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W:\PASTA NOME PREGOEIROS\ANDRÉ AMARO\DELIC - Pregão\2025\9348\"/>
    </mc:Choice>
  </mc:AlternateContent>
  <xr:revisionPtr revIDLastSave="0" documentId="13_ncr:1_{B068A90B-F3F2-46F6-AD5E-752D13C4D967}" xr6:coauthVersionLast="47" xr6:coauthVersionMax="47" xr10:uidLastSave="{00000000-0000-0000-0000-000000000000}"/>
  <bookViews>
    <workbookView xWindow="-120" yWindow="-120" windowWidth="20730" windowHeight="11160" tabRatio="500" activeTab="2" xr2:uid="{00000000-000D-0000-FFFF-FFFF00000000}"/>
  </bookViews>
  <sheets>
    <sheet name="Vigilante Armado Diurno" sheetId="1" r:id="rId1"/>
    <sheet name="Vigilante Armado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'Vigilante Armado Diurno'!$A$1:$I$178</definedName>
    <definedName name="_xlnm.Print_Area" localSheetId="1">'Vigilante Armado Noturno'!$A$1:$I$189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0" i="2" l="1"/>
  <c r="I47" i="2"/>
  <c r="I18" i="1" l="1"/>
  <c r="F6" i="3" l="1"/>
  <c r="H187" i="2"/>
  <c r="A187" i="2"/>
  <c r="E160" i="2"/>
  <c r="H159" i="2"/>
  <c r="H162" i="2" s="1"/>
  <c r="D159" i="2" s="1"/>
  <c r="E159" i="2" s="1"/>
  <c r="G159" i="2"/>
  <c r="G162" i="2" s="1"/>
  <c r="D158" i="2" s="1"/>
  <c r="E158" i="2" s="1"/>
  <c r="I133" i="2"/>
  <c r="F126" i="2"/>
  <c r="I118" i="2" s="1"/>
  <c r="G111" i="2"/>
  <c r="A111" i="2"/>
  <c r="H110" i="2"/>
  <c r="G107" i="2"/>
  <c r="A107" i="2"/>
  <c r="G103" i="2"/>
  <c r="A103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I33" i="2"/>
  <c r="I32" i="2"/>
  <c r="I31" i="2"/>
  <c r="I30" i="2"/>
  <c r="C107" i="2"/>
  <c r="C111" i="2"/>
  <c r="E111" i="2" s="1"/>
  <c r="I15" i="2"/>
  <c r="C103" i="2" s="1"/>
  <c r="G11" i="2"/>
  <c r="A6" i="2"/>
  <c r="I5" i="2"/>
  <c r="G5" i="2"/>
  <c r="H176" i="1"/>
  <c r="A176" i="1"/>
  <c r="E149" i="1"/>
  <c r="H148" i="1"/>
  <c r="H151" i="1" s="1"/>
  <c r="D148" i="1" s="1"/>
  <c r="E148" i="1" s="1"/>
  <c r="G148" i="1"/>
  <c r="G151" i="1" s="1"/>
  <c r="D147" i="1" s="1"/>
  <c r="E147" i="1" s="1"/>
  <c r="I122" i="1"/>
  <c r="I166" i="1" s="1"/>
  <c r="F115" i="1"/>
  <c r="I107" i="1"/>
  <c r="G100" i="1"/>
  <c r="A100" i="1"/>
  <c r="H99" i="1"/>
  <c r="G96" i="1"/>
  <c r="A96" i="1"/>
  <c r="G92" i="1"/>
  <c r="A92" i="1"/>
  <c r="I87" i="1"/>
  <c r="I86" i="1"/>
  <c r="H74" i="1"/>
  <c r="H67" i="1"/>
  <c r="H55" i="1"/>
  <c r="B43" i="1"/>
  <c r="I41" i="1"/>
  <c r="I42" i="1" s="1"/>
  <c r="I40" i="1"/>
  <c r="I39" i="1"/>
  <c r="I37" i="1"/>
  <c r="I36" i="1"/>
  <c r="I35" i="1"/>
  <c r="A34" i="1"/>
  <c r="A35" i="1" s="1"/>
  <c r="A36" i="1" s="1"/>
  <c r="A37" i="1" s="1"/>
  <c r="A38" i="1" s="1"/>
  <c r="A39" i="1" s="1"/>
  <c r="A40" i="1" s="1"/>
  <c r="A41" i="1" s="1"/>
  <c r="A42" i="1" s="1"/>
  <c r="A43" i="1" s="1"/>
  <c r="C96" i="1"/>
  <c r="C100" i="1"/>
  <c r="I15" i="1"/>
  <c r="C92" i="1" s="1"/>
  <c r="A6" i="1"/>
  <c r="I5" i="1"/>
  <c r="I33" i="1" s="1"/>
  <c r="G5" i="1"/>
  <c r="I177" i="2" l="1"/>
  <c r="H103" i="2"/>
  <c r="E100" i="1"/>
  <c r="I49" i="2"/>
  <c r="I51" i="2" s="1"/>
  <c r="E103" i="2"/>
  <c r="I103" i="2" s="1"/>
  <c r="I96" i="2" s="1"/>
  <c r="E107" i="2"/>
  <c r="I46" i="2"/>
  <c r="F111" i="2"/>
  <c r="H111" i="2" s="1"/>
  <c r="I111" i="2" s="1"/>
  <c r="I94" i="2" s="1"/>
  <c r="F107" i="2"/>
  <c r="H107" i="2" s="1"/>
  <c r="I107" i="2" s="1"/>
  <c r="I95" i="2" s="1"/>
  <c r="E92" i="1"/>
  <c r="E96" i="1"/>
  <c r="F92" i="1"/>
  <c r="H92" i="1" s="1"/>
  <c r="I38" i="1"/>
  <c r="I34" i="1"/>
  <c r="H88" i="2"/>
  <c r="H89" i="2" s="1"/>
  <c r="H91" i="2" s="1"/>
  <c r="H77" i="1"/>
  <c r="H78" i="1" s="1"/>
  <c r="H80" i="1" s="1"/>
  <c r="I54" i="2"/>
  <c r="I43" i="2"/>
  <c r="F100" i="1" l="1"/>
  <c r="H100" i="1" s="1"/>
  <c r="I100" i="1" s="1"/>
  <c r="I83" i="1" s="1"/>
  <c r="I92" i="1"/>
  <c r="I85" i="1" s="1"/>
  <c r="I128" i="1" s="1"/>
  <c r="I52" i="2"/>
  <c r="I39" i="2" s="1"/>
  <c r="I48" i="2"/>
  <c r="I99" i="2"/>
  <c r="I139" i="2"/>
  <c r="I126" i="2"/>
  <c r="I44" i="1"/>
  <c r="H38" i="1" s="1"/>
  <c r="F96" i="1"/>
  <c r="H96" i="1" s="1"/>
  <c r="I96" i="1" s="1"/>
  <c r="I84" i="1" s="1"/>
  <c r="I115" i="1" l="1"/>
  <c r="H84" i="1"/>
  <c r="I88" i="1"/>
  <c r="I55" i="2"/>
  <c r="H39" i="2" s="1"/>
  <c r="H85" i="1"/>
  <c r="I72" i="1"/>
  <c r="I62" i="1"/>
  <c r="I52" i="1"/>
  <c r="H43" i="1"/>
  <c r="H35" i="1"/>
  <c r="H40" i="1"/>
  <c r="I63" i="1"/>
  <c r="I71" i="1"/>
  <c r="I61" i="1"/>
  <c r="I51" i="1"/>
  <c r="H41" i="1"/>
  <c r="I60" i="1"/>
  <c r="I50" i="1"/>
  <c r="A130" i="1"/>
  <c r="I77" i="1"/>
  <c r="I78" i="1" s="1"/>
  <c r="I59" i="1"/>
  <c r="I49" i="1"/>
  <c r="I53" i="1"/>
  <c r="I66" i="1"/>
  <c r="I48" i="1"/>
  <c r="A117" i="1"/>
  <c r="I65" i="1"/>
  <c r="I47" i="1"/>
  <c r="I73" i="1"/>
  <c r="I159" i="1"/>
  <c r="H87" i="1"/>
  <c r="I64" i="1"/>
  <c r="I54" i="1"/>
  <c r="H36" i="1"/>
  <c r="H33" i="1"/>
  <c r="H42" i="1"/>
  <c r="H39" i="1"/>
  <c r="H86" i="1"/>
  <c r="H37" i="1"/>
  <c r="H83" i="1"/>
  <c r="H34" i="1"/>
  <c r="G128" i="2"/>
  <c r="I172" i="2"/>
  <c r="G141" i="2"/>
  <c r="H44" i="1" l="1"/>
  <c r="H88" i="1"/>
  <c r="H50" i="2"/>
  <c r="H51" i="2"/>
  <c r="H47" i="2"/>
  <c r="H48" i="2"/>
  <c r="I74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1" i="2"/>
  <c r="I88" i="2"/>
  <c r="I89" i="2" s="1"/>
  <c r="I70" i="2"/>
  <c r="I60" i="2"/>
  <c r="I77" i="2"/>
  <c r="I59" i="2"/>
  <c r="H42" i="2"/>
  <c r="I170" i="2"/>
  <c r="A128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67" i="1"/>
  <c r="I55" i="1"/>
  <c r="G117" i="1"/>
  <c r="I161" i="1"/>
  <c r="G130" i="1"/>
  <c r="F117" i="1"/>
  <c r="F130" i="1"/>
  <c r="H102" i="1" l="1"/>
  <c r="F141" i="2"/>
  <c r="F128" i="2"/>
  <c r="I85" i="2"/>
  <c r="I66" i="2"/>
  <c r="H99" i="2"/>
  <c r="I78" i="2"/>
  <c r="H55" i="2"/>
  <c r="H113" i="2" s="1"/>
  <c r="C130" i="1"/>
  <c r="I160" i="1"/>
  <c r="C117" i="1"/>
  <c r="I80" i="1"/>
  <c r="I102" i="1" s="1"/>
  <c r="A146" i="1" s="1"/>
  <c r="D130" i="1"/>
  <c r="D117" i="1"/>
  <c r="E130" i="1"/>
  <c r="E117" i="1"/>
  <c r="H117" i="1" l="1"/>
  <c r="I117" i="1" s="1"/>
  <c r="H110" i="1" s="1"/>
  <c r="H130" i="1"/>
  <c r="I130" i="1" s="1"/>
  <c r="H121" i="1" s="1"/>
  <c r="E141" i="2"/>
  <c r="E128" i="2"/>
  <c r="D141" i="2"/>
  <c r="D128" i="2"/>
  <c r="I91" i="2"/>
  <c r="I113" i="2" s="1"/>
  <c r="A157" i="2" s="1"/>
  <c r="C141" i="2"/>
  <c r="I171" i="2"/>
  <c r="C128" i="2"/>
  <c r="I162" i="1"/>
  <c r="G115" i="1" l="1"/>
  <c r="I112" i="1" s="1"/>
  <c r="I165" i="1" s="1"/>
  <c r="H107" i="1"/>
  <c r="H111" i="1"/>
  <c r="H106" i="1"/>
  <c r="H108" i="1"/>
  <c r="H120" i="1"/>
  <c r="H122" i="1" s="1"/>
  <c r="G128" i="1"/>
  <c r="I126" i="1" s="1"/>
  <c r="H125" i="1"/>
  <c r="H126" i="1" s="1"/>
  <c r="H128" i="2"/>
  <c r="I128" i="2" s="1"/>
  <c r="I173" i="2"/>
  <c r="H141" i="2"/>
  <c r="I141" i="2" s="1"/>
  <c r="H109" i="1" l="1"/>
  <c r="H112" i="1" s="1"/>
  <c r="H132" i="1" s="1"/>
  <c r="G126" i="2"/>
  <c r="I123" i="2" s="1"/>
  <c r="I176" i="2" s="1"/>
  <c r="H119" i="2"/>
  <c r="H120" i="2"/>
  <c r="H118" i="2"/>
  <c r="H117" i="2"/>
  <c r="H122" i="2"/>
  <c r="H121" i="2"/>
  <c r="I167" i="1"/>
  <c r="I132" i="1"/>
  <c r="C146" i="1" s="1"/>
  <c r="D146" i="1" s="1"/>
  <c r="H132" i="2"/>
  <c r="G139" i="2"/>
  <c r="H131" i="2"/>
  <c r="H133" i="2" l="1"/>
  <c r="H123" i="2"/>
  <c r="I137" i="2"/>
  <c r="I143" i="2" s="1"/>
  <c r="H136" i="2"/>
  <c r="H137" i="2" s="1"/>
  <c r="I140" i="1"/>
  <c r="H140" i="1" s="1"/>
  <c r="I136" i="1"/>
  <c r="I139" i="1"/>
  <c r="H139" i="1" s="1"/>
  <c r="I138" i="1"/>
  <c r="H138" i="1" s="1"/>
  <c r="I137" i="1"/>
  <c r="H137" i="1" s="1"/>
  <c r="I168" i="1"/>
  <c r="H136" i="1" l="1"/>
  <c r="H141" i="1" s="1"/>
  <c r="H155" i="1" s="1"/>
  <c r="I141" i="1"/>
  <c r="I178" i="2"/>
  <c r="C157" i="2"/>
  <c r="D157" i="2" s="1"/>
  <c r="H143" i="2"/>
  <c r="I151" i="2" l="1"/>
  <c r="H151" i="2" s="1"/>
  <c r="I147" i="2"/>
  <c r="I148" i="2"/>
  <c r="H148" i="2" s="1"/>
  <c r="I150" i="2"/>
  <c r="H150" i="2" s="1"/>
  <c r="I149" i="2"/>
  <c r="H149" i="2" s="1"/>
  <c r="I179" i="2"/>
  <c r="I155" i="1"/>
  <c r="I172" i="1"/>
  <c r="G176" i="1" s="1"/>
  <c r="I171" i="1"/>
  <c r="H171" i="1" l="1"/>
  <c r="H172" i="1" s="1"/>
  <c r="H147" i="2"/>
  <c r="H152" i="2" s="1"/>
  <c r="H166" i="2" s="1"/>
  <c r="I152" i="2"/>
  <c r="I176" i="1"/>
  <c r="I178" i="1" s="1"/>
  <c r="E4" i="3" s="1"/>
  <c r="G4" i="3" s="1"/>
  <c r="H166" i="1"/>
  <c r="H165" i="1"/>
  <c r="H159" i="1"/>
  <c r="H161" i="1"/>
  <c r="H160" i="1"/>
  <c r="H167" i="1"/>
  <c r="H168" i="1" l="1"/>
  <c r="H162" i="1"/>
  <c r="I166" i="2"/>
  <c r="I183" i="2"/>
  <c r="G187" i="2" s="1"/>
  <c r="I182" i="2"/>
  <c r="I187" i="2" l="1"/>
  <c r="I189" i="2" s="1"/>
  <c r="E5" i="3" s="1"/>
  <c r="G5" i="3" s="1"/>
  <c r="G6" i="3" s="1"/>
  <c r="H176" i="2"/>
  <c r="H177" i="2"/>
  <c r="H172" i="2"/>
  <c r="H170" i="2"/>
  <c r="H171" i="2"/>
  <c r="H178" i="2"/>
  <c r="H182" i="2"/>
  <c r="H183" i="2" s="1"/>
  <c r="H173" i="2" l="1"/>
  <c r="H17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15.561, DE 9 DE DEZEMBRO DE 2020 - ver sempre se tem uma lei nova)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0.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<sst xmlns="http://schemas.openxmlformats.org/spreadsheetml/2006/main" count="565" uniqueCount="219">
  <si>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</si>
  <si>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</si>
  <si>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</si>
  <si>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</si>
  <si>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</si>
  <si>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</si>
  <si>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</si>
  <si>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</si>
  <si>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</si>
  <si>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</si>
  <si>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</si>
  <si>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</si>
  <si>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</si>
  <si>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</si>
  <si>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</si>
  <si>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</si>
  <si>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</si>
  <si>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</si>
  <si>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</si>
  <si>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</si>
  <si>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</si>
  <si>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</si>
  <si>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</si>
  <si>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</si>
  <si>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</si>
  <si>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</si>
  <si>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</si>
  <si>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</si>
  <si>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</si>
  <si>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</si>
  <si>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</si>
  <si>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</si>
  <si>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</si>
  <si>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</si>
  <si>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</si>
  <si>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</si>
  <si>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</si>
  <si>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</si>
  <si>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</si>
  <si>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</si>
  <si>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</si>
  <si>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</si>
  <si>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</si>
  <si>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</si>
  <si>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</si>
  <si>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</si>
  <si>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</si>
  <si>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</si>
  <si>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</si>
  <si>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</si>
  <si>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</si>
  <si>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</si>
  <si>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</si>
  <si>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</si>
  <si>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</si>
  <si>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</si>
  <si>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</si>
  <si>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</si>
  <si>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</si>
  <si>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</si>
  <si>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</si>
  <si>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</si>
  <si>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</si>
  <si>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</si>
  <si>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</si>
  <si>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</si>
  <si>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</si>
  <si>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</si>
  <si>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</si>
  <si>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</si>
  <si>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</si>
  <si>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</si>
  <si>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</si>
  <si>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</si>
  <si>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</si>
  <si>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</si>
  <si>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</si>
  <si>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</si>
  <si>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</si>
  <si>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</si>
  <si>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</si>
  <si>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</si>
  <si>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</si>
  <si>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</si>
  <si>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</si>
  <si>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</si>
  <si>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</si>
  <si>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</si>
  <si>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</si>
  <si>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</si>
  <si>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</si>
  <si>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</si>
  <si>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</si>
  <si>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</si>
  <si>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</si>
  <si>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</si>
  <si>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</si>
  <si>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</si>
  <si>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</si>
  <si>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</si>
  <si>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</si>
  <si>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</si>
  <si>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</si>
  <si>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</si>
  <si>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</si>
  <si>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</si>
  <si>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</si>
  <si>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</si>
  <si>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</si>
  <si>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</si>
  <si>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</si>
  <si>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</si>
  <si>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</si>
  <si>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</si>
  <si>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</si>
  <si>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</si>
  <si>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</si>
  <si>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</si>
  <si>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</si>
  <si>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</si>
  <si>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</si>
  <si>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</si>
  <si>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</si>
  <si>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</si>
  <si>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</si>
  <si>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</si>
  <si>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</si>
  <si>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</si>
  <si>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</si>
  <si>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</si>
  <si>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</si>
  <si>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</si>
  <si>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</si>
  <si>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</si>
  <si>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</si>
  <si>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</si>
  <si>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</si>
  <si>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</si>
  <si>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</si>
  <si>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</si>
  <si>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</si>
  <si>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</si>
  <si>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</si>
  <si>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</si>
  <si>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</si>
  <si>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</si>
  <si>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</si>
  <si>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</si>
  <si>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</si>
  <si>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</si>
  <si>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</si>
  <si>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</si>
  <si>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</si>
  <si>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</si>
  <si>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</si>
  <si>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</si>
  <si>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</si>
  <si>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</si>
  <si>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</si>
  <si>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</si>
  <si>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</si>
  <si>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</si>
  <si>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</si>
  <si>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</si>
  <si>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</si>
  <si>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</si>
  <si>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</si>
  <si>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</si>
  <si>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</si>
  <si>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</si>
  <si>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</si>
  <si>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</si>
  <si>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</si>
  <si>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</si>
  <si>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</si>
  <si>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</si>
  <si>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</si>
  <si>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</si>
  <si>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</si>
  <si>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</si>
  <si>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</si>
  <si>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</si>
  <si>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</si>
  <si>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</si>
  <si>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</si>
  <si>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</si>
  <si>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</si>
  <si>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</si>
  <si>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</si>
  <si>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</si>
  <si>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</si>
  <si>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</si>
  <si>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</si>
  <si>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</si>
  <si>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</si>
  <si>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</si>
  <si>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</si>
  <si>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</si>
  <si>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</si>
  <si>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</si>
  <si>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</si>
  <si>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</si>
  <si>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</si>
  <si>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</si>
  <si>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</si>
  <si>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</si>
  <si>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</si>
  <si>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</si>
  <si>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</si>
  <si>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</si>
  <si>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24/1244-0010261-1</t>
  </si>
  <si>
    <t>Vigilante Armado Diurno</t>
  </si>
  <si>
    <t>Vigilante Armado Noturno</t>
  </si>
  <si>
    <t>Porto Alegre</t>
  </si>
  <si>
    <t>Portno Alegre</t>
  </si>
  <si>
    <t>12x36</t>
  </si>
  <si>
    <t>Segunda a Domingo e Feriados</t>
  </si>
  <si>
    <t>RS000837/2025</t>
  </si>
  <si>
    <t>Adicional Troca de Uniforme - CLÁUSULA 28ª, §7º, "C" DA CCT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</si>
</sst>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_-* #,##0.00_-;\-* #,##0.00_-;_-* \-??_-;_-@_-"/>
  </numFmts>
  <fonts count="3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</cellStyleXfs>
  <cellXfs count="14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4" fontId="2" fillId="11" borderId="1" xfId="0" applyNumberFormat="1" applyFont="1" applyFill="1" applyBorder="1" applyAlignment="1">
      <alignment horizontal="center" vertical="center" wrapText="1"/>
    </xf>
    <xf numFmtId="4" fontId="14" fillId="11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29" fillId="13" borderId="1" xfId="4" applyFont="1" applyFill="1" applyBorder="1" applyAlignment="1">
      <alignment horizontal="center" vertical="center" wrapText="1"/>
    </xf>
    <xf numFmtId="0" fontId="28" fillId="13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31" fillId="0" borderId="1" xfId="4" applyNumberFormat="1" applyBorder="1"/>
    <xf numFmtId="0" fontId="31" fillId="0" borderId="1" xfId="4" applyBorder="1" applyAlignment="1">
      <alignment horizontal="center"/>
    </xf>
    <xf numFmtId="0" fontId="28" fillId="0" borderId="1" xfId="4" applyFont="1" applyBorder="1" applyAlignment="1">
      <alignment horizontal="center"/>
    </xf>
    <xf numFmtId="164" fontId="28" fillId="0" borderId="1" xfId="4" applyNumberFormat="1" applyFont="1" applyBorder="1"/>
    <xf numFmtId="171" fontId="31" fillId="0" borderId="0" xfId="4" applyNumberFormat="1"/>
    <xf numFmtId="0" fontId="30" fillId="0" borderId="0" xfId="4" applyFont="1"/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0" fontId="28" fillId="12" borderId="1" xfId="4" applyFont="1" applyFill="1" applyBorder="1" applyAlignment="1">
      <alignment horizontal="center"/>
    </xf>
    <xf numFmtId="0" fontId="28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8"/>
  <sheetViews>
    <sheetView view="pageBreakPreview" topLeftCell="A166" zoomScale="130" zoomScaleNormal="130" zoomScaleSheetLayoutView="130" zoomScalePageLayoutView="130" workbookViewId="0">
      <selection activeCell="I136" sqref="I136"/>
    </sheetView>
  </sheetViews>
  <sheetFormatPr defaultColWidth="9.140625" defaultRowHeight="11.25" x14ac:dyDescent="0.25"/>
  <cols>
    <col min="1" max="1" width="2.855468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8" t="s">
        <v>0</v>
      </c>
      <c r="B1" s="88"/>
      <c r="C1" s="88"/>
      <c r="D1" s="88"/>
      <c r="E1" s="88"/>
      <c r="F1" s="88"/>
      <c r="G1" s="88"/>
      <c r="H1" s="88"/>
      <c r="I1" s="88"/>
      <c r="K1" s="4"/>
    </row>
    <row r="2" spans="1:11" ht="22.5" customHeight="1" x14ac:dyDescent="0.25">
      <c r="A2" s="88" t="s">
        <v>1</v>
      </c>
      <c r="B2" s="88"/>
      <c r="C2" s="89" t="s">
        <v>210</v>
      </c>
      <c r="D2" s="89"/>
      <c r="E2" s="90" t="s">
        <v>2</v>
      </c>
      <c r="F2" s="90"/>
      <c r="G2" s="90"/>
      <c r="H2" s="90"/>
      <c r="I2" s="90"/>
    </row>
    <row r="3" spans="1:11" ht="11.25" customHeight="1" x14ac:dyDescent="0.25">
      <c r="A3" s="88" t="s">
        <v>3</v>
      </c>
      <c r="B3" s="8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1" t="s">
        <v>5</v>
      </c>
      <c r="B5" s="91"/>
      <c r="C5" s="91"/>
      <c r="D5" s="92" t="s">
        <v>211</v>
      </c>
      <c r="E5" s="92"/>
      <c r="F5" s="92"/>
      <c r="G5" s="93" t="str">
        <f>IF(D6="12x36","Regime de trabalho:","Quantidade de HORAS/MÊS")</f>
        <v>Regime de trabalho:</v>
      </c>
      <c r="H5" s="93"/>
      <c r="I5" s="94" t="str">
        <f>IF(D6="12x36",D6,5*D6)</f>
        <v>12x36</v>
      </c>
    </row>
    <row r="6" spans="1:11" ht="18.75" customHeight="1" x14ac:dyDescent="0.25">
      <c r="A6" s="95" t="str">
        <f>IF(D6="12x36","Regime de trabalho:","Regime de trabalho (horas semanais):")</f>
        <v>Regime de trabalho:</v>
      </c>
      <c r="B6" s="95"/>
      <c r="C6" s="95"/>
      <c r="D6" s="95" t="s">
        <v>215</v>
      </c>
      <c r="E6" s="95"/>
      <c r="F6" s="95"/>
      <c r="G6" s="93"/>
      <c r="H6" s="93"/>
      <c r="I6" s="94"/>
    </row>
    <row r="7" spans="1:11" ht="22.5" customHeight="1" x14ac:dyDescent="0.25">
      <c r="A7" s="95" t="s">
        <v>6</v>
      </c>
      <c r="B7" s="95"/>
      <c r="C7" s="95"/>
      <c r="D7" s="91" t="s">
        <v>217</v>
      </c>
      <c r="E7" s="91"/>
      <c r="F7" s="91"/>
      <c r="G7" s="96" t="s">
        <v>7</v>
      </c>
      <c r="H7" s="96"/>
      <c r="I7" s="97" t="s">
        <v>8</v>
      </c>
    </row>
    <row r="8" spans="1:11" ht="22.5" customHeight="1" x14ac:dyDescent="0.25">
      <c r="A8" s="95" t="s">
        <v>9</v>
      </c>
      <c r="B8" s="95"/>
      <c r="C8" s="95"/>
      <c r="D8" s="91" t="s">
        <v>16</v>
      </c>
      <c r="E8" s="91"/>
      <c r="F8" s="91"/>
      <c r="G8" s="96"/>
      <c r="H8" s="96"/>
      <c r="I8" s="97"/>
    </row>
    <row r="9" spans="1:11" ht="18.75" customHeight="1" x14ac:dyDescent="0.25">
      <c r="A9" s="95" t="s">
        <v>10</v>
      </c>
      <c r="B9" s="95"/>
      <c r="C9" s="95"/>
      <c r="D9" s="95" t="s">
        <v>213</v>
      </c>
      <c r="E9" s="95"/>
      <c r="F9" s="95"/>
      <c r="G9" s="96" t="s">
        <v>11</v>
      </c>
      <c r="H9" s="96"/>
      <c r="I9" s="9">
        <v>0.3</v>
      </c>
    </row>
    <row r="10" spans="1:11" ht="32.25" customHeight="1" x14ac:dyDescent="0.25">
      <c r="A10" s="98" t="s">
        <v>12</v>
      </c>
      <c r="B10" s="98"/>
      <c r="C10" s="98"/>
      <c r="D10" s="98"/>
      <c r="E10" s="98"/>
      <c r="F10" s="98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99" t="s">
        <v>14</v>
      </c>
      <c r="B11" s="99"/>
      <c r="C11" s="99"/>
      <c r="D11" s="99"/>
      <c r="E11" s="99"/>
      <c r="F11" s="99"/>
      <c r="G11" s="10"/>
      <c r="H11" s="10" t="s">
        <v>15</v>
      </c>
      <c r="I11" s="13">
        <v>2.5000000000000001E-2</v>
      </c>
    </row>
    <row r="12" spans="1:11" ht="24.75" customHeight="1" x14ac:dyDescent="0.25">
      <c r="A12" s="100" t="s">
        <v>218</v>
      </c>
      <c r="B12" s="100"/>
      <c r="C12" s="100"/>
      <c r="D12" s="100"/>
      <c r="E12" s="100"/>
      <c r="F12" s="100"/>
      <c r="G12" s="10" t="s">
        <v>16</v>
      </c>
      <c r="H12" s="10" t="s">
        <v>17</v>
      </c>
      <c r="I12" s="11">
        <v>1.59</v>
      </c>
    </row>
    <row r="13" spans="1:11" ht="15.75" customHeight="1" x14ac:dyDescent="0.25">
      <c r="A13" s="100" t="s">
        <v>18</v>
      </c>
      <c r="B13" s="100"/>
      <c r="C13" s="100"/>
      <c r="D13" s="100"/>
      <c r="E13" s="100"/>
      <c r="F13" s="100"/>
      <c r="G13" s="10"/>
      <c r="H13" s="10"/>
      <c r="I13" s="15">
        <v>15</v>
      </c>
    </row>
    <row r="14" spans="1:11" ht="15" customHeight="1" x14ac:dyDescent="0.25">
      <c r="A14" s="99" t="s">
        <v>19</v>
      </c>
      <c r="B14" s="99"/>
      <c r="C14" s="99"/>
      <c r="D14" s="99"/>
      <c r="E14" s="99"/>
      <c r="F14" s="99"/>
      <c r="G14" s="101" t="s">
        <v>16</v>
      </c>
      <c r="H14" s="10" t="s">
        <v>20</v>
      </c>
      <c r="I14" s="11">
        <v>5</v>
      </c>
    </row>
    <row r="15" spans="1:11" x14ac:dyDescent="0.25">
      <c r="A15" s="99"/>
      <c r="B15" s="99"/>
      <c r="C15" s="99"/>
      <c r="D15" s="99"/>
      <c r="E15" s="99"/>
      <c r="F15" s="99"/>
      <c r="G15" s="101"/>
      <c r="H15" s="10" t="s">
        <v>21</v>
      </c>
      <c r="I15" s="15">
        <f>I13</f>
        <v>15</v>
      </c>
    </row>
    <row r="16" spans="1:11" x14ac:dyDescent="0.25">
      <c r="A16" s="99"/>
      <c r="B16" s="99"/>
      <c r="C16" s="99"/>
      <c r="D16" s="99"/>
      <c r="E16" s="99"/>
      <c r="F16" s="99"/>
      <c r="G16" s="101"/>
      <c r="H16" s="10" t="s">
        <v>22</v>
      </c>
      <c r="I16" s="9">
        <v>0.06</v>
      </c>
    </row>
    <row r="17" spans="1:9" ht="11.25" customHeight="1" x14ac:dyDescent="0.25">
      <c r="A17" s="99" t="s">
        <v>23</v>
      </c>
      <c r="B17" s="99"/>
      <c r="C17" s="99"/>
      <c r="D17" s="99"/>
      <c r="E17" s="99"/>
      <c r="F17" s="99"/>
      <c r="G17" s="101" t="s">
        <v>16</v>
      </c>
      <c r="H17" s="10" t="s">
        <v>20</v>
      </c>
      <c r="I17" s="11">
        <v>30</v>
      </c>
    </row>
    <row r="18" spans="1:9" ht="11.25" customHeight="1" x14ac:dyDescent="0.25">
      <c r="A18" s="99"/>
      <c r="B18" s="99"/>
      <c r="C18" s="99"/>
      <c r="D18" s="99"/>
      <c r="E18" s="99"/>
      <c r="F18" s="99"/>
      <c r="G18" s="101"/>
      <c r="H18" s="10" t="s">
        <v>21</v>
      </c>
      <c r="I18" s="15">
        <f>I13</f>
        <v>15</v>
      </c>
    </row>
    <row r="19" spans="1:9" x14ac:dyDescent="0.25">
      <c r="A19" s="99"/>
      <c r="B19" s="99"/>
      <c r="C19" s="99"/>
      <c r="D19" s="99"/>
      <c r="E19" s="99"/>
      <c r="F19" s="99"/>
      <c r="G19" s="101"/>
      <c r="H19" s="10" t="s">
        <v>22</v>
      </c>
      <c r="I19" s="9">
        <v>0.2</v>
      </c>
    </row>
    <row r="20" spans="1:9" ht="11.25" customHeight="1" x14ac:dyDescent="0.25">
      <c r="A20" s="99" t="s">
        <v>24</v>
      </c>
      <c r="B20" s="99"/>
      <c r="C20" s="99"/>
      <c r="D20" s="99"/>
      <c r="E20" s="99"/>
      <c r="F20" s="99"/>
      <c r="G20" s="101" t="s">
        <v>16</v>
      </c>
      <c r="H20" s="10" t="s">
        <v>20</v>
      </c>
      <c r="I20" s="11">
        <v>0</v>
      </c>
    </row>
    <row r="21" spans="1:9" x14ac:dyDescent="0.25">
      <c r="A21" s="99"/>
      <c r="B21" s="99"/>
      <c r="C21" s="99"/>
      <c r="D21" s="99"/>
      <c r="E21" s="99"/>
      <c r="F21" s="99"/>
      <c r="G21" s="101"/>
      <c r="H21" s="10" t="s">
        <v>21</v>
      </c>
      <c r="I21" s="15">
        <v>0</v>
      </c>
    </row>
    <row r="22" spans="1:9" x14ac:dyDescent="0.25">
      <c r="A22" s="99"/>
      <c r="B22" s="99"/>
      <c r="C22" s="99"/>
      <c r="D22" s="99"/>
      <c r="E22" s="99"/>
      <c r="F22" s="99"/>
      <c r="G22" s="101"/>
      <c r="H22" s="10" t="s">
        <v>22</v>
      </c>
      <c r="I22" s="9">
        <v>0</v>
      </c>
    </row>
    <row r="23" spans="1:9" ht="36" customHeight="1" x14ac:dyDescent="0.25">
      <c r="A23" s="102" t="s">
        <v>25</v>
      </c>
      <c r="B23" s="102"/>
      <c r="C23" s="102"/>
      <c r="D23" s="102"/>
      <c r="E23" s="102"/>
      <c r="F23" s="102"/>
      <c r="G23" s="16" t="s">
        <v>16</v>
      </c>
      <c r="H23" s="16" t="s">
        <v>26</v>
      </c>
      <c r="I23" s="17" t="s">
        <v>8</v>
      </c>
    </row>
    <row r="24" spans="1:9" ht="22.5" customHeight="1" x14ac:dyDescent="0.25">
      <c r="A24" s="100" t="s">
        <v>27</v>
      </c>
      <c r="B24" s="100"/>
      <c r="C24" s="100"/>
      <c r="D24" s="100"/>
      <c r="E24" s="100"/>
      <c r="F24" s="100"/>
      <c r="G24" s="16"/>
      <c r="H24" s="16" t="s">
        <v>28</v>
      </c>
      <c r="I24" s="18" t="s">
        <v>8</v>
      </c>
    </row>
    <row r="25" spans="1:9" ht="34.5" customHeight="1" x14ac:dyDescent="0.25">
      <c r="A25" s="100" t="s">
        <v>29</v>
      </c>
      <c r="B25" s="100"/>
      <c r="C25" s="100"/>
      <c r="D25" s="100"/>
      <c r="E25" s="100"/>
      <c r="F25" s="100"/>
      <c r="G25" s="10"/>
      <c r="H25" s="10" t="s">
        <v>17</v>
      </c>
      <c r="I25" s="11" t="s">
        <v>8</v>
      </c>
    </row>
    <row r="26" spans="1:9" ht="15" customHeight="1" x14ac:dyDescent="0.25">
      <c r="A26" s="100" t="s">
        <v>30</v>
      </c>
      <c r="B26" s="100"/>
      <c r="C26" s="100"/>
      <c r="D26" s="100"/>
      <c r="E26" s="100"/>
      <c r="F26" s="100"/>
      <c r="G26" s="16"/>
      <c r="H26" s="19" t="s">
        <v>31</v>
      </c>
      <c r="I26" s="20" t="s">
        <v>8</v>
      </c>
    </row>
    <row r="27" spans="1:9" ht="15" customHeight="1" x14ac:dyDescent="0.25">
      <c r="A27" s="100"/>
      <c r="B27" s="100"/>
      <c r="C27" s="100"/>
      <c r="D27" s="100"/>
      <c r="E27" s="100"/>
      <c r="F27" s="100"/>
      <c r="G27" s="16"/>
      <c r="H27" s="21" t="s">
        <v>32</v>
      </c>
      <c r="I27" s="9" t="s">
        <v>8</v>
      </c>
    </row>
    <row r="28" spans="1:9" ht="26.25" customHeight="1" x14ac:dyDescent="0.25">
      <c r="A28" s="100" t="s">
        <v>201</v>
      </c>
      <c r="B28" s="100"/>
      <c r="C28" s="100"/>
      <c r="D28" s="100"/>
      <c r="E28" s="100"/>
      <c r="F28" s="100"/>
      <c r="G28" s="16"/>
      <c r="H28" s="10" t="s">
        <v>31</v>
      </c>
      <c r="I28" s="20" t="s">
        <v>8</v>
      </c>
    </row>
    <row r="29" spans="1:9" ht="35.25" customHeight="1" x14ac:dyDescent="0.25">
      <c r="A29" s="100" t="s">
        <v>34</v>
      </c>
      <c r="B29" s="100"/>
      <c r="C29" s="100"/>
      <c r="D29" s="100"/>
      <c r="E29" s="100"/>
      <c r="F29" s="100"/>
      <c r="G29" s="10"/>
      <c r="H29" s="8" t="s">
        <v>28</v>
      </c>
      <c r="I29" s="9">
        <v>0.2</v>
      </c>
    </row>
    <row r="30" spans="1:9" ht="4.5" customHeight="1" x14ac:dyDescent="0.25"/>
    <row r="31" spans="1:9" ht="17.25" customHeight="1" x14ac:dyDescent="0.25">
      <c r="A31" s="103" t="s">
        <v>35</v>
      </c>
      <c r="B31" s="103"/>
      <c r="C31" s="103"/>
      <c r="D31" s="103"/>
      <c r="E31" s="103"/>
      <c r="F31" s="103"/>
      <c r="G31" s="103"/>
      <c r="H31" s="103"/>
      <c r="I31" s="103"/>
    </row>
    <row r="32" spans="1:9" ht="33.75" customHeight="1" x14ac:dyDescent="0.25">
      <c r="A32" s="22" t="s">
        <v>36</v>
      </c>
      <c r="B32" s="104" t="s">
        <v>37</v>
      </c>
      <c r="C32" s="104"/>
      <c r="D32" s="104"/>
      <c r="E32" s="104"/>
      <c r="F32" s="104"/>
      <c r="G32" s="104"/>
      <c r="H32" s="22" t="s">
        <v>38</v>
      </c>
      <c r="I32" s="22" t="s">
        <v>39</v>
      </c>
    </row>
    <row r="33" spans="1:10" ht="15" customHeight="1" x14ac:dyDescent="0.25">
      <c r="A33" s="14">
        <v>1</v>
      </c>
      <c r="B33" s="91" t="s">
        <v>40</v>
      </c>
      <c r="C33" s="91"/>
      <c r="D33" s="91"/>
      <c r="E33" s="91"/>
      <c r="F33" s="91"/>
      <c r="G33" s="91"/>
      <c r="H33" s="23">
        <f t="shared" ref="H33:H43" si="0">I33/$I$44</f>
        <v>0.75891437828064479</v>
      </c>
      <c r="I33" s="24">
        <f>IF(D6="12x36",I10,I10/H10*I5)</f>
        <v>2105.4</v>
      </c>
    </row>
    <row r="34" spans="1:10" ht="15" customHeight="1" x14ac:dyDescent="0.25">
      <c r="A34" s="14">
        <f t="shared" ref="A34:A43" si="1">A33+1</f>
        <v>2</v>
      </c>
      <c r="B34" s="91" t="s">
        <v>41</v>
      </c>
      <c r="C34" s="91"/>
      <c r="D34" s="91"/>
      <c r="E34" s="91"/>
      <c r="F34" s="91"/>
      <c r="G34" s="91"/>
      <c r="H34" s="23">
        <f t="shared" si="0"/>
        <v>0.23076923076923075</v>
      </c>
      <c r="I34" s="24">
        <f>IF(I9=30%,(I33+I41+I42)*I9,0)</f>
        <v>640.20600000000002</v>
      </c>
    </row>
    <row r="35" spans="1:10" ht="15" customHeight="1" x14ac:dyDescent="0.25">
      <c r="A35" s="14">
        <f t="shared" si="1"/>
        <v>3</v>
      </c>
      <c r="B35" s="91" t="s">
        <v>42</v>
      </c>
      <c r="C35" s="91"/>
      <c r="D35" s="91"/>
      <c r="E35" s="91"/>
      <c r="F35" s="91"/>
      <c r="G35" s="91"/>
      <c r="H35" s="23">
        <f t="shared" si="0"/>
        <v>0</v>
      </c>
      <c r="I35" s="24">
        <f>IF(I7=10%,I25*I7,0)</f>
        <v>0</v>
      </c>
    </row>
    <row r="36" spans="1:10" ht="15" customHeight="1" x14ac:dyDescent="0.25">
      <c r="A36" s="14">
        <f t="shared" si="1"/>
        <v>4</v>
      </c>
      <c r="B36" s="91" t="s">
        <v>43</v>
      </c>
      <c r="C36" s="91"/>
      <c r="D36" s="91"/>
      <c r="E36" s="91"/>
      <c r="F36" s="91"/>
      <c r="G36" s="91"/>
      <c r="H36" s="23">
        <f t="shared" si="0"/>
        <v>0</v>
      </c>
      <c r="I36" s="24">
        <f>IF(I7=20%,I25*I7,0)</f>
        <v>0</v>
      </c>
    </row>
    <row r="37" spans="1:10" ht="15" customHeight="1" x14ac:dyDescent="0.25">
      <c r="A37" s="14">
        <f t="shared" si="1"/>
        <v>5</v>
      </c>
      <c r="B37" s="91" t="s">
        <v>44</v>
      </c>
      <c r="C37" s="91"/>
      <c r="D37" s="91"/>
      <c r="E37" s="91"/>
      <c r="F37" s="91"/>
      <c r="G37" s="91"/>
      <c r="H37" s="23">
        <f t="shared" si="0"/>
        <v>0</v>
      </c>
      <c r="I37" s="24">
        <f>IF(I7=40%,I25*I7,0)</f>
        <v>0</v>
      </c>
    </row>
    <row r="38" spans="1:10" ht="15" customHeight="1" x14ac:dyDescent="0.25">
      <c r="A38" s="14">
        <f t="shared" si="1"/>
        <v>6</v>
      </c>
      <c r="B38" s="91" t="s">
        <v>200</v>
      </c>
      <c r="C38" s="91"/>
      <c r="D38" s="91"/>
      <c r="E38" s="91"/>
      <c r="F38" s="91"/>
      <c r="G38" s="91"/>
      <c r="H38" s="23">
        <f t="shared" si="0"/>
        <v>0</v>
      </c>
      <c r="I38" s="24">
        <f>IF(I24="Não aplicável",0,I33*I24)</f>
        <v>0</v>
      </c>
    </row>
    <row r="39" spans="1:10" ht="15" customHeight="1" x14ac:dyDescent="0.25">
      <c r="A39" s="14">
        <f t="shared" si="1"/>
        <v>7</v>
      </c>
      <c r="B39" s="91" t="s">
        <v>45</v>
      </c>
      <c r="C39" s="91"/>
      <c r="D39" s="91"/>
      <c r="E39" s="91"/>
      <c r="F39" s="91"/>
      <c r="G39" s="91"/>
      <c r="H39" s="23">
        <f t="shared" si="0"/>
        <v>0</v>
      </c>
      <c r="I39" s="24">
        <f>IF(I26="Não aplicável",0,(I33+I34+I35+I36+I37+I38+I43)/I5*I26*(1+I27))</f>
        <v>0</v>
      </c>
    </row>
    <row r="40" spans="1:10" ht="23.25" customHeight="1" x14ac:dyDescent="0.25">
      <c r="A40" s="14">
        <f t="shared" si="1"/>
        <v>8</v>
      </c>
      <c r="B40" s="91" t="s">
        <v>46</v>
      </c>
      <c r="C40" s="91"/>
      <c r="D40" s="91"/>
      <c r="E40" s="91"/>
      <c r="F40" s="91"/>
      <c r="G40" s="91"/>
      <c r="H40" s="23">
        <f t="shared" si="0"/>
        <v>0</v>
      </c>
      <c r="I40" s="24">
        <f>IF(I26="Não aplicável",0,I26/I13*5*(I10/H10*(1+I27)))</f>
        <v>0</v>
      </c>
    </row>
    <row r="41" spans="1:10" ht="15" customHeight="1" x14ac:dyDescent="0.25">
      <c r="A41" s="14">
        <f t="shared" si="1"/>
        <v>9</v>
      </c>
      <c r="B41" s="91" t="s">
        <v>47</v>
      </c>
      <c r="C41" s="91"/>
      <c r="D41" s="91"/>
      <c r="E41" s="91"/>
      <c r="F41" s="91"/>
      <c r="G41" s="91"/>
      <c r="H41" s="23">
        <f t="shared" si="0"/>
        <v>8.5969924584370569E-3</v>
      </c>
      <c r="I41" s="24">
        <f>I12*I13</f>
        <v>23.85</v>
      </c>
    </row>
    <row r="42" spans="1:10" ht="15" customHeight="1" x14ac:dyDescent="0.25">
      <c r="A42" s="14">
        <f t="shared" si="1"/>
        <v>10</v>
      </c>
      <c r="B42" s="91" t="s">
        <v>48</v>
      </c>
      <c r="C42" s="91"/>
      <c r="D42" s="91"/>
      <c r="E42" s="91"/>
      <c r="F42" s="91"/>
      <c r="G42" s="91"/>
      <c r="H42" s="23">
        <f t="shared" si="0"/>
        <v>1.7193984916874113E-3</v>
      </c>
      <c r="I42" s="24">
        <f>I41*20%</f>
        <v>4.7700000000000005</v>
      </c>
    </row>
    <row r="43" spans="1:10" ht="15" customHeight="1" x14ac:dyDescent="0.25">
      <c r="A43" s="14">
        <f t="shared" si="1"/>
        <v>11</v>
      </c>
      <c r="B43" s="10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3" s="105"/>
      <c r="D43" s="105"/>
      <c r="E43" s="105"/>
      <c r="F43" s="105"/>
      <c r="G43" s="105"/>
      <c r="H43" s="23">
        <f t="shared" si="0"/>
        <v>0</v>
      </c>
      <c r="I43" s="24">
        <v>0</v>
      </c>
    </row>
    <row r="44" spans="1:10" s="28" customFormat="1" ht="15" customHeight="1" x14ac:dyDescent="0.25">
      <c r="A44" s="106" t="s">
        <v>49</v>
      </c>
      <c r="B44" s="106"/>
      <c r="C44" s="106"/>
      <c r="D44" s="106"/>
      <c r="E44" s="106"/>
      <c r="F44" s="106"/>
      <c r="G44" s="106"/>
      <c r="H44" s="25">
        <f>SUM(H33:H43)</f>
        <v>1</v>
      </c>
      <c r="I44" s="26">
        <f>SUM(I33:I43)</f>
        <v>2774.2260000000001</v>
      </c>
      <c r="J44" s="27"/>
    </row>
    <row r="45" spans="1:10" ht="4.5" customHeight="1" x14ac:dyDescent="0.25"/>
    <row r="46" spans="1:10" ht="33.75" customHeight="1" x14ac:dyDescent="0.25">
      <c r="A46" s="22" t="s">
        <v>50</v>
      </c>
      <c r="B46" s="104" t="s">
        <v>51</v>
      </c>
      <c r="C46" s="104"/>
      <c r="D46" s="104"/>
      <c r="E46" s="104"/>
      <c r="F46" s="104"/>
      <c r="G46" s="104"/>
      <c r="H46" s="22" t="s">
        <v>38</v>
      </c>
      <c r="I46" s="22" t="s">
        <v>39</v>
      </c>
    </row>
    <row r="47" spans="1:10" ht="15" customHeight="1" x14ac:dyDescent="0.25">
      <c r="A47" s="14">
        <v>1</v>
      </c>
      <c r="B47" s="91" t="s">
        <v>52</v>
      </c>
      <c r="C47" s="91"/>
      <c r="D47" s="91"/>
      <c r="E47" s="91"/>
      <c r="F47" s="91"/>
      <c r="G47" s="91"/>
      <c r="H47" s="23">
        <v>0.2</v>
      </c>
      <c r="I47" s="24">
        <f t="shared" ref="I47:I54" si="2">$I$44*H47</f>
        <v>554.84520000000009</v>
      </c>
    </row>
    <row r="48" spans="1:10" ht="15" customHeight="1" x14ac:dyDescent="0.25">
      <c r="A48" s="14">
        <v>2</v>
      </c>
      <c r="B48" s="91" t="s">
        <v>53</v>
      </c>
      <c r="C48" s="91"/>
      <c r="D48" s="91"/>
      <c r="E48" s="91"/>
      <c r="F48" s="91"/>
      <c r="G48" s="91"/>
      <c r="H48" s="23">
        <v>1.4999999999999999E-2</v>
      </c>
      <c r="I48" s="24">
        <f t="shared" si="2"/>
        <v>41.613390000000003</v>
      </c>
    </row>
    <row r="49" spans="1:10" ht="15" customHeight="1" x14ac:dyDescent="0.25">
      <c r="A49" s="14">
        <v>3</v>
      </c>
      <c r="B49" s="91" t="s">
        <v>54</v>
      </c>
      <c r="C49" s="91"/>
      <c r="D49" s="91"/>
      <c r="E49" s="91"/>
      <c r="F49" s="91"/>
      <c r="G49" s="91"/>
      <c r="H49" s="23">
        <v>0.01</v>
      </c>
      <c r="I49" s="24">
        <f t="shared" si="2"/>
        <v>27.742260000000002</v>
      </c>
    </row>
    <row r="50" spans="1:10" ht="15" customHeight="1" x14ac:dyDescent="0.25">
      <c r="A50" s="14">
        <v>4</v>
      </c>
      <c r="B50" s="91" t="s">
        <v>55</v>
      </c>
      <c r="C50" s="91"/>
      <c r="D50" s="91"/>
      <c r="E50" s="91"/>
      <c r="F50" s="91"/>
      <c r="G50" s="91"/>
      <c r="H50" s="23">
        <v>2E-3</v>
      </c>
      <c r="I50" s="24">
        <f t="shared" si="2"/>
        <v>5.5484520000000002</v>
      </c>
    </row>
    <row r="51" spans="1:10" ht="15" customHeight="1" x14ac:dyDescent="0.25">
      <c r="A51" s="14">
        <v>5</v>
      </c>
      <c r="B51" s="91" t="s">
        <v>56</v>
      </c>
      <c r="C51" s="91"/>
      <c r="D51" s="91"/>
      <c r="E51" s="91"/>
      <c r="F51" s="91"/>
      <c r="G51" s="91"/>
      <c r="H51" s="23">
        <v>2.5000000000000001E-2</v>
      </c>
      <c r="I51" s="24">
        <f t="shared" si="2"/>
        <v>69.355650000000011</v>
      </c>
    </row>
    <row r="52" spans="1:10" ht="15" customHeight="1" x14ac:dyDescent="0.25">
      <c r="A52" s="14">
        <v>6</v>
      </c>
      <c r="B52" s="91" t="s">
        <v>57</v>
      </c>
      <c r="C52" s="91"/>
      <c r="D52" s="91"/>
      <c r="E52" s="91"/>
      <c r="F52" s="91"/>
      <c r="G52" s="91"/>
      <c r="H52" s="23">
        <v>0.08</v>
      </c>
      <c r="I52" s="24">
        <f t="shared" si="2"/>
        <v>221.93808000000001</v>
      </c>
    </row>
    <row r="53" spans="1:10" ht="15" customHeight="1" x14ac:dyDescent="0.25">
      <c r="A53" s="14">
        <v>7</v>
      </c>
      <c r="B53" s="91" t="s">
        <v>58</v>
      </c>
      <c r="C53" s="91"/>
      <c r="D53" s="91"/>
      <c r="E53" s="91"/>
      <c r="F53" s="91"/>
      <c r="G53" s="91"/>
      <c r="H53" s="23">
        <v>0.03</v>
      </c>
      <c r="I53" s="24">
        <f t="shared" si="2"/>
        <v>83.226780000000005</v>
      </c>
    </row>
    <row r="54" spans="1:10" ht="15" customHeight="1" x14ac:dyDescent="0.25">
      <c r="A54" s="14">
        <v>8</v>
      </c>
      <c r="B54" s="91" t="s">
        <v>59</v>
      </c>
      <c r="C54" s="91"/>
      <c r="D54" s="91"/>
      <c r="E54" s="91"/>
      <c r="F54" s="91"/>
      <c r="G54" s="91"/>
      <c r="H54" s="23">
        <v>6.0000000000000001E-3</v>
      </c>
      <c r="I54" s="24">
        <f t="shared" si="2"/>
        <v>16.645356</v>
      </c>
    </row>
    <row r="55" spans="1:10" s="28" customFormat="1" ht="15" customHeight="1" x14ac:dyDescent="0.25">
      <c r="A55" s="106" t="s">
        <v>60</v>
      </c>
      <c r="B55" s="106"/>
      <c r="C55" s="106"/>
      <c r="D55" s="106"/>
      <c r="E55" s="106"/>
      <c r="F55" s="106"/>
      <c r="G55" s="106"/>
      <c r="H55" s="25">
        <f>SUM(H47:H54)</f>
        <v>0.3680000000000001</v>
      </c>
      <c r="I55" s="26">
        <f>SUM(I47:I54)</f>
        <v>1020.915168</v>
      </c>
      <c r="J55" s="27"/>
    </row>
    <row r="56" spans="1:10" ht="15" customHeight="1" x14ac:dyDescent="0.25">
      <c r="A56" s="107" t="s">
        <v>61</v>
      </c>
      <c r="B56" s="107"/>
      <c r="C56" s="107"/>
      <c r="D56" s="107"/>
      <c r="E56" s="107"/>
      <c r="F56" s="107"/>
      <c r="G56" s="107"/>
      <c r="H56" s="107"/>
      <c r="I56" s="107"/>
    </row>
    <row r="57" spans="1:10" ht="30.75" customHeight="1" x14ac:dyDescent="0.25">
      <c r="A57" s="108" t="s">
        <v>62</v>
      </c>
      <c r="B57" s="108"/>
      <c r="C57" s="108"/>
      <c r="D57" s="108"/>
      <c r="E57" s="108"/>
      <c r="F57" s="108"/>
      <c r="G57" s="108"/>
      <c r="H57" s="108"/>
      <c r="I57" s="108"/>
    </row>
    <row r="58" spans="1:10" ht="33.75" customHeight="1" x14ac:dyDescent="0.25">
      <c r="A58" s="22" t="s">
        <v>63</v>
      </c>
      <c r="B58" s="104" t="s">
        <v>64</v>
      </c>
      <c r="C58" s="104"/>
      <c r="D58" s="104"/>
      <c r="E58" s="104"/>
      <c r="F58" s="104"/>
      <c r="G58" s="104"/>
      <c r="H58" s="22" t="s">
        <v>38</v>
      </c>
      <c r="I58" s="22" t="s">
        <v>39</v>
      </c>
    </row>
    <row r="59" spans="1:10" ht="15" customHeight="1" x14ac:dyDescent="0.25">
      <c r="A59" s="14">
        <v>1</v>
      </c>
      <c r="B59" s="91" t="s">
        <v>65</v>
      </c>
      <c r="C59" s="91"/>
      <c r="D59" s="91"/>
      <c r="E59" s="91"/>
      <c r="F59" s="91"/>
      <c r="G59" s="91"/>
      <c r="H59" s="23">
        <v>0.119314</v>
      </c>
      <c r="I59" s="24">
        <f t="shared" ref="I59:I66" si="3">$I$44*H59</f>
        <v>331.004000964</v>
      </c>
    </row>
    <row r="60" spans="1:10" ht="15" customHeight="1" x14ac:dyDescent="0.25">
      <c r="A60" s="14">
        <v>2</v>
      </c>
      <c r="B60" s="91" t="s">
        <v>66</v>
      </c>
      <c r="C60" s="91"/>
      <c r="D60" s="91"/>
      <c r="E60" s="91"/>
      <c r="F60" s="91"/>
      <c r="G60" s="91"/>
      <c r="H60" s="23">
        <v>2.0479000000000001E-2</v>
      </c>
      <c r="I60" s="24">
        <f t="shared" si="3"/>
        <v>56.813374254000003</v>
      </c>
    </row>
    <row r="61" spans="1:10" ht="15" customHeight="1" x14ac:dyDescent="0.25">
      <c r="A61" s="14">
        <v>3</v>
      </c>
      <c r="B61" s="91" t="s">
        <v>67</v>
      </c>
      <c r="C61" s="91"/>
      <c r="D61" s="91"/>
      <c r="E61" s="91"/>
      <c r="F61" s="91"/>
      <c r="G61" s="91"/>
      <c r="H61" s="23">
        <v>1.2123E-2</v>
      </c>
      <c r="I61" s="24">
        <f t="shared" si="3"/>
        <v>33.631941798</v>
      </c>
    </row>
    <row r="62" spans="1:10" ht="15" customHeight="1" x14ac:dyDescent="0.25">
      <c r="A62" s="14">
        <v>4</v>
      </c>
      <c r="B62" s="91" t="s">
        <v>68</v>
      </c>
      <c r="C62" s="91"/>
      <c r="D62" s="91"/>
      <c r="E62" s="91"/>
      <c r="F62" s="91"/>
      <c r="G62" s="91"/>
      <c r="H62" s="23">
        <v>1.1436E-2</v>
      </c>
      <c r="I62" s="24">
        <f t="shared" si="3"/>
        <v>31.726048536</v>
      </c>
    </row>
    <row r="63" spans="1:10" ht="15" customHeight="1" x14ac:dyDescent="0.25">
      <c r="A63" s="14">
        <v>5</v>
      </c>
      <c r="B63" s="91" t="s">
        <v>69</v>
      </c>
      <c r="C63" s="91"/>
      <c r="D63" s="91"/>
      <c r="E63" s="91"/>
      <c r="F63" s="91"/>
      <c r="G63" s="91"/>
      <c r="H63" s="23">
        <v>1.74E-4</v>
      </c>
      <c r="I63" s="24">
        <f t="shared" si="3"/>
        <v>0.482715324</v>
      </c>
    </row>
    <row r="64" spans="1:10" ht="15" customHeight="1" x14ac:dyDescent="0.25">
      <c r="A64" s="14">
        <v>6</v>
      </c>
      <c r="B64" s="91" t="s">
        <v>70</v>
      </c>
      <c r="C64" s="91"/>
      <c r="D64" s="91"/>
      <c r="E64" s="91"/>
      <c r="F64" s="91"/>
      <c r="G64" s="91"/>
      <c r="H64" s="23">
        <v>4.4200000000000001E-4</v>
      </c>
      <c r="I64" s="24">
        <f t="shared" si="3"/>
        <v>1.2262078920000001</v>
      </c>
    </row>
    <row r="65" spans="1:11" ht="15" customHeight="1" x14ac:dyDescent="0.25">
      <c r="A65" s="14">
        <v>7</v>
      </c>
      <c r="B65" s="91" t="s">
        <v>71</v>
      </c>
      <c r="C65" s="91"/>
      <c r="D65" s="91"/>
      <c r="E65" s="91"/>
      <c r="F65" s="91"/>
      <c r="G65" s="91"/>
      <c r="H65" s="23">
        <v>1.85E-4</v>
      </c>
      <c r="I65" s="24">
        <f t="shared" si="3"/>
        <v>0.51323181000000007</v>
      </c>
    </row>
    <row r="66" spans="1:11" ht="15" customHeight="1" x14ac:dyDescent="0.25">
      <c r="A66" s="14">
        <v>8</v>
      </c>
      <c r="B66" s="91" t="s">
        <v>72</v>
      </c>
      <c r="C66" s="91"/>
      <c r="D66" s="91"/>
      <c r="E66" s="91"/>
      <c r="F66" s="91"/>
      <c r="G66" s="91"/>
      <c r="H66" s="23">
        <v>9.0789999999999996E-2</v>
      </c>
      <c r="I66" s="24">
        <f t="shared" si="3"/>
        <v>251.87197853999999</v>
      </c>
    </row>
    <row r="67" spans="1:11" s="28" customFormat="1" ht="15" customHeight="1" x14ac:dyDescent="0.25">
      <c r="A67" s="106" t="s">
        <v>73</v>
      </c>
      <c r="B67" s="106"/>
      <c r="C67" s="106"/>
      <c r="D67" s="106"/>
      <c r="E67" s="106"/>
      <c r="F67" s="106"/>
      <c r="G67" s="106"/>
      <c r="H67" s="25">
        <f>SUM(H59:H66)</f>
        <v>0.25494299999999998</v>
      </c>
      <c r="I67" s="26">
        <f>SUM(I59:I66)</f>
        <v>707.269499118</v>
      </c>
      <c r="J67" s="27"/>
    </row>
    <row r="68" spans="1:11" ht="11.25" customHeight="1" x14ac:dyDescent="0.25">
      <c r="A68" s="29" t="s">
        <v>74</v>
      </c>
      <c r="B68" s="109" t="s">
        <v>75</v>
      </c>
      <c r="C68" s="109"/>
      <c r="D68" s="109"/>
      <c r="E68" s="109"/>
      <c r="F68" s="109"/>
      <c r="G68" s="109"/>
      <c r="H68" s="109"/>
      <c r="I68" s="109"/>
    </row>
    <row r="69" spans="1:11" ht="15" customHeight="1" x14ac:dyDescent="0.25">
      <c r="A69" s="29" t="s">
        <v>76</v>
      </c>
      <c r="B69" s="110" t="s">
        <v>77</v>
      </c>
      <c r="C69" s="110"/>
      <c r="D69" s="110"/>
      <c r="E69" s="110"/>
      <c r="F69" s="110"/>
      <c r="G69" s="110"/>
      <c r="H69" s="110"/>
      <c r="I69" s="110"/>
    </row>
    <row r="70" spans="1:11" ht="33.75" customHeight="1" x14ac:dyDescent="0.25">
      <c r="A70" s="22" t="s">
        <v>78</v>
      </c>
      <c r="B70" s="104" t="s">
        <v>79</v>
      </c>
      <c r="C70" s="104"/>
      <c r="D70" s="104"/>
      <c r="E70" s="104"/>
      <c r="F70" s="104"/>
      <c r="G70" s="104"/>
      <c r="H70" s="22" t="s">
        <v>38</v>
      </c>
      <c r="I70" s="22" t="s">
        <v>39</v>
      </c>
    </row>
    <row r="71" spans="1:11" ht="15" customHeight="1" x14ac:dyDescent="0.25">
      <c r="A71" s="14">
        <v>1</v>
      </c>
      <c r="B71" s="91" t="s">
        <v>80</v>
      </c>
      <c r="C71" s="91"/>
      <c r="D71" s="91"/>
      <c r="E71" s="91"/>
      <c r="F71" s="91"/>
      <c r="G71" s="91"/>
      <c r="H71" s="23">
        <v>2.3626999999999999E-2</v>
      </c>
      <c r="I71" s="24">
        <f>$I$44*H71</f>
        <v>65.546637701999998</v>
      </c>
    </row>
    <row r="72" spans="1:11" ht="15" customHeight="1" x14ac:dyDescent="0.25">
      <c r="A72" s="14">
        <v>2</v>
      </c>
      <c r="B72" s="91" t="s">
        <v>81</v>
      </c>
      <c r="C72" s="91"/>
      <c r="D72" s="91"/>
      <c r="E72" s="91"/>
      <c r="F72" s="91"/>
      <c r="G72" s="91"/>
      <c r="H72" s="23">
        <v>1.717E-3</v>
      </c>
      <c r="I72" s="24">
        <f>$I$44*H72</f>
        <v>4.7633460420000002</v>
      </c>
    </row>
    <row r="73" spans="1:11" ht="15" customHeight="1" x14ac:dyDescent="0.25">
      <c r="A73" s="14">
        <v>3</v>
      </c>
      <c r="B73" s="91" t="s">
        <v>82</v>
      </c>
      <c r="C73" s="91"/>
      <c r="D73" s="91"/>
      <c r="E73" s="91"/>
      <c r="F73" s="91"/>
      <c r="G73" s="91"/>
      <c r="H73" s="23">
        <v>9.4509999999999993E-3</v>
      </c>
      <c r="I73" s="24">
        <f>$I$44*H73</f>
        <v>26.219209925999998</v>
      </c>
    </row>
    <row r="74" spans="1:11" s="28" customFormat="1" ht="15" customHeight="1" x14ac:dyDescent="0.25">
      <c r="A74" s="106" t="s">
        <v>83</v>
      </c>
      <c r="B74" s="106"/>
      <c r="C74" s="106"/>
      <c r="D74" s="106"/>
      <c r="E74" s="106"/>
      <c r="F74" s="106"/>
      <c r="G74" s="106"/>
      <c r="H74" s="25">
        <f>SUM(H71:H73)</f>
        <v>3.4795E-2</v>
      </c>
      <c r="I74" s="26">
        <f>SUM(I71:I73)</f>
        <v>96.529193669999984</v>
      </c>
      <c r="J74" s="27"/>
    </row>
    <row r="75" spans="1:11" ht="4.5" customHeight="1" x14ac:dyDescent="0.25"/>
    <row r="76" spans="1:11" ht="33.75" customHeight="1" x14ac:dyDescent="0.25">
      <c r="A76" s="22" t="s">
        <v>84</v>
      </c>
      <c r="B76" s="104" t="s">
        <v>85</v>
      </c>
      <c r="C76" s="104"/>
      <c r="D76" s="104"/>
      <c r="E76" s="104"/>
      <c r="F76" s="104"/>
      <c r="G76" s="104"/>
      <c r="H76" s="22" t="s">
        <v>38</v>
      </c>
      <c r="I76" s="22" t="s">
        <v>39</v>
      </c>
    </row>
    <row r="77" spans="1:11" ht="15" customHeight="1" x14ac:dyDescent="0.25">
      <c r="A77" s="14">
        <v>1</v>
      </c>
      <c r="B77" s="91" t="s">
        <v>86</v>
      </c>
      <c r="C77" s="91"/>
      <c r="D77" s="91"/>
      <c r="E77" s="91"/>
      <c r="F77" s="91"/>
      <c r="G77" s="91"/>
      <c r="H77" s="23">
        <f>(H55*H67)</f>
        <v>9.3819024000000015E-2</v>
      </c>
      <c r="I77" s="24">
        <f>$I$44*H77</f>
        <v>260.27517567542407</v>
      </c>
    </row>
    <row r="78" spans="1:11" s="28" customFormat="1" ht="15" customHeight="1" x14ac:dyDescent="0.25">
      <c r="A78" s="106" t="s">
        <v>87</v>
      </c>
      <c r="B78" s="106"/>
      <c r="C78" s="106"/>
      <c r="D78" s="106"/>
      <c r="E78" s="106"/>
      <c r="F78" s="106"/>
      <c r="G78" s="106"/>
      <c r="H78" s="25">
        <f>SUM(H77:H77)</f>
        <v>9.3819024000000015E-2</v>
      </c>
      <c r="I78" s="26">
        <f>I77</f>
        <v>260.27517567542407</v>
      </c>
      <c r="J78" s="27"/>
      <c r="K78" s="30"/>
    </row>
    <row r="79" spans="1:11" ht="4.5" customHeight="1" x14ac:dyDescent="0.25">
      <c r="J79" s="31"/>
    </row>
    <row r="80" spans="1:11" s="28" customFormat="1" ht="12" customHeight="1" x14ac:dyDescent="0.25">
      <c r="A80" s="111" t="s">
        <v>88</v>
      </c>
      <c r="B80" s="111"/>
      <c r="C80" s="111"/>
      <c r="D80" s="111"/>
      <c r="E80" s="111"/>
      <c r="F80" s="111"/>
      <c r="G80" s="111"/>
      <c r="H80" s="32">
        <f>H55+H67+H74+H78</f>
        <v>0.75155702400000002</v>
      </c>
      <c r="I80" s="33">
        <f>I55+I67+I74+I78</f>
        <v>2084.9890364634243</v>
      </c>
      <c r="J80" s="27"/>
    </row>
    <row r="81" spans="1:10" ht="4.5" customHeight="1" x14ac:dyDescent="0.25"/>
    <row r="82" spans="1:10" ht="33.75" customHeight="1" x14ac:dyDescent="0.25">
      <c r="A82" s="22" t="s">
        <v>89</v>
      </c>
      <c r="B82" s="104" t="s">
        <v>90</v>
      </c>
      <c r="C82" s="104"/>
      <c r="D82" s="104"/>
      <c r="E82" s="104"/>
      <c r="F82" s="104"/>
      <c r="G82" s="104"/>
      <c r="H82" s="22" t="s">
        <v>38</v>
      </c>
      <c r="I82" s="22" t="s">
        <v>39</v>
      </c>
    </row>
    <row r="83" spans="1:10" ht="15" customHeight="1" x14ac:dyDescent="0.25">
      <c r="A83" s="14">
        <v>1</v>
      </c>
      <c r="B83" s="91" t="s">
        <v>23</v>
      </c>
      <c r="C83" s="91"/>
      <c r="D83" s="91"/>
      <c r="E83" s="91"/>
      <c r="F83" s="91"/>
      <c r="G83" s="91"/>
      <c r="H83" s="23">
        <f>I83/$I$44</f>
        <v>0.12976592390093669</v>
      </c>
      <c r="I83" s="24">
        <f>I100</f>
        <v>360</v>
      </c>
    </row>
    <row r="84" spans="1:10" ht="15" customHeight="1" x14ac:dyDescent="0.25">
      <c r="A84" s="14">
        <v>2</v>
      </c>
      <c r="B84" s="91" t="s">
        <v>24</v>
      </c>
      <c r="C84" s="91"/>
      <c r="D84" s="91"/>
      <c r="E84" s="91"/>
      <c r="F84" s="91"/>
      <c r="G84" s="91"/>
      <c r="H84" s="23">
        <f>I84/$I$44</f>
        <v>0</v>
      </c>
      <c r="I84" s="24">
        <f>I96</f>
        <v>0</v>
      </c>
    </row>
    <row r="85" spans="1:10" ht="15" customHeight="1" x14ac:dyDescent="0.25">
      <c r="A85" s="14">
        <v>3</v>
      </c>
      <c r="B85" s="91" t="s">
        <v>91</v>
      </c>
      <c r="C85" s="91"/>
      <c r="D85" s="91"/>
      <c r="E85" s="91"/>
      <c r="F85" s="91"/>
      <c r="G85" s="91"/>
      <c r="H85" s="23">
        <f>I85/$I$44</f>
        <v>8.5342722618849363E-3</v>
      </c>
      <c r="I85" s="24">
        <f>I92</f>
        <v>23.676000000000002</v>
      </c>
    </row>
    <row r="86" spans="1:10" ht="15" customHeight="1" x14ac:dyDescent="0.25">
      <c r="A86" s="14">
        <v>4</v>
      </c>
      <c r="B86" s="91" t="s">
        <v>92</v>
      </c>
      <c r="C86" s="91"/>
      <c r="D86" s="91"/>
      <c r="E86" s="91"/>
      <c r="F86" s="91"/>
      <c r="G86" s="91"/>
      <c r="H86" s="23">
        <f>I86/$I$44</f>
        <v>0</v>
      </c>
      <c r="I86" s="24">
        <f>IF(I28="Não aplicável",0,((I10/H10)*1.5*I28))</f>
        <v>0</v>
      </c>
    </row>
    <row r="87" spans="1:10" ht="15" customHeight="1" x14ac:dyDescent="0.25">
      <c r="A87" s="14">
        <v>5</v>
      </c>
      <c r="B87" s="91" t="s">
        <v>93</v>
      </c>
      <c r="C87" s="91"/>
      <c r="D87" s="91"/>
      <c r="E87" s="91"/>
      <c r="F87" s="91"/>
      <c r="G87" s="91"/>
      <c r="H87" s="23">
        <f>I87/$I$44</f>
        <v>0</v>
      </c>
      <c r="I87" s="24">
        <f>IF(I23="Não aplicável",0,I23)</f>
        <v>0</v>
      </c>
    </row>
    <row r="88" spans="1:10" ht="15" customHeight="1" x14ac:dyDescent="0.25">
      <c r="A88" s="106" t="s">
        <v>94</v>
      </c>
      <c r="B88" s="106"/>
      <c r="C88" s="106"/>
      <c r="D88" s="106"/>
      <c r="E88" s="106"/>
      <c r="F88" s="106"/>
      <c r="G88" s="106"/>
      <c r="H88" s="25">
        <f>SUM(H83:H87)</f>
        <v>0.13830019616282163</v>
      </c>
      <c r="I88" s="26">
        <f>SUM(I83:I87)</f>
        <v>383.67599999999999</v>
      </c>
      <c r="J88" s="34"/>
    </row>
    <row r="89" spans="1:10" ht="18" customHeight="1" x14ac:dyDescent="0.25">
      <c r="A89" s="29" t="s">
        <v>95</v>
      </c>
      <c r="B89" s="107" t="s">
        <v>96</v>
      </c>
      <c r="C89" s="107"/>
      <c r="D89" s="107"/>
      <c r="E89" s="107"/>
      <c r="F89" s="107"/>
      <c r="G89" s="107"/>
      <c r="H89" s="35"/>
      <c r="I89" s="36"/>
    </row>
    <row r="90" spans="1:10" ht="15" customHeight="1" x14ac:dyDescent="0.25">
      <c r="A90" s="112" t="s">
        <v>97</v>
      </c>
      <c r="B90" s="112"/>
      <c r="C90" s="112"/>
      <c r="D90" s="112"/>
      <c r="E90" s="112"/>
      <c r="F90" s="112"/>
      <c r="G90" s="112"/>
      <c r="H90" s="112"/>
      <c r="I90" s="112"/>
    </row>
    <row r="91" spans="1:10" ht="24" customHeight="1" x14ac:dyDescent="0.25">
      <c r="A91" s="100" t="s">
        <v>98</v>
      </c>
      <c r="B91" s="100"/>
      <c r="C91" s="14" t="s">
        <v>99</v>
      </c>
      <c r="D91" s="14" t="s">
        <v>100</v>
      </c>
      <c r="E91" s="14" t="s">
        <v>101</v>
      </c>
      <c r="F91" s="14" t="s">
        <v>102</v>
      </c>
      <c r="G91" s="14" t="s">
        <v>103</v>
      </c>
      <c r="H91" s="23" t="s">
        <v>104</v>
      </c>
      <c r="I91" s="24" t="s">
        <v>105</v>
      </c>
    </row>
    <row r="92" spans="1:10" ht="15" customHeight="1" x14ac:dyDescent="0.25">
      <c r="A92" s="113">
        <f>I14</f>
        <v>5</v>
      </c>
      <c r="B92" s="113"/>
      <c r="C92" s="14">
        <f>I15</f>
        <v>15</v>
      </c>
      <c r="D92" s="14">
        <v>2</v>
      </c>
      <c r="E92" s="37">
        <f>A92*C92*D92</f>
        <v>150</v>
      </c>
      <c r="F92" s="37">
        <f>I33</f>
        <v>2105.4</v>
      </c>
      <c r="G92" s="38">
        <f>I16</f>
        <v>0.06</v>
      </c>
      <c r="H92" s="37">
        <f>F92*G92</f>
        <v>126.324</v>
      </c>
      <c r="I92" s="24">
        <f>IF((E92-H92)&gt;0,E92-H92,0)</f>
        <v>23.676000000000002</v>
      </c>
    </row>
    <row r="93" spans="1:10" ht="3.75" customHeight="1" x14ac:dyDescent="0.25">
      <c r="A93" s="39"/>
      <c r="E93" s="34"/>
      <c r="F93" s="34"/>
      <c r="G93" s="40"/>
      <c r="H93" s="34"/>
      <c r="I93" s="41"/>
    </row>
    <row r="94" spans="1:10" ht="15" customHeight="1" x14ac:dyDescent="0.25">
      <c r="A94" s="112" t="s">
        <v>106</v>
      </c>
      <c r="B94" s="112"/>
      <c r="C94" s="112"/>
      <c r="D94" s="112"/>
      <c r="E94" s="112"/>
      <c r="F94" s="112"/>
      <c r="G94" s="112"/>
      <c r="H94" s="112"/>
      <c r="I94" s="112"/>
    </row>
    <row r="95" spans="1:10" ht="23.25" customHeight="1" x14ac:dyDescent="0.25">
      <c r="A95" s="100" t="s">
        <v>98</v>
      </c>
      <c r="B95" s="100"/>
      <c r="C95" s="14" t="s">
        <v>107</v>
      </c>
      <c r="D95" s="14" t="s">
        <v>100</v>
      </c>
      <c r="E95" s="14" t="s">
        <v>101</v>
      </c>
      <c r="F95" s="14" t="s">
        <v>102</v>
      </c>
      <c r="G95" s="14" t="s">
        <v>103</v>
      </c>
      <c r="H95" s="23" t="s">
        <v>104</v>
      </c>
      <c r="I95" s="24" t="s">
        <v>105</v>
      </c>
    </row>
    <row r="96" spans="1:10" ht="15" customHeight="1" x14ac:dyDescent="0.25">
      <c r="A96" s="114">
        <f>I20</f>
        <v>0</v>
      </c>
      <c r="B96" s="114"/>
      <c r="C96" s="42">
        <f>I21</f>
        <v>0</v>
      </c>
      <c r="D96" s="14">
        <v>1</v>
      </c>
      <c r="E96" s="37">
        <f>A96*C96*D96</f>
        <v>0</v>
      </c>
      <c r="F96" s="37">
        <f>E96</f>
        <v>0</v>
      </c>
      <c r="G96" s="43">
        <f>I22</f>
        <v>0</v>
      </c>
      <c r="H96" s="37">
        <f>F96*G96</f>
        <v>0</v>
      </c>
      <c r="I96" s="24">
        <f>E96-H96</f>
        <v>0</v>
      </c>
    </row>
    <row r="97" spans="1:12" ht="4.5" customHeight="1" x14ac:dyDescent="0.25">
      <c r="A97" s="44"/>
      <c r="B97" s="44"/>
      <c r="C97" s="44"/>
      <c r="D97" s="44"/>
      <c r="E97" s="27"/>
      <c r="F97" s="27"/>
      <c r="G97" s="45"/>
      <c r="H97" s="27"/>
      <c r="I97" s="46"/>
    </row>
    <row r="98" spans="1:12" ht="15" customHeight="1" x14ac:dyDescent="0.25">
      <c r="A98" s="112" t="s">
        <v>108</v>
      </c>
      <c r="B98" s="112"/>
      <c r="C98" s="112"/>
      <c r="D98" s="112"/>
      <c r="E98" s="112"/>
      <c r="F98" s="112"/>
      <c r="G98" s="112"/>
      <c r="H98" s="112"/>
      <c r="I98" s="112"/>
    </row>
    <row r="99" spans="1:12" ht="23.25" customHeight="1" x14ac:dyDescent="0.25">
      <c r="A99" s="100" t="s">
        <v>98</v>
      </c>
      <c r="B99" s="100"/>
      <c r="C99" s="14" t="s">
        <v>107</v>
      </c>
      <c r="D99" s="14" t="s">
        <v>100</v>
      </c>
      <c r="E99" s="14" t="s">
        <v>101</v>
      </c>
      <c r="F99" s="14" t="s">
        <v>102</v>
      </c>
      <c r="G99" s="14" t="s">
        <v>103</v>
      </c>
      <c r="H99" s="23" t="str">
        <f>H91</f>
        <v>Valor desconto</v>
      </c>
      <c r="I99" s="24" t="s">
        <v>105</v>
      </c>
    </row>
    <row r="100" spans="1:12" ht="15" customHeight="1" x14ac:dyDescent="0.25">
      <c r="A100" s="114">
        <f>I17</f>
        <v>30</v>
      </c>
      <c r="B100" s="114"/>
      <c r="C100" s="42">
        <f>I18</f>
        <v>15</v>
      </c>
      <c r="D100" s="14">
        <v>1</v>
      </c>
      <c r="E100" s="37">
        <f>A100*C100*D100</f>
        <v>450</v>
      </c>
      <c r="F100" s="37">
        <f>E100</f>
        <v>450</v>
      </c>
      <c r="G100" s="43">
        <f>I19</f>
        <v>0.2</v>
      </c>
      <c r="H100" s="37">
        <f>F100*G100</f>
        <v>90</v>
      </c>
      <c r="I100" s="24">
        <f>E100-H100</f>
        <v>360</v>
      </c>
    </row>
    <row r="101" spans="1:12" ht="4.5" customHeight="1" x14ac:dyDescent="0.25"/>
    <row r="102" spans="1:12" ht="12" customHeight="1" x14ac:dyDescent="0.25">
      <c r="A102" s="115" t="s">
        <v>109</v>
      </c>
      <c r="B102" s="115"/>
      <c r="C102" s="115"/>
      <c r="D102" s="115"/>
      <c r="E102" s="115"/>
      <c r="F102" s="115"/>
      <c r="G102" s="115"/>
      <c r="H102" s="47">
        <f>H44+H80+H88</f>
        <v>1.8898572201628216</v>
      </c>
      <c r="I102" s="48">
        <f>I44+I80+I88</f>
        <v>5242.8910364634248</v>
      </c>
      <c r="J102" s="34"/>
      <c r="L102" s="34"/>
    </row>
    <row r="103" spans="1:12" s="53" customFormat="1" ht="4.5" customHeight="1" x14ac:dyDescent="0.25">
      <c r="A103" s="49"/>
      <c r="B103" s="49"/>
      <c r="C103" s="49"/>
      <c r="D103" s="49"/>
      <c r="E103" s="49"/>
      <c r="F103" s="49"/>
      <c r="G103" s="49"/>
      <c r="H103" s="50"/>
      <c r="I103" s="51"/>
      <c r="J103" s="52"/>
      <c r="L103" s="52"/>
    </row>
    <row r="104" spans="1:12" ht="11.25" customHeight="1" x14ac:dyDescent="0.25">
      <c r="A104" s="103" t="s">
        <v>110</v>
      </c>
      <c r="B104" s="103"/>
      <c r="C104" s="103"/>
      <c r="D104" s="103"/>
      <c r="E104" s="103"/>
      <c r="F104" s="103"/>
      <c r="G104" s="103"/>
      <c r="H104" s="103"/>
      <c r="I104" s="103"/>
    </row>
    <row r="105" spans="1:12" ht="33.75" customHeight="1" x14ac:dyDescent="0.25">
      <c r="A105" s="22" t="s">
        <v>36</v>
      </c>
      <c r="B105" s="104" t="s">
        <v>111</v>
      </c>
      <c r="C105" s="104"/>
      <c r="D105" s="104"/>
      <c r="E105" s="104"/>
      <c r="F105" s="104"/>
      <c r="G105" s="104"/>
      <c r="H105" s="22" t="s">
        <v>38</v>
      </c>
      <c r="I105" s="22" t="s">
        <v>39</v>
      </c>
    </row>
    <row r="106" spans="1:12" ht="15" customHeight="1" x14ac:dyDescent="0.25">
      <c r="A106" s="14">
        <v>1</v>
      </c>
      <c r="B106" s="91" t="s">
        <v>112</v>
      </c>
      <c r="C106" s="91"/>
      <c r="D106" s="91"/>
      <c r="E106" s="91"/>
      <c r="F106" s="91"/>
      <c r="G106" s="91"/>
      <c r="H106" s="23">
        <f t="shared" ref="H106:H111" si="4">I106/$I$117</f>
        <v>0</v>
      </c>
      <c r="I106" s="24">
        <v>0</v>
      </c>
    </row>
    <row r="107" spans="1:12" ht="15" customHeight="1" x14ac:dyDescent="0.25">
      <c r="A107" s="14">
        <v>2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f>IF(F115=10%,G115,0)</f>
        <v>0</v>
      </c>
    </row>
    <row r="108" spans="1:12" ht="15" customHeight="1" x14ac:dyDescent="0.25">
      <c r="A108" s="14">
        <v>3</v>
      </c>
      <c r="B108" s="91" t="s">
        <v>114</v>
      </c>
      <c r="C108" s="91"/>
      <c r="D108" s="91"/>
      <c r="E108" s="91"/>
      <c r="F108" s="91"/>
      <c r="G108" s="91"/>
      <c r="H108" s="23">
        <f t="shared" si="4"/>
        <v>0</v>
      </c>
      <c r="I108" s="24">
        <v>0</v>
      </c>
    </row>
    <row r="109" spans="1:12" ht="15" customHeight="1" x14ac:dyDescent="0.25">
      <c r="A109" s="14">
        <v>4</v>
      </c>
      <c r="B109" s="95" t="s">
        <v>115</v>
      </c>
      <c r="C109" s="95"/>
      <c r="D109" s="95"/>
      <c r="E109" s="95"/>
      <c r="F109" s="95"/>
      <c r="G109" s="95"/>
      <c r="H109" s="23">
        <f t="shared" si="4"/>
        <v>0</v>
      </c>
      <c r="I109" s="24">
        <v>0</v>
      </c>
    </row>
    <row r="110" spans="1:12" ht="15" customHeight="1" x14ac:dyDescent="0.25">
      <c r="A110" s="14">
        <v>5</v>
      </c>
      <c r="B110" s="91" t="s">
        <v>116</v>
      </c>
      <c r="C110" s="91"/>
      <c r="D110" s="91"/>
      <c r="E110" s="91"/>
      <c r="F110" s="91"/>
      <c r="G110" s="91"/>
      <c r="H110" s="23">
        <f t="shared" si="4"/>
        <v>0</v>
      </c>
      <c r="I110" s="24">
        <v>0</v>
      </c>
    </row>
    <row r="111" spans="1:12" ht="15" customHeight="1" x14ac:dyDescent="0.25">
      <c r="A111" s="14">
        <v>6</v>
      </c>
      <c r="B111" s="91" t="s">
        <v>117</v>
      </c>
      <c r="C111" s="91"/>
      <c r="D111" s="91"/>
      <c r="E111" s="91"/>
      <c r="F111" s="91"/>
      <c r="G111" s="91"/>
      <c r="H111" s="23">
        <f t="shared" si="4"/>
        <v>0</v>
      </c>
      <c r="I111" s="24">
        <v>0</v>
      </c>
    </row>
    <row r="112" spans="1:12" ht="15" customHeight="1" x14ac:dyDescent="0.25">
      <c r="A112" s="106" t="s">
        <v>118</v>
      </c>
      <c r="B112" s="106"/>
      <c r="C112" s="106"/>
      <c r="D112" s="106"/>
      <c r="E112" s="106"/>
      <c r="F112" s="106"/>
      <c r="G112" s="106"/>
      <c r="H112" s="25">
        <f>H106+H107+H108+H109+H110+H111</f>
        <v>0</v>
      </c>
      <c r="I112" s="54">
        <f>SUM(I106:I111)</f>
        <v>0</v>
      </c>
      <c r="J112" s="34"/>
    </row>
    <row r="113" spans="1:12" ht="30" customHeight="1" x14ac:dyDescent="0.25">
      <c r="B113" s="109" t="s">
        <v>119</v>
      </c>
      <c r="C113" s="109"/>
      <c r="D113" s="109"/>
      <c r="E113" s="109"/>
      <c r="F113" s="109"/>
      <c r="G113" s="109"/>
      <c r="H113" s="109"/>
      <c r="I113" s="109"/>
    </row>
    <row r="114" spans="1:12" ht="5.25" customHeight="1" x14ac:dyDescent="0.25"/>
    <row r="115" spans="1:12" ht="48.75" customHeight="1" x14ac:dyDescent="0.25">
      <c r="A115" s="116" t="s">
        <v>120</v>
      </c>
      <c r="B115" s="116"/>
      <c r="C115" s="116"/>
      <c r="D115" s="116"/>
      <c r="E115" s="116"/>
      <c r="F115" s="55">
        <f>I29</f>
        <v>0.2</v>
      </c>
      <c r="G115" s="56">
        <f>I117*F115</f>
        <v>1043.8430072926847</v>
      </c>
      <c r="H115" s="57" t="s">
        <v>121</v>
      </c>
      <c r="I115" s="58">
        <f>I85</f>
        <v>23.676000000000002</v>
      </c>
    </row>
    <row r="116" spans="1:12" s="61" customFormat="1" ht="16.5" customHeight="1" x14ac:dyDescent="0.25">
      <c r="A116" s="117" t="s">
        <v>122</v>
      </c>
      <c r="B116" s="117"/>
      <c r="C116" s="57" t="s">
        <v>123</v>
      </c>
      <c r="D116" s="57" t="s">
        <v>124</v>
      </c>
      <c r="E116" s="57" t="s">
        <v>125</v>
      </c>
      <c r="F116" s="57" t="s">
        <v>126</v>
      </c>
      <c r="G116" s="57" t="s">
        <v>127</v>
      </c>
      <c r="H116" s="57" t="s">
        <v>128</v>
      </c>
      <c r="I116" s="59" t="s">
        <v>129</v>
      </c>
      <c r="J116" s="60"/>
    </row>
    <row r="117" spans="1:12" ht="16.5" customHeight="1" x14ac:dyDescent="0.25">
      <c r="A117" s="118">
        <f>I44</f>
        <v>2774.2260000000001</v>
      </c>
      <c r="B117" s="118"/>
      <c r="C117" s="62">
        <f>I55</f>
        <v>1020.915168</v>
      </c>
      <c r="D117" s="62">
        <f>I67</f>
        <v>707.269499118</v>
      </c>
      <c r="E117" s="62">
        <f>I74</f>
        <v>96.529193669999984</v>
      </c>
      <c r="F117" s="62">
        <f>I78</f>
        <v>260.27517567542407</v>
      </c>
      <c r="G117" s="62">
        <f>I88</f>
        <v>383.67599999999999</v>
      </c>
      <c r="H117" s="62">
        <f>A117+C117+D117+E117+F117+G117</f>
        <v>5242.8910364634239</v>
      </c>
      <c r="I117" s="62">
        <f>H117-I115</f>
        <v>5219.2150364634235</v>
      </c>
      <c r="J117" s="34"/>
    </row>
    <row r="118" spans="1:12" ht="4.5" customHeight="1" x14ac:dyDescent="0.25">
      <c r="A118" s="29"/>
      <c r="B118" s="119"/>
      <c r="C118" s="119"/>
      <c r="D118" s="119"/>
      <c r="E118" s="119"/>
      <c r="F118" s="119"/>
      <c r="G118" s="119"/>
      <c r="H118" s="119"/>
      <c r="I118" s="119"/>
    </row>
    <row r="119" spans="1:12" ht="33.75" customHeight="1" x14ac:dyDescent="0.25">
      <c r="A119" s="22" t="s">
        <v>50</v>
      </c>
      <c r="B119" s="104" t="s">
        <v>130</v>
      </c>
      <c r="C119" s="104"/>
      <c r="D119" s="104"/>
      <c r="E119" s="104"/>
      <c r="F119" s="104"/>
      <c r="G119" s="104"/>
      <c r="H119" s="22" t="s">
        <v>38</v>
      </c>
      <c r="I119" s="22" t="s">
        <v>39</v>
      </c>
    </row>
    <row r="120" spans="1:12" ht="15" customHeight="1" x14ac:dyDescent="0.25">
      <c r="A120" s="14">
        <v>1</v>
      </c>
      <c r="B120" s="91" t="s">
        <v>131</v>
      </c>
      <c r="C120" s="91"/>
      <c r="D120" s="91"/>
      <c r="E120" s="91"/>
      <c r="F120" s="91"/>
      <c r="G120" s="91"/>
      <c r="H120" s="23">
        <f>I120/$I$130</f>
        <v>0</v>
      </c>
      <c r="I120" s="24">
        <v>0</v>
      </c>
    </row>
    <row r="121" spans="1:12" ht="15" customHeight="1" x14ac:dyDescent="0.25">
      <c r="A121" s="14">
        <v>2</v>
      </c>
      <c r="B121" s="91" t="s">
        <v>132</v>
      </c>
      <c r="C121" s="91"/>
      <c r="D121" s="91"/>
      <c r="E121" s="91"/>
      <c r="F121" s="91"/>
      <c r="G121" s="91"/>
      <c r="H121" s="23">
        <f>I121/$I$130</f>
        <v>0</v>
      </c>
      <c r="I121" s="24">
        <v>0</v>
      </c>
    </row>
    <row r="122" spans="1:12" ht="34.5" customHeight="1" x14ac:dyDescent="0.25">
      <c r="A122" s="106" t="s">
        <v>205</v>
      </c>
      <c r="B122" s="106"/>
      <c r="C122" s="106"/>
      <c r="D122" s="106"/>
      <c r="E122" s="106"/>
      <c r="F122" s="106"/>
      <c r="G122" s="106"/>
      <c r="H122" s="25">
        <f>H120+H121</f>
        <v>0</v>
      </c>
      <c r="I122" s="26">
        <f>SUM(I120:I121)</f>
        <v>0</v>
      </c>
    </row>
    <row r="123" spans="1:12" ht="4.5" customHeight="1" x14ac:dyDescent="0.25"/>
    <row r="124" spans="1:12" ht="33.75" customHeight="1" x14ac:dyDescent="0.25">
      <c r="A124" s="22" t="s">
        <v>63</v>
      </c>
      <c r="B124" s="104" t="s">
        <v>133</v>
      </c>
      <c r="C124" s="104"/>
      <c r="D124" s="104"/>
      <c r="E124" s="104"/>
      <c r="F124" s="104"/>
      <c r="G124" s="104"/>
      <c r="H124" s="22" t="s">
        <v>38</v>
      </c>
      <c r="I124" s="22" t="s">
        <v>39</v>
      </c>
    </row>
    <row r="125" spans="1:12" ht="15" customHeight="1" x14ac:dyDescent="0.25">
      <c r="A125" s="14">
        <v>1</v>
      </c>
      <c r="B125" s="91" t="s">
        <v>133</v>
      </c>
      <c r="C125" s="91"/>
      <c r="D125" s="91"/>
      <c r="E125" s="91"/>
      <c r="F125" s="91"/>
      <c r="G125" s="91"/>
      <c r="H125" s="23">
        <f>I125/I130</f>
        <v>0</v>
      </c>
      <c r="I125" s="24">
        <v>0</v>
      </c>
    </row>
    <row r="126" spans="1:12" ht="35.1" customHeight="1" x14ac:dyDescent="0.25">
      <c r="A126" s="106" t="s">
        <v>204</v>
      </c>
      <c r="B126" s="106"/>
      <c r="C126" s="106"/>
      <c r="D126" s="106"/>
      <c r="E126" s="106"/>
      <c r="F126" s="106"/>
      <c r="G126" s="106"/>
      <c r="H126" s="25">
        <f>H125</f>
        <v>0</v>
      </c>
      <c r="I126" s="26">
        <f>I125</f>
        <v>0</v>
      </c>
      <c r="J126" s="34"/>
      <c r="K126" s="34"/>
      <c r="L126" s="2"/>
    </row>
    <row r="127" spans="1:12" ht="4.5" customHeight="1" x14ac:dyDescent="0.25">
      <c r="A127" s="28"/>
      <c r="B127" s="28"/>
      <c r="C127" s="28"/>
      <c r="D127" s="28"/>
      <c r="E127" s="28"/>
      <c r="F127" s="28"/>
      <c r="G127" s="28"/>
      <c r="H127" s="35"/>
      <c r="I127" s="36"/>
    </row>
    <row r="128" spans="1:12" ht="39" customHeight="1" x14ac:dyDescent="0.25">
      <c r="A128" s="120" t="s">
        <v>134</v>
      </c>
      <c r="B128" s="120"/>
      <c r="C128" s="120"/>
      <c r="D128" s="120"/>
      <c r="E128" s="120"/>
      <c r="F128" s="55">
        <v>0.18</v>
      </c>
      <c r="G128" s="56">
        <f>I130*F128</f>
        <v>939.45870656341617</v>
      </c>
      <c r="H128" s="57" t="s">
        <v>121</v>
      </c>
      <c r="I128" s="58">
        <f>I85</f>
        <v>23.676000000000002</v>
      </c>
      <c r="L128" s="2"/>
    </row>
    <row r="129" spans="1:12" s="61" customFormat="1" ht="16.5" customHeight="1" x14ac:dyDescent="0.25">
      <c r="A129" s="117" t="s">
        <v>122</v>
      </c>
      <c r="B129" s="117"/>
      <c r="C129" s="57" t="s">
        <v>123</v>
      </c>
      <c r="D129" s="57" t="s">
        <v>124</v>
      </c>
      <c r="E129" s="57" t="s">
        <v>125</v>
      </c>
      <c r="F129" s="57" t="s">
        <v>126</v>
      </c>
      <c r="G129" s="57" t="s">
        <v>127</v>
      </c>
      <c r="H129" s="57" t="s">
        <v>128</v>
      </c>
      <c r="I129" s="59" t="s">
        <v>129</v>
      </c>
      <c r="J129" s="60"/>
      <c r="L129" s="60"/>
    </row>
    <row r="130" spans="1:12" ht="16.5" customHeight="1" x14ac:dyDescent="0.25">
      <c r="A130" s="118">
        <f>I44</f>
        <v>2774.2260000000001</v>
      </c>
      <c r="B130" s="118"/>
      <c r="C130" s="62">
        <f>I55</f>
        <v>1020.915168</v>
      </c>
      <c r="D130" s="62">
        <f>I67</f>
        <v>707.269499118</v>
      </c>
      <c r="E130" s="62">
        <f>I74</f>
        <v>96.529193669999984</v>
      </c>
      <c r="F130" s="62">
        <f>I78</f>
        <v>260.27517567542407</v>
      </c>
      <c r="G130" s="62">
        <f>I88</f>
        <v>383.67599999999999</v>
      </c>
      <c r="H130" s="62">
        <f>A130+C130+D130+E130+F130+G130</f>
        <v>5242.8910364634239</v>
      </c>
      <c r="I130" s="62">
        <f>H130-I128</f>
        <v>5219.2150364634235</v>
      </c>
      <c r="J130" s="34"/>
      <c r="L130" s="2"/>
    </row>
    <row r="131" spans="1:12" ht="4.5" customHeight="1" x14ac:dyDescent="0.25"/>
    <row r="132" spans="1:12" ht="12" customHeight="1" x14ac:dyDescent="0.25">
      <c r="A132" s="115" t="s">
        <v>135</v>
      </c>
      <c r="B132" s="115"/>
      <c r="C132" s="115"/>
      <c r="D132" s="115"/>
      <c r="E132" s="115"/>
      <c r="F132" s="115"/>
      <c r="G132" s="115"/>
      <c r="H132" s="47">
        <f>H112+H122+H126</f>
        <v>0</v>
      </c>
      <c r="I132" s="48">
        <f>I112+I122+I126</f>
        <v>0</v>
      </c>
    </row>
    <row r="133" spans="1:12" ht="4.5" customHeight="1" x14ac:dyDescent="0.25"/>
    <row r="134" spans="1:12" ht="11.25" customHeight="1" x14ac:dyDescent="0.25">
      <c r="A134" s="103" t="s">
        <v>136</v>
      </c>
      <c r="B134" s="103"/>
      <c r="C134" s="103"/>
      <c r="D134" s="103"/>
      <c r="E134" s="103"/>
      <c r="F134" s="103"/>
      <c r="G134" s="103"/>
      <c r="H134" s="103"/>
      <c r="I134" s="103"/>
    </row>
    <row r="135" spans="1:12" ht="33.75" customHeight="1" x14ac:dyDescent="0.25">
      <c r="A135" s="22" t="s">
        <v>36</v>
      </c>
      <c r="B135" s="104" t="s">
        <v>137</v>
      </c>
      <c r="C135" s="104"/>
      <c r="D135" s="104"/>
      <c r="E135" s="104"/>
      <c r="F135" s="104"/>
      <c r="G135" s="104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91" t="s">
        <v>138</v>
      </c>
      <c r="C136" s="91"/>
      <c r="D136" s="91"/>
      <c r="E136" s="91"/>
      <c r="F136" s="91"/>
      <c r="G136" s="91"/>
      <c r="H136" s="23">
        <f>I136/$I$102</f>
        <v>6.9259456579648373E-3</v>
      </c>
      <c r="I136" s="24">
        <f>($D$146/$E$148)*H146</f>
        <v>36.311978409176625</v>
      </c>
    </row>
    <row r="137" spans="1:12" ht="15" customHeight="1" x14ac:dyDescent="0.25">
      <c r="A137" s="14">
        <v>2</v>
      </c>
      <c r="B137" s="91" t="s">
        <v>139</v>
      </c>
      <c r="C137" s="91"/>
      <c r="D137" s="91"/>
      <c r="E137" s="91"/>
      <c r="F137" s="91"/>
      <c r="G137" s="91"/>
      <c r="H137" s="23">
        <f>I137/$I$102</f>
        <v>3.1965903036760786E-2</v>
      </c>
      <c r="I137" s="24">
        <f>($D$146/$E$148)*H147</f>
        <v>167.59374650389211</v>
      </c>
    </row>
    <row r="138" spans="1:12" ht="15" customHeight="1" x14ac:dyDescent="0.25">
      <c r="A138" s="14">
        <v>3</v>
      </c>
      <c r="B138" s="91" t="s">
        <v>14</v>
      </c>
      <c r="C138" s="91"/>
      <c r="D138" s="91"/>
      <c r="E138" s="91"/>
      <c r="F138" s="91"/>
      <c r="G138" s="91"/>
      <c r="H138" s="23">
        <f>I138/$I$102</f>
        <v>2.6638252530633989E-2</v>
      </c>
      <c r="I138" s="24">
        <f>($D$146/$E$148)*H148</f>
        <v>139.66145541991008</v>
      </c>
    </row>
    <row r="139" spans="1:12" ht="15" customHeight="1" x14ac:dyDescent="0.25">
      <c r="A139" s="14">
        <v>4</v>
      </c>
      <c r="B139" s="91" t="s">
        <v>140</v>
      </c>
      <c r="C139" s="91"/>
      <c r="D139" s="91"/>
      <c r="E139" s="91"/>
      <c r="F139" s="91"/>
      <c r="G139" s="91"/>
      <c r="H139" s="23">
        <f>I139/$I$102</f>
        <v>0</v>
      </c>
      <c r="I139" s="24">
        <f>($D$146/$E$148)*H149</f>
        <v>0</v>
      </c>
    </row>
    <row r="140" spans="1:12" ht="15" customHeight="1" x14ac:dyDescent="0.25">
      <c r="A140" s="14">
        <v>5</v>
      </c>
      <c r="B140" s="91" t="s">
        <v>141</v>
      </c>
      <c r="C140" s="91"/>
      <c r="D140" s="91"/>
      <c r="E140" s="91"/>
      <c r="F140" s="91"/>
      <c r="G140" s="91"/>
      <c r="H140" s="23">
        <f>I140/$I$102</f>
        <v>0</v>
      </c>
      <c r="I140" s="24">
        <f>($D$146/$E$148)*H150</f>
        <v>0</v>
      </c>
    </row>
    <row r="141" spans="1:12" ht="15" customHeight="1" x14ac:dyDescent="0.25">
      <c r="A141" s="106" t="s">
        <v>142</v>
      </c>
      <c r="B141" s="106"/>
      <c r="C141" s="106"/>
      <c r="D141" s="106"/>
      <c r="E141" s="106"/>
      <c r="F141" s="106"/>
      <c r="G141" s="106"/>
      <c r="H141" s="25">
        <f>H136+H137+H138+H139+H140</f>
        <v>6.5530101225359613E-2</v>
      </c>
      <c r="I141" s="26">
        <f>SUM(I136:I140)</f>
        <v>343.56718033297881</v>
      </c>
    </row>
    <row r="142" spans="1:12" ht="11.25" customHeight="1" x14ac:dyDescent="0.25">
      <c r="A142" s="29" t="s">
        <v>143</v>
      </c>
      <c r="B142" s="109" t="s">
        <v>144</v>
      </c>
      <c r="C142" s="109"/>
      <c r="D142" s="109"/>
      <c r="E142" s="109"/>
      <c r="F142" s="109"/>
      <c r="G142" s="109"/>
      <c r="H142" s="109"/>
      <c r="I142" s="109"/>
    </row>
    <row r="143" spans="1:12" ht="20.25" customHeight="1" x14ac:dyDescent="0.25">
      <c r="A143" s="29" t="s">
        <v>145</v>
      </c>
      <c r="B143" s="121" t="s">
        <v>146</v>
      </c>
      <c r="C143" s="121"/>
      <c r="D143" s="121"/>
      <c r="E143" s="121"/>
      <c r="F143" s="121"/>
      <c r="G143" s="121"/>
      <c r="H143" s="121"/>
      <c r="I143" s="121"/>
    </row>
    <row r="144" spans="1:12" ht="13.5" customHeight="1" x14ac:dyDescent="0.25">
      <c r="A144" s="112" t="s">
        <v>147</v>
      </c>
      <c r="B144" s="112"/>
      <c r="C144" s="112"/>
      <c r="D144" s="112"/>
      <c r="E144" s="112"/>
      <c r="F144" s="112"/>
      <c r="G144" s="112"/>
      <c r="H144" s="112"/>
      <c r="I144" s="112"/>
    </row>
    <row r="145" spans="1:10" ht="13.5" customHeight="1" x14ac:dyDescent="0.25">
      <c r="A145" s="88" t="s">
        <v>148</v>
      </c>
      <c r="B145" s="88"/>
      <c r="C145" s="3" t="s">
        <v>149</v>
      </c>
      <c r="D145" s="122" t="s">
        <v>150</v>
      </c>
      <c r="E145" s="122"/>
      <c r="F145" s="3" t="s">
        <v>151</v>
      </c>
      <c r="G145" s="3" t="s">
        <v>152</v>
      </c>
      <c r="H145" s="123" t="s">
        <v>153</v>
      </c>
      <c r="I145" s="123"/>
    </row>
    <row r="146" spans="1:10" ht="13.5" customHeight="1" x14ac:dyDescent="0.25">
      <c r="A146" s="124">
        <f>I102</f>
        <v>5242.8910364634248</v>
      </c>
      <c r="B146" s="124"/>
      <c r="C146" s="24">
        <f>I132</f>
        <v>0</v>
      </c>
      <c r="D146" s="125">
        <f>A146+C146</f>
        <v>5242.8910364634248</v>
      </c>
      <c r="E146" s="125"/>
      <c r="F146" s="14" t="s">
        <v>138</v>
      </c>
      <c r="G146" s="43">
        <v>1.6500000000000001E-2</v>
      </c>
      <c r="H146" s="126">
        <v>6.4999999999999997E-3</v>
      </c>
      <c r="I146" s="126"/>
      <c r="J146" s="34"/>
    </row>
    <row r="147" spans="1:10" ht="13.5" customHeight="1" x14ac:dyDescent="0.25">
      <c r="A147" s="91" t="s">
        <v>154</v>
      </c>
      <c r="B147" s="91"/>
      <c r="C147" s="14">
        <v>1</v>
      </c>
      <c r="D147" s="63">
        <f>G151/1</f>
        <v>0.11749999999999999</v>
      </c>
      <c r="E147" s="64">
        <f>C147-D147</f>
        <v>0.88250000000000006</v>
      </c>
      <c r="F147" s="14" t="s">
        <v>139</v>
      </c>
      <c r="G147" s="43">
        <v>7.5999999999999998E-2</v>
      </c>
      <c r="H147" s="126">
        <v>0.03</v>
      </c>
      <c r="I147" s="126"/>
    </row>
    <row r="148" spans="1:10" ht="13.5" customHeight="1" x14ac:dyDescent="0.25">
      <c r="A148" s="127" t="s">
        <v>155</v>
      </c>
      <c r="B148" s="127"/>
      <c r="C148" s="14">
        <v>1</v>
      </c>
      <c r="D148" s="63">
        <f>H151</f>
        <v>6.1499999999999999E-2</v>
      </c>
      <c r="E148" s="65">
        <f>C148-D148</f>
        <v>0.9385</v>
      </c>
      <c r="F148" s="14" t="s">
        <v>14</v>
      </c>
      <c r="G148" s="43">
        <f>I11</f>
        <v>2.5000000000000001E-2</v>
      </c>
      <c r="H148" s="126">
        <f>I11</f>
        <v>2.5000000000000001E-2</v>
      </c>
      <c r="I148" s="126"/>
    </row>
    <row r="149" spans="1:10" ht="13.5" customHeight="1" x14ac:dyDescent="0.25">
      <c r="A149" s="127" t="s">
        <v>156</v>
      </c>
      <c r="B149" s="127"/>
      <c r="C149" s="14">
        <v>1</v>
      </c>
      <c r="D149" s="66">
        <v>0.09</v>
      </c>
      <c r="E149" s="67">
        <f>C149-D149</f>
        <v>0.91</v>
      </c>
      <c r="F149" s="14" t="s">
        <v>157</v>
      </c>
      <c r="G149" s="43">
        <v>0</v>
      </c>
      <c r="H149" s="126">
        <v>0</v>
      </c>
      <c r="I149" s="126"/>
    </row>
    <row r="150" spans="1:10" ht="13.5" customHeight="1" x14ac:dyDescent="0.25">
      <c r="A150" s="128" t="s">
        <v>158</v>
      </c>
      <c r="B150" s="128" t="s">
        <v>159</v>
      </c>
      <c r="C150" s="128"/>
      <c r="D150" s="128"/>
      <c r="E150" s="128"/>
      <c r="F150" s="12" t="s">
        <v>160</v>
      </c>
      <c r="G150" s="43">
        <v>0</v>
      </c>
      <c r="H150" s="126">
        <v>0</v>
      </c>
      <c r="I150" s="126"/>
    </row>
    <row r="151" spans="1:10" ht="18" customHeight="1" x14ac:dyDescent="0.25">
      <c r="A151" s="128"/>
      <c r="B151" s="128"/>
      <c r="C151" s="128"/>
      <c r="D151" s="128"/>
      <c r="E151" s="128"/>
      <c r="F151" s="3" t="s">
        <v>161</v>
      </c>
      <c r="G151" s="68">
        <f>SUM(G146:G150)</f>
        <v>0.11749999999999999</v>
      </c>
      <c r="H151" s="129">
        <f>SUM(H146:I150)</f>
        <v>6.1499999999999999E-2</v>
      </c>
      <c r="I151" s="129"/>
    </row>
    <row r="152" spans="1:10" ht="48.75" customHeight="1" x14ac:dyDescent="0.25">
      <c r="A152" s="130" t="s">
        <v>162</v>
      </c>
      <c r="B152" s="130"/>
      <c r="C152" s="130"/>
      <c r="D152" s="130"/>
      <c r="E152" s="130"/>
      <c r="F152" s="130"/>
      <c r="G152" s="130"/>
      <c r="H152" s="130"/>
      <c r="I152" s="130"/>
    </row>
    <row r="153" spans="1:10" ht="12" customHeight="1" x14ac:dyDescent="0.25">
      <c r="A153" s="29" t="s">
        <v>163</v>
      </c>
      <c r="B153" s="121" t="s">
        <v>164</v>
      </c>
      <c r="C153" s="121"/>
      <c r="D153" s="121"/>
      <c r="E153" s="121"/>
      <c r="F153" s="121"/>
      <c r="G153" s="121"/>
      <c r="H153" s="121"/>
      <c r="I153" s="121"/>
    </row>
    <row r="154" spans="1:10" ht="4.5" customHeight="1" x14ac:dyDescent="0.25">
      <c r="A154" s="69"/>
      <c r="B154" s="131"/>
      <c r="C154" s="131"/>
      <c r="D154" s="131"/>
      <c r="E154" s="131"/>
      <c r="F154" s="131"/>
      <c r="G154" s="131"/>
      <c r="H154" s="131"/>
      <c r="I154" s="131"/>
    </row>
    <row r="155" spans="1:10" ht="12" customHeight="1" x14ac:dyDescent="0.25">
      <c r="A155" s="115" t="s">
        <v>165</v>
      </c>
      <c r="B155" s="115"/>
      <c r="C155" s="115"/>
      <c r="D155" s="115"/>
      <c r="E155" s="115"/>
      <c r="F155" s="115"/>
      <c r="G155" s="115"/>
      <c r="H155" s="47">
        <f>H141</f>
        <v>6.5530101225359613E-2</v>
      </c>
      <c r="I155" s="48">
        <f>I141</f>
        <v>343.56718033297881</v>
      </c>
    </row>
    <row r="156" spans="1:10" ht="4.5" customHeight="1" x14ac:dyDescent="0.25"/>
    <row r="157" spans="1:10" ht="11.25" customHeight="1" x14ac:dyDescent="0.25">
      <c r="A157" s="132" t="s">
        <v>166</v>
      </c>
      <c r="B157" s="132"/>
      <c r="C157" s="132"/>
      <c r="D157" s="132"/>
      <c r="E157" s="132"/>
      <c r="F157" s="132"/>
      <c r="G157" s="132"/>
      <c r="H157" s="132"/>
      <c r="I157" s="132"/>
    </row>
    <row r="158" spans="1:10" ht="11.25" customHeight="1" x14ac:dyDescent="0.25">
      <c r="A158" s="103" t="s">
        <v>35</v>
      </c>
      <c r="B158" s="103"/>
      <c r="C158" s="103"/>
      <c r="D158" s="103"/>
      <c r="E158" s="103"/>
      <c r="F158" s="103"/>
      <c r="G158" s="103"/>
      <c r="H158" s="103"/>
      <c r="I158" s="103"/>
    </row>
    <row r="159" spans="1:10" ht="15" customHeight="1" x14ac:dyDescent="0.25">
      <c r="A159" s="14">
        <v>1</v>
      </c>
      <c r="B159" s="91" t="s">
        <v>167</v>
      </c>
      <c r="C159" s="91"/>
      <c r="D159" s="91"/>
      <c r="E159" s="91"/>
      <c r="F159" s="91"/>
      <c r="G159" s="91"/>
      <c r="H159" s="23">
        <f>I159/$G$176</f>
        <v>0.49659836202818697</v>
      </c>
      <c r="I159" s="70">
        <f>I44</f>
        <v>2774.2260000000001</v>
      </c>
    </row>
    <row r="160" spans="1:10" ht="15" customHeight="1" x14ac:dyDescent="0.25">
      <c r="A160" s="14">
        <v>2</v>
      </c>
      <c r="B160" s="91" t="s">
        <v>168</v>
      </c>
      <c r="C160" s="91"/>
      <c r="D160" s="91"/>
      <c r="E160" s="91"/>
      <c r="F160" s="91"/>
      <c r="G160" s="91"/>
      <c r="H160" s="23">
        <f>I160/$G$176</f>
        <v>0.37322198708917881</v>
      </c>
      <c r="I160" s="70">
        <f>I55+I67+I74+I78</f>
        <v>2084.9890364634243</v>
      </c>
    </row>
    <row r="161" spans="1:11" ht="15" customHeight="1" x14ac:dyDescent="0.25">
      <c r="A161" s="14">
        <v>3</v>
      </c>
      <c r="B161" s="91" t="s">
        <v>169</v>
      </c>
      <c r="C161" s="91"/>
      <c r="D161" s="91"/>
      <c r="E161" s="91"/>
      <c r="F161" s="91"/>
      <c r="G161" s="91"/>
      <c r="H161" s="23">
        <f>I161/$G$176</f>
        <v>6.8679650882634169E-2</v>
      </c>
      <c r="I161" s="70">
        <f>I88</f>
        <v>383.67599999999999</v>
      </c>
    </row>
    <row r="162" spans="1:11" s="28" customFormat="1" ht="15" customHeight="1" x14ac:dyDescent="0.25">
      <c r="A162" s="115" t="s">
        <v>170</v>
      </c>
      <c r="B162" s="115"/>
      <c r="C162" s="115"/>
      <c r="D162" s="115"/>
      <c r="E162" s="115"/>
      <c r="F162" s="115"/>
      <c r="G162" s="115"/>
      <c r="H162" s="47">
        <f>H159+H160+H161</f>
        <v>0.93849999999999989</v>
      </c>
      <c r="I162" s="48">
        <f>SUM(I159:I161)</f>
        <v>5242.8910364634248</v>
      </c>
      <c r="J162" s="35"/>
    </row>
    <row r="163" spans="1:11" ht="4.5" customHeight="1" x14ac:dyDescent="0.25"/>
    <row r="164" spans="1:11" ht="11.25" customHeight="1" x14ac:dyDescent="0.25">
      <c r="A164" s="103" t="s">
        <v>110</v>
      </c>
      <c r="B164" s="103"/>
      <c r="C164" s="103"/>
      <c r="D164" s="103"/>
      <c r="E164" s="103"/>
      <c r="F164" s="103"/>
      <c r="G164" s="103"/>
      <c r="H164" s="103"/>
      <c r="I164" s="103"/>
    </row>
    <row r="165" spans="1:11" ht="15" customHeight="1" x14ac:dyDescent="0.25">
      <c r="A165" s="14">
        <v>1</v>
      </c>
      <c r="B165" s="91" t="s">
        <v>171</v>
      </c>
      <c r="C165" s="91"/>
      <c r="D165" s="91"/>
      <c r="E165" s="91"/>
      <c r="F165" s="91"/>
      <c r="G165" s="91"/>
      <c r="H165" s="23">
        <f>I165/$G$176</f>
        <v>0</v>
      </c>
      <c r="I165" s="24">
        <f>I112</f>
        <v>0</v>
      </c>
    </row>
    <row r="166" spans="1:11" ht="15" customHeight="1" x14ac:dyDescent="0.25">
      <c r="A166" s="14">
        <v>2</v>
      </c>
      <c r="B166" s="91" t="s">
        <v>172</v>
      </c>
      <c r="C166" s="91"/>
      <c r="D166" s="91"/>
      <c r="E166" s="91"/>
      <c r="F166" s="91"/>
      <c r="G166" s="91"/>
      <c r="H166" s="23">
        <f>I166/$G$176</f>
        <v>0</v>
      </c>
      <c r="I166" s="24">
        <f>I122</f>
        <v>0</v>
      </c>
    </row>
    <row r="167" spans="1:11" ht="15" customHeight="1" x14ac:dyDescent="0.25">
      <c r="A167" s="14">
        <v>3</v>
      </c>
      <c r="B167" s="91" t="s">
        <v>173</v>
      </c>
      <c r="C167" s="91"/>
      <c r="D167" s="91"/>
      <c r="E167" s="91"/>
      <c r="F167" s="91"/>
      <c r="G167" s="91"/>
      <c r="H167" s="23">
        <f>I167/$G$176</f>
        <v>0</v>
      </c>
      <c r="I167" s="24">
        <f>I126</f>
        <v>0</v>
      </c>
    </row>
    <row r="168" spans="1:11" ht="15" customHeight="1" x14ac:dyDescent="0.25">
      <c r="A168" s="115" t="s">
        <v>174</v>
      </c>
      <c r="B168" s="115"/>
      <c r="C168" s="115"/>
      <c r="D168" s="115"/>
      <c r="E168" s="115"/>
      <c r="F168" s="115"/>
      <c r="G168" s="115"/>
      <c r="H168" s="47">
        <f>H165+H166+H167</f>
        <v>0</v>
      </c>
      <c r="I168" s="48">
        <f>I165+I166+I167</f>
        <v>0</v>
      </c>
    </row>
    <row r="169" spans="1:11" ht="4.5" customHeight="1" x14ac:dyDescent="0.25"/>
    <row r="170" spans="1:11" ht="11.25" customHeight="1" x14ac:dyDescent="0.25">
      <c r="A170" s="103" t="s">
        <v>136</v>
      </c>
      <c r="B170" s="103"/>
      <c r="C170" s="103"/>
      <c r="D170" s="103"/>
      <c r="E170" s="103"/>
      <c r="F170" s="103"/>
      <c r="G170" s="103"/>
      <c r="H170" s="103"/>
      <c r="I170" s="103"/>
    </row>
    <row r="171" spans="1:11" ht="15" customHeight="1" x14ac:dyDescent="0.25">
      <c r="A171" s="14">
        <v>1</v>
      </c>
      <c r="B171" s="91" t="s">
        <v>175</v>
      </c>
      <c r="C171" s="91"/>
      <c r="D171" s="91"/>
      <c r="E171" s="91"/>
      <c r="F171" s="91"/>
      <c r="G171" s="91"/>
      <c r="H171" s="23">
        <f>I171/$G$176</f>
        <v>6.1499999999999999E-2</v>
      </c>
      <c r="I171" s="24">
        <f>I141</f>
        <v>343.56718033297881</v>
      </c>
    </row>
    <row r="172" spans="1:11" ht="15" customHeight="1" x14ac:dyDescent="0.25">
      <c r="A172" s="115" t="s">
        <v>176</v>
      </c>
      <c r="B172" s="115"/>
      <c r="C172" s="115"/>
      <c r="D172" s="115"/>
      <c r="E172" s="115"/>
      <c r="F172" s="115"/>
      <c r="G172" s="115"/>
      <c r="H172" s="47">
        <f>H171</f>
        <v>6.1499999999999999E-2</v>
      </c>
      <c r="I172" s="48">
        <f>I141</f>
        <v>343.56718033297881</v>
      </c>
      <c r="K172" s="41"/>
    </row>
    <row r="173" spans="1:11" ht="4.5" customHeight="1" x14ac:dyDescent="0.25"/>
    <row r="174" spans="1:11" ht="11.25" customHeight="1" x14ac:dyDescent="0.25">
      <c r="A174" s="133" t="s">
        <v>166</v>
      </c>
      <c r="B174" s="133"/>
      <c r="C174" s="133"/>
      <c r="D174" s="133"/>
      <c r="E174" s="133"/>
      <c r="F174" s="133"/>
      <c r="G174" s="133"/>
      <c r="H174" s="133"/>
      <c r="I174" s="133"/>
    </row>
    <row r="175" spans="1:11" ht="45" customHeight="1" x14ac:dyDescent="0.25">
      <c r="A175" s="134" t="s">
        <v>177</v>
      </c>
      <c r="B175" s="134"/>
      <c r="C175" s="134"/>
      <c r="D175" s="134"/>
      <c r="E175" s="134"/>
      <c r="F175" s="134"/>
      <c r="G175" s="71" t="s">
        <v>178</v>
      </c>
      <c r="H175" s="71" t="s">
        <v>179</v>
      </c>
      <c r="I175" s="71" t="s">
        <v>180</v>
      </c>
    </row>
    <row r="176" spans="1:11" ht="11.25" customHeight="1" x14ac:dyDescent="0.25">
      <c r="A176" s="135" t="str">
        <f>D5</f>
        <v>Vigilante Armado Diurno</v>
      </c>
      <c r="B176" s="135"/>
      <c r="C176" s="135"/>
      <c r="D176" s="135"/>
      <c r="E176" s="135"/>
      <c r="F176" s="135"/>
      <c r="G176" s="72">
        <f>I162+I168+I172</f>
        <v>5586.4582167964036</v>
      </c>
      <c r="H176" s="71">
        <f>IF(D6="12x36",2,1)</f>
        <v>2</v>
      </c>
      <c r="I176" s="72">
        <f>G176*H176</f>
        <v>11172.916433592807</v>
      </c>
    </row>
    <row r="177" spans="1:10" x14ac:dyDescent="0.25">
      <c r="A177" s="135"/>
      <c r="B177" s="135"/>
      <c r="C177" s="135"/>
      <c r="D177" s="135"/>
      <c r="E177" s="135"/>
      <c r="F177" s="135"/>
      <c r="G177" s="71"/>
      <c r="H177" s="71"/>
      <c r="I177" s="72"/>
    </row>
    <row r="178" spans="1:10" s="28" customFormat="1" ht="12" customHeight="1" x14ac:dyDescent="0.25">
      <c r="A178" s="136" t="s">
        <v>181</v>
      </c>
      <c r="B178" s="136"/>
      <c r="C178" s="136"/>
      <c r="D178" s="136"/>
      <c r="E178" s="136"/>
      <c r="F178" s="136"/>
      <c r="G178" s="136"/>
      <c r="H178" s="136"/>
      <c r="I178" s="73">
        <f>I176</f>
        <v>11172.916433592807</v>
      </c>
      <c r="J178" s="35"/>
    </row>
  </sheetData>
  <mergeCells count="176">
    <mergeCell ref="A168:G168"/>
    <mergeCell ref="A170:I170"/>
    <mergeCell ref="B171:G171"/>
    <mergeCell ref="A172:G172"/>
    <mergeCell ref="A174:I174"/>
    <mergeCell ref="A175:F175"/>
    <mergeCell ref="A176:F176"/>
    <mergeCell ref="A177:F177"/>
    <mergeCell ref="A178:H178"/>
    <mergeCell ref="A158:I158"/>
    <mergeCell ref="B159:G159"/>
    <mergeCell ref="B160:G160"/>
    <mergeCell ref="B161:G161"/>
    <mergeCell ref="A162:G162"/>
    <mergeCell ref="A164:I164"/>
    <mergeCell ref="B165:G165"/>
    <mergeCell ref="B166:G166"/>
    <mergeCell ref="B167:G167"/>
    <mergeCell ref="A150:A151"/>
    <mergeCell ref="B150:E151"/>
    <mergeCell ref="H150:I150"/>
    <mergeCell ref="H151:I151"/>
    <mergeCell ref="A152:I152"/>
    <mergeCell ref="B153:I153"/>
    <mergeCell ref="B154:I154"/>
    <mergeCell ref="A155:G155"/>
    <mergeCell ref="A157:I157"/>
    <mergeCell ref="A146:B146"/>
    <mergeCell ref="D146:E146"/>
    <mergeCell ref="H146:I146"/>
    <mergeCell ref="A147:B147"/>
    <mergeCell ref="H147:I147"/>
    <mergeCell ref="A148:B148"/>
    <mergeCell ref="H148:I148"/>
    <mergeCell ref="A149:B149"/>
    <mergeCell ref="H149:I149"/>
    <mergeCell ref="B137:G137"/>
    <mergeCell ref="B138:G138"/>
    <mergeCell ref="B139:G139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B125:G125"/>
    <mergeCell ref="A126:G126"/>
    <mergeCell ref="A128:E128"/>
    <mergeCell ref="A129:B129"/>
    <mergeCell ref="A130:B130"/>
    <mergeCell ref="A132:G132"/>
    <mergeCell ref="A134:I134"/>
    <mergeCell ref="B135:G135"/>
    <mergeCell ref="B136:G136"/>
    <mergeCell ref="A115:E115"/>
    <mergeCell ref="A116:B116"/>
    <mergeCell ref="A117:B117"/>
    <mergeCell ref="B118:I118"/>
    <mergeCell ref="B119:G119"/>
    <mergeCell ref="B120:G120"/>
    <mergeCell ref="B121:G121"/>
    <mergeCell ref="A122:G122"/>
    <mergeCell ref="B124:G124"/>
    <mergeCell ref="B105:G105"/>
    <mergeCell ref="B106:G106"/>
    <mergeCell ref="B107:G107"/>
    <mergeCell ref="B108:G108"/>
    <mergeCell ref="B109:G109"/>
    <mergeCell ref="B110:G110"/>
    <mergeCell ref="B111:G111"/>
    <mergeCell ref="A112:G112"/>
    <mergeCell ref="B113:I113"/>
    <mergeCell ref="A92:B92"/>
    <mergeCell ref="A94:I94"/>
    <mergeCell ref="A95:B95"/>
    <mergeCell ref="A96:B96"/>
    <mergeCell ref="A98:I98"/>
    <mergeCell ref="A99:B99"/>
    <mergeCell ref="A100:B100"/>
    <mergeCell ref="A102:G102"/>
    <mergeCell ref="A104:I104"/>
    <mergeCell ref="B83:G83"/>
    <mergeCell ref="B84:G84"/>
    <mergeCell ref="B85:G85"/>
    <mergeCell ref="B86:G86"/>
    <mergeCell ref="B87:G87"/>
    <mergeCell ref="A88:G88"/>
    <mergeCell ref="B89:G89"/>
    <mergeCell ref="A90:I90"/>
    <mergeCell ref="A91:B91"/>
    <mergeCell ref="B71:G71"/>
    <mergeCell ref="B72:G72"/>
    <mergeCell ref="B73:G73"/>
    <mergeCell ref="A74:G74"/>
    <mergeCell ref="B76:G76"/>
    <mergeCell ref="B77:G77"/>
    <mergeCell ref="A78:G78"/>
    <mergeCell ref="A80:G80"/>
    <mergeCell ref="B82:G82"/>
    <mergeCell ref="B62:G62"/>
    <mergeCell ref="B63:G63"/>
    <mergeCell ref="B64:G64"/>
    <mergeCell ref="B65:G65"/>
    <mergeCell ref="B66:G66"/>
    <mergeCell ref="A67:G67"/>
    <mergeCell ref="B68:I68"/>
    <mergeCell ref="B69:I69"/>
    <mergeCell ref="B70:G70"/>
    <mergeCell ref="B53:G53"/>
    <mergeCell ref="B54:G54"/>
    <mergeCell ref="A55:G55"/>
    <mergeCell ref="A56:I56"/>
    <mergeCell ref="A57:I57"/>
    <mergeCell ref="B58:G58"/>
    <mergeCell ref="B59:G59"/>
    <mergeCell ref="B60:G60"/>
    <mergeCell ref="B61:G61"/>
    <mergeCell ref="B43:G43"/>
    <mergeCell ref="A44:G44"/>
    <mergeCell ref="B46:G46"/>
    <mergeCell ref="B47:G47"/>
    <mergeCell ref="B48:G48"/>
    <mergeCell ref="B49:G49"/>
    <mergeCell ref="B50:G50"/>
    <mergeCell ref="B51:G51"/>
    <mergeCell ref="B52:G52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A23:F23"/>
    <mergeCell ref="A24:F24"/>
    <mergeCell ref="A25:F25"/>
    <mergeCell ref="A26:F27"/>
    <mergeCell ref="A28:F28"/>
    <mergeCell ref="A29:F29"/>
    <mergeCell ref="A31:I31"/>
    <mergeCell ref="B32:G32"/>
    <mergeCell ref="B33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9"/>
  <sheetViews>
    <sheetView view="pageBreakPreview" topLeftCell="A170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88" t="s">
        <v>0</v>
      </c>
      <c r="B1" s="88"/>
      <c r="C1" s="88"/>
      <c r="D1" s="88"/>
      <c r="E1" s="88"/>
      <c r="F1" s="88"/>
      <c r="G1" s="88"/>
      <c r="H1" s="88"/>
      <c r="I1" s="88"/>
      <c r="K1" s="4"/>
    </row>
    <row r="2" spans="1:11" ht="22.5" customHeight="1" x14ac:dyDescent="0.25">
      <c r="A2" s="88" t="s">
        <v>1</v>
      </c>
      <c r="B2" s="88"/>
      <c r="C2" s="89" t="s">
        <v>210</v>
      </c>
      <c r="D2" s="89"/>
      <c r="E2" s="90" t="s">
        <v>2</v>
      </c>
      <c r="F2" s="90"/>
      <c r="G2" s="90"/>
      <c r="H2" s="90"/>
      <c r="I2" s="90"/>
    </row>
    <row r="3" spans="1:11" ht="11.25" customHeight="1" x14ac:dyDescent="0.25">
      <c r="A3" s="88" t="s">
        <v>3</v>
      </c>
      <c r="B3" s="8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5" t="s">
        <v>5</v>
      </c>
      <c r="B5" s="95"/>
      <c r="C5" s="95"/>
      <c r="D5" s="92" t="s">
        <v>212</v>
      </c>
      <c r="E5" s="92"/>
      <c r="F5" s="92"/>
      <c r="G5" s="93" t="str">
        <f>IF(D6="12x36","Regime de trabalho:","Quantidade de HORAS/MÊS")</f>
        <v>Regime de trabalho:</v>
      </c>
      <c r="H5" s="93"/>
      <c r="I5" s="94" t="str">
        <f>IF(D6="12x36",D6,5*D6)</f>
        <v>12x36</v>
      </c>
    </row>
    <row r="6" spans="1:11" ht="18.75" customHeight="1" x14ac:dyDescent="0.25">
      <c r="A6" s="95" t="str">
        <f>IF(D6="12x36","Regime de trabalho:","Regime de trabalho (horas semanais):")</f>
        <v>Regime de trabalho:</v>
      </c>
      <c r="B6" s="95"/>
      <c r="C6" s="95"/>
      <c r="D6" s="95" t="s">
        <v>215</v>
      </c>
      <c r="E6" s="95"/>
      <c r="F6" s="95"/>
      <c r="G6" s="93"/>
      <c r="H6" s="93"/>
      <c r="I6" s="94"/>
    </row>
    <row r="7" spans="1:11" ht="22.5" customHeight="1" x14ac:dyDescent="0.25">
      <c r="A7" s="95" t="s">
        <v>6</v>
      </c>
      <c r="B7" s="95"/>
      <c r="C7" s="95"/>
      <c r="D7" s="91" t="s">
        <v>217</v>
      </c>
      <c r="E7" s="91"/>
      <c r="F7" s="91"/>
      <c r="G7" s="96" t="s">
        <v>7</v>
      </c>
      <c r="H7" s="96"/>
      <c r="I7" s="97" t="s">
        <v>8</v>
      </c>
    </row>
    <row r="8" spans="1:11" ht="22.5" customHeight="1" x14ac:dyDescent="0.25">
      <c r="A8" s="95" t="s">
        <v>9</v>
      </c>
      <c r="B8" s="95"/>
      <c r="C8" s="95"/>
      <c r="D8" s="91" t="s">
        <v>16</v>
      </c>
      <c r="E8" s="91"/>
      <c r="F8" s="91"/>
      <c r="G8" s="96"/>
      <c r="H8" s="96"/>
      <c r="I8" s="97"/>
    </row>
    <row r="9" spans="1:11" ht="24.75" customHeight="1" x14ac:dyDescent="0.25">
      <c r="A9" s="95" t="s">
        <v>10</v>
      </c>
      <c r="B9" s="95"/>
      <c r="C9" s="95"/>
      <c r="D9" s="95" t="s">
        <v>213</v>
      </c>
      <c r="E9" s="95"/>
      <c r="F9" s="95"/>
      <c r="G9" s="96" t="s">
        <v>11</v>
      </c>
      <c r="H9" s="96"/>
      <c r="I9" s="9">
        <v>0.3</v>
      </c>
    </row>
    <row r="10" spans="1:11" ht="32.25" customHeight="1" x14ac:dyDescent="0.25">
      <c r="A10" s="98" t="s">
        <v>12</v>
      </c>
      <c r="B10" s="98"/>
      <c r="C10" s="98"/>
      <c r="D10" s="98"/>
      <c r="E10" s="98"/>
      <c r="F10" s="98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99" t="s">
        <v>14</v>
      </c>
      <c r="B11" s="99"/>
      <c r="C11" s="99"/>
      <c r="D11" s="99"/>
      <c r="E11" s="99"/>
      <c r="F11" s="99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00" t="s">
        <v>218</v>
      </c>
      <c r="B12" s="100"/>
      <c r="C12" s="100"/>
      <c r="D12" s="100"/>
      <c r="E12" s="100"/>
      <c r="F12" s="100"/>
      <c r="G12" s="10" t="s">
        <v>16</v>
      </c>
      <c r="H12" s="10" t="s">
        <v>17</v>
      </c>
      <c r="I12" s="11">
        <v>1.59</v>
      </c>
    </row>
    <row r="13" spans="1:11" ht="16.5" customHeight="1" x14ac:dyDescent="0.25">
      <c r="A13" s="100" t="s">
        <v>18</v>
      </c>
      <c r="B13" s="100"/>
      <c r="C13" s="100"/>
      <c r="D13" s="100"/>
      <c r="E13" s="100"/>
      <c r="F13" s="100"/>
      <c r="G13" s="10"/>
      <c r="H13" s="10"/>
      <c r="I13" s="15">
        <v>15</v>
      </c>
    </row>
    <row r="14" spans="1:11" ht="15" customHeight="1" x14ac:dyDescent="0.25">
      <c r="A14" s="99" t="s">
        <v>19</v>
      </c>
      <c r="B14" s="99"/>
      <c r="C14" s="99"/>
      <c r="D14" s="99"/>
      <c r="E14" s="99"/>
      <c r="F14" s="99"/>
      <c r="G14" s="101" t="s">
        <v>16</v>
      </c>
      <c r="H14" s="10" t="s">
        <v>20</v>
      </c>
      <c r="I14" s="11">
        <v>5</v>
      </c>
    </row>
    <row r="15" spans="1:11" x14ac:dyDescent="0.25">
      <c r="A15" s="99"/>
      <c r="B15" s="99"/>
      <c r="C15" s="99"/>
      <c r="D15" s="99"/>
      <c r="E15" s="99"/>
      <c r="F15" s="99"/>
      <c r="G15" s="101"/>
      <c r="H15" s="10" t="s">
        <v>21</v>
      </c>
      <c r="I15" s="15">
        <f>I13</f>
        <v>15</v>
      </c>
    </row>
    <row r="16" spans="1:11" x14ac:dyDescent="0.25">
      <c r="A16" s="99"/>
      <c r="B16" s="99"/>
      <c r="C16" s="99"/>
      <c r="D16" s="99"/>
      <c r="E16" s="99"/>
      <c r="F16" s="99"/>
      <c r="G16" s="101"/>
      <c r="H16" s="10" t="s">
        <v>22</v>
      </c>
      <c r="I16" s="9">
        <v>0.06</v>
      </c>
    </row>
    <row r="17" spans="1:10" ht="11.25" customHeight="1" x14ac:dyDescent="0.25">
      <c r="A17" s="99" t="s">
        <v>182</v>
      </c>
      <c r="B17" s="99"/>
      <c r="C17" s="99"/>
      <c r="D17" s="99"/>
      <c r="E17" s="99"/>
      <c r="F17" s="99"/>
      <c r="G17" s="101" t="s">
        <v>16</v>
      </c>
      <c r="H17" s="10" t="s">
        <v>20</v>
      </c>
      <c r="I17" s="11">
        <v>30</v>
      </c>
    </row>
    <row r="18" spans="1:10" ht="11.25" customHeight="1" x14ac:dyDescent="0.25">
      <c r="A18" s="99"/>
      <c r="B18" s="99"/>
      <c r="C18" s="99"/>
      <c r="D18" s="99"/>
      <c r="E18" s="99"/>
      <c r="F18" s="99"/>
      <c r="G18" s="101"/>
      <c r="H18" s="10" t="s">
        <v>21</v>
      </c>
      <c r="I18" s="15">
        <v>15</v>
      </c>
    </row>
    <row r="19" spans="1:10" x14ac:dyDescent="0.25">
      <c r="A19" s="99"/>
      <c r="B19" s="99"/>
      <c r="C19" s="99"/>
      <c r="D19" s="99"/>
      <c r="E19" s="99"/>
      <c r="F19" s="99"/>
      <c r="G19" s="101"/>
      <c r="H19" s="10" t="s">
        <v>22</v>
      </c>
      <c r="I19" s="9">
        <v>0.2</v>
      </c>
    </row>
    <row r="20" spans="1:10" ht="11.25" customHeight="1" x14ac:dyDescent="0.25">
      <c r="A20" s="99" t="s">
        <v>24</v>
      </c>
      <c r="B20" s="99"/>
      <c r="C20" s="99"/>
      <c r="D20" s="99"/>
      <c r="E20" s="99"/>
      <c r="F20" s="99"/>
      <c r="G20" s="101" t="s">
        <v>16</v>
      </c>
      <c r="H20" s="10" t="s">
        <v>20</v>
      </c>
      <c r="I20" s="11">
        <v>0</v>
      </c>
    </row>
    <row r="21" spans="1:10" x14ac:dyDescent="0.25">
      <c r="A21" s="99"/>
      <c r="B21" s="99"/>
      <c r="C21" s="99"/>
      <c r="D21" s="99"/>
      <c r="E21" s="99"/>
      <c r="F21" s="99"/>
      <c r="G21" s="101"/>
      <c r="H21" s="10" t="s">
        <v>21</v>
      </c>
      <c r="I21" s="15">
        <v>0</v>
      </c>
    </row>
    <row r="22" spans="1:10" x14ac:dyDescent="0.25">
      <c r="A22" s="99"/>
      <c r="B22" s="99"/>
      <c r="C22" s="99"/>
      <c r="D22" s="99"/>
      <c r="E22" s="99"/>
      <c r="F22" s="99"/>
      <c r="G22" s="101"/>
      <c r="H22" s="10" t="s">
        <v>22</v>
      </c>
      <c r="I22" s="9">
        <v>0</v>
      </c>
    </row>
    <row r="23" spans="1:10" ht="36" customHeight="1" x14ac:dyDescent="0.25">
      <c r="A23" s="102" t="s">
        <v>25</v>
      </c>
      <c r="B23" s="102"/>
      <c r="C23" s="102"/>
      <c r="D23" s="102"/>
      <c r="E23" s="102"/>
      <c r="F23" s="102"/>
      <c r="G23" s="16" t="s">
        <v>16</v>
      </c>
      <c r="H23" s="16" t="s">
        <v>26</v>
      </c>
      <c r="I23" s="17" t="s">
        <v>8</v>
      </c>
    </row>
    <row r="24" spans="1:10" ht="22.5" customHeight="1" x14ac:dyDescent="0.25">
      <c r="A24" s="100" t="s">
        <v>27</v>
      </c>
      <c r="B24" s="100"/>
      <c r="C24" s="100"/>
      <c r="D24" s="100"/>
      <c r="E24" s="100"/>
      <c r="F24" s="100"/>
      <c r="G24" s="16"/>
      <c r="H24" s="16" t="s">
        <v>28</v>
      </c>
      <c r="I24" s="18" t="s">
        <v>8</v>
      </c>
    </row>
    <row r="25" spans="1:10" ht="36" customHeight="1" x14ac:dyDescent="0.25">
      <c r="A25" s="100" t="s">
        <v>29</v>
      </c>
      <c r="B25" s="100"/>
      <c r="C25" s="100"/>
      <c r="D25" s="100"/>
      <c r="E25" s="100"/>
      <c r="F25" s="100"/>
      <c r="G25" s="10"/>
      <c r="H25" s="10" t="s">
        <v>17</v>
      </c>
      <c r="I25" s="11" t="s">
        <v>8</v>
      </c>
    </row>
    <row r="26" spans="1:10" ht="15" customHeight="1" x14ac:dyDescent="0.25">
      <c r="A26" s="100" t="s">
        <v>30</v>
      </c>
      <c r="B26" s="100"/>
      <c r="C26" s="100"/>
      <c r="D26" s="100"/>
      <c r="E26" s="100"/>
      <c r="F26" s="100"/>
      <c r="G26" s="16"/>
      <c r="H26" s="19" t="s">
        <v>31</v>
      </c>
      <c r="I26" s="20" t="s">
        <v>8</v>
      </c>
    </row>
    <row r="27" spans="1:10" ht="15" customHeight="1" x14ac:dyDescent="0.25">
      <c r="A27" s="100"/>
      <c r="B27" s="100"/>
      <c r="C27" s="100"/>
      <c r="D27" s="100"/>
      <c r="E27" s="100"/>
      <c r="F27" s="100"/>
      <c r="G27" s="16"/>
      <c r="H27" s="21" t="s">
        <v>32</v>
      </c>
      <c r="I27" s="9" t="s">
        <v>8</v>
      </c>
    </row>
    <row r="28" spans="1:10" ht="26.25" customHeight="1" x14ac:dyDescent="0.25">
      <c r="A28" s="100" t="s">
        <v>33</v>
      </c>
      <c r="B28" s="100"/>
      <c r="C28" s="100"/>
      <c r="D28" s="100"/>
      <c r="E28" s="100"/>
      <c r="F28" s="100"/>
      <c r="G28" s="16"/>
      <c r="H28" s="10" t="s">
        <v>31</v>
      </c>
      <c r="I28" s="20" t="s">
        <v>8</v>
      </c>
    </row>
    <row r="29" spans="1:10" ht="36.75" customHeight="1" x14ac:dyDescent="0.25">
      <c r="A29" s="100" t="s">
        <v>34</v>
      </c>
      <c r="B29" s="100"/>
      <c r="C29" s="100"/>
      <c r="D29" s="100"/>
      <c r="E29" s="100"/>
      <c r="F29" s="100"/>
      <c r="G29" s="10"/>
      <c r="H29" s="8" t="s">
        <v>28</v>
      </c>
      <c r="I29" s="9">
        <v>0.2</v>
      </c>
    </row>
    <row r="30" spans="1:10" ht="24.75" customHeight="1" x14ac:dyDescent="0.25">
      <c r="A30" s="88" t="s">
        <v>183</v>
      </c>
      <c r="B30" s="88"/>
      <c r="C30" s="88"/>
      <c r="D30" s="88"/>
      <c r="E30" s="88"/>
      <c r="F30" s="88"/>
      <c r="G30" s="101" t="s">
        <v>16</v>
      </c>
      <c r="H30" s="16" t="s">
        <v>184</v>
      </c>
      <c r="I30" s="74">
        <f>((60/52.5)*7)*15</f>
        <v>120</v>
      </c>
    </row>
    <row r="31" spans="1:10" ht="24.75" customHeight="1" x14ac:dyDescent="0.25">
      <c r="A31" s="88"/>
      <c r="B31" s="88"/>
      <c r="C31" s="88"/>
      <c r="D31" s="88"/>
      <c r="E31" s="88"/>
      <c r="F31" s="88"/>
      <c r="G31" s="101"/>
      <c r="H31" s="16" t="s">
        <v>185</v>
      </c>
      <c r="I31" s="16">
        <f>I10/H10*20%</f>
        <v>1.9140000000000001</v>
      </c>
    </row>
    <row r="32" spans="1:10" ht="29.25" customHeight="1" x14ac:dyDescent="0.25">
      <c r="A32" s="122" t="s">
        <v>186</v>
      </c>
      <c r="B32" s="122"/>
      <c r="C32" s="122"/>
      <c r="D32" s="122"/>
      <c r="E32" s="122"/>
      <c r="F32" s="122"/>
      <c r="G32" s="101" t="s">
        <v>16</v>
      </c>
      <c r="H32" s="10" t="s">
        <v>184</v>
      </c>
      <c r="I32" s="20">
        <f>((5+7+1)*15)-190.67</f>
        <v>4.3300000000000125</v>
      </c>
      <c r="J32" s="75"/>
    </row>
    <row r="33" spans="1:10" ht="30.75" customHeight="1" x14ac:dyDescent="0.25">
      <c r="A33" s="122"/>
      <c r="B33" s="122"/>
      <c r="C33" s="122"/>
      <c r="D33" s="122"/>
      <c r="E33" s="122"/>
      <c r="F33" s="122"/>
      <c r="G33" s="101"/>
      <c r="H33" s="10" t="s">
        <v>185</v>
      </c>
      <c r="I33" s="76">
        <f>(I10/H10)*1.5</f>
        <v>14.355</v>
      </c>
    </row>
    <row r="34" spans="1:10" ht="4.5" customHeight="1" x14ac:dyDescent="0.25"/>
    <row r="35" spans="1:10" ht="17.25" customHeight="1" x14ac:dyDescent="0.25">
      <c r="A35" s="103" t="s">
        <v>35</v>
      </c>
      <c r="B35" s="103"/>
      <c r="C35" s="103"/>
      <c r="D35" s="103"/>
      <c r="E35" s="103"/>
      <c r="F35" s="103"/>
      <c r="G35" s="103"/>
      <c r="H35" s="103"/>
      <c r="I35" s="103"/>
    </row>
    <row r="36" spans="1:10" ht="33.75" customHeight="1" x14ac:dyDescent="0.25">
      <c r="A36" s="22" t="s">
        <v>36</v>
      </c>
      <c r="B36" s="104" t="s">
        <v>37</v>
      </c>
      <c r="C36" s="104"/>
      <c r="D36" s="104"/>
      <c r="E36" s="104"/>
      <c r="F36" s="104"/>
      <c r="G36" s="104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91" t="s">
        <v>40</v>
      </c>
      <c r="C37" s="91"/>
      <c r="D37" s="91"/>
      <c r="E37" s="91"/>
      <c r="F37" s="91"/>
      <c r="G37" s="91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91" t="s">
        <v>187</v>
      </c>
      <c r="C38" s="91"/>
      <c r="D38" s="91"/>
      <c r="E38" s="91"/>
      <c r="F38" s="91"/>
      <c r="G38" s="91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91" t="s">
        <v>41</v>
      </c>
      <c r="C39" s="91"/>
      <c r="D39" s="91"/>
      <c r="E39" s="91"/>
      <c r="F39" s="91"/>
      <c r="G39" s="91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91" t="s">
        <v>42</v>
      </c>
      <c r="C40" s="91"/>
      <c r="D40" s="91"/>
      <c r="E40" s="91"/>
      <c r="F40" s="91"/>
      <c r="G40" s="9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91" t="s">
        <v>43</v>
      </c>
      <c r="C41" s="91"/>
      <c r="D41" s="91"/>
      <c r="E41" s="91"/>
      <c r="F41" s="91"/>
      <c r="G41" s="9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91" t="s">
        <v>44</v>
      </c>
      <c r="C42" s="91"/>
      <c r="D42" s="91"/>
      <c r="E42" s="91"/>
      <c r="F42" s="91"/>
      <c r="G42" s="9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91" t="s">
        <v>200</v>
      </c>
      <c r="C43" s="91"/>
      <c r="D43" s="91"/>
      <c r="E43" s="91"/>
      <c r="F43" s="91"/>
      <c r="G43" s="91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91" t="s">
        <v>45</v>
      </c>
      <c r="C44" s="91"/>
      <c r="D44" s="91"/>
      <c r="E44" s="91"/>
      <c r="F44" s="91"/>
      <c r="G44" s="91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91" t="s">
        <v>46</v>
      </c>
      <c r="C45" s="91"/>
      <c r="D45" s="91"/>
      <c r="E45" s="91"/>
      <c r="F45" s="91"/>
      <c r="G45" s="91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91" t="s">
        <v>188</v>
      </c>
      <c r="C46" s="91"/>
      <c r="D46" s="91"/>
      <c r="E46" s="91"/>
      <c r="F46" s="91"/>
      <c r="G46" s="91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37" t="s">
        <v>206</v>
      </c>
      <c r="C47" s="138"/>
      <c r="D47" s="138"/>
      <c r="E47" s="138"/>
      <c r="F47" s="138"/>
      <c r="G47" s="139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37" t="s">
        <v>207</v>
      </c>
      <c r="C48" s="138"/>
      <c r="D48" s="138"/>
      <c r="E48" s="138"/>
      <c r="F48" s="138"/>
      <c r="G48" s="139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91" t="s">
        <v>189</v>
      </c>
      <c r="C49" s="91"/>
      <c r="D49" s="91"/>
      <c r="E49" s="91"/>
      <c r="F49" s="91"/>
      <c r="G49" s="91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37" t="s">
        <v>208</v>
      </c>
      <c r="C50" s="138"/>
      <c r="D50" s="138"/>
      <c r="E50" s="138"/>
      <c r="F50" s="138"/>
      <c r="G50" s="139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37" t="s">
        <v>209</v>
      </c>
      <c r="C51" s="138"/>
      <c r="D51" s="138"/>
      <c r="E51" s="138"/>
      <c r="F51" s="138"/>
      <c r="G51" s="139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91" t="s">
        <v>190</v>
      </c>
      <c r="C52" s="91"/>
      <c r="D52" s="91"/>
      <c r="E52" s="91"/>
      <c r="F52" s="91"/>
      <c r="G52" s="91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91" t="s">
        <v>191</v>
      </c>
      <c r="C53" s="91"/>
      <c r="D53" s="91"/>
      <c r="E53" s="91"/>
      <c r="F53" s="91"/>
      <c r="G53" s="91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91" t="s">
        <v>192</v>
      </c>
      <c r="C54" s="91"/>
      <c r="D54" s="91"/>
      <c r="E54" s="91"/>
      <c r="F54" s="91"/>
      <c r="G54" s="91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06" t="s">
        <v>49</v>
      </c>
      <c r="B55" s="106"/>
      <c r="C55" s="106"/>
      <c r="D55" s="106"/>
      <c r="E55" s="106"/>
      <c r="F55" s="106"/>
      <c r="G55" s="106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04" t="s">
        <v>51</v>
      </c>
      <c r="C57" s="104"/>
      <c r="D57" s="104"/>
      <c r="E57" s="104"/>
      <c r="F57" s="104"/>
      <c r="G57" s="104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91" t="s">
        <v>52</v>
      </c>
      <c r="C58" s="91"/>
      <c r="D58" s="91"/>
      <c r="E58" s="91"/>
      <c r="F58" s="91"/>
      <c r="G58" s="91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91" t="s">
        <v>53</v>
      </c>
      <c r="C59" s="91"/>
      <c r="D59" s="91"/>
      <c r="E59" s="91"/>
      <c r="F59" s="91"/>
      <c r="G59" s="91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91" t="s">
        <v>54</v>
      </c>
      <c r="C60" s="91"/>
      <c r="D60" s="91"/>
      <c r="E60" s="91"/>
      <c r="F60" s="91"/>
      <c r="G60" s="91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91" t="s">
        <v>55</v>
      </c>
      <c r="C61" s="91"/>
      <c r="D61" s="91"/>
      <c r="E61" s="91"/>
      <c r="F61" s="91"/>
      <c r="G61" s="91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91" t="s">
        <v>56</v>
      </c>
      <c r="C62" s="91"/>
      <c r="D62" s="91"/>
      <c r="E62" s="91"/>
      <c r="F62" s="91"/>
      <c r="G62" s="91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91" t="s">
        <v>57</v>
      </c>
      <c r="C63" s="91"/>
      <c r="D63" s="91"/>
      <c r="E63" s="91"/>
      <c r="F63" s="91"/>
      <c r="G63" s="91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91" t="s">
        <v>58</v>
      </c>
      <c r="C64" s="91"/>
      <c r="D64" s="91"/>
      <c r="E64" s="91"/>
      <c r="F64" s="91"/>
      <c r="G64" s="91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91" t="s">
        <v>59</v>
      </c>
      <c r="C65" s="91"/>
      <c r="D65" s="91"/>
      <c r="E65" s="91"/>
      <c r="F65" s="91"/>
      <c r="G65" s="91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06" t="s">
        <v>60</v>
      </c>
      <c r="B66" s="106"/>
      <c r="C66" s="106"/>
      <c r="D66" s="106"/>
      <c r="E66" s="106"/>
      <c r="F66" s="106"/>
      <c r="G66" s="106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07" t="s">
        <v>61</v>
      </c>
      <c r="B67" s="107"/>
      <c r="C67" s="107"/>
      <c r="D67" s="107"/>
      <c r="E67" s="107"/>
      <c r="F67" s="107"/>
      <c r="G67" s="107"/>
      <c r="H67" s="107"/>
      <c r="I67" s="107"/>
    </row>
    <row r="68" spans="1:10" ht="30.75" customHeight="1" x14ac:dyDescent="0.25">
      <c r="A68" s="108" t="s">
        <v>62</v>
      </c>
      <c r="B68" s="108"/>
      <c r="C68" s="108"/>
      <c r="D68" s="108"/>
      <c r="E68" s="108"/>
      <c r="F68" s="108"/>
      <c r="G68" s="108"/>
      <c r="H68" s="108"/>
      <c r="I68" s="108"/>
    </row>
    <row r="69" spans="1:10" ht="33.75" customHeight="1" x14ac:dyDescent="0.25">
      <c r="A69" s="22" t="s">
        <v>63</v>
      </c>
      <c r="B69" s="104" t="s">
        <v>64</v>
      </c>
      <c r="C69" s="104"/>
      <c r="D69" s="104"/>
      <c r="E69" s="104"/>
      <c r="F69" s="104"/>
      <c r="G69" s="104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91" t="s">
        <v>65</v>
      </c>
      <c r="C70" s="91"/>
      <c r="D70" s="91"/>
      <c r="E70" s="91"/>
      <c r="F70" s="91"/>
      <c r="G70" s="91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91" t="s">
        <v>66</v>
      </c>
      <c r="C71" s="91"/>
      <c r="D71" s="91"/>
      <c r="E71" s="91"/>
      <c r="F71" s="91"/>
      <c r="G71" s="91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91" t="s">
        <v>67</v>
      </c>
      <c r="C72" s="91"/>
      <c r="D72" s="91"/>
      <c r="E72" s="91"/>
      <c r="F72" s="91"/>
      <c r="G72" s="91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91" t="s">
        <v>68</v>
      </c>
      <c r="C73" s="91"/>
      <c r="D73" s="91"/>
      <c r="E73" s="91"/>
      <c r="F73" s="91"/>
      <c r="G73" s="91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91" t="s">
        <v>69</v>
      </c>
      <c r="C74" s="91"/>
      <c r="D74" s="91"/>
      <c r="E74" s="91"/>
      <c r="F74" s="91"/>
      <c r="G74" s="91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91" t="s">
        <v>70</v>
      </c>
      <c r="C75" s="91"/>
      <c r="D75" s="91"/>
      <c r="E75" s="91"/>
      <c r="F75" s="91"/>
      <c r="G75" s="91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91" t="s">
        <v>71</v>
      </c>
      <c r="C76" s="91"/>
      <c r="D76" s="91"/>
      <c r="E76" s="91"/>
      <c r="F76" s="91"/>
      <c r="G76" s="91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91" t="s">
        <v>72</v>
      </c>
      <c r="C77" s="91"/>
      <c r="D77" s="91"/>
      <c r="E77" s="91"/>
      <c r="F77" s="91"/>
      <c r="G77" s="91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06" t="s">
        <v>73</v>
      </c>
      <c r="B78" s="106"/>
      <c r="C78" s="106"/>
      <c r="D78" s="106"/>
      <c r="E78" s="106"/>
      <c r="F78" s="106"/>
      <c r="G78" s="106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09" t="s">
        <v>75</v>
      </c>
      <c r="C79" s="109"/>
      <c r="D79" s="109"/>
      <c r="E79" s="109"/>
      <c r="F79" s="109"/>
      <c r="G79" s="109"/>
      <c r="H79" s="109"/>
      <c r="I79" s="109"/>
    </row>
    <row r="80" spans="1:10" ht="15" customHeight="1" x14ac:dyDescent="0.25">
      <c r="A80" s="29" t="s">
        <v>76</v>
      </c>
      <c r="B80" s="110" t="s">
        <v>77</v>
      </c>
      <c r="C80" s="110"/>
      <c r="D80" s="110"/>
      <c r="E80" s="110"/>
      <c r="F80" s="110"/>
      <c r="G80" s="110"/>
      <c r="H80" s="110"/>
      <c r="I80" s="110"/>
    </row>
    <row r="81" spans="1:11" ht="33.75" customHeight="1" x14ac:dyDescent="0.25">
      <c r="A81" s="22" t="s">
        <v>78</v>
      </c>
      <c r="B81" s="104" t="s">
        <v>79</v>
      </c>
      <c r="C81" s="104"/>
      <c r="D81" s="104"/>
      <c r="E81" s="104"/>
      <c r="F81" s="104"/>
      <c r="G81" s="104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91" t="s">
        <v>80</v>
      </c>
      <c r="C82" s="91"/>
      <c r="D82" s="91"/>
      <c r="E82" s="91"/>
      <c r="F82" s="91"/>
      <c r="G82" s="91"/>
      <c r="H82" s="23">
        <v>2.3626999999999999E-2</v>
      </c>
      <c r="I82" s="24">
        <f>$I$55*H82</f>
        <v>78.371777300072992</v>
      </c>
    </row>
    <row r="83" spans="1:11" ht="15" customHeight="1" x14ac:dyDescent="0.25">
      <c r="A83" s="14">
        <v>2</v>
      </c>
      <c r="B83" s="91" t="s">
        <v>81</v>
      </c>
      <c r="C83" s="91"/>
      <c r="D83" s="91"/>
      <c r="E83" s="91"/>
      <c r="F83" s="91"/>
      <c r="G83" s="91"/>
      <c r="H83" s="23">
        <v>1.717E-3</v>
      </c>
      <c r="I83" s="24">
        <f>$I$55*H83</f>
        <v>5.6953630009829999</v>
      </c>
    </row>
    <row r="84" spans="1:11" ht="15" customHeight="1" x14ac:dyDescent="0.25">
      <c r="A84" s="14">
        <v>3</v>
      </c>
      <c r="B84" s="91" t="s">
        <v>82</v>
      </c>
      <c r="C84" s="91"/>
      <c r="D84" s="91"/>
      <c r="E84" s="91"/>
      <c r="F84" s="91"/>
      <c r="G84" s="91"/>
      <c r="H84" s="23">
        <v>9.4509999999999993E-3</v>
      </c>
      <c r="I84" s="24">
        <f>$I$55*H84</f>
        <v>31.349374328648999</v>
      </c>
    </row>
    <row r="85" spans="1:11" s="28" customFormat="1" ht="15" customHeight="1" x14ac:dyDescent="0.25">
      <c r="A85" s="106" t="s">
        <v>83</v>
      </c>
      <c r="B85" s="106"/>
      <c r="C85" s="106"/>
      <c r="D85" s="106"/>
      <c r="E85" s="106"/>
      <c r="F85" s="106"/>
      <c r="G85" s="106"/>
      <c r="H85" s="25">
        <f>SUM(H82:H84)</f>
        <v>3.4795E-2</v>
      </c>
      <c r="I85" s="26">
        <f>SUM(I82:I84)</f>
        <v>115.41651462970498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04" t="s">
        <v>85</v>
      </c>
      <c r="C87" s="104"/>
      <c r="D87" s="104"/>
      <c r="E87" s="104"/>
      <c r="F87" s="104"/>
      <c r="G87" s="104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91" t="s">
        <v>86</v>
      </c>
      <c r="C88" s="91"/>
      <c r="D88" s="91"/>
      <c r="E88" s="91"/>
      <c r="F88" s="91"/>
      <c r="G88" s="91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06" t="s">
        <v>87</v>
      </c>
      <c r="B89" s="106"/>
      <c r="C89" s="106"/>
      <c r="D89" s="106"/>
      <c r="E89" s="106"/>
      <c r="F89" s="106"/>
      <c r="G89" s="106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11" t="s">
        <v>88</v>
      </c>
      <c r="B91" s="111"/>
      <c r="C91" s="111"/>
      <c r="D91" s="111"/>
      <c r="E91" s="111"/>
      <c r="F91" s="111"/>
      <c r="G91" s="111"/>
      <c r="H91" s="32">
        <f>H66+H78+H85+H89</f>
        <v>0.75155702400000002</v>
      </c>
      <c r="I91" s="33">
        <f>I66+I78+I85+I89</f>
        <v>2492.9470399641773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04" t="s">
        <v>90</v>
      </c>
      <c r="C93" s="104"/>
      <c r="D93" s="104"/>
      <c r="E93" s="104"/>
      <c r="F93" s="104"/>
      <c r="G93" s="104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91" t="s">
        <v>23</v>
      </c>
      <c r="C94" s="91"/>
      <c r="D94" s="91"/>
      <c r="E94" s="91"/>
      <c r="F94" s="91"/>
      <c r="G94" s="91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91" t="s">
        <v>24</v>
      </c>
      <c r="C95" s="91"/>
      <c r="D95" s="91"/>
      <c r="E95" s="91"/>
      <c r="F95" s="91"/>
      <c r="G95" s="91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91" t="s">
        <v>91</v>
      </c>
      <c r="C96" s="91"/>
      <c r="D96" s="91"/>
      <c r="E96" s="91"/>
      <c r="F96" s="91"/>
      <c r="G96" s="91"/>
      <c r="H96" s="23">
        <f>I96/$I$55</f>
        <v>7.1376823554501548E-3</v>
      </c>
      <c r="I96" s="24">
        <f>I103</f>
        <v>23.676000000000002</v>
      </c>
    </row>
    <row r="97" spans="1:10" ht="15" customHeight="1" x14ac:dyDescent="0.25">
      <c r="A97" s="14">
        <v>4</v>
      </c>
      <c r="B97" s="91" t="s">
        <v>92</v>
      </c>
      <c r="C97" s="91"/>
      <c r="D97" s="91"/>
      <c r="E97" s="91"/>
      <c r="F97" s="91"/>
      <c r="G97" s="91"/>
      <c r="H97" s="23">
        <f>I97/$I$55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91" t="s">
        <v>93</v>
      </c>
      <c r="C98" s="91"/>
      <c r="D98" s="91"/>
      <c r="E98" s="91"/>
      <c r="F98" s="91"/>
      <c r="G98" s="91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06" t="s">
        <v>94</v>
      </c>
      <c r="B99" s="106"/>
      <c r="C99" s="106"/>
      <c r="D99" s="106"/>
      <c r="E99" s="106"/>
      <c r="F99" s="106"/>
      <c r="G99" s="106"/>
      <c r="H99" s="25">
        <f>SUM(H94:H98)</f>
        <v>0.11566807802879259</v>
      </c>
      <c r="I99" s="26">
        <f>SUM(I94:I98)</f>
        <v>383.67599999999999</v>
      </c>
      <c r="J99" s="34"/>
    </row>
    <row r="100" spans="1:10" ht="5.25" customHeight="1" x14ac:dyDescent="0.25">
      <c r="A100" s="29"/>
      <c r="B100" s="107"/>
      <c r="C100" s="107"/>
      <c r="D100" s="107"/>
      <c r="E100" s="107"/>
      <c r="F100" s="107"/>
      <c r="G100" s="107"/>
      <c r="H100" s="35"/>
      <c r="I100" s="36"/>
    </row>
    <row r="101" spans="1:10" ht="15" customHeight="1" x14ac:dyDescent="0.25">
      <c r="A101" s="112" t="s">
        <v>97</v>
      </c>
      <c r="B101" s="112"/>
      <c r="C101" s="112"/>
      <c r="D101" s="112"/>
      <c r="E101" s="112"/>
      <c r="F101" s="112"/>
      <c r="G101" s="112"/>
      <c r="H101" s="112"/>
      <c r="I101" s="112"/>
    </row>
    <row r="102" spans="1:10" ht="24" customHeight="1" x14ac:dyDescent="0.25">
      <c r="A102" s="100" t="s">
        <v>98</v>
      </c>
      <c r="B102" s="100"/>
      <c r="C102" s="14" t="s">
        <v>99</v>
      </c>
      <c r="D102" s="14" t="s">
        <v>100</v>
      </c>
      <c r="E102" s="14" t="s">
        <v>101</v>
      </c>
      <c r="F102" s="14" t="s">
        <v>102</v>
      </c>
      <c r="G102" s="14" t="s">
        <v>103</v>
      </c>
      <c r="H102" s="23" t="s">
        <v>104</v>
      </c>
      <c r="I102" s="24" t="s">
        <v>105</v>
      </c>
    </row>
    <row r="103" spans="1:10" ht="15" customHeight="1" x14ac:dyDescent="0.25">
      <c r="A103" s="113">
        <f>I14</f>
        <v>5</v>
      </c>
      <c r="B103" s="113"/>
      <c r="C103" s="14">
        <f>I15</f>
        <v>15</v>
      </c>
      <c r="D103" s="14">
        <v>2</v>
      </c>
      <c r="E103" s="37">
        <f>A103*C103*D103</f>
        <v>150</v>
      </c>
      <c r="F103" s="37">
        <f>I37</f>
        <v>2105.4</v>
      </c>
      <c r="G103" s="38">
        <f>I16</f>
        <v>0.06</v>
      </c>
      <c r="H103" s="37">
        <f>F103*G103</f>
        <v>126.324</v>
      </c>
      <c r="I103" s="24">
        <f>IF((E103-H103)&gt;0,E103-H103,0)</f>
        <v>23.676000000000002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12" t="s">
        <v>106</v>
      </c>
      <c r="B105" s="112"/>
      <c r="C105" s="112"/>
      <c r="D105" s="112"/>
      <c r="E105" s="112"/>
      <c r="F105" s="112"/>
      <c r="G105" s="112"/>
      <c r="H105" s="112"/>
      <c r="I105" s="112"/>
    </row>
    <row r="106" spans="1:10" ht="24" customHeight="1" x14ac:dyDescent="0.25">
      <c r="A106" s="100" t="s">
        <v>98</v>
      </c>
      <c r="B106" s="100"/>
      <c r="C106" s="14" t="s">
        <v>107</v>
      </c>
      <c r="D106" s="14" t="s">
        <v>100</v>
      </c>
      <c r="E106" s="14" t="s">
        <v>101</v>
      </c>
      <c r="F106" s="14" t="s">
        <v>102</v>
      </c>
      <c r="G106" s="14" t="s">
        <v>103</v>
      </c>
      <c r="H106" s="23" t="s">
        <v>104</v>
      </c>
      <c r="I106" s="24" t="s">
        <v>105</v>
      </c>
    </row>
    <row r="107" spans="1:10" ht="15" customHeight="1" x14ac:dyDescent="0.25">
      <c r="A107" s="114">
        <f>I20</f>
        <v>0</v>
      </c>
      <c r="B107" s="114"/>
      <c r="C107" s="42">
        <f>I21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I22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12" t="s">
        <v>108</v>
      </c>
      <c r="B109" s="112"/>
      <c r="C109" s="112"/>
      <c r="D109" s="112"/>
      <c r="E109" s="112"/>
      <c r="F109" s="112"/>
      <c r="G109" s="112"/>
      <c r="H109" s="112"/>
      <c r="I109" s="112"/>
    </row>
    <row r="110" spans="1:10" ht="23.25" customHeight="1" x14ac:dyDescent="0.25">
      <c r="A110" s="100" t="s">
        <v>98</v>
      </c>
      <c r="B110" s="100"/>
      <c r="C110" s="14" t="s">
        <v>107</v>
      </c>
      <c r="D110" s="14" t="s">
        <v>100</v>
      </c>
      <c r="E110" s="14" t="s">
        <v>101</v>
      </c>
      <c r="F110" s="14" t="s">
        <v>102</v>
      </c>
      <c r="G110" s="14" t="s">
        <v>103</v>
      </c>
      <c r="H110" s="23" t="str">
        <f>H102</f>
        <v>Valor desconto</v>
      </c>
      <c r="I110" s="24" t="s">
        <v>105</v>
      </c>
    </row>
    <row r="111" spans="1:10" ht="15" customHeight="1" x14ac:dyDescent="0.25">
      <c r="A111" s="114">
        <f>I17</f>
        <v>30</v>
      </c>
      <c r="B111" s="114"/>
      <c r="C111" s="42">
        <f>I18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I19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15" t="s">
        <v>109</v>
      </c>
      <c r="B113" s="115"/>
      <c r="C113" s="115"/>
      <c r="D113" s="115"/>
      <c r="E113" s="115"/>
      <c r="F113" s="115"/>
      <c r="G113" s="115"/>
      <c r="H113" s="47">
        <f>H55+H91+H99</f>
        <v>1.8672251020287929</v>
      </c>
      <c r="I113" s="48">
        <f>I55+I91+I99</f>
        <v>6193.6661389641777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03" t="s">
        <v>110</v>
      </c>
      <c r="B115" s="103"/>
      <c r="C115" s="103"/>
      <c r="D115" s="103"/>
      <c r="E115" s="103"/>
      <c r="F115" s="103"/>
      <c r="G115" s="103"/>
      <c r="H115" s="103"/>
      <c r="I115" s="103"/>
    </row>
    <row r="116" spans="1:12" ht="33.75" customHeight="1" x14ac:dyDescent="0.25">
      <c r="A116" s="22" t="s">
        <v>36</v>
      </c>
      <c r="B116" s="104" t="s">
        <v>111</v>
      </c>
      <c r="C116" s="104"/>
      <c r="D116" s="104"/>
      <c r="E116" s="104"/>
      <c r="F116" s="104"/>
      <c r="G116" s="104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91" t="s">
        <v>112</v>
      </c>
      <c r="C117" s="91"/>
      <c r="D117" s="91"/>
      <c r="E117" s="91"/>
      <c r="F117" s="91"/>
      <c r="G117" s="91"/>
      <c r="H117" s="23">
        <f t="shared" ref="H117:H122" si="6">I117/$I$128</f>
        <v>0</v>
      </c>
      <c r="I117" s="24">
        <v>0</v>
      </c>
    </row>
    <row r="118" spans="1:12" ht="15" customHeight="1" x14ac:dyDescent="0.25">
      <c r="A118" s="14">
        <v>2</v>
      </c>
      <c r="B118" s="95" t="s">
        <v>113</v>
      </c>
      <c r="C118" s="95"/>
      <c r="D118" s="95"/>
      <c r="E118" s="95"/>
      <c r="F118" s="95"/>
      <c r="G118" s="95"/>
      <c r="H118" s="23">
        <f t="shared" si="6"/>
        <v>0</v>
      </c>
      <c r="I118" s="24">
        <f>IF(F126=10%,G126,0)</f>
        <v>0</v>
      </c>
    </row>
    <row r="119" spans="1:12" ht="15" customHeight="1" x14ac:dyDescent="0.25">
      <c r="A119" s="14">
        <v>3</v>
      </c>
      <c r="B119" s="91" t="s">
        <v>114</v>
      </c>
      <c r="C119" s="91"/>
      <c r="D119" s="91"/>
      <c r="E119" s="91"/>
      <c r="F119" s="91"/>
      <c r="G119" s="91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95" t="s">
        <v>115</v>
      </c>
      <c r="C120" s="95"/>
      <c r="D120" s="95"/>
      <c r="E120" s="95"/>
      <c r="F120" s="95"/>
      <c r="G120" s="95"/>
      <c r="H120" s="23">
        <f t="shared" si="6"/>
        <v>0</v>
      </c>
      <c r="I120" s="24">
        <v>0</v>
      </c>
    </row>
    <row r="121" spans="1:12" ht="15" customHeight="1" x14ac:dyDescent="0.25">
      <c r="A121" s="14">
        <v>5</v>
      </c>
      <c r="B121" s="91" t="s">
        <v>116</v>
      </c>
      <c r="C121" s="91"/>
      <c r="D121" s="91"/>
      <c r="E121" s="91"/>
      <c r="F121" s="91"/>
      <c r="G121" s="91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91" t="s">
        <v>117</v>
      </c>
      <c r="C122" s="91"/>
      <c r="D122" s="91"/>
      <c r="E122" s="91"/>
      <c r="F122" s="91"/>
      <c r="G122" s="91"/>
      <c r="H122" s="23">
        <f t="shared" si="6"/>
        <v>0</v>
      </c>
      <c r="I122" s="24">
        <v>0</v>
      </c>
    </row>
    <row r="123" spans="1:12" ht="15" customHeight="1" x14ac:dyDescent="0.25">
      <c r="A123" s="106" t="s">
        <v>118</v>
      </c>
      <c r="B123" s="106"/>
      <c r="C123" s="106"/>
      <c r="D123" s="106"/>
      <c r="E123" s="106"/>
      <c r="F123" s="106"/>
      <c r="G123" s="106"/>
      <c r="H123" s="25">
        <f>H117+H118+H119+H120+H121+H122</f>
        <v>0</v>
      </c>
      <c r="I123" s="54">
        <f>SUM(I117:I122)</f>
        <v>0</v>
      </c>
      <c r="J123" s="34"/>
    </row>
    <row r="124" spans="1:12" ht="30" customHeight="1" x14ac:dyDescent="0.25">
      <c r="B124" s="109" t="s">
        <v>119</v>
      </c>
      <c r="C124" s="109"/>
      <c r="D124" s="109"/>
      <c r="E124" s="109"/>
      <c r="F124" s="109"/>
      <c r="G124" s="109"/>
      <c r="H124" s="109"/>
      <c r="I124" s="109"/>
    </row>
    <row r="125" spans="1:12" ht="5.25" customHeight="1" x14ac:dyDescent="0.25"/>
    <row r="126" spans="1:12" ht="48.75" customHeight="1" x14ac:dyDescent="0.25">
      <c r="A126" s="116" t="s">
        <v>120</v>
      </c>
      <c r="B126" s="116"/>
      <c r="C126" s="116"/>
      <c r="D126" s="116"/>
      <c r="E126" s="116"/>
      <c r="F126" s="55">
        <f>I29</f>
        <v>0.2</v>
      </c>
      <c r="G126" s="56">
        <f>I128*F126</f>
        <v>1233.9980277928355</v>
      </c>
      <c r="H126" s="57" t="s">
        <v>121</v>
      </c>
      <c r="I126" s="58">
        <f>I96</f>
        <v>23.676000000000002</v>
      </c>
    </row>
    <row r="127" spans="1:12" s="61" customFormat="1" ht="16.5" customHeight="1" x14ac:dyDescent="0.25">
      <c r="A127" s="117" t="s">
        <v>122</v>
      </c>
      <c r="B127" s="117"/>
      <c r="C127" s="57" t="s">
        <v>123</v>
      </c>
      <c r="D127" s="57" t="s">
        <v>124</v>
      </c>
      <c r="E127" s="57" t="s">
        <v>125</v>
      </c>
      <c r="F127" s="57" t="s">
        <v>126</v>
      </c>
      <c r="G127" s="57" t="s">
        <v>127</v>
      </c>
      <c r="H127" s="57" t="s">
        <v>128</v>
      </c>
      <c r="I127" s="59" t="s">
        <v>129</v>
      </c>
      <c r="J127" s="60"/>
    </row>
    <row r="128" spans="1:12" ht="16.5" customHeight="1" x14ac:dyDescent="0.25">
      <c r="A128" s="118">
        <f>I55</f>
        <v>3317.043099</v>
      </c>
      <c r="B128" s="118"/>
      <c r="C128" s="62">
        <f>I66</f>
        <v>1220.6718604319997</v>
      </c>
      <c r="D128" s="62">
        <f>I78</f>
        <v>845.65691878835707</v>
      </c>
      <c r="E128" s="62">
        <f>I85</f>
        <v>115.41651462970498</v>
      </c>
      <c r="F128" s="62">
        <f>I89</f>
        <v>311.20174611411545</v>
      </c>
      <c r="G128" s="62">
        <f>I99</f>
        <v>383.67599999999999</v>
      </c>
      <c r="H128" s="62">
        <f>A128+C128+D128+E128+F128+G128</f>
        <v>6193.6661389641777</v>
      </c>
      <c r="I128" s="62">
        <f>H128-I126</f>
        <v>6169.9901389641773</v>
      </c>
      <c r="J128" s="34"/>
    </row>
    <row r="129" spans="1:12" ht="4.5" customHeight="1" x14ac:dyDescent="0.25">
      <c r="A129" s="29"/>
      <c r="B129" s="119"/>
      <c r="C129" s="119"/>
      <c r="D129" s="119"/>
      <c r="E129" s="119"/>
      <c r="F129" s="119"/>
      <c r="G129" s="119"/>
      <c r="H129" s="119"/>
      <c r="I129" s="119"/>
    </row>
    <row r="130" spans="1:12" ht="33.75" customHeight="1" x14ac:dyDescent="0.25">
      <c r="A130" s="22" t="s">
        <v>50</v>
      </c>
      <c r="B130" s="104" t="s">
        <v>130</v>
      </c>
      <c r="C130" s="104"/>
      <c r="D130" s="104"/>
      <c r="E130" s="104"/>
      <c r="F130" s="104"/>
      <c r="G130" s="104"/>
      <c r="H130" s="22" t="s">
        <v>38</v>
      </c>
      <c r="I130" s="22" t="s">
        <v>39</v>
      </c>
    </row>
    <row r="131" spans="1:12" ht="15" customHeight="1" x14ac:dyDescent="0.25">
      <c r="A131" s="14">
        <v>1</v>
      </c>
      <c r="B131" s="91" t="s">
        <v>131</v>
      </c>
      <c r="C131" s="91"/>
      <c r="D131" s="91"/>
      <c r="E131" s="91"/>
      <c r="F131" s="91"/>
      <c r="G131" s="91"/>
      <c r="H131" s="23">
        <f>I131/$I$141</f>
        <v>0</v>
      </c>
      <c r="I131" s="24">
        <v>0</v>
      </c>
    </row>
    <row r="132" spans="1:12" ht="15" customHeight="1" x14ac:dyDescent="0.25">
      <c r="A132" s="14">
        <v>2</v>
      </c>
      <c r="B132" s="91" t="s">
        <v>132</v>
      </c>
      <c r="C132" s="91"/>
      <c r="D132" s="91"/>
      <c r="E132" s="91"/>
      <c r="F132" s="91"/>
      <c r="G132" s="91"/>
      <c r="H132" s="23">
        <f>I132/$I$141</f>
        <v>0</v>
      </c>
      <c r="I132" s="24">
        <v>0</v>
      </c>
    </row>
    <row r="133" spans="1:12" ht="33" customHeight="1" x14ac:dyDescent="0.25">
      <c r="A133" s="106" t="s">
        <v>203</v>
      </c>
      <c r="B133" s="106"/>
      <c r="C133" s="106"/>
      <c r="D133" s="106"/>
      <c r="E133" s="106"/>
      <c r="F133" s="106"/>
      <c r="G133" s="106"/>
      <c r="H133" s="25">
        <f>H131+H132</f>
        <v>0</v>
      </c>
      <c r="I133" s="26">
        <f>SUM(I131:I132)</f>
        <v>0</v>
      </c>
    </row>
    <row r="134" spans="1:12" ht="4.5" customHeight="1" x14ac:dyDescent="0.25"/>
    <row r="135" spans="1:12" ht="33.75" customHeight="1" x14ac:dyDescent="0.25">
      <c r="A135" s="22" t="s">
        <v>63</v>
      </c>
      <c r="B135" s="104" t="s">
        <v>133</v>
      </c>
      <c r="C135" s="104"/>
      <c r="D135" s="104"/>
      <c r="E135" s="104"/>
      <c r="F135" s="104"/>
      <c r="G135" s="104"/>
      <c r="H135" s="22" t="s">
        <v>38</v>
      </c>
      <c r="I135" s="22" t="s">
        <v>39</v>
      </c>
    </row>
    <row r="136" spans="1:12" ht="15" customHeight="1" x14ac:dyDescent="0.25">
      <c r="A136" s="14">
        <v>1</v>
      </c>
      <c r="B136" s="91" t="s">
        <v>133</v>
      </c>
      <c r="C136" s="91"/>
      <c r="D136" s="91"/>
      <c r="E136" s="91"/>
      <c r="F136" s="91"/>
      <c r="G136" s="91"/>
      <c r="H136" s="23">
        <f>I136/I141</f>
        <v>0</v>
      </c>
      <c r="I136" s="24">
        <v>0</v>
      </c>
    </row>
    <row r="137" spans="1:12" ht="33.950000000000003" customHeight="1" x14ac:dyDescent="0.25">
      <c r="A137" s="106" t="s">
        <v>202</v>
      </c>
      <c r="B137" s="106"/>
      <c r="C137" s="106"/>
      <c r="D137" s="106"/>
      <c r="E137" s="106"/>
      <c r="F137" s="106"/>
      <c r="G137" s="106"/>
      <c r="H137" s="25">
        <f>H136</f>
        <v>0</v>
      </c>
      <c r="I137" s="26">
        <f>I136</f>
        <v>0</v>
      </c>
      <c r="J137" s="34"/>
      <c r="K137" s="34"/>
      <c r="L137" s="2"/>
    </row>
    <row r="138" spans="1:12" ht="4.5" customHeight="1" x14ac:dyDescent="0.25">
      <c r="A138" s="28"/>
      <c r="B138" s="28"/>
      <c r="C138" s="28"/>
      <c r="D138" s="28"/>
      <c r="E138" s="28"/>
      <c r="F138" s="28"/>
      <c r="G138" s="28"/>
      <c r="H138" s="35"/>
      <c r="I138" s="36"/>
    </row>
    <row r="139" spans="1:12" ht="39" customHeight="1" x14ac:dyDescent="0.25">
      <c r="A139" s="120" t="s">
        <v>134</v>
      </c>
      <c r="B139" s="120"/>
      <c r="C139" s="120"/>
      <c r="D139" s="120"/>
      <c r="E139" s="120"/>
      <c r="F139" s="55">
        <v>0.18</v>
      </c>
      <c r="G139" s="56">
        <f>I141*F139</f>
        <v>1110.5982250135519</v>
      </c>
      <c r="H139" s="57" t="s">
        <v>121</v>
      </c>
      <c r="I139" s="58">
        <f>I96</f>
        <v>23.676000000000002</v>
      </c>
      <c r="L139" s="2"/>
    </row>
    <row r="140" spans="1:12" s="61" customFormat="1" ht="16.5" customHeight="1" x14ac:dyDescent="0.25">
      <c r="A140" s="117" t="s">
        <v>122</v>
      </c>
      <c r="B140" s="117"/>
      <c r="C140" s="57" t="s">
        <v>123</v>
      </c>
      <c r="D140" s="57" t="s">
        <v>124</v>
      </c>
      <c r="E140" s="57" t="s">
        <v>125</v>
      </c>
      <c r="F140" s="57" t="s">
        <v>126</v>
      </c>
      <c r="G140" s="57" t="s">
        <v>127</v>
      </c>
      <c r="H140" s="57" t="s">
        <v>128</v>
      </c>
      <c r="I140" s="59" t="s">
        <v>129</v>
      </c>
      <c r="J140" s="60"/>
      <c r="L140" s="60"/>
    </row>
    <row r="141" spans="1:12" ht="16.5" customHeight="1" x14ac:dyDescent="0.25">
      <c r="A141" s="118">
        <f>I55</f>
        <v>3317.043099</v>
      </c>
      <c r="B141" s="118"/>
      <c r="C141" s="62">
        <f>I66</f>
        <v>1220.6718604319997</v>
      </c>
      <c r="D141" s="62">
        <f>I78</f>
        <v>845.65691878835707</v>
      </c>
      <c r="E141" s="62">
        <f>I85</f>
        <v>115.41651462970498</v>
      </c>
      <c r="F141" s="62">
        <f>I89</f>
        <v>311.20174611411545</v>
      </c>
      <c r="G141" s="62">
        <f>I99</f>
        <v>383.67599999999999</v>
      </c>
      <c r="H141" s="62">
        <f>A141+C141+D141+E141+F141+G141</f>
        <v>6193.6661389641777</v>
      </c>
      <c r="I141" s="62">
        <f>H141-I139</f>
        <v>6169.9901389641773</v>
      </c>
      <c r="J141" s="34"/>
      <c r="L141" s="2"/>
    </row>
    <row r="142" spans="1:12" ht="4.5" customHeight="1" x14ac:dyDescent="0.25"/>
    <row r="143" spans="1:12" ht="12" customHeight="1" x14ac:dyDescent="0.25">
      <c r="A143" s="115" t="s">
        <v>135</v>
      </c>
      <c r="B143" s="115"/>
      <c r="C143" s="115"/>
      <c r="D143" s="115"/>
      <c r="E143" s="115"/>
      <c r="F143" s="115"/>
      <c r="G143" s="115"/>
      <c r="H143" s="47">
        <f>H123+H133+H137</f>
        <v>0</v>
      </c>
      <c r="I143" s="48">
        <f>I123+I133+I137</f>
        <v>0</v>
      </c>
    </row>
    <row r="144" spans="1:12" ht="4.5" customHeight="1" x14ac:dyDescent="0.25"/>
    <row r="145" spans="1:10" ht="11.25" customHeight="1" x14ac:dyDescent="0.25">
      <c r="A145" s="103" t="s">
        <v>136</v>
      </c>
      <c r="B145" s="103"/>
      <c r="C145" s="103"/>
      <c r="D145" s="103"/>
      <c r="E145" s="103"/>
      <c r="F145" s="103"/>
      <c r="G145" s="103"/>
      <c r="H145" s="103"/>
      <c r="I145" s="103"/>
    </row>
    <row r="146" spans="1:10" ht="33.75" customHeight="1" x14ac:dyDescent="0.25">
      <c r="A146" s="22" t="s">
        <v>36</v>
      </c>
      <c r="B146" s="104" t="s">
        <v>137</v>
      </c>
      <c r="C146" s="104"/>
      <c r="D146" s="104"/>
      <c r="E146" s="104"/>
      <c r="F146" s="104"/>
      <c r="G146" s="104"/>
      <c r="H146" s="22" t="s">
        <v>38</v>
      </c>
      <c r="I146" s="22" t="s">
        <v>39</v>
      </c>
    </row>
    <row r="147" spans="1:10" ht="15" customHeight="1" x14ac:dyDescent="0.25">
      <c r="A147" s="14">
        <v>1</v>
      </c>
      <c r="B147" s="91" t="s">
        <v>138</v>
      </c>
      <c r="C147" s="91"/>
      <c r="D147" s="91"/>
      <c r="E147" s="91"/>
      <c r="F147" s="91"/>
      <c r="G147" s="91"/>
      <c r="H147" s="23">
        <f>I147/$I$113</f>
        <v>6.9259456579648373E-3</v>
      </c>
      <c r="I147" s="24">
        <f>($D$157/$E$159)*H157</f>
        <v>42.896995102042787</v>
      </c>
    </row>
    <row r="148" spans="1:10" ht="15" customHeight="1" x14ac:dyDescent="0.25">
      <c r="A148" s="14">
        <v>2</v>
      </c>
      <c r="B148" s="91" t="s">
        <v>139</v>
      </c>
      <c r="C148" s="91"/>
      <c r="D148" s="91"/>
      <c r="E148" s="91"/>
      <c r="F148" s="91"/>
      <c r="G148" s="91"/>
      <c r="H148" s="23">
        <f>I148/$I$113</f>
        <v>3.1965903036760786E-2</v>
      </c>
      <c r="I148" s="24">
        <f>($D$157/$E$159)*H158</f>
        <v>197.98613124019747</v>
      </c>
    </row>
    <row r="149" spans="1:10" ht="15" customHeight="1" x14ac:dyDescent="0.25">
      <c r="A149" s="14">
        <v>3</v>
      </c>
      <c r="B149" s="91" t="s">
        <v>14</v>
      </c>
      <c r="C149" s="91"/>
      <c r="D149" s="91"/>
      <c r="E149" s="91"/>
      <c r="F149" s="91"/>
      <c r="G149" s="91"/>
      <c r="H149" s="23">
        <f>I149/$I$113</f>
        <v>2.6638252530633993E-2</v>
      </c>
      <c r="I149" s="24">
        <f>($D$157/$E$159)*H159</f>
        <v>164.98844270016457</v>
      </c>
    </row>
    <row r="150" spans="1:10" ht="15" customHeight="1" x14ac:dyDescent="0.25">
      <c r="A150" s="14">
        <v>4</v>
      </c>
      <c r="B150" s="91" t="s">
        <v>140</v>
      </c>
      <c r="C150" s="91"/>
      <c r="D150" s="91"/>
      <c r="E150" s="91"/>
      <c r="F150" s="91"/>
      <c r="G150" s="91"/>
      <c r="H150" s="23">
        <f>I150/$I$113</f>
        <v>0</v>
      </c>
      <c r="I150" s="24">
        <f>($D$157/$E$159)*H160</f>
        <v>0</v>
      </c>
    </row>
    <row r="151" spans="1:10" ht="15" customHeight="1" x14ac:dyDescent="0.25">
      <c r="A151" s="14">
        <v>5</v>
      </c>
      <c r="B151" s="91" t="s">
        <v>141</v>
      </c>
      <c r="C151" s="91"/>
      <c r="D151" s="91"/>
      <c r="E151" s="91"/>
      <c r="F151" s="91"/>
      <c r="G151" s="91"/>
      <c r="H151" s="23">
        <f>I151/$I$113</f>
        <v>0</v>
      </c>
      <c r="I151" s="24">
        <f>($D$157/$E$159)*H161</f>
        <v>0</v>
      </c>
    </row>
    <row r="152" spans="1:10" ht="15" customHeight="1" x14ac:dyDescent="0.25">
      <c r="A152" s="106" t="s">
        <v>142</v>
      </c>
      <c r="B152" s="106"/>
      <c r="C152" s="106"/>
      <c r="D152" s="106"/>
      <c r="E152" s="106"/>
      <c r="F152" s="106"/>
      <c r="G152" s="106"/>
      <c r="H152" s="25">
        <f>H147+H148+H149+H150+H151</f>
        <v>6.5530101225359613E-2</v>
      </c>
      <c r="I152" s="26">
        <f>SUM(I147:I151)</f>
        <v>405.87156904240481</v>
      </c>
    </row>
    <row r="153" spans="1:10" ht="11.25" customHeight="1" x14ac:dyDescent="0.25">
      <c r="A153" s="29" t="s">
        <v>143</v>
      </c>
      <c r="B153" s="109" t="s">
        <v>144</v>
      </c>
      <c r="C153" s="109"/>
      <c r="D153" s="109"/>
      <c r="E153" s="109"/>
      <c r="F153" s="109"/>
      <c r="G153" s="109"/>
      <c r="H153" s="109"/>
      <c r="I153" s="109"/>
    </row>
    <row r="154" spans="1:10" ht="20.25" customHeight="1" x14ac:dyDescent="0.25">
      <c r="A154" s="29" t="s">
        <v>145</v>
      </c>
      <c r="B154" s="121" t="s">
        <v>146</v>
      </c>
      <c r="C154" s="121"/>
      <c r="D154" s="121"/>
      <c r="E154" s="121"/>
      <c r="F154" s="121"/>
      <c r="G154" s="121"/>
      <c r="H154" s="121"/>
      <c r="I154" s="121"/>
    </row>
    <row r="155" spans="1:10" ht="13.5" customHeight="1" x14ac:dyDescent="0.25">
      <c r="A155" s="112" t="s">
        <v>147</v>
      </c>
      <c r="B155" s="112"/>
      <c r="C155" s="112"/>
      <c r="D155" s="112"/>
      <c r="E155" s="112"/>
      <c r="F155" s="112"/>
      <c r="G155" s="112"/>
      <c r="H155" s="112"/>
      <c r="I155" s="112"/>
    </row>
    <row r="156" spans="1:10" ht="13.5" customHeight="1" x14ac:dyDescent="0.25">
      <c r="A156" s="88" t="s">
        <v>148</v>
      </c>
      <c r="B156" s="88"/>
      <c r="C156" s="3" t="s">
        <v>149</v>
      </c>
      <c r="D156" s="122" t="s">
        <v>150</v>
      </c>
      <c r="E156" s="122"/>
      <c r="F156" s="3" t="s">
        <v>151</v>
      </c>
      <c r="G156" s="3" t="s">
        <v>152</v>
      </c>
      <c r="H156" s="123" t="s">
        <v>153</v>
      </c>
      <c r="I156" s="123"/>
    </row>
    <row r="157" spans="1:10" ht="13.5" customHeight="1" x14ac:dyDescent="0.25">
      <c r="A157" s="124">
        <f>I113</f>
        <v>6193.6661389641777</v>
      </c>
      <c r="B157" s="124"/>
      <c r="C157" s="24">
        <f>I143</f>
        <v>0</v>
      </c>
      <c r="D157" s="125">
        <f>A157+C157</f>
        <v>6193.6661389641777</v>
      </c>
      <c r="E157" s="125"/>
      <c r="F157" s="14" t="s">
        <v>138</v>
      </c>
      <c r="G157" s="43">
        <v>1.6500000000000001E-2</v>
      </c>
      <c r="H157" s="126">
        <v>6.4999999999999997E-3</v>
      </c>
      <c r="I157" s="126"/>
      <c r="J157" s="34"/>
    </row>
    <row r="158" spans="1:10" ht="13.5" customHeight="1" x14ac:dyDescent="0.25">
      <c r="A158" s="140" t="s">
        <v>154</v>
      </c>
      <c r="B158" s="140"/>
      <c r="C158" s="14">
        <v>1</v>
      </c>
      <c r="D158" s="63">
        <f>G162/1</f>
        <v>0.11749999999999999</v>
      </c>
      <c r="E158" s="64">
        <f>C158-D158</f>
        <v>0.88250000000000006</v>
      </c>
      <c r="F158" s="14" t="s">
        <v>139</v>
      </c>
      <c r="G158" s="43">
        <v>7.5999999999999998E-2</v>
      </c>
      <c r="H158" s="126">
        <v>0.03</v>
      </c>
      <c r="I158" s="126"/>
    </row>
    <row r="159" spans="1:10" ht="13.5" customHeight="1" x14ac:dyDescent="0.25">
      <c r="A159" s="127" t="s">
        <v>155</v>
      </c>
      <c r="B159" s="127"/>
      <c r="C159" s="14">
        <v>1</v>
      </c>
      <c r="D159" s="63">
        <f>H162</f>
        <v>6.1499999999999999E-2</v>
      </c>
      <c r="E159" s="65">
        <f>C159-D159</f>
        <v>0.9385</v>
      </c>
      <c r="F159" s="14" t="s">
        <v>14</v>
      </c>
      <c r="G159" s="43">
        <f>I11</f>
        <v>2.5000000000000001E-2</v>
      </c>
      <c r="H159" s="126">
        <f>I11</f>
        <v>2.5000000000000001E-2</v>
      </c>
      <c r="I159" s="126"/>
    </row>
    <row r="160" spans="1:10" ht="13.5" customHeight="1" x14ac:dyDescent="0.25">
      <c r="A160" s="127" t="s">
        <v>156</v>
      </c>
      <c r="B160" s="127"/>
      <c r="C160" s="14">
        <v>1</v>
      </c>
      <c r="D160" s="66">
        <v>0.09</v>
      </c>
      <c r="E160" s="67">
        <f>C160-D160</f>
        <v>0.91</v>
      </c>
      <c r="F160" s="14" t="s">
        <v>157</v>
      </c>
      <c r="G160" s="43">
        <v>0</v>
      </c>
      <c r="H160" s="126">
        <v>0</v>
      </c>
      <c r="I160" s="126"/>
    </row>
    <row r="161" spans="1:10" ht="13.5" customHeight="1" x14ac:dyDescent="0.25">
      <c r="A161" s="141" t="s">
        <v>158</v>
      </c>
      <c r="B161" s="141" t="s">
        <v>159</v>
      </c>
      <c r="C161" s="141"/>
      <c r="D161" s="141"/>
      <c r="E161" s="141"/>
      <c r="F161" s="12" t="s">
        <v>160</v>
      </c>
      <c r="G161" s="43">
        <v>0</v>
      </c>
      <c r="H161" s="126">
        <v>0</v>
      </c>
      <c r="I161" s="126"/>
    </row>
    <row r="162" spans="1:10" ht="18" customHeight="1" x14ac:dyDescent="0.25">
      <c r="A162" s="141"/>
      <c r="B162" s="141"/>
      <c r="C162" s="141"/>
      <c r="D162" s="141"/>
      <c r="E162" s="141"/>
      <c r="F162" s="3" t="s">
        <v>161</v>
      </c>
      <c r="G162" s="68">
        <f>SUM(G157:G161)</f>
        <v>0.11749999999999999</v>
      </c>
      <c r="H162" s="129">
        <f>SUM(H157:I161)</f>
        <v>6.1499999999999999E-2</v>
      </c>
      <c r="I162" s="129"/>
    </row>
    <row r="163" spans="1:10" ht="59.25" customHeight="1" x14ac:dyDescent="0.25">
      <c r="A163" s="142" t="s">
        <v>162</v>
      </c>
      <c r="B163" s="142"/>
      <c r="C163" s="142"/>
      <c r="D163" s="142"/>
      <c r="E163" s="142"/>
      <c r="F163" s="142"/>
      <c r="G163" s="142"/>
      <c r="H163" s="142"/>
      <c r="I163" s="142"/>
    </row>
    <row r="164" spans="1:10" ht="13.5" customHeight="1" x14ac:dyDescent="0.25">
      <c r="A164" s="29" t="s">
        <v>163</v>
      </c>
      <c r="B164" s="121" t="s">
        <v>164</v>
      </c>
      <c r="C164" s="121"/>
      <c r="D164" s="121"/>
      <c r="E164" s="121"/>
      <c r="F164" s="121"/>
      <c r="G164" s="121"/>
      <c r="H164" s="121"/>
      <c r="I164" s="121"/>
    </row>
    <row r="165" spans="1:10" ht="4.5" customHeight="1" x14ac:dyDescent="0.25">
      <c r="A165" s="69"/>
      <c r="B165" s="131"/>
      <c r="C165" s="131"/>
      <c r="D165" s="131"/>
      <c r="E165" s="131"/>
      <c r="F165" s="131"/>
      <c r="G165" s="131"/>
      <c r="H165" s="131"/>
      <c r="I165" s="131"/>
    </row>
    <row r="166" spans="1:10" ht="12" customHeight="1" x14ac:dyDescent="0.25">
      <c r="A166" s="115" t="s">
        <v>165</v>
      </c>
      <c r="B166" s="115"/>
      <c r="C166" s="115"/>
      <c r="D166" s="115"/>
      <c r="E166" s="115"/>
      <c r="F166" s="115"/>
      <c r="G166" s="115"/>
      <c r="H166" s="47">
        <f>H152</f>
        <v>6.5530101225359613E-2</v>
      </c>
      <c r="I166" s="48">
        <f>I152</f>
        <v>405.87156904240481</v>
      </c>
    </row>
    <row r="167" spans="1:10" ht="4.5" customHeight="1" x14ac:dyDescent="0.25"/>
    <row r="168" spans="1:10" ht="11.25" customHeight="1" x14ac:dyDescent="0.25">
      <c r="A168" s="132" t="s">
        <v>166</v>
      </c>
      <c r="B168" s="132"/>
      <c r="C168" s="132"/>
      <c r="D168" s="132"/>
      <c r="E168" s="132"/>
      <c r="F168" s="132"/>
      <c r="G168" s="132"/>
      <c r="H168" s="132"/>
      <c r="I168" s="132"/>
    </row>
    <row r="169" spans="1:10" ht="11.25" customHeight="1" x14ac:dyDescent="0.25">
      <c r="A169" s="103" t="s">
        <v>35</v>
      </c>
      <c r="B169" s="103"/>
      <c r="C169" s="103"/>
      <c r="D169" s="103"/>
      <c r="E169" s="103"/>
      <c r="F169" s="103"/>
      <c r="G169" s="103"/>
      <c r="H169" s="103"/>
      <c r="I169" s="103"/>
    </row>
    <row r="170" spans="1:10" ht="15" customHeight="1" x14ac:dyDescent="0.25">
      <c r="A170" s="14">
        <v>1</v>
      </c>
      <c r="B170" s="91" t="s">
        <v>167</v>
      </c>
      <c r="C170" s="91"/>
      <c r="D170" s="91"/>
      <c r="E170" s="91"/>
      <c r="F170" s="91"/>
      <c r="G170" s="91"/>
      <c r="H170" s="23">
        <f>I170/$G$187</f>
        <v>0.50261749318831095</v>
      </c>
      <c r="I170" s="70">
        <f>I55</f>
        <v>3317.043099</v>
      </c>
    </row>
    <row r="171" spans="1:10" ht="15" customHeight="1" x14ac:dyDescent="0.25">
      <c r="A171" s="14">
        <v>2</v>
      </c>
      <c r="B171" s="91" t="s">
        <v>168</v>
      </c>
      <c r="C171" s="91"/>
      <c r="D171" s="91"/>
      <c r="E171" s="91"/>
      <c r="F171" s="91"/>
      <c r="G171" s="91"/>
      <c r="H171" s="23">
        <f>I171/$G$187</f>
        <v>0.37774570739094726</v>
      </c>
      <c r="I171" s="70">
        <f>I66+I78+I85+I89</f>
        <v>2492.9470399641773</v>
      </c>
    </row>
    <row r="172" spans="1:10" ht="15" customHeight="1" x14ac:dyDescent="0.25">
      <c r="A172" s="14">
        <v>3</v>
      </c>
      <c r="B172" s="91" t="s">
        <v>169</v>
      </c>
      <c r="C172" s="91"/>
      <c r="D172" s="91"/>
      <c r="E172" s="91"/>
      <c r="F172" s="91"/>
      <c r="G172" s="91"/>
      <c r="H172" s="23">
        <f>I172/$G$187</f>
        <v>5.813679942074168E-2</v>
      </c>
      <c r="I172" s="70">
        <f>I99</f>
        <v>383.67599999999999</v>
      </c>
    </row>
    <row r="173" spans="1:10" s="28" customFormat="1" ht="15" customHeight="1" x14ac:dyDescent="0.25">
      <c r="A173" s="115" t="s">
        <v>170</v>
      </c>
      <c r="B173" s="115"/>
      <c r="C173" s="115"/>
      <c r="D173" s="115"/>
      <c r="E173" s="115"/>
      <c r="F173" s="115"/>
      <c r="G173" s="115"/>
      <c r="H173" s="47">
        <f>H170+H171+H172</f>
        <v>0.93849999999999989</v>
      </c>
      <c r="I173" s="48">
        <f>SUM(I170:I172)</f>
        <v>6193.6661389641777</v>
      </c>
      <c r="J173" s="35"/>
    </row>
    <row r="174" spans="1:10" ht="4.5" customHeight="1" x14ac:dyDescent="0.25"/>
    <row r="175" spans="1:10" ht="11.25" customHeight="1" x14ac:dyDescent="0.25">
      <c r="A175" s="103" t="s">
        <v>110</v>
      </c>
      <c r="B175" s="103"/>
      <c r="C175" s="103"/>
      <c r="D175" s="103"/>
      <c r="E175" s="103"/>
      <c r="F175" s="103"/>
      <c r="G175" s="103"/>
      <c r="H175" s="103"/>
      <c r="I175" s="103"/>
    </row>
    <row r="176" spans="1:10" ht="15" customHeight="1" x14ac:dyDescent="0.25">
      <c r="A176" s="14">
        <v>1</v>
      </c>
      <c r="B176" s="91" t="s">
        <v>171</v>
      </c>
      <c r="C176" s="91"/>
      <c r="D176" s="91"/>
      <c r="E176" s="91"/>
      <c r="F176" s="91"/>
      <c r="G176" s="91"/>
      <c r="H176" s="23">
        <f>I176/$G$187</f>
        <v>0</v>
      </c>
      <c r="I176" s="24">
        <f>I123</f>
        <v>0</v>
      </c>
    </row>
    <row r="177" spans="1:11" ht="15" customHeight="1" x14ac:dyDescent="0.25">
      <c r="A177" s="14">
        <v>2</v>
      </c>
      <c r="B177" s="91" t="s">
        <v>172</v>
      </c>
      <c r="C177" s="91"/>
      <c r="D177" s="91"/>
      <c r="E177" s="91"/>
      <c r="F177" s="91"/>
      <c r="G177" s="91"/>
      <c r="H177" s="23">
        <f>I177/$G$187</f>
        <v>0</v>
      </c>
      <c r="I177" s="24">
        <f>I133</f>
        <v>0</v>
      </c>
    </row>
    <row r="178" spans="1:11" ht="15" customHeight="1" x14ac:dyDescent="0.25">
      <c r="A178" s="14">
        <v>3</v>
      </c>
      <c r="B178" s="91" t="s">
        <v>173</v>
      </c>
      <c r="C178" s="91"/>
      <c r="D178" s="91"/>
      <c r="E178" s="91"/>
      <c r="F178" s="91"/>
      <c r="G178" s="91"/>
      <c r="H178" s="23">
        <f>I178/$G$187</f>
        <v>0</v>
      </c>
      <c r="I178" s="24">
        <f>I137</f>
        <v>0</v>
      </c>
    </row>
    <row r="179" spans="1:11" ht="15" customHeight="1" x14ac:dyDescent="0.25">
      <c r="A179" s="115" t="s">
        <v>174</v>
      </c>
      <c r="B179" s="115"/>
      <c r="C179" s="115"/>
      <c r="D179" s="115"/>
      <c r="E179" s="115"/>
      <c r="F179" s="115"/>
      <c r="G179" s="115"/>
      <c r="H179" s="47">
        <f>H176+H177+H178</f>
        <v>0</v>
      </c>
      <c r="I179" s="48">
        <f>I176+I177+I178</f>
        <v>0</v>
      </c>
    </row>
    <row r="180" spans="1:11" ht="4.5" customHeight="1" x14ac:dyDescent="0.25"/>
    <row r="181" spans="1:11" ht="11.25" customHeight="1" x14ac:dyDescent="0.25">
      <c r="A181" s="103" t="s">
        <v>136</v>
      </c>
      <c r="B181" s="103"/>
      <c r="C181" s="103"/>
      <c r="D181" s="103"/>
      <c r="E181" s="103"/>
      <c r="F181" s="103"/>
      <c r="G181" s="103"/>
      <c r="H181" s="103"/>
      <c r="I181" s="103"/>
    </row>
    <row r="182" spans="1:11" ht="15" customHeight="1" x14ac:dyDescent="0.25">
      <c r="A182" s="14">
        <v>1</v>
      </c>
      <c r="B182" s="91" t="s">
        <v>175</v>
      </c>
      <c r="C182" s="91"/>
      <c r="D182" s="91"/>
      <c r="E182" s="91"/>
      <c r="F182" s="91"/>
      <c r="G182" s="91"/>
      <c r="H182" s="23">
        <f>I182/$G$187</f>
        <v>6.1499999999999999E-2</v>
      </c>
      <c r="I182" s="24">
        <f>I152</f>
        <v>405.87156904240481</v>
      </c>
    </row>
    <row r="183" spans="1:11" ht="15" customHeight="1" x14ac:dyDescent="0.25">
      <c r="A183" s="115" t="s">
        <v>176</v>
      </c>
      <c r="B183" s="115"/>
      <c r="C183" s="115"/>
      <c r="D183" s="115"/>
      <c r="E183" s="115"/>
      <c r="F183" s="115"/>
      <c r="G183" s="115"/>
      <c r="H183" s="47">
        <f>H182</f>
        <v>6.1499999999999999E-2</v>
      </c>
      <c r="I183" s="48">
        <f>I152</f>
        <v>405.87156904240481</v>
      </c>
      <c r="K183" s="41"/>
    </row>
    <row r="184" spans="1:11" ht="4.5" customHeight="1" x14ac:dyDescent="0.25"/>
    <row r="185" spans="1:11" ht="11.25" customHeight="1" x14ac:dyDescent="0.25">
      <c r="A185" s="133" t="s">
        <v>166</v>
      </c>
      <c r="B185" s="133"/>
      <c r="C185" s="133"/>
      <c r="D185" s="133"/>
      <c r="E185" s="133"/>
      <c r="F185" s="133"/>
      <c r="G185" s="133"/>
      <c r="H185" s="133"/>
      <c r="I185" s="133"/>
    </row>
    <row r="186" spans="1:11" ht="45" customHeight="1" x14ac:dyDescent="0.25">
      <c r="A186" s="134" t="s">
        <v>177</v>
      </c>
      <c r="B186" s="134"/>
      <c r="C186" s="134"/>
      <c r="D186" s="134"/>
      <c r="E186" s="134"/>
      <c r="F186" s="134"/>
      <c r="G186" s="71" t="s">
        <v>178</v>
      </c>
      <c r="H186" s="71" t="s">
        <v>179</v>
      </c>
      <c r="I186" s="71" t="s">
        <v>180</v>
      </c>
    </row>
    <row r="187" spans="1:11" ht="11.25" customHeight="1" x14ac:dyDescent="0.25">
      <c r="A187" s="135" t="str">
        <f>D5</f>
        <v>Vigilante Armado Noturno</v>
      </c>
      <c r="B187" s="135"/>
      <c r="C187" s="135"/>
      <c r="D187" s="135"/>
      <c r="E187" s="135"/>
      <c r="F187" s="135"/>
      <c r="G187" s="72">
        <f>I173+I179+I183</f>
        <v>6599.5377080065828</v>
      </c>
      <c r="H187" s="71">
        <f>IF(D6="12x36",2,1)</f>
        <v>2</v>
      </c>
      <c r="I187" s="72">
        <f>G187*H187</f>
        <v>13199.075416013166</v>
      </c>
    </row>
    <row r="188" spans="1:11" x14ac:dyDescent="0.25">
      <c r="A188" s="135"/>
      <c r="B188" s="135"/>
      <c r="C188" s="135"/>
      <c r="D188" s="135"/>
      <c r="E188" s="135"/>
      <c r="F188" s="135"/>
      <c r="G188" s="71"/>
      <c r="H188" s="71"/>
      <c r="I188" s="72"/>
    </row>
    <row r="189" spans="1:11" s="28" customFormat="1" ht="12" customHeight="1" x14ac:dyDescent="0.25">
      <c r="A189" s="136" t="s">
        <v>181</v>
      </c>
      <c r="B189" s="136"/>
      <c r="C189" s="136"/>
      <c r="D189" s="136"/>
      <c r="E189" s="136"/>
      <c r="F189" s="136"/>
      <c r="G189" s="136"/>
      <c r="H189" s="136"/>
      <c r="I189" s="73">
        <f>I187</f>
        <v>13199.075416013166</v>
      </c>
      <c r="J189" s="35"/>
    </row>
  </sheetData>
  <mergeCells count="187">
    <mergeCell ref="A179:G179"/>
    <mergeCell ref="A181:I181"/>
    <mergeCell ref="B182:G182"/>
    <mergeCell ref="A183:G183"/>
    <mergeCell ref="A185:I185"/>
    <mergeCell ref="A186:F186"/>
    <mergeCell ref="A187:F187"/>
    <mergeCell ref="A188:F188"/>
    <mergeCell ref="A189:H189"/>
    <mergeCell ref="A169:I169"/>
    <mergeCell ref="B170:G170"/>
    <mergeCell ref="B171:G171"/>
    <mergeCell ref="B172:G172"/>
    <mergeCell ref="A173:G173"/>
    <mergeCell ref="A175:I175"/>
    <mergeCell ref="B176:G176"/>
    <mergeCell ref="B177:G177"/>
    <mergeCell ref="B178:G178"/>
    <mergeCell ref="A161:A162"/>
    <mergeCell ref="B161:E162"/>
    <mergeCell ref="H161:I161"/>
    <mergeCell ref="H162:I162"/>
    <mergeCell ref="A163:I163"/>
    <mergeCell ref="B164:I164"/>
    <mergeCell ref="B165:I165"/>
    <mergeCell ref="A166:G166"/>
    <mergeCell ref="A168:I168"/>
    <mergeCell ref="A157:B157"/>
    <mergeCell ref="D157:E157"/>
    <mergeCell ref="H157:I157"/>
    <mergeCell ref="A158:B158"/>
    <mergeCell ref="H158:I158"/>
    <mergeCell ref="A159:B159"/>
    <mergeCell ref="H159:I159"/>
    <mergeCell ref="A160:B160"/>
    <mergeCell ref="H160:I160"/>
    <mergeCell ref="B150:G150"/>
    <mergeCell ref="B151:G151"/>
    <mergeCell ref="A152:G152"/>
    <mergeCell ref="B153:I153"/>
    <mergeCell ref="B154:I154"/>
    <mergeCell ref="A155:I155"/>
    <mergeCell ref="A156:B156"/>
    <mergeCell ref="D156:E156"/>
    <mergeCell ref="H156:I156"/>
    <mergeCell ref="A139:E139"/>
    <mergeCell ref="A140:B140"/>
    <mergeCell ref="A141:B141"/>
    <mergeCell ref="A143:G143"/>
    <mergeCell ref="A145:I145"/>
    <mergeCell ref="B146:G146"/>
    <mergeCell ref="B147:G147"/>
    <mergeCell ref="B148:G148"/>
    <mergeCell ref="B149:G149"/>
    <mergeCell ref="A128:B128"/>
    <mergeCell ref="B129:I129"/>
    <mergeCell ref="B130:G130"/>
    <mergeCell ref="B131:G131"/>
    <mergeCell ref="B132:G132"/>
    <mergeCell ref="A133:G133"/>
    <mergeCell ref="B135:G135"/>
    <mergeCell ref="B136:G136"/>
    <mergeCell ref="A137:G137"/>
    <mergeCell ref="B118:G118"/>
    <mergeCell ref="B119:G119"/>
    <mergeCell ref="B120:G120"/>
    <mergeCell ref="B121:G121"/>
    <mergeCell ref="B122:G122"/>
    <mergeCell ref="A123:G123"/>
    <mergeCell ref="B124:I124"/>
    <mergeCell ref="A126:E126"/>
    <mergeCell ref="A127:B127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12"/>
  <sheetViews>
    <sheetView tabSelected="1" view="pageBreakPreview" zoomScaleNormal="100" workbookViewId="0">
      <selection activeCell="E21" sqref="E21"/>
    </sheetView>
  </sheetViews>
  <sheetFormatPr defaultColWidth="8.42578125" defaultRowHeight="15" x14ac:dyDescent="0.25"/>
  <cols>
    <col min="1" max="1" width="24.7109375" style="77" bestFit="1" customWidth="1"/>
    <col min="2" max="2" width="13.42578125" style="77" bestFit="1" customWidth="1"/>
    <col min="3" max="3" width="13.28515625" style="77" customWidth="1"/>
    <col min="4" max="4" width="28.5703125" style="77" bestFit="1" customWidth="1"/>
    <col min="5" max="5" width="13.5703125" style="77" bestFit="1" customWidth="1"/>
    <col min="6" max="6" width="7.140625" style="77" customWidth="1"/>
    <col min="7" max="7" width="14" style="77" customWidth="1"/>
    <col min="8" max="16384" width="8.42578125" style="77"/>
  </cols>
  <sheetData>
    <row r="2" spans="1:7" x14ac:dyDescent="0.25">
      <c r="A2" s="143" t="s">
        <v>193</v>
      </c>
      <c r="B2" s="143"/>
      <c r="C2" s="143"/>
      <c r="D2" s="143"/>
      <c r="E2" s="143"/>
      <c r="F2" s="143"/>
      <c r="G2" s="143"/>
    </row>
    <row r="3" spans="1:7" ht="29.25" customHeight="1" x14ac:dyDescent="0.25">
      <c r="A3" s="78" t="s">
        <v>194</v>
      </c>
      <c r="B3" s="78" t="s">
        <v>195</v>
      </c>
      <c r="C3" s="78" t="s">
        <v>196</v>
      </c>
      <c r="D3" s="78" t="s">
        <v>197</v>
      </c>
      <c r="E3" s="79" t="s">
        <v>98</v>
      </c>
      <c r="F3" s="79" t="s">
        <v>198</v>
      </c>
      <c r="G3" s="79" t="s">
        <v>199</v>
      </c>
    </row>
    <row r="4" spans="1:7" x14ac:dyDescent="0.25">
      <c r="A4" s="80" t="s">
        <v>211</v>
      </c>
      <c r="B4" s="80" t="s">
        <v>213</v>
      </c>
      <c r="C4" s="81" t="s">
        <v>215</v>
      </c>
      <c r="D4" s="81" t="s">
        <v>216</v>
      </c>
      <c r="E4" s="82">
        <f>'Vigilante Armado Diurno'!I178</f>
        <v>11172.916433592807</v>
      </c>
      <c r="F4" s="83">
        <v>7</v>
      </c>
      <c r="G4" s="82">
        <f t="shared" ref="G4:G5" si="0">F4*E4</f>
        <v>78210.41503514965</v>
      </c>
    </row>
    <row r="5" spans="1:7" x14ac:dyDescent="0.25">
      <c r="A5" s="80" t="s">
        <v>212</v>
      </c>
      <c r="B5" s="80" t="s">
        <v>214</v>
      </c>
      <c r="C5" s="81" t="s">
        <v>215</v>
      </c>
      <c r="D5" s="81" t="s">
        <v>216</v>
      </c>
      <c r="E5" s="82">
        <f>'Vigilante Armado Noturno'!I189</f>
        <v>13199.075416013166</v>
      </c>
      <c r="F5" s="83">
        <v>7</v>
      </c>
      <c r="G5" s="82">
        <f t="shared" si="0"/>
        <v>92393.527912092162</v>
      </c>
    </row>
    <row r="6" spans="1:7" x14ac:dyDescent="0.25">
      <c r="A6" s="144" t="s">
        <v>161</v>
      </c>
      <c r="B6" s="144"/>
      <c r="C6" s="144"/>
      <c r="D6" s="144"/>
      <c r="E6" s="144"/>
      <c r="F6" s="84">
        <f>SUM(F4:F5)</f>
        <v>14</v>
      </c>
      <c r="G6" s="85">
        <f>SUM(G4:G5)</f>
        <v>170603.94294724183</v>
      </c>
    </row>
    <row r="9" spans="1:7" x14ac:dyDescent="0.25">
      <c r="G9" s="86"/>
    </row>
    <row r="12" spans="1:7" x14ac:dyDescent="0.25">
      <c r="A12" s="87"/>
      <c r="B12" s="87"/>
      <c r="C12" s="87"/>
      <c r="D12" s="87"/>
    </row>
  </sheetData>
  <mergeCells count="2">
    <mergeCell ref="A2:G2"/>
    <mergeCell ref="A6:E6"/>
  </mergeCells>
  <pageMargins left="0.51180555555555596" right="0.51180555555555596" top="0.78749999999999998" bottom="0.78749999999999998" header="0.511811023622047" footer="0.511811023622047"/>
  <pageSetup paperSize="9" scale="8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Vigilante Armado Diurno</vt:lpstr>
      <vt:lpstr>Vigilante Armado Noturno</vt:lpstr>
      <vt:lpstr>Resumo</vt:lpstr>
      <vt:lpstr>'Vigilante Armado Diurno'!Area_de_impressao</vt:lpstr>
      <vt:lpstr>'Vigilante Armado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1</cp:revision>
  <cp:lastPrinted>2021-01-28T12:18:46Z</cp:lastPrinted>
  <dcterms:created xsi:type="dcterms:W3CDTF">2019-04-12T20:03:09Z</dcterms:created>
  <dcterms:modified xsi:type="dcterms:W3CDTF">2025-09-01T13:59:17Z</dcterms:modified>
  <dc:language>pt-BR</dc:language>
</cp:coreProperties>
</file>