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lucas-dutra\Downloads\"/>
    </mc:Choice>
  </mc:AlternateContent>
  <xr:revisionPtr revIDLastSave="0" documentId="8_{C78AE57B-AC69-41B5-A23E-0024BB11533D}" xr6:coauthVersionLast="47" xr6:coauthVersionMax="47" xr10:uidLastSave="{00000000-0000-0000-0000-000000000000}"/>
  <bookViews>
    <workbookView xWindow="-28920" yWindow="-105" windowWidth="29040" windowHeight="15720" tabRatio="500" activeTab="2" xr2:uid="{00000000-000D-0000-FFFF-FFFF00000000}"/>
  </bookViews>
  <sheets>
    <sheet name="Cargo diurno" sheetId="1" r:id="rId1"/>
    <sheet name="Cargo noturno" sheetId="2" r:id="rId2"/>
    <sheet name="Resumo" sheetId="3" r:id="rId3"/>
  </sheets>
  <externalReferences>
    <externalReference r:id="rId4"/>
    <externalReference r:id="rId5"/>
  </externalReferences>
  <definedNames>
    <definedName name="_xlnm.Print_Area" localSheetId="0">'Cargo diurno'!$A$1:$I$178</definedName>
    <definedName name="_xlnm.Print_Area" localSheetId="1">'Cargo noturno'!$A$1:$I$186</definedName>
    <definedName name="Auxiliar" localSheetId="1">#REF!</definedName>
    <definedName name="Auxiliar">#REF!</definedName>
    <definedName name="CUSTO_VALE_TRANSPORTE" localSheetId="1">#REF!</definedName>
    <definedName name="CUSTO_VALE_TRANSPORTE">#REF!</definedName>
    <definedName name="ecwece4c" localSheetId="1">#REF!</definedName>
    <definedName name="ecwece4c">#REF!</definedName>
    <definedName name="MOMB4">'[1]SERVENTE MANUTENCAO'!$I$144</definedName>
    <definedName name="MONA1" localSheetId="1">#REF!</definedName>
    <definedName name="MONA1">#REF!</definedName>
    <definedName name="MONA2" localSheetId="1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>#REF!</definedName>
    <definedName name="MONA6" localSheetId="1">#REF!</definedName>
    <definedName name="MONA6">#REF!</definedName>
    <definedName name="MONA7" localSheetId="1">#REF!</definedName>
    <definedName name="MONA7">#REF!</definedName>
    <definedName name="MONA8">[2]MECANICO_REFRIGERACAO!$I$138</definedName>
    <definedName name="MONB1" localSheetId="1">#REF!</definedName>
    <definedName name="MONB1">#REF!</definedName>
    <definedName name="MONB2" localSheetId="1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>#REF!</definedName>
    <definedName name="MONB6" localSheetId="1">#REF!</definedName>
    <definedName name="MONB6">#REF!</definedName>
    <definedName name="MONB7" localSheetId="1">#REF!</definedName>
    <definedName name="MONB7">#REF!</definedName>
    <definedName name="MONB8">[2]MECANICO_REFRIGERACAO!$I$144</definedName>
    <definedName name="MONC1" localSheetId="1">#REF!</definedName>
    <definedName name="MONC1">#REF!</definedName>
    <definedName name="MONC2" localSheetId="1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>#REF!</definedName>
    <definedName name="MONC6" localSheetId="1">#REF!</definedName>
    <definedName name="MONC6">#REF!</definedName>
    <definedName name="MONC7" localSheetId="1">#REF!</definedName>
    <definedName name="MONC7">#REF!</definedName>
    <definedName name="MONC8">[2]MECANICO_REFRIGERACAO!$I$148</definedName>
    <definedName name="mont" localSheetId="1">#REF!</definedName>
    <definedName name="mont">#REF!</definedName>
    <definedName name="MONTANTEA" localSheetId="1">#REF!</definedName>
    <definedName name="MONTANTEA">#REF!</definedName>
    <definedName name="MONTANTEA1" localSheetId="1">#REF!</definedName>
    <definedName name="MONTANTEA1">#REF!</definedName>
    <definedName name="MONTANTEA2" localSheetId="1">#REF!</definedName>
    <definedName name="MONTANTEA2">#REF!</definedName>
    <definedName name="MONTANTEB" localSheetId="1">#REF!</definedName>
    <definedName name="MONTANTEB">#REF!</definedName>
    <definedName name="MONTANTEB1" localSheetId="1">#REF!</definedName>
    <definedName name="MONTANTEB1">#REF!</definedName>
    <definedName name="MONTANTEB2" localSheetId="1">#REF!</definedName>
    <definedName name="MONTANTEB2">#REF!</definedName>
    <definedName name="MONTANTEC" localSheetId="1">#REF!</definedName>
    <definedName name="MONTANTEC">#REF!</definedName>
    <definedName name="MONTANTEC1" localSheetId="1">#REF!</definedName>
    <definedName name="MONTANTEC1">#REF!</definedName>
    <definedName name="MONTANTEC2" localSheetId="1">#REF!</definedName>
    <definedName name="MONTANTEC2">#REF!</definedName>
    <definedName name="ok" localSheetId="1">#REF!</definedName>
    <definedName name="ok">#REF!</definedName>
    <definedName name="REMUNERACAO1" localSheetId="1">#REF!</definedName>
    <definedName name="REMUNERACAO1">#REF!</definedName>
    <definedName name="REMUNERACAO2" localSheetId="1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>#REF!</definedName>
    <definedName name="REMUNERACAO6" localSheetId="1">#REF!</definedName>
    <definedName name="REMUNERACAO6">#REF!</definedName>
    <definedName name="REMUNERACAO7" localSheetId="1">#REF!</definedName>
    <definedName name="REMUNERACAO7">#REF!</definedName>
    <definedName name="REMUNERACAO8">[2]MECANICO_REFRIGERACAO!$I$30</definedName>
    <definedName name="TOTAL_MONT_A" localSheetId="1">#REF!</definedName>
    <definedName name="TOTAL_MONT_A">#REF!</definedName>
    <definedName name="TOTAL1" localSheetId="1">#REF!</definedName>
    <definedName name="TOTAL1">#REF!</definedName>
    <definedName name="TOTAL2" localSheetId="1">#REF!</definedName>
    <definedName name="TOTAL2">#REF!</definedName>
    <definedName name="VALE_TRANSPORTE" localSheetId="1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8" i="2" l="1"/>
  <c r="G5" i="2"/>
  <c r="F6" i="3" l="1"/>
  <c r="H184" i="2"/>
  <c r="A184" i="2"/>
  <c r="E157" i="2"/>
  <c r="H156" i="2"/>
  <c r="H159" i="2" s="1"/>
  <c r="D156" i="2" s="1"/>
  <c r="E156" i="2" s="1"/>
  <c r="G156" i="2"/>
  <c r="G159" i="2" s="1"/>
  <c r="D155" i="2" s="1"/>
  <c r="E155" i="2" s="1"/>
  <c r="I130" i="2"/>
  <c r="I174" i="2" s="1"/>
  <c r="F123" i="2"/>
  <c r="G108" i="2"/>
  <c r="A108" i="2"/>
  <c r="H107" i="2"/>
  <c r="G104" i="2"/>
  <c r="A104" i="2"/>
  <c r="G100" i="2"/>
  <c r="A100" i="2"/>
  <c r="I95" i="2"/>
  <c r="I94" i="2"/>
  <c r="H82" i="2"/>
  <c r="H75" i="2"/>
  <c r="H63" i="2"/>
  <c r="B51" i="2"/>
  <c r="I49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I37" i="2"/>
  <c r="F100" i="2" s="1"/>
  <c r="I33" i="2"/>
  <c r="I32" i="2"/>
  <c r="I31" i="2"/>
  <c r="I30" i="2"/>
  <c r="C104" i="2"/>
  <c r="C108" i="2"/>
  <c r="E108" i="2" s="1"/>
  <c r="I15" i="2"/>
  <c r="C100" i="2" s="1"/>
  <c r="G11" i="2"/>
  <c r="A6" i="2"/>
  <c r="I5" i="2"/>
  <c r="H176" i="1"/>
  <c r="A176" i="1"/>
  <c r="E149" i="1"/>
  <c r="H148" i="1"/>
  <c r="H151" i="1" s="1"/>
  <c r="D148" i="1" s="1"/>
  <c r="E148" i="1" s="1"/>
  <c r="G148" i="1"/>
  <c r="G151" i="1" s="1"/>
  <c r="D147" i="1" s="1"/>
  <c r="E147" i="1" s="1"/>
  <c r="I122" i="1"/>
  <c r="I166" i="1" s="1"/>
  <c r="F115" i="1"/>
  <c r="I107" i="1" s="1"/>
  <c r="G100" i="1"/>
  <c r="A100" i="1"/>
  <c r="E100" i="1" s="1"/>
  <c r="H99" i="1"/>
  <c r="G96" i="1"/>
  <c r="A96" i="1"/>
  <c r="G92" i="1"/>
  <c r="A92" i="1"/>
  <c r="I87" i="1"/>
  <c r="I86" i="1"/>
  <c r="H74" i="1"/>
  <c r="H67" i="1"/>
  <c r="H55" i="1"/>
  <c r="B43" i="1"/>
  <c r="I41" i="1"/>
  <c r="I42" i="1" s="1"/>
  <c r="I40" i="1"/>
  <c r="I39" i="1"/>
  <c r="I37" i="1"/>
  <c r="I36" i="1"/>
  <c r="I35" i="1"/>
  <c r="A34" i="1"/>
  <c r="A35" i="1" s="1"/>
  <c r="A36" i="1" s="1"/>
  <c r="A37" i="1" s="1"/>
  <c r="A38" i="1" s="1"/>
  <c r="A39" i="1" s="1"/>
  <c r="A40" i="1" s="1"/>
  <c r="A41" i="1" s="1"/>
  <c r="A42" i="1" s="1"/>
  <c r="A43" i="1" s="1"/>
  <c r="C96" i="1"/>
  <c r="I18" i="1"/>
  <c r="C100" i="1" s="1"/>
  <c r="C92" i="1"/>
  <c r="A6" i="1"/>
  <c r="I5" i="1"/>
  <c r="I33" i="1" s="1"/>
  <c r="G5" i="1"/>
  <c r="E100" i="2" l="1"/>
  <c r="I46" i="2"/>
  <c r="E104" i="2"/>
  <c r="I47" i="2"/>
  <c r="I48" i="2" s="1"/>
  <c r="I115" i="2"/>
  <c r="H100" i="2"/>
  <c r="I100" i="2" s="1"/>
  <c r="I93" i="2" s="1"/>
  <c r="F100" i="1"/>
  <c r="H100" i="1" s="1"/>
  <c r="I100" i="1" s="1"/>
  <c r="I83" i="1" s="1"/>
  <c r="F108" i="2"/>
  <c r="H108" i="2" s="1"/>
  <c r="I108" i="2" s="1"/>
  <c r="I91" i="2" s="1"/>
  <c r="F104" i="2"/>
  <c r="H104" i="2" s="1"/>
  <c r="I104" i="2" s="1"/>
  <c r="I92" i="2" s="1"/>
  <c r="E92" i="1"/>
  <c r="E96" i="1"/>
  <c r="F92" i="1"/>
  <c r="H92" i="1" s="1"/>
  <c r="I38" i="1"/>
  <c r="I34" i="1"/>
  <c r="H85" i="2"/>
  <c r="H86" i="2" s="1"/>
  <c r="H88" i="2" s="1"/>
  <c r="H77" i="1"/>
  <c r="H78" i="1" s="1"/>
  <c r="H80" i="1" s="1"/>
  <c r="I50" i="2"/>
  <c r="I43" i="2"/>
  <c r="I92" i="1" l="1"/>
  <c r="I85" i="1" s="1"/>
  <c r="I128" i="1" s="1"/>
  <c r="I96" i="2"/>
  <c r="I115" i="1"/>
  <c r="I136" i="2"/>
  <c r="I123" i="2"/>
  <c r="I39" i="2"/>
  <c r="I44" i="1"/>
  <c r="H38" i="1" s="1"/>
  <c r="F96" i="1"/>
  <c r="H96" i="1" s="1"/>
  <c r="I96" i="1" s="1"/>
  <c r="I84" i="1" s="1"/>
  <c r="H84" i="1" l="1"/>
  <c r="I88" i="1"/>
  <c r="I52" i="2"/>
  <c r="H39" i="2"/>
  <c r="H85" i="1"/>
  <c r="I72" i="1"/>
  <c r="I62" i="1"/>
  <c r="I52" i="1"/>
  <c r="H43" i="1"/>
  <c r="H35" i="1"/>
  <c r="H40" i="1"/>
  <c r="I63" i="1"/>
  <c r="I71" i="1"/>
  <c r="I61" i="1"/>
  <c r="I51" i="1"/>
  <c r="H41" i="1"/>
  <c r="I60" i="1"/>
  <c r="I50" i="1"/>
  <c r="A130" i="1"/>
  <c r="I77" i="1"/>
  <c r="I78" i="1" s="1"/>
  <c r="I59" i="1"/>
  <c r="I49" i="1"/>
  <c r="I53" i="1"/>
  <c r="I66" i="1"/>
  <c r="I48" i="1"/>
  <c r="A117" i="1"/>
  <c r="I65" i="1"/>
  <c r="I47" i="1"/>
  <c r="I73" i="1"/>
  <c r="I159" i="1"/>
  <c r="H87" i="1"/>
  <c r="I64" i="1"/>
  <c r="I54" i="1"/>
  <c r="H36" i="1"/>
  <c r="H33" i="1"/>
  <c r="H42" i="1"/>
  <c r="H39" i="1"/>
  <c r="H86" i="1"/>
  <c r="H37" i="1"/>
  <c r="H83" i="1"/>
  <c r="H34" i="1"/>
  <c r="G125" i="2"/>
  <c r="I169" i="2"/>
  <c r="G138" i="2"/>
  <c r="H44" i="1" l="1"/>
  <c r="H88" i="1"/>
  <c r="H102" i="1" s="1"/>
  <c r="I74" i="1"/>
  <c r="I81" i="2"/>
  <c r="I71" i="2"/>
  <c r="I61" i="2"/>
  <c r="H38" i="2"/>
  <c r="I80" i="2"/>
  <c r="I70" i="2"/>
  <c r="I60" i="2"/>
  <c r="H51" i="2"/>
  <c r="I79" i="2"/>
  <c r="I69" i="2"/>
  <c r="I59" i="2"/>
  <c r="I62" i="2"/>
  <c r="H44" i="2"/>
  <c r="I68" i="2"/>
  <c r="I58" i="2"/>
  <c r="H95" i="2"/>
  <c r="A138" i="2"/>
  <c r="I85" i="2"/>
  <c r="I86" i="2" s="1"/>
  <c r="I67" i="2"/>
  <c r="I57" i="2"/>
  <c r="I74" i="2"/>
  <c r="I56" i="2"/>
  <c r="H42" i="2"/>
  <c r="I167" i="2"/>
  <c r="A125" i="2"/>
  <c r="I73" i="2"/>
  <c r="I55" i="2"/>
  <c r="I72" i="2"/>
  <c r="H49" i="2"/>
  <c r="H41" i="2"/>
  <c r="H40" i="2"/>
  <c r="H37" i="2"/>
  <c r="H47" i="2"/>
  <c r="H45" i="2"/>
  <c r="H94" i="2"/>
  <c r="H46" i="2"/>
  <c r="H48" i="2"/>
  <c r="H43" i="2"/>
  <c r="H91" i="2"/>
  <c r="H92" i="2"/>
  <c r="H50" i="2"/>
  <c r="H93" i="2"/>
  <c r="I67" i="1"/>
  <c r="I55" i="1"/>
  <c r="G117" i="1"/>
  <c r="I161" i="1"/>
  <c r="G130" i="1"/>
  <c r="F117" i="1"/>
  <c r="F130" i="1"/>
  <c r="F138" i="2" l="1"/>
  <c r="F125" i="2"/>
  <c r="I82" i="2"/>
  <c r="I63" i="2"/>
  <c r="H96" i="2"/>
  <c r="I75" i="2"/>
  <c r="H52" i="2"/>
  <c r="C130" i="1"/>
  <c r="I160" i="1"/>
  <c r="C117" i="1"/>
  <c r="H117" i="1" s="1"/>
  <c r="I117" i="1" s="1"/>
  <c r="I80" i="1"/>
  <c r="I102" i="1" s="1"/>
  <c r="A146" i="1" s="1"/>
  <c r="D130" i="1"/>
  <c r="D117" i="1"/>
  <c r="E130" i="1"/>
  <c r="E117" i="1"/>
  <c r="H110" i="2" l="1"/>
  <c r="H130" i="1"/>
  <c r="I130" i="1" s="1"/>
  <c r="G128" i="1" s="1"/>
  <c r="H121" i="1"/>
  <c r="H120" i="1"/>
  <c r="H122" i="1" s="1"/>
  <c r="H106" i="1"/>
  <c r="H111" i="1"/>
  <c r="G115" i="1"/>
  <c r="I112" i="1" s="1"/>
  <c r="I165" i="1" s="1"/>
  <c r="H110" i="1"/>
  <c r="H108" i="1"/>
  <c r="H107" i="1"/>
  <c r="E138" i="2"/>
  <c r="E125" i="2"/>
  <c r="D138" i="2"/>
  <c r="D125" i="2"/>
  <c r="I88" i="2"/>
  <c r="I110" i="2" s="1"/>
  <c r="A154" i="2" s="1"/>
  <c r="C138" i="2"/>
  <c r="I168" i="2"/>
  <c r="C125" i="2"/>
  <c r="I162" i="1"/>
  <c r="H109" i="1" l="1"/>
  <c r="H125" i="1"/>
  <c r="H126" i="1" s="1"/>
  <c r="I126" i="1"/>
  <c r="H125" i="2"/>
  <c r="I125" i="2" s="1"/>
  <c r="I170" i="2"/>
  <c r="H112" i="1"/>
  <c r="H132" i="1" s="1"/>
  <c r="H138" i="2"/>
  <c r="I138" i="2" s="1"/>
  <c r="G123" i="2" l="1"/>
  <c r="I120" i="2" s="1"/>
  <c r="I173" i="2" s="1"/>
  <c r="H116" i="2"/>
  <c r="H115" i="2"/>
  <c r="H114" i="2"/>
  <c r="H119" i="2"/>
  <c r="H118" i="2"/>
  <c r="I167" i="1"/>
  <c r="I132" i="1"/>
  <c r="C146" i="1" s="1"/>
  <c r="D146" i="1" s="1"/>
  <c r="H129" i="2"/>
  <c r="G136" i="2"/>
  <c r="H128" i="2"/>
  <c r="H130" i="2" s="1"/>
  <c r="H117" i="2" l="1"/>
  <c r="H120" i="2"/>
  <c r="I134" i="2"/>
  <c r="H133" i="2"/>
  <c r="H134" i="2" s="1"/>
  <c r="I140" i="1"/>
  <c r="H140" i="1" s="1"/>
  <c r="I136" i="1"/>
  <c r="I139" i="1"/>
  <c r="H139" i="1" s="1"/>
  <c r="I138" i="1"/>
  <c r="H138" i="1" s="1"/>
  <c r="I137" i="1"/>
  <c r="H137" i="1" s="1"/>
  <c r="I168" i="1"/>
  <c r="H136" i="1" l="1"/>
  <c r="H141" i="1" s="1"/>
  <c r="H155" i="1" s="1"/>
  <c r="I141" i="1"/>
  <c r="I175" i="2"/>
  <c r="I140" i="2"/>
  <c r="C154" i="2" s="1"/>
  <c r="D154" i="2" s="1"/>
  <c r="H140" i="2"/>
  <c r="I148" i="2" l="1"/>
  <c r="H148" i="2" s="1"/>
  <c r="I144" i="2"/>
  <c r="I145" i="2"/>
  <c r="H145" i="2" s="1"/>
  <c r="I147" i="2"/>
  <c r="H147" i="2" s="1"/>
  <c r="I146" i="2"/>
  <c r="H146" i="2" s="1"/>
  <c r="I176" i="2"/>
  <c r="I155" i="1"/>
  <c r="I172" i="1"/>
  <c r="G176" i="1" s="1"/>
  <c r="I171" i="1"/>
  <c r="H171" i="1" l="1"/>
  <c r="H172" i="1" s="1"/>
  <c r="H144" i="2"/>
  <c r="H149" i="2" s="1"/>
  <c r="H163" i="2" s="1"/>
  <c r="I149" i="2"/>
  <c r="I176" i="1"/>
  <c r="I178" i="1" s="1"/>
  <c r="E4" i="3" s="1"/>
  <c r="G4" i="3" s="1"/>
  <c r="H166" i="1"/>
  <c r="H165" i="1"/>
  <c r="H159" i="1"/>
  <c r="H161" i="1"/>
  <c r="H160" i="1"/>
  <c r="H167" i="1"/>
  <c r="H162" i="1" l="1"/>
  <c r="H168" i="1"/>
  <c r="I163" i="2"/>
  <c r="I180" i="2"/>
  <c r="G184" i="2" s="1"/>
  <c r="I179" i="2"/>
  <c r="I184" i="2" l="1"/>
  <c r="I186" i="2" s="1"/>
  <c r="E5" i="3" s="1"/>
  <c r="G5" i="3" s="1"/>
  <c r="G6" i="3" s="1"/>
  <c r="H173" i="2"/>
  <c r="H174" i="2"/>
  <c r="H169" i="2"/>
  <c r="H167" i="2"/>
  <c r="H168" i="2"/>
  <c r="H175" i="2"/>
  <c r="H179" i="2"/>
  <c r="H180" i="2" s="1"/>
  <c r="H170" i="2" l="1"/>
  <c r="H176" i="2"/>
</calcChain>
</file>

<file path=xl/sharedStrings.xml><?xml version="1.0" encoding="utf-8"?>
<sst xmlns="http://schemas.openxmlformats.org/spreadsheetml/2006/main" count="559" uniqueCount="217">
  <si>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</si>
  <si>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</si>
  <si>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</si>
  <si>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</si>
  <si>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</si>
  <si>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</si>
  <si>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</si>
  <si>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</si>
  <si>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</si>
  <si>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</si>
  <si>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</si>
  <si>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</si>
  <si>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</si>
  <si>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</si>
  <si>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</si>
  <si>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</si>
  <si>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</si>
  <si>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</si>
  <si>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</si>
  <si>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</si>
  <si>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</si>
  <si>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</si>
  <si>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</si>
  <si>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</si>
  <si>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</si>
  <si>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</si>
  <si>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Outros benefícios que refletem na planilha de custos, caso constem na CCT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</si>
  <si>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</si>
  <si>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</si>
  <si>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</si>
  <si>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</si>
  <si>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</si>
  <si>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</si>
  <si>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</si>
  <si>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</si>
  <si>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</si>
  <si>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</si>
  <si>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</si>
  <si>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</si>
  <si>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</si>
  <si>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</si>
  <si>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</si>
  <si>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</si>
  <si>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</si>
  <si>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</si>
  <si>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</si>
  <si>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</si>
  <si>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</si>
  <si>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</si>
  <si>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</si>
  <si>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</si>
  <si>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</si>
  <si>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</si>
  <si>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</si>
  <si>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</si>
  <si>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</si>
  <si>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</si>
  <si>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</si>
  <si>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</si>
  <si>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</si>
  <si>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</si>
  <si>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</si>
  <si>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</si>
  <si>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</si>
  <si>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</si>
  <si>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</si>
  <si>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</si>
  <si>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</si>
  <si>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</si>
  <si>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</si>
  <si>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</si>
  <si>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</si>
  <si>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</si>
  <si>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</si>
  <si>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</si>
  <si>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</si>
  <si>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</si>
  <si>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</si>
  <si>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</si>
  <si>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</si>
  <si>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</si>
  <si>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</si>
  <si>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</si>
  <si>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</si>
  <si>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</si>
  <si>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</si>
  <si>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</si>
  <si>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</si>
  <si>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</si>
  <si>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</si>
  <si>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</si>
  <si>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</si>
  <si>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</si>
  <si>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</si>
  <si>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</si>
  <si>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</si>
  <si>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</si>
  <si>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</si>
  <si>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</si>
  <si>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</si>
  <si>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</si>
  <si>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</si>
  <si>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</si>
  <si>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</si>
  <si>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</si>
  <si>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</si>
  <si>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</si>
  <si>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</si>
  <si>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</si>
  <si>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</si>
  <si>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</si>
  <si>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</si>
  <si>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</si>
  <si>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</si>
  <si>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</si>
  <si>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</si>
  <si>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</si>
  <si>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</si>
  <si>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</si>
  <si>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</si>
  <si>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</si>
  <si>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</si>
  <si>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</si>
  <si>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</si>
  <si>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</si>
  <si>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</si>
  <si>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</si>
  <si>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</si>
  <si>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</si>
  <si>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</si>
  <si>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</si>
  <si>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</si>
  <si>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</si>
  <si>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</si>
  <si>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</si>
  <si>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</si>
  <si>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</si>
  <si>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</si>
  <si>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</si>
  <si>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</si>
  <si>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</si>
  <si>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</si>
  <si>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</si>
  <si>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</si>
  <si>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</si>
  <si>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</si>
  <si>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</si>
  <si>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</si>
  <si>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</si>
  <si>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</si>
  <si>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</si>
  <si>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</si>
  <si>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</si>
  <si>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</si>
  <si>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</si>
  <si>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</si>
  <si>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</si>
  <si>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</si>
  <si>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</si>
  <si>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</si>
  <si>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</si>
  <si>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</si>
  <si>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</si>
  <si>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</si>
  <si>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</si>
  <si>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</si>
  <si>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</si>
  <si>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</si>
  <si>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</si>
  <si>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</si>
  <si>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</si>
  <si>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</si>
  <si>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</si>
  <si>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</si>
  <si>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</si>
  <si>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</si>
  <si>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</si>
  <si>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</si>
  <si>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</si>
  <si>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</si>
  <si>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</si>
  <si>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</si>
  <si>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</si>
  <si>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</si>
  <si>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</si>
  <si>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</si>
  <si>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</si>
  <si>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</si>
  <si>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</si>
  <si>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</si>
  <si>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</si>
  <si>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</si>
  <si>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</si>
  <si>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</si>
  <si>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</si>
  <si>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</si>
  <si>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</si>
  <si>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</si>
  <si>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</si>
  <si>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</si>
  <si>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</si>
  <si>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</si>
  <si>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</si>
  <si>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</si>
  <si>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</si>
  <si>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</si>
  <si>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</si>
  <si>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24/2000-0141446-5</t>
  </si>
  <si>
    <t>VIGILANTE</t>
  </si>
  <si>
    <t>12x36</t>
  </si>
  <si>
    <t>RS000366/2024</t>
  </si>
  <si>
    <t>SANTA MARIA</t>
  </si>
  <si>
    <t>vigilante</t>
  </si>
  <si>
    <t>santa maria</t>
  </si>
  <si>
    <t>seg a dom</t>
  </si>
  <si>
    <t>12x36 diurno</t>
  </si>
  <si>
    <t>12x36 noturno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</si>
</sst>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_-* #,##0.00_-;\-* #,##0.00_-;_-* \-??_-;_-@_-"/>
  </numFmts>
  <fonts count="33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8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95B3D7"/>
        <bgColor rgb="FFA5A5A5"/>
      </patternFill>
    </fill>
    <fill>
      <patternFill patternType="solid">
        <fgColor rgb="FFC6D9F1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</cellStyleXfs>
  <cellXfs count="14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4" fontId="2" fillId="11" borderId="1" xfId="0" applyNumberFormat="1" applyFont="1" applyFill="1" applyBorder="1" applyAlignment="1">
      <alignment horizontal="center" vertical="center" wrapText="1"/>
    </xf>
    <xf numFmtId="4" fontId="14" fillId="11" borderId="1" xfId="0" applyNumberFormat="1" applyFont="1" applyFill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29" fillId="0" borderId="0" xfId="4"/>
    <xf numFmtId="0" fontId="27" fillId="13" borderId="1" xfId="4" applyFont="1" applyFill="1" applyBorder="1" applyAlignment="1">
      <alignment horizontal="center" vertical="center" wrapText="1"/>
    </xf>
    <xf numFmtId="0" fontId="26" fillId="13" borderId="1" xfId="4" applyFont="1" applyFill="1" applyBorder="1" applyAlignment="1">
      <alignment horizontal="center" vertical="center" wrapText="1"/>
    </xf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9" fillId="0" borderId="1" xfId="4" applyNumberFormat="1" applyBorder="1"/>
    <xf numFmtId="0" fontId="29" fillId="0" borderId="1" xfId="4" applyBorder="1" applyAlignment="1">
      <alignment horizontal="center"/>
    </xf>
    <xf numFmtId="0" fontId="26" fillId="0" borderId="1" xfId="4" applyFont="1" applyBorder="1" applyAlignment="1">
      <alignment horizontal="center"/>
    </xf>
    <xf numFmtId="164" fontId="26" fillId="0" borderId="1" xfId="4" applyNumberFormat="1" applyFont="1" applyBorder="1"/>
    <xf numFmtId="171" fontId="29" fillId="0" borderId="0" xfId="4" applyNumberFormat="1"/>
    <xf numFmtId="0" fontId="28" fillId="0" borderId="0" xfId="4" applyFont="1"/>
    <xf numFmtId="0" fontId="14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9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5" fillId="3" borderId="11" xfId="0" applyFont="1" applyFill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6" fillId="12" borderId="1" xfId="4" applyFont="1" applyFill="1" applyBorder="1" applyAlignment="1">
      <alignment horizontal="center"/>
    </xf>
    <xf numFmtId="0" fontId="26" fillId="0" borderId="1" xfId="4" applyFont="1" applyBorder="1" applyAlignment="1">
      <alignment horizontal="right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8"/>
  <sheetViews>
    <sheetView view="pageBreakPreview" topLeftCell="A163" zoomScale="130" zoomScaleNormal="130" zoomScalePageLayoutView="130" workbookViewId="0">
      <selection activeCell="I126" sqref="I126"/>
    </sheetView>
  </sheetViews>
  <sheetFormatPr defaultColWidth="9.140625" defaultRowHeight="11.25" x14ac:dyDescent="0.25"/>
  <cols>
    <col min="1" max="1" width="2.855468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K1" s="4"/>
    </row>
    <row r="2" spans="1:11" ht="22.5" customHeight="1" x14ac:dyDescent="0.25">
      <c r="A2" s="108" t="s">
        <v>1</v>
      </c>
      <c r="B2" s="108"/>
      <c r="C2" s="134" t="s">
        <v>207</v>
      </c>
      <c r="D2" s="134"/>
      <c r="E2" s="135" t="s">
        <v>2</v>
      </c>
      <c r="F2" s="135"/>
      <c r="G2" s="135"/>
      <c r="H2" s="135"/>
      <c r="I2" s="135"/>
    </row>
    <row r="3" spans="1:11" ht="11.25" customHeight="1" x14ac:dyDescent="0.25">
      <c r="A3" s="108" t="s">
        <v>3</v>
      </c>
      <c r="B3" s="108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90" t="s">
        <v>5</v>
      </c>
      <c r="B5" s="90"/>
      <c r="C5" s="90"/>
      <c r="D5" s="136" t="s">
        <v>208</v>
      </c>
      <c r="E5" s="136"/>
      <c r="F5" s="136"/>
      <c r="G5" s="137" t="str">
        <f>IF(D6="12x36","Regime de trabalho:","Quantidade de HORAS/MÊS")</f>
        <v>Regime de trabalho:</v>
      </c>
      <c r="H5" s="137"/>
      <c r="I5" s="138" t="str">
        <f>IF(D6="12x36",D6,5*D6)</f>
        <v>12x36</v>
      </c>
    </row>
    <row r="6" spans="1:11" ht="18.75" customHeight="1" x14ac:dyDescent="0.25">
      <c r="A6" s="117" t="str">
        <f>IF(D6="12x36","Regime de trabalho:","Regime de trabalho (horas semanais):")</f>
        <v>Regime de trabalho:</v>
      </c>
      <c r="B6" s="117"/>
      <c r="C6" s="117"/>
      <c r="D6" s="133" t="s">
        <v>209</v>
      </c>
      <c r="E6" s="133"/>
      <c r="F6" s="133"/>
      <c r="G6" s="137"/>
      <c r="H6" s="137"/>
      <c r="I6" s="138"/>
    </row>
    <row r="7" spans="1:11" ht="22.5" customHeight="1" x14ac:dyDescent="0.25">
      <c r="A7" s="117" t="s">
        <v>6</v>
      </c>
      <c r="B7" s="117"/>
      <c r="C7" s="117"/>
      <c r="D7" s="130" t="s">
        <v>210</v>
      </c>
      <c r="E7" s="130"/>
      <c r="F7" s="130"/>
      <c r="G7" s="131" t="s">
        <v>7</v>
      </c>
      <c r="H7" s="131"/>
      <c r="I7" s="132" t="s">
        <v>8</v>
      </c>
    </row>
    <row r="8" spans="1:11" ht="22.5" customHeight="1" x14ac:dyDescent="0.25">
      <c r="A8" s="117" t="s">
        <v>9</v>
      </c>
      <c r="B8" s="117"/>
      <c r="C8" s="117"/>
      <c r="D8" s="130" t="s">
        <v>17</v>
      </c>
      <c r="E8" s="130"/>
      <c r="F8" s="130"/>
      <c r="G8" s="131"/>
      <c r="H8" s="131"/>
      <c r="I8" s="132"/>
    </row>
    <row r="9" spans="1:11" ht="18.75" customHeight="1" x14ac:dyDescent="0.25">
      <c r="A9" s="117" t="s">
        <v>10</v>
      </c>
      <c r="B9" s="117"/>
      <c r="C9" s="117"/>
      <c r="D9" s="133" t="s">
        <v>211</v>
      </c>
      <c r="E9" s="133"/>
      <c r="F9" s="133"/>
      <c r="G9" s="131" t="s">
        <v>11</v>
      </c>
      <c r="H9" s="131"/>
      <c r="I9" s="9">
        <v>0.3</v>
      </c>
    </row>
    <row r="10" spans="1:11" ht="32.25" customHeight="1" x14ac:dyDescent="0.25">
      <c r="A10" s="127" t="s">
        <v>12</v>
      </c>
      <c r="B10" s="127"/>
      <c r="C10" s="127"/>
      <c r="D10" s="127"/>
      <c r="E10" s="127"/>
      <c r="F10" s="127"/>
      <c r="G10" s="8" t="s">
        <v>13</v>
      </c>
      <c r="H10" s="10">
        <v>220</v>
      </c>
      <c r="I10" s="11">
        <v>1977.8</v>
      </c>
    </row>
    <row r="11" spans="1:11" ht="15" customHeight="1" x14ac:dyDescent="0.25">
      <c r="A11" s="128" t="s">
        <v>14</v>
      </c>
      <c r="B11" s="128"/>
      <c r="C11" s="128"/>
      <c r="D11" s="128"/>
      <c r="E11" s="128"/>
      <c r="F11" s="128"/>
      <c r="G11" s="10"/>
      <c r="H11" s="10" t="s">
        <v>15</v>
      </c>
      <c r="I11" s="13">
        <v>0.04</v>
      </c>
    </row>
    <row r="12" spans="1:11" ht="24.75" customHeight="1" x14ac:dyDescent="0.25">
      <c r="A12" s="119" t="s">
        <v>16</v>
      </c>
      <c r="B12" s="119"/>
      <c r="C12" s="119"/>
      <c r="D12" s="119"/>
      <c r="E12" s="119"/>
      <c r="F12" s="119"/>
      <c r="G12" s="10" t="s">
        <v>17</v>
      </c>
      <c r="H12" s="10" t="s">
        <v>18</v>
      </c>
      <c r="I12" s="11">
        <v>1.5</v>
      </c>
    </row>
    <row r="13" spans="1:11" ht="15.75" customHeight="1" x14ac:dyDescent="0.25">
      <c r="A13" s="119" t="s">
        <v>19</v>
      </c>
      <c r="B13" s="119"/>
      <c r="C13" s="119"/>
      <c r="D13" s="119"/>
      <c r="E13" s="119"/>
      <c r="F13" s="119"/>
      <c r="G13" s="10"/>
      <c r="H13" s="10"/>
      <c r="I13" s="15">
        <v>15</v>
      </c>
    </row>
    <row r="14" spans="1:11" ht="15" customHeight="1" x14ac:dyDescent="0.25">
      <c r="A14" s="128" t="s">
        <v>20</v>
      </c>
      <c r="B14" s="128"/>
      <c r="C14" s="128"/>
      <c r="D14" s="128"/>
      <c r="E14" s="128"/>
      <c r="F14" s="128"/>
      <c r="G14" s="129" t="s">
        <v>17</v>
      </c>
      <c r="H14" s="10" t="s">
        <v>21</v>
      </c>
      <c r="I14" s="11">
        <v>5</v>
      </c>
    </row>
    <row r="15" spans="1:11" x14ac:dyDescent="0.25">
      <c r="A15" s="128"/>
      <c r="B15" s="128"/>
      <c r="C15" s="128"/>
      <c r="D15" s="128"/>
      <c r="E15" s="128"/>
      <c r="F15" s="128"/>
      <c r="G15" s="129"/>
      <c r="H15" s="10" t="s">
        <v>22</v>
      </c>
      <c r="I15" s="15">
        <v>15</v>
      </c>
    </row>
    <row r="16" spans="1:11" x14ac:dyDescent="0.25">
      <c r="A16" s="128"/>
      <c r="B16" s="128"/>
      <c r="C16" s="128"/>
      <c r="D16" s="128"/>
      <c r="E16" s="128"/>
      <c r="F16" s="128"/>
      <c r="G16" s="129"/>
      <c r="H16" s="10" t="s">
        <v>23</v>
      </c>
      <c r="I16" s="9">
        <v>0.06</v>
      </c>
    </row>
    <row r="17" spans="1:9" ht="11.25" customHeight="1" x14ac:dyDescent="0.25">
      <c r="A17" s="128" t="s">
        <v>24</v>
      </c>
      <c r="B17" s="128"/>
      <c r="C17" s="128"/>
      <c r="D17" s="128"/>
      <c r="E17" s="128"/>
      <c r="F17" s="128"/>
      <c r="G17" s="129" t="s">
        <v>17</v>
      </c>
      <c r="H17" s="10" t="s">
        <v>21</v>
      </c>
      <c r="I17" s="11">
        <v>27</v>
      </c>
    </row>
    <row r="18" spans="1:9" ht="11.25" customHeight="1" x14ac:dyDescent="0.25">
      <c r="A18" s="128"/>
      <c r="B18" s="128"/>
      <c r="C18" s="128"/>
      <c r="D18" s="128"/>
      <c r="E18" s="128"/>
      <c r="F18" s="128"/>
      <c r="G18" s="129"/>
      <c r="H18" s="10" t="s">
        <v>22</v>
      </c>
      <c r="I18" s="15">
        <f>I13</f>
        <v>15</v>
      </c>
    </row>
    <row r="19" spans="1:9" x14ac:dyDescent="0.25">
      <c r="A19" s="128"/>
      <c r="B19" s="128"/>
      <c r="C19" s="128"/>
      <c r="D19" s="128"/>
      <c r="E19" s="128"/>
      <c r="F19" s="128"/>
      <c r="G19" s="129"/>
      <c r="H19" s="10" t="s">
        <v>23</v>
      </c>
      <c r="I19" s="9">
        <v>0.2</v>
      </c>
    </row>
    <row r="20" spans="1:9" ht="11.25" customHeight="1" x14ac:dyDescent="0.25">
      <c r="A20" s="128" t="s">
        <v>25</v>
      </c>
      <c r="B20" s="128"/>
      <c r="C20" s="128"/>
      <c r="D20" s="128"/>
      <c r="E20" s="128"/>
      <c r="F20" s="128"/>
      <c r="G20" s="129" t="s">
        <v>17</v>
      </c>
      <c r="H20" s="10" t="s">
        <v>21</v>
      </c>
      <c r="I20" s="11">
        <v>0</v>
      </c>
    </row>
    <row r="21" spans="1:9" x14ac:dyDescent="0.25">
      <c r="A21" s="128"/>
      <c r="B21" s="128"/>
      <c r="C21" s="128"/>
      <c r="D21" s="128"/>
      <c r="E21" s="128"/>
      <c r="F21" s="128"/>
      <c r="G21" s="129"/>
      <c r="H21" s="10" t="s">
        <v>22</v>
      </c>
      <c r="I21" s="15">
        <v>15</v>
      </c>
    </row>
    <row r="22" spans="1:9" x14ac:dyDescent="0.25">
      <c r="A22" s="128"/>
      <c r="B22" s="128"/>
      <c r="C22" s="128"/>
      <c r="D22" s="128"/>
      <c r="E22" s="128"/>
      <c r="F22" s="128"/>
      <c r="G22" s="129"/>
      <c r="H22" s="10" t="s">
        <v>23</v>
      </c>
      <c r="I22" s="9">
        <v>0</v>
      </c>
    </row>
    <row r="23" spans="1:9" ht="36" customHeight="1" x14ac:dyDescent="0.25">
      <c r="A23" s="126" t="s">
        <v>26</v>
      </c>
      <c r="B23" s="126"/>
      <c r="C23" s="126"/>
      <c r="D23" s="126"/>
      <c r="E23" s="126"/>
      <c r="F23" s="126"/>
      <c r="G23" s="16" t="s">
        <v>17</v>
      </c>
      <c r="H23" s="16" t="s">
        <v>27</v>
      </c>
      <c r="I23" s="17" t="s">
        <v>8</v>
      </c>
    </row>
    <row r="24" spans="1:9" ht="22.5" customHeight="1" x14ac:dyDescent="0.25">
      <c r="A24" s="119" t="s">
        <v>28</v>
      </c>
      <c r="B24" s="119"/>
      <c r="C24" s="119"/>
      <c r="D24" s="119"/>
      <c r="E24" s="119"/>
      <c r="F24" s="119"/>
      <c r="G24" s="16"/>
      <c r="H24" s="16" t="s">
        <v>29</v>
      </c>
      <c r="I24" s="18" t="s">
        <v>8</v>
      </c>
    </row>
    <row r="25" spans="1:9" ht="34.5" customHeight="1" x14ac:dyDescent="0.25">
      <c r="A25" s="119" t="s">
        <v>30</v>
      </c>
      <c r="B25" s="119"/>
      <c r="C25" s="119"/>
      <c r="D25" s="119"/>
      <c r="E25" s="119"/>
      <c r="F25" s="119"/>
      <c r="G25" s="10"/>
      <c r="H25" s="10" t="s">
        <v>18</v>
      </c>
      <c r="I25" s="11" t="s">
        <v>8</v>
      </c>
    </row>
    <row r="26" spans="1:9" ht="15" customHeight="1" x14ac:dyDescent="0.25">
      <c r="A26" s="119" t="s">
        <v>31</v>
      </c>
      <c r="B26" s="119"/>
      <c r="C26" s="119"/>
      <c r="D26" s="119"/>
      <c r="E26" s="119"/>
      <c r="F26" s="119"/>
      <c r="G26" s="16"/>
      <c r="H26" s="19" t="s">
        <v>32</v>
      </c>
      <c r="I26" s="20" t="s">
        <v>8</v>
      </c>
    </row>
    <row r="27" spans="1:9" ht="15" customHeight="1" x14ac:dyDescent="0.25">
      <c r="A27" s="119"/>
      <c r="B27" s="119"/>
      <c r="C27" s="119"/>
      <c r="D27" s="119"/>
      <c r="E27" s="119"/>
      <c r="F27" s="119"/>
      <c r="G27" s="16"/>
      <c r="H27" s="21" t="s">
        <v>33</v>
      </c>
      <c r="I27" s="9" t="s">
        <v>8</v>
      </c>
    </row>
    <row r="28" spans="1:9" ht="26.25" customHeight="1" x14ac:dyDescent="0.25">
      <c r="A28" s="119" t="s">
        <v>202</v>
      </c>
      <c r="B28" s="119"/>
      <c r="C28" s="119"/>
      <c r="D28" s="119"/>
      <c r="E28" s="119"/>
      <c r="F28" s="119"/>
      <c r="G28" s="16"/>
      <c r="H28" s="10" t="s">
        <v>32</v>
      </c>
      <c r="I28" s="20">
        <v>15</v>
      </c>
    </row>
    <row r="29" spans="1:9" ht="35.25" customHeight="1" x14ac:dyDescent="0.25">
      <c r="A29" s="119" t="s">
        <v>35</v>
      </c>
      <c r="B29" s="119"/>
      <c r="C29" s="119"/>
      <c r="D29" s="119"/>
      <c r="E29" s="119"/>
      <c r="F29" s="119"/>
      <c r="G29" s="10"/>
      <c r="H29" s="8" t="s">
        <v>29</v>
      </c>
      <c r="I29" s="9">
        <v>0.2</v>
      </c>
    </row>
    <row r="30" spans="1:9" ht="4.5" customHeight="1" x14ac:dyDescent="0.25"/>
    <row r="31" spans="1:9" ht="17.25" customHeight="1" x14ac:dyDescent="0.25">
      <c r="A31" s="89" t="s">
        <v>36</v>
      </c>
      <c r="B31" s="89"/>
      <c r="C31" s="89"/>
      <c r="D31" s="89"/>
      <c r="E31" s="89"/>
      <c r="F31" s="89"/>
      <c r="G31" s="89"/>
      <c r="H31" s="89"/>
      <c r="I31" s="89"/>
    </row>
    <row r="32" spans="1:9" ht="33.75" customHeight="1" x14ac:dyDescent="0.25">
      <c r="A32" s="22" t="s">
        <v>37</v>
      </c>
      <c r="B32" s="114" t="s">
        <v>38</v>
      </c>
      <c r="C32" s="114"/>
      <c r="D32" s="114"/>
      <c r="E32" s="114"/>
      <c r="F32" s="114"/>
      <c r="G32" s="114"/>
      <c r="H32" s="22" t="s">
        <v>39</v>
      </c>
      <c r="I32" s="22" t="s">
        <v>40</v>
      </c>
    </row>
    <row r="33" spans="1:10" ht="15" customHeight="1" x14ac:dyDescent="0.25">
      <c r="A33" s="14">
        <v>1</v>
      </c>
      <c r="B33" s="90" t="s">
        <v>41</v>
      </c>
      <c r="C33" s="90"/>
      <c r="D33" s="90"/>
      <c r="E33" s="90"/>
      <c r="F33" s="90"/>
      <c r="G33" s="90"/>
      <c r="H33" s="23">
        <f t="shared" ref="H33:H43" si="0">I33/$I$44</f>
        <v>0.75887101725090556</v>
      </c>
      <c r="I33" s="24">
        <f>IF(D6="12x36",I10,I10/H10*I5)</f>
        <v>1977.8</v>
      </c>
    </row>
    <row r="34" spans="1:10" ht="15" customHeight="1" x14ac:dyDescent="0.25">
      <c r="A34" s="14">
        <f t="shared" ref="A34:A43" si="1">A33+1</f>
        <v>2</v>
      </c>
      <c r="B34" s="90" t="s">
        <v>42</v>
      </c>
      <c r="C34" s="90"/>
      <c r="D34" s="90"/>
      <c r="E34" s="90"/>
      <c r="F34" s="90"/>
      <c r="G34" s="90"/>
      <c r="H34" s="23">
        <f t="shared" si="0"/>
        <v>0.23076923076923075</v>
      </c>
      <c r="I34" s="24">
        <f>IF(I9=30%,(I33+I41+I42)*I9,0)</f>
        <v>601.43999999999994</v>
      </c>
    </row>
    <row r="35" spans="1:10" ht="15" customHeight="1" x14ac:dyDescent="0.25">
      <c r="A35" s="14">
        <f t="shared" si="1"/>
        <v>3</v>
      </c>
      <c r="B35" s="90" t="s">
        <v>43</v>
      </c>
      <c r="C35" s="90"/>
      <c r="D35" s="90"/>
      <c r="E35" s="90"/>
      <c r="F35" s="90"/>
      <c r="G35" s="90"/>
      <c r="H35" s="23">
        <f t="shared" si="0"/>
        <v>0</v>
      </c>
      <c r="I35" s="24">
        <f>IF(I7=10%,I25*I7,0)</f>
        <v>0</v>
      </c>
    </row>
    <row r="36" spans="1:10" ht="15" customHeight="1" x14ac:dyDescent="0.25">
      <c r="A36" s="14">
        <f t="shared" si="1"/>
        <v>4</v>
      </c>
      <c r="B36" s="90" t="s">
        <v>44</v>
      </c>
      <c r="C36" s="90"/>
      <c r="D36" s="90"/>
      <c r="E36" s="90"/>
      <c r="F36" s="90"/>
      <c r="G36" s="90"/>
      <c r="H36" s="23">
        <f t="shared" si="0"/>
        <v>0</v>
      </c>
      <c r="I36" s="24">
        <f>IF(I7=20%,I25*I7,0)</f>
        <v>0</v>
      </c>
    </row>
    <row r="37" spans="1:10" ht="15" customHeight="1" x14ac:dyDescent="0.25">
      <c r="A37" s="14">
        <f t="shared" si="1"/>
        <v>5</v>
      </c>
      <c r="B37" s="90" t="s">
        <v>45</v>
      </c>
      <c r="C37" s="90"/>
      <c r="D37" s="90"/>
      <c r="E37" s="90"/>
      <c r="F37" s="90"/>
      <c r="G37" s="90"/>
      <c r="H37" s="23">
        <f t="shared" si="0"/>
        <v>0</v>
      </c>
      <c r="I37" s="24">
        <f>IF(I7=40%,I25*I7,0)</f>
        <v>0</v>
      </c>
    </row>
    <row r="38" spans="1:10" ht="15" customHeight="1" x14ac:dyDescent="0.25">
      <c r="A38" s="14">
        <f t="shared" si="1"/>
        <v>6</v>
      </c>
      <c r="B38" s="90" t="s">
        <v>201</v>
      </c>
      <c r="C38" s="90"/>
      <c r="D38" s="90"/>
      <c r="E38" s="90"/>
      <c r="F38" s="90"/>
      <c r="G38" s="90"/>
      <c r="H38" s="23">
        <f t="shared" si="0"/>
        <v>0</v>
      </c>
      <c r="I38" s="24">
        <f>IF(I24="Não aplicável",0,I33*I24)</f>
        <v>0</v>
      </c>
    </row>
    <row r="39" spans="1:10" ht="15" customHeight="1" x14ac:dyDescent="0.25">
      <c r="A39" s="14">
        <f t="shared" si="1"/>
        <v>7</v>
      </c>
      <c r="B39" s="90" t="s">
        <v>46</v>
      </c>
      <c r="C39" s="90"/>
      <c r="D39" s="90"/>
      <c r="E39" s="90"/>
      <c r="F39" s="90"/>
      <c r="G39" s="90"/>
      <c r="H39" s="23">
        <f t="shared" si="0"/>
        <v>0</v>
      </c>
      <c r="I39" s="24">
        <f>IF(I26="Não aplicável",0,(I33+I34+I35+I36+I37+I38+I43)/I5*I26*(1+I27))</f>
        <v>0</v>
      </c>
    </row>
    <row r="40" spans="1:10" ht="23.25" customHeight="1" x14ac:dyDescent="0.25">
      <c r="A40" s="14">
        <f t="shared" si="1"/>
        <v>8</v>
      </c>
      <c r="B40" s="90" t="s">
        <v>47</v>
      </c>
      <c r="C40" s="90"/>
      <c r="D40" s="90"/>
      <c r="E40" s="90"/>
      <c r="F40" s="90"/>
      <c r="G40" s="90"/>
      <c r="H40" s="23">
        <f t="shared" si="0"/>
        <v>0</v>
      </c>
      <c r="I40" s="24">
        <f>IF(I26="Não aplicável",0,I26/I13*5*(I10/H10*(1+I27)))</f>
        <v>0</v>
      </c>
    </row>
    <row r="41" spans="1:10" ht="15" customHeight="1" x14ac:dyDescent="0.25">
      <c r="A41" s="14">
        <f t="shared" si="1"/>
        <v>9</v>
      </c>
      <c r="B41" s="90" t="s">
        <v>48</v>
      </c>
      <c r="C41" s="90"/>
      <c r="D41" s="90"/>
      <c r="E41" s="90"/>
      <c r="F41" s="90"/>
      <c r="G41" s="90"/>
      <c r="H41" s="23">
        <f t="shared" si="0"/>
        <v>8.6331266498864273E-3</v>
      </c>
      <c r="I41" s="24">
        <f>I12*I13</f>
        <v>22.5</v>
      </c>
    </row>
    <row r="42" spans="1:10" ht="15" customHeight="1" x14ac:dyDescent="0.25">
      <c r="A42" s="14">
        <f t="shared" si="1"/>
        <v>10</v>
      </c>
      <c r="B42" s="90" t="s">
        <v>49</v>
      </c>
      <c r="C42" s="90"/>
      <c r="D42" s="90"/>
      <c r="E42" s="90"/>
      <c r="F42" s="90"/>
      <c r="G42" s="90"/>
      <c r="H42" s="23">
        <f t="shared" si="0"/>
        <v>1.7266253299772854E-3</v>
      </c>
      <c r="I42" s="24">
        <f>I41*20%</f>
        <v>4.5</v>
      </c>
    </row>
    <row r="43" spans="1:10" ht="15" customHeight="1" x14ac:dyDescent="0.25">
      <c r="A43" s="14">
        <f t="shared" si="1"/>
        <v>11</v>
      </c>
      <c r="B43" s="12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3" s="125"/>
      <c r="D43" s="125"/>
      <c r="E43" s="125"/>
      <c r="F43" s="125"/>
      <c r="G43" s="125"/>
      <c r="H43" s="23">
        <f t="shared" si="0"/>
        <v>0</v>
      </c>
      <c r="I43" s="24">
        <v>0</v>
      </c>
    </row>
    <row r="44" spans="1:10" s="28" customFormat="1" ht="15" customHeight="1" x14ac:dyDescent="0.25">
      <c r="A44" s="105" t="s">
        <v>50</v>
      </c>
      <c r="B44" s="105"/>
      <c r="C44" s="105"/>
      <c r="D44" s="105"/>
      <c r="E44" s="105"/>
      <c r="F44" s="105"/>
      <c r="G44" s="105"/>
      <c r="H44" s="25">
        <f>SUM(H33:H43)</f>
        <v>1</v>
      </c>
      <c r="I44" s="26">
        <f>SUM(I33:I43)</f>
        <v>2606.2399999999998</v>
      </c>
      <c r="J44" s="27"/>
    </row>
    <row r="45" spans="1:10" ht="4.5" customHeight="1" x14ac:dyDescent="0.25"/>
    <row r="46" spans="1:10" ht="33.75" customHeight="1" x14ac:dyDescent="0.25">
      <c r="A46" s="22" t="s">
        <v>51</v>
      </c>
      <c r="B46" s="114" t="s">
        <v>52</v>
      </c>
      <c r="C46" s="114"/>
      <c r="D46" s="114"/>
      <c r="E46" s="114"/>
      <c r="F46" s="114"/>
      <c r="G46" s="114"/>
      <c r="H46" s="22" t="s">
        <v>39</v>
      </c>
      <c r="I46" s="22" t="s">
        <v>40</v>
      </c>
    </row>
    <row r="47" spans="1:10" ht="15" customHeight="1" x14ac:dyDescent="0.25">
      <c r="A47" s="14">
        <v>1</v>
      </c>
      <c r="B47" s="90" t="s">
        <v>53</v>
      </c>
      <c r="C47" s="90"/>
      <c r="D47" s="90"/>
      <c r="E47" s="90"/>
      <c r="F47" s="90"/>
      <c r="G47" s="90"/>
      <c r="H47" s="23">
        <v>0.2</v>
      </c>
      <c r="I47" s="24">
        <f t="shared" ref="I47:I54" si="2">$I$44*H47</f>
        <v>521.24799999999993</v>
      </c>
    </row>
    <row r="48" spans="1:10" ht="15" customHeight="1" x14ac:dyDescent="0.25">
      <c r="A48" s="14">
        <v>2</v>
      </c>
      <c r="B48" s="90" t="s">
        <v>54</v>
      </c>
      <c r="C48" s="90"/>
      <c r="D48" s="90"/>
      <c r="E48" s="90"/>
      <c r="F48" s="90"/>
      <c r="G48" s="90"/>
      <c r="H48" s="23">
        <v>1.4999999999999999E-2</v>
      </c>
      <c r="I48" s="24">
        <f t="shared" si="2"/>
        <v>39.093599999999995</v>
      </c>
    </row>
    <row r="49" spans="1:10" ht="15" customHeight="1" x14ac:dyDescent="0.25">
      <c r="A49" s="14">
        <v>3</v>
      </c>
      <c r="B49" s="90" t="s">
        <v>55</v>
      </c>
      <c r="C49" s="90"/>
      <c r="D49" s="90"/>
      <c r="E49" s="90"/>
      <c r="F49" s="90"/>
      <c r="G49" s="90"/>
      <c r="H49" s="23">
        <v>0.01</v>
      </c>
      <c r="I49" s="24">
        <f t="shared" si="2"/>
        <v>26.062399999999997</v>
      </c>
    </row>
    <row r="50" spans="1:10" ht="15" customHeight="1" x14ac:dyDescent="0.25">
      <c r="A50" s="14">
        <v>4</v>
      </c>
      <c r="B50" s="90" t="s">
        <v>56</v>
      </c>
      <c r="C50" s="90"/>
      <c r="D50" s="90"/>
      <c r="E50" s="90"/>
      <c r="F50" s="90"/>
      <c r="G50" s="90"/>
      <c r="H50" s="23">
        <v>2E-3</v>
      </c>
      <c r="I50" s="24">
        <f t="shared" si="2"/>
        <v>5.2124799999999993</v>
      </c>
    </row>
    <row r="51" spans="1:10" ht="15" customHeight="1" x14ac:dyDescent="0.25">
      <c r="A51" s="14">
        <v>5</v>
      </c>
      <c r="B51" s="90" t="s">
        <v>57</v>
      </c>
      <c r="C51" s="90"/>
      <c r="D51" s="90"/>
      <c r="E51" s="90"/>
      <c r="F51" s="90"/>
      <c r="G51" s="90"/>
      <c r="H51" s="23">
        <v>2.5000000000000001E-2</v>
      </c>
      <c r="I51" s="24">
        <f t="shared" si="2"/>
        <v>65.155999999999992</v>
      </c>
    </row>
    <row r="52" spans="1:10" ht="15" customHeight="1" x14ac:dyDescent="0.25">
      <c r="A52" s="14">
        <v>6</v>
      </c>
      <c r="B52" s="90" t="s">
        <v>58</v>
      </c>
      <c r="C52" s="90"/>
      <c r="D52" s="90"/>
      <c r="E52" s="90"/>
      <c r="F52" s="90"/>
      <c r="G52" s="90"/>
      <c r="H52" s="23">
        <v>0.08</v>
      </c>
      <c r="I52" s="24">
        <f t="shared" si="2"/>
        <v>208.49919999999997</v>
      </c>
    </row>
    <row r="53" spans="1:10" ht="15" customHeight="1" x14ac:dyDescent="0.25">
      <c r="A53" s="14">
        <v>7</v>
      </c>
      <c r="B53" s="90" t="s">
        <v>59</v>
      </c>
      <c r="C53" s="90"/>
      <c r="D53" s="90"/>
      <c r="E53" s="90"/>
      <c r="F53" s="90"/>
      <c r="G53" s="90"/>
      <c r="H53" s="23">
        <v>0.03</v>
      </c>
      <c r="I53" s="24">
        <f t="shared" si="2"/>
        <v>78.18719999999999</v>
      </c>
    </row>
    <row r="54" spans="1:10" ht="15" customHeight="1" x14ac:dyDescent="0.25">
      <c r="A54" s="14">
        <v>8</v>
      </c>
      <c r="B54" s="90" t="s">
        <v>60</v>
      </c>
      <c r="C54" s="90"/>
      <c r="D54" s="90"/>
      <c r="E54" s="90"/>
      <c r="F54" s="90"/>
      <c r="G54" s="90"/>
      <c r="H54" s="23">
        <v>6.0000000000000001E-3</v>
      </c>
      <c r="I54" s="24">
        <f t="shared" si="2"/>
        <v>15.63744</v>
      </c>
    </row>
    <row r="55" spans="1:10" s="28" customFormat="1" ht="15" customHeight="1" x14ac:dyDescent="0.25">
      <c r="A55" s="105" t="s">
        <v>61</v>
      </c>
      <c r="B55" s="105"/>
      <c r="C55" s="105"/>
      <c r="D55" s="105"/>
      <c r="E55" s="105"/>
      <c r="F55" s="105"/>
      <c r="G55" s="105"/>
      <c r="H55" s="25">
        <f>SUM(H47:H54)</f>
        <v>0.3680000000000001</v>
      </c>
      <c r="I55" s="26">
        <f>SUM(I47:I54)</f>
        <v>959.09631999999988</v>
      </c>
      <c r="J55" s="27"/>
    </row>
    <row r="56" spans="1:10" ht="15" customHeight="1" x14ac:dyDescent="0.25">
      <c r="A56" s="121" t="s">
        <v>62</v>
      </c>
      <c r="B56" s="121"/>
      <c r="C56" s="121"/>
      <c r="D56" s="121"/>
      <c r="E56" s="121"/>
      <c r="F56" s="121"/>
      <c r="G56" s="121"/>
      <c r="H56" s="121"/>
      <c r="I56" s="121"/>
    </row>
    <row r="57" spans="1:10" ht="30.75" customHeight="1" x14ac:dyDescent="0.25">
      <c r="A57" s="124" t="s">
        <v>63</v>
      </c>
      <c r="B57" s="124"/>
      <c r="C57" s="124"/>
      <c r="D57" s="124"/>
      <c r="E57" s="124"/>
      <c r="F57" s="124"/>
      <c r="G57" s="124"/>
      <c r="H57" s="124"/>
      <c r="I57" s="124"/>
    </row>
    <row r="58" spans="1:10" ht="33.75" customHeight="1" x14ac:dyDescent="0.25">
      <c r="A58" s="22" t="s">
        <v>64</v>
      </c>
      <c r="B58" s="114" t="s">
        <v>65</v>
      </c>
      <c r="C58" s="114"/>
      <c r="D58" s="114"/>
      <c r="E58" s="114"/>
      <c r="F58" s="114"/>
      <c r="G58" s="114"/>
      <c r="H58" s="22" t="s">
        <v>39</v>
      </c>
      <c r="I58" s="22" t="s">
        <v>40</v>
      </c>
    </row>
    <row r="59" spans="1:10" ht="15" customHeight="1" x14ac:dyDescent="0.25">
      <c r="A59" s="14">
        <v>1</v>
      </c>
      <c r="B59" s="90" t="s">
        <v>66</v>
      </c>
      <c r="C59" s="90"/>
      <c r="D59" s="90"/>
      <c r="E59" s="90"/>
      <c r="F59" s="90"/>
      <c r="G59" s="90"/>
      <c r="H59" s="23">
        <v>0.119314</v>
      </c>
      <c r="I59" s="24">
        <f t="shared" ref="I59:I66" si="3">$I$44*H59</f>
        <v>310.96091935999999</v>
      </c>
    </row>
    <row r="60" spans="1:10" ht="15" customHeight="1" x14ac:dyDescent="0.25">
      <c r="A60" s="14">
        <v>2</v>
      </c>
      <c r="B60" s="90" t="s">
        <v>67</v>
      </c>
      <c r="C60" s="90"/>
      <c r="D60" s="90"/>
      <c r="E60" s="90"/>
      <c r="F60" s="90"/>
      <c r="G60" s="90"/>
      <c r="H60" s="23">
        <v>2.0479000000000001E-2</v>
      </c>
      <c r="I60" s="24">
        <f t="shared" si="3"/>
        <v>53.37318896</v>
      </c>
    </row>
    <row r="61" spans="1:10" ht="15" customHeight="1" x14ac:dyDescent="0.25">
      <c r="A61" s="14">
        <v>3</v>
      </c>
      <c r="B61" s="90" t="s">
        <v>68</v>
      </c>
      <c r="C61" s="90"/>
      <c r="D61" s="90"/>
      <c r="E61" s="90"/>
      <c r="F61" s="90"/>
      <c r="G61" s="90"/>
      <c r="H61" s="23">
        <v>1.2123E-2</v>
      </c>
      <c r="I61" s="24">
        <f t="shared" si="3"/>
        <v>31.595447519999997</v>
      </c>
    </row>
    <row r="62" spans="1:10" ht="15" customHeight="1" x14ac:dyDescent="0.25">
      <c r="A62" s="14">
        <v>4</v>
      </c>
      <c r="B62" s="90" t="s">
        <v>69</v>
      </c>
      <c r="C62" s="90"/>
      <c r="D62" s="90"/>
      <c r="E62" s="90"/>
      <c r="F62" s="90"/>
      <c r="G62" s="90"/>
      <c r="H62" s="23">
        <v>1.1436E-2</v>
      </c>
      <c r="I62" s="24">
        <f t="shared" si="3"/>
        <v>29.804960639999997</v>
      </c>
    </row>
    <row r="63" spans="1:10" ht="15" customHeight="1" x14ac:dyDescent="0.25">
      <c r="A63" s="14">
        <v>5</v>
      </c>
      <c r="B63" s="90" t="s">
        <v>70</v>
      </c>
      <c r="C63" s="90"/>
      <c r="D63" s="90"/>
      <c r="E63" s="90"/>
      <c r="F63" s="90"/>
      <c r="G63" s="90"/>
      <c r="H63" s="23">
        <v>1.74E-4</v>
      </c>
      <c r="I63" s="24">
        <f t="shared" si="3"/>
        <v>0.45348575999999996</v>
      </c>
    </row>
    <row r="64" spans="1:10" ht="15" customHeight="1" x14ac:dyDescent="0.25">
      <c r="A64" s="14">
        <v>6</v>
      </c>
      <c r="B64" s="90" t="s">
        <v>71</v>
      </c>
      <c r="C64" s="90"/>
      <c r="D64" s="90"/>
      <c r="E64" s="90"/>
      <c r="F64" s="90"/>
      <c r="G64" s="90"/>
      <c r="H64" s="23">
        <v>4.4200000000000001E-4</v>
      </c>
      <c r="I64" s="24">
        <f t="shared" si="3"/>
        <v>1.15195808</v>
      </c>
    </row>
    <row r="65" spans="1:11" ht="15" customHeight="1" x14ac:dyDescent="0.25">
      <c r="A65" s="14">
        <v>7</v>
      </c>
      <c r="B65" s="90" t="s">
        <v>72</v>
      </c>
      <c r="C65" s="90"/>
      <c r="D65" s="90"/>
      <c r="E65" s="90"/>
      <c r="F65" s="90"/>
      <c r="G65" s="90"/>
      <c r="H65" s="23">
        <v>1.85E-4</v>
      </c>
      <c r="I65" s="24">
        <f t="shared" si="3"/>
        <v>0.48215439999999993</v>
      </c>
    </row>
    <row r="66" spans="1:11" ht="15" customHeight="1" x14ac:dyDescent="0.25">
      <c r="A66" s="14">
        <v>8</v>
      </c>
      <c r="B66" s="90" t="s">
        <v>73</v>
      </c>
      <c r="C66" s="90"/>
      <c r="D66" s="90"/>
      <c r="E66" s="90"/>
      <c r="F66" s="90"/>
      <c r="G66" s="90"/>
      <c r="H66" s="23">
        <v>9.0789999999999996E-2</v>
      </c>
      <c r="I66" s="24">
        <f t="shared" si="3"/>
        <v>236.62052959999997</v>
      </c>
    </row>
    <row r="67" spans="1:11" s="28" customFormat="1" ht="15" customHeight="1" x14ac:dyDescent="0.25">
      <c r="A67" s="105" t="s">
        <v>74</v>
      </c>
      <c r="B67" s="105"/>
      <c r="C67" s="105"/>
      <c r="D67" s="105"/>
      <c r="E67" s="105"/>
      <c r="F67" s="105"/>
      <c r="G67" s="105"/>
      <c r="H67" s="25">
        <f>SUM(H59:H66)</f>
        <v>0.25494299999999998</v>
      </c>
      <c r="I67" s="26">
        <f>SUM(I59:I66)</f>
        <v>664.44264431999989</v>
      </c>
      <c r="J67" s="27"/>
    </row>
    <row r="68" spans="1:11" ht="11.25" customHeight="1" x14ac:dyDescent="0.25">
      <c r="A68" s="29" t="s">
        <v>75</v>
      </c>
      <c r="B68" s="106" t="s">
        <v>76</v>
      </c>
      <c r="C68" s="106"/>
      <c r="D68" s="106"/>
      <c r="E68" s="106"/>
      <c r="F68" s="106"/>
      <c r="G68" s="106"/>
      <c r="H68" s="106"/>
      <c r="I68" s="106"/>
    </row>
    <row r="69" spans="1:11" ht="15" customHeight="1" x14ac:dyDescent="0.25">
      <c r="A69" s="29" t="s">
        <v>77</v>
      </c>
      <c r="B69" s="123" t="s">
        <v>78</v>
      </c>
      <c r="C69" s="123"/>
      <c r="D69" s="123"/>
      <c r="E69" s="123"/>
      <c r="F69" s="123"/>
      <c r="G69" s="123"/>
      <c r="H69" s="123"/>
      <c r="I69" s="123"/>
    </row>
    <row r="70" spans="1:11" ht="33.75" customHeight="1" x14ac:dyDescent="0.25">
      <c r="A70" s="22" t="s">
        <v>79</v>
      </c>
      <c r="B70" s="114" t="s">
        <v>80</v>
      </c>
      <c r="C70" s="114"/>
      <c r="D70" s="114"/>
      <c r="E70" s="114"/>
      <c r="F70" s="114"/>
      <c r="G70" s="114"/>
      <c r="H70" s="22" t="s">
        <v>39</v>
      </c>
      <c r="I70" s="22" t="s">
        <v>40</v>
      </c>
    </row>
    <row r="71" spans="1:11" ht="15" customHeight="1" x14ac:dyDescent="0.25">
      <c r="A71" s="14">
        <v>1</v>
      </c>
      <c r="B71" s="90" t="s">
        <v>81</v>
      </c>
      <c r="C71" s="90"/>
      <c r="D71" s="90"/>
      <c r="E71" s="90"/>
      <c r="F71" s="90"/>
      <c r="G71" s="90"/>
      <c r="H71" s="23">
        <v>2.3626999999999999E-2</v>
      </c>
      <c r="I71" s="24">
        <f>$I$44*H71</f>
        <v>61.577632479999991</v>
      </c>
    </row>
    <row r="72" spans="1:11" ht="15" customHeight="1" x14ac:dyDescent="0.25">
      <c r="A72" s="14">
        <v>2</v>
      </c>
      <c r="B72" s="90" t="s">
        <v>82</v>
      </c>
      <c r="C72" s="90"/>
      <c r="D72" s="90"/>
      <c r="E72" s="90"/>
      <c r="F72" s="90"/>
      <c r="G72" s="90"/>
      <c r="H72" s="23">
        <v>1.717E-3</v>
      </c>
      <c r="I72" s="24">
        <f>$I$44*H72</f>
        <v>4.4749140799999996</v>
      </c>
    </row>
    <row r="73" spans="1:11" ht="15" customHeight="1" x14ac:dyDescent="0.25">
      <c r="A73" s="14">
        <v>3</v>
      </c>
      <c r="B73" s="90" t="s">
        <v>83</v>
      </c>
      <c r="C73" s="90"/>
      <c r="D73" s="90"/>
      <c r="E73" s="90"/>
      <c r="F73" s="90"/>
      <c r="G73" s="90"/>
      <c r="H73" s="23">
        <v>9.4509999999999993E-3</v>
      </c>
      <c r="I73" s="24">
        <f>$I$44*H73</f>
        <v>24.631574239999996</v>
      </c>
    </row>
    <row r="74" spans="1:11" s="28" customFormat="1" ht="15" customHeight="1" x14ac:dyDescent="0.25">
      <c r="A74" s="105" t="s">
        <v>84</v>
      </c>
      <c r="B74" s="105"/>
      <c r="C74" s="105"/>
      <c r="D74" s="105"/>
      <c r="E74" s="105"/>
      <c r="F74" s="105"/>
      <c r="G74" s="105"/>
      <c r="H74" s="25">
        <f>SUM(H71:H73)</f>
        <v>3.4795E-2</v>
      </c>
      <c r="I74" s="26">
        <f>SUM(I71:I73)</f>
        <v>90.684120799999988</v>
      </c>
      <c r="J74" s="27"/>
    </row>
    <row r="75" spans="1:11" ht="4.5" customHeight="1" x14ac:dyDescent="0.25"/>
    <row r="76" spans="1:11" ht="33.75" customHeight="1" x14ac:dyDescent="0.25">
      <c r="A76" s="22" t="s">
        <v>85</v>
      </c>
      <c r="B76" s="114" t="s">
        <v>86</v>
      </c>
      <c r="C76" s="114"/>
      <c r="D76" s="114"/>
      <c r="E76" s="114"/>
      <c r="F76" s="114"/>
      <c r="G76" s="114"/>
      <c r="H76" s="22" t="s">
        <v>39</v>
      </c>
      <c r="I76" s="22" t="s">
        <v>40</v>
      </c>
    </row>
    <row r="77" spans="1:11" ht="15" customHeight="1" x14ac:dyDescent="0.25">
      <c r="A77" s="14">
        <v>1</v>
      </c>
      <c r="B77" s="90" t="s">
        <v>87</v>
      </c>
      <c r="C77" s="90"/>
      <c r="D77" s="90"/>
      <c r="E77" s="90"/>
      <c r="F77" s="90"/>
      <c r="G77" s="90"/>
      <c r="H77" s="23">
        <f>(H55*H67)</f>
        <v>9.3819024000000015E-2</v>
      </c>
      <c r="I77" s="24">
        <f>$I$44*H77</f>
        <v>244.51489310976001</v>
      </c>
    </row>
    <row r="78" spans="1:11" s="28" customFormat="1" ht="15" customHeight="1" x14ac:dyDescent="0.25">
      <c r="A78" s="105" t="s">
        <v>88</v>
      </c>
      <c r="B78" s="105"/>
      <c r="C78" s="105"/>
      <c r="D78" s="105"/>
      <c r="E78" s="105"/>
      <c r="F78" s="105"/>
      <c r="G78" s="105"/>
      <c r="H78" s="25">
        <f>SUM(H77:H77)</f>
        <v>9.3819024000000015E-2</v>
      </c>
      <c r="I78" s="26">
        <f>I77</f>
        <v>244.51489310976001</v>
      </c>
      <c r="J78" s="27"/>
      <c r="K78" s="30"/>
    </row>
    <row r="79" spans="1:11" ht="4.5" customHeight="1" x14ac:dyDescent="0.25">
      <c r="J79" s="31"/>
    </row>
    <row r="80" spans="1:11" s="28" customFormat="1" ht="12" customHeight="1" x14ac:dyDescent="0.25">
      <c r="A80" s="122" t="s">
        <v>89</v>
      </c>
      <c r="B80" s="122"/>
      <c r="C80" s="122"/>
      <c r="D80" s="122"/>
      <c r="E80" s="122"/>
      <c r="F80" s="122"/>
      <c r="G80" s="122"/>
      <c r="H80" s="32">
        <f>H55+H67+H74+H78</f>
        <v>0.75155702400000002</v>
      </c>
      <c r="I80" s="33">
        <f>I55+I67+I74+I78</f>
        <v>1958.7379782297598</v>
      </c>
      <c r="J80" s="27"/>
    </row>
    <row r="81" spans="1:10" ht="4.5" customHeight="1" x14ac:dyDescent="0.25"/>
    <row r="82" spans="1:10" ht="33.75" customHeight="1" x14ac:dyDescent="0.25">
      <c r="A82" s="22" t="s">
        <v>90</v>
      </c>
      <c r="B82" s="114" t="s">
        <v>91</v>
      </c>
      <c r="C82" s="114"/>
      <c r="D82" s="114"/>
      <c r="E82" s="114"/>
      <c r="F82" s="114"/>
      <c r="G82" s="114"/>
      <c r="H82" s="22" t="s">
        <v>39</v>
      </c>
      <c r="I82" s="22" t="s">
        <v>40</v>
      </c>
    </row>
    <row r="83" spans="1:10" ht="15" customHeight="1" x14ac:dyDescent="0.25">
      <c r="A83" s="14">
        <v>1</v>
      </c>
      <c r="B83" s="90" t="s">
        <v>24</v>
      </c>
      <c r="C83" s="90"/>
      <c r="D83" s="90"/>
      <c r="E83" s="90"/>
      <c r="F83" s="90"/>
      <c r="G83" s="90"/>
      <c r="H83" s="23">
        <f>I83/$I$44</f>
        <v>0.12431702375836455</v>
      </c>
      <c r="I83" s="24">
        <f>I100</f>
        <v>324</v>
      </c>
    </row>
    <row r="84" spans="1:10" ht="15" customHeight="1" x14ac:dyDescent="0.25">
      <c r="A84" s="14">
        <v>2</v>
      </c>
      <c r="B84" s="90" t="s">
        <v>25</v>
      </c>
      <c r="C84" s="90"/>
      <c r="D84" s="90"/>
      <c r="E84" s="90"/>
      <c r="F84" s="90"/>
      <c r="G84" s="90"/>
      <c r="H84" s="23">
        <f>I84/$I$44</f>
        <v>0</v>
      </c>
      <c r="I84" s="24">
        <f>I96</f>
        <v>0</v>
      </c>
    </row>
    <row r="85" spans="1:10" ht="15" customHeight="1" x14ac:dyDescent="0.25">
      <c r="A85" s="14">
        <v>3</v>
      </c>
      <c r="B85" s="90" t="s">
        <v>92</v>
      </c>
      <c r="C85" s="90"/>
      <c r="D85" s="90"/>
      <c r="E85" s="90"/>
      <c r="F85" s="90"/>
      <c r="G85" s="90"/>
      <c r="H85" s="23">
        <f>I85/$I$44</f>
        <v>1.2021916630855183E-2</v>
      </c>
      <c r="I85" s="24">
        <f>I92</f>
        <v>31.332000000000008</v>
      </c>
    </row>
    <row r="86" spans="1:10" ht="15" customHeight="1" x14ac:dyDescent="0.25">
      <c r="A86" s="14">
        <v>4</v>
      </c>
      <c r="B86" s="90" t="s">
        <v>93</v>
      </c>
      <c r="C86" s="90"/>
      <c r="D86" s="90"/>
      <c r="E86" s="90"/>
      <c r="F86" s="90"/>
      <c r="G86" s="90"/>
      <c r="H86" s="23">
        <f>I86/$I$44</f>
        <v>7.7611808582478972E-2</v>
      </c>
      <c r="I86" s="24">
        <f>IF(I28="Não aplicável",0,((I10/H10)*1.5*I28))</f>
        <v>202.27499999999998</v>
      </c>
    </row>
    <row r="87" spans="1:10" ht="15" customHeight="1" x14ac:dyDescent="0.25">
      <c r="A87" s="14">
        <v>5</v>
      </c>
      <c r="B87" s="90" t="s">
        <v>94</v>
      </c>
      <c r="C87" s="90"/>
      <c r="D87" s="90"/>
      <c r="E87" s="90"/>
      <c r="F87" s="90"/>
      <c r="G87" s="90"/>
      <c r="H87" s="23">
        <f>I87/$I$44</f>
        <v>0</v>
      </c>
      <c r="I87" s="24">
        <f>IF(I23="Não aplicável",0,I23)</f>
        <v>0</v>
      </c>
    </row>
    <row r="88" spans="1:10" ht="15" customHeight="1" x14ac:dyDescent="0.25">
      <c r="A88" s="105" t="s">
        <v>95</v>
      </c>
      <c r="B88" s="105"/>
      <c r="C88" s="105"/>
      <c r="D88" s="105"/>
      <c r="E88" s="105"/>
      <c r="F88" s="105"/>
      <c r="G88" s="105"/>
      <c r="H88" s="25">
        <f>SUM(H83:H87)</f>
        <v>0.21395074897169869</v>
      </c>
      <c r="I88" s="26">
        <f>SUM(I83:I87)</f>
        <v>557.60699999999997</v>
      </c>
      <c r="J88" s="34"/>
    </row>
    <row r="89" spans="1:10" ht="18" customHeight="1" x14ac:dyDescent="0.25">
      <c r="A89" s="29" t="s">
        <v>96</v>
      </c>
      <c r="B89" s="121" t="s">
        <v>97</v>
      </c>
      <c r="C89" s="121"/>
      <c r="D89" s="121"/>
      <c r="E89" s="121"/>
      <c r="F89" s="121"/>
      <c r="G89" s="121"/>
      <c r="H89" s="35"/>
      <c r="I89" s="36"/>
    </row>
    <row r="90" spans="1:10" ht="15" customHeight="1" x14ac:dyDescent="0.25">
      <c r="A90" s="107" t="s">
        <v>98</v>
      </c>
      <c r="B90" s="107"/>
      <c r="C90" s="107"/>
      <c r="D90" s="107"/>
      <c r="E90" s="107"/>
      <c r="F90" s="107"/>
      <c r="G90" s="107"/>
      <c r="H90" s="107"/>
      <c r="I90" s="107"/>
    </row>
    <row r="91" spans="1:10" ht="24" customHeight="1" x14ac:dyDescent="0.25">
      <c r="A91" s="119" t="s">
        <v>99</v>
      </c>
      <c r="B91" s="119"/>
      <c r="C91" s="14" t="s">
        <v>100</v>
      </c>
      <c r="D91" s="14" t="s">
        <v>101</v>
      </c>
      <c r="E91" s="14" t="s">
        <v>102</v>
      </c>
      <c r="F91" s="14" t="s">
        <v>103</v>
      </c>
      <c r="G91" s="14" t="s">
        <v>104</v>
      </c>
      <c r="H91" s="23" t="s">
        <v>105</v>
      </c>
      <c r="I91" s="24" t="s">
        <v>106</v>
      </c>
    </row>
    <row r="92" spans="1:10" ht="15" customHeight="1" x14ac:dyDescent="0.25">
      <c r="A92" s="118">
        <f>I14</f>
        <v>5</v>
      </c>
      <c r="B92" s="118"/>
      <c r="C92" s="14">
        <f>I15</f>
        <v>15</v>
      </c>
      <c r="D92" s="14">
        <v>2</v>
      </c>
      <c r="E92" s="37">
        <f>A92*C92*D92</f>
        <v>150</v>
      </c>
      <c r="F92" s="37">
        <f>I33</f>
        <v>1977.8</v>
      </c>
      <c r="G92" s="38">
        <f>I16</f>
        <v>0.06</v>
      </c>
      <c r="H92" s="37">
        <f>F92*G92</f>
        <v>118.66799999999999</v>
      </c>
      <c r="I92" s="24">
        <f>IF((E92-H92)&gt;0,E92-H92,0)</f>
        <v>31.332000000000008</v>
      </c>
    </row>
    <row r="93" spans="1:10" ht="3.75" customHeight="1" x14ac:dyDescent="0.25">
      <c r="A93" s="39"/>
      <c r="E93" s="34"/>
      <c r="F93" s="34"/>
      <c r="G93" s="40"/>
      <c r="H93" s="34"/>
      <c r="I93" s="41"/>
    </row>
    <row r="94" spans="1:10" ht="15" customHeight="1" x14ac:dyDescent="0.25">
      <c r="A94" s="107" t="s">
        <v>107</v>
      </c>
      <c r="B94" s="107"/>
      <c r="C94" s="107"/>
      <c r="D94" s="107"/>
      <c r="E94" s="107"/>
      <c r="F94" s="107"/>
      <c r="G94" s="107"/>
      <c r="H94" s="107"/>
      <c r="I94" s="107"/>
    </row>
    <row r="95" spans="1:10" ht="23.25" customHeight="1" x14ac:dyDescent="0.25">
      <c r="A95" s="119" t="s">
        <v>99</v>
      </c>
      <c r="B95" s="119"/>
      <c r="C95" s="14" t="s">
        <v>108</v>
      </c>
      <c r="D95" s="14" t="s">
        <v>101</v>
      </c>
      <c r="E95" s="14" t="s">
        <v>102</v>
      </c>
      <c r="F95" s="14" t="s">
        <v>103</v>
      </c>
      <c r="G95" s="14" t="s">
        <v>104</v>
      </c>
      <c r="H95" s="23" t="s">
        <v>105</v>
      </c>
      <c r="I95" s="24" t="s">
        <v>106</v>
      </c>
    </row>
    <row r="96" spans="1:10" ht="15" customHeight="1" x14ac:dyDescent="0.25">
      <c r="A96" s="120">
        <f>I20</f>
        <v>0</v>
      </c>
      <c r="B96" s="120"/>
      <c r="C96" s="42">
        <f>I21</f>
        <v>15</v>
      </c>
      <c r="D96" s="14">
        <v>1</v>
      </c>
      <c r="E96" s="37">
        <f>A96*C96*D96</f>
        <v>0</v>
      </c>
      <c r="F96" s="37">
        <f>E96</f>
        <v>0</v>
      </c>
      <c r="G96" s="43">
        <f>I22</f>
        <v>0</v>
      </c>
      <c r="H96" s="37">
        <f>F96*G96</f>
        <v>0</v>
      </c>
      <c r="I96" s="24">
        <f>E96-H96</f>
        <v>0</v>
      </c>
    </row>
    <row r="97" spans="1:12" ht="4.5" customHeight="1" x14ac:dyDescent="0.25">
      <c r="A97" s="44"/>
      <c r="B97" s="44"/>
      <c r="C97" s="44"/>
      <c r="D97" s="44"/>
      <c r="E97" s="27"/>
      <c r="F97" s="27"/>
      <c r="G97" s="45"/>
      <c r="H97" s="27"/>
      <c r="I97" s="46"/>
    </row>
    <row r="98" spans="1:12" ht="15" customHeight="1" x14ac:dyDescent="0.25">
      <c r="A98" s="107" t="s">
        <v>109</v>
      </c>
      <c r="B98" s="107"/>
      <c r="C98" s="107"/>
      <c r="D98" s="107"/>
      <c r="E98" s="107"/>
      <c r="F98" s="107"/>
      <c r="G98" s="107"/>
      <c r="H98" s="107"/>
      <c r="I98" s="107"/>
    </row>
    <row r="99" spans="1:12" ht="23.25" customHeight="1" x14ac:dyDescent="0.25">
      <c r="A99" s="119" t="s">
        <v>99</v>
      </c>
      <c r="B99" s="119"/>
      <c r="C99" s="14" t="s">
        <v>108</v>
      </c>
      <c r="D99" s="14" t="s">
        <v>101</v>
      </c>
      <c r="E99" s="14" t="s">
        <v>102</v>
      </c>
      <c r="F99" s="14" t="s">
        <v>103</v>
      </c>
      <c r="G99" s="14" t="s">
        <v>104</v>
      </c>
      <c r="H99" s="23" t="str">
        <f>H91</f>
        <v>Valor desconto</v>
      </c>
      <c r="I99" s="24" t="s">
        <v>106</v>
      </c>
    </row>
    <row r="100" spans="1:12" ht="15" customHeight="1" x14ac:dyDescent="0.25">
      <c r="A100" s="120">
        <f>I17</f>
        <v>27</v>
      </c>
      <c r="B100" s="120"/>
      <c r="C100" s="42">
        <f>I18</f>
        <v>15</v>
      </c>
      <c r="D100" s="14">
        <v>1</v>
      </c>
      <c r="E100" s="37">
        <f>A100*C100*D100</f>
        <v>405</v>
      </c>
      <c r="F100" s="37">
        <f>E100</f>
        <v>405</v>
      </c>
      <c r="G100" s="43">
        <f>I19</f>
        <v>0.2</v>
      </c>
      <c r="H100" s="37">
        <f>F100*G100</f>
        <v>81</v>
      </c>
      <c r="I100" s="24">
        <f>E100-H100</f>
        <v>324</v>
      </c>
    </row>
    <row r="101" spans="1:12" ht="4.5" customHeight="1" x14ac:dyDescent="0.25"/>
    <row r="102" spans="1:12" ht="12" customHeight="1" x14ac:dyDescent="0.25">
      <c r="A102" s="88" t="s">
        <v>110</v>
      </c>
      <c r="B102" s="88"/>
      <c r="C102" s="88"/>
      <c r="D102" s="88"/>
      <c r="E102" s="88"/>
      <c r="F102" s="88"/>
      <c r="G102" s="88"/>
      <c r="H102" s="47">
        <f>H44+H80+H88</f>
        <v>1.9655077729716988</v>
      </c>
      <c r="I102" s="48">
        <f>I44+I80+I88</f>
        <v>5122.5849782297591</v>
      </c>
      <c r="J102" s="34"/>
      <c r="L102" s="34"/>
    </row>
    <row r="103" spans="1:12" s="53" customFormat="1" ht="4.5" customHeight="1" x14ac:dyDescent="0.25">
      <c r="A103" s="49"/>
      <c r="B103" s="49"/>
      <c r="C103" s="49"/>
      <c r="D103" s="49"/>
      <c r="E103" s="49"/>
      <c r="F103" s="49"/>
      <c r="G103" s="49"/>
      <c r="H103" s="50"/>
      <c r="I103" s="51"/>
      <c r="J103" s="52"/>
      <c r="L103" s="52"/>
    </row>
    <row r="104" spans="1:12" ht="11.25" customHeight="1" x14ac:dyDescent="0.25">
      <c r="A104" s="89" t="s">
        <v>111</v>
      </c>
      <c r="B104" s="89"/>
      <c r="C104" s="89"/>
      <c r="D104" s="89"/>
      <c r="E104" s="89"/>
      <c r="F104" s="89"/>
      <c r="G104" s="89"/>
      <c r="H104" s="89"/>
      <c r="I104" s="89"/>
    </row>
    <row r="105" spans="1:12" ht="33.75" customHeight="1" x14ac:dyDescent="0.25">
      <c r="A105" s="22" t="s">
        <v>37</v>
      </c>
      <c r="B105" s="114" t="s">
        <v>112</v>
      </c>
      <c r="C105" s="114"/>
      <c r="D105" s="114"/>
      <c r="E105" s="114"/>
      <c r="F105" s="114"/>
      <c r="G105" s="114"/>
      <c r="H105" s="22" t="s">
        <v>39</v>
      </c>
      <c r="I105" s="22" t="s">
        <v>40</v>
      </c>
    </row>
    <row r="106" spans="1:12" ht="15" customHeight="1" x14ac:dyDescent="0.25">
      <c r="A106" s="14">
        <v>1</v>
      </c>
      <c r="B106" s="90" t="s">
        <v>113</v>
      </c>
      <c r="C106" s="90"/>
      <c r="D106" s="90"/>
      <c r="E106" s="90"/>
      <c r="F106" s="90"/>
      <c r="G106" s="90"/>
      <c r="H106" s="23">
        <f t="shared" ref="H106:H111" si="4">I106/$I$117</f>
        <v>0</v>
      </c>
      <c r="I106" s="24">
        <v>0</v>
      </c>
    </row>
    <row r="107" spans="1:12" ht="15" customHeight="1" x14ac:dyDescent="0.25">
      <c r="A107" s="14">
        <v>2</v>
      </c>
      <c r="B107" s="117" t="s">
        <v>114</v>
      </c>
      <c r="C107" s="117"/>
      <c r="D107" s="117"/>
      <c r="E107" s="117"/>
      <c r="F107" s="117"/>
      <c r="G107" s="117"/>
      <c r="H107" s="23">
        <f t="shared" si="4"/>
        <v>0</v>
      </c>
      <c r="I107" s="24">
        <f>IF(F115=10%,G115,0)</f>
        <v>0</v>
      </c>
    </row>
    <row r="108" spans="1:12" ht="15" customHeight="1" x14ac:dyDescent="0.25">
      <c r="A108" s="14">
        <v>3</v>
      </c>
      <c r="B108" s="90" t="s">
        <v>115</v>
      </c>
      <c r="C108" s="90"/>
      <c r="D108" s="90"/>
      <c r="E108" s="90"/>
      <c r="F108" s="90"/>
      <c r="G108" s="90"/>
      <c r="H108" s="23">
        <f t="shared" si="4"/>
        <v>0</v>
      </c>
      <c r="I108" s="24">
        <v>0</v>
      </c>
    </row>
    <row r="109" spans="1:12" ht="15" customHeight="1" x14ac:dyDescent="0.25">
      <c r="A109" s="14">
        <v>4</v>
      </c>
      <c r="B109" s="117" t="s">
        <v>116</v>
      </c>
      <c r="C109" s="117"/>
      <c r="D109" s="117"/>
      <c r="E109" s="117"/>
      <c r="F109" s="117"/>
      <c r="G109" s="117"/>
      <c r="H109" s="23">
        <f t="shared" si="4"/>
        <v>0</v>
      </c>
      <c r="I109" s="24">
        <v>0</v>
      </c>
    </row>
    <row r="110" spans="1:12" ht="15" customHeight="1" x14ac:dyDescent="0.25">
      <c r="A110" s="14">
        <v>5</v>
      </c>
      <c r="B110" s="90" t="s">
        <v>117</v>
      </c>
      <c r="C110" s="90"/>
      <c r="D110" s="90"/>
      <c r="E110" s="90"/>
      <c r="F110" s="90"/>
      <c r="G110" s="90"/>
      <c r="H110" s="23">
        <f t="shared" si="4"/>
        <v>0</v>
      </c>
      <c r="I110" s="24">
        <v>0</v>
      </c>
    </row>
    <row r="111" spans="1:12" ht="15" customHeight="1" x14ac:dyDescent="0.25">
      <c r="A111" s="14">
        <v>6</v>
      </c>
      <c r="B111" s="90" t="s">
        <v>118</v>
      </c>
      <c r="C111" s="90"/>
      <c r="D111" s="90"/>
      <c r="E111" s="90"/>
      <c r="F111" s="90"/>
      <c r="G111" s="90"/>
      <c r="H111" s="23">
        <f t="shared" si="4"/>
        <v>0</v>
      </c>
      <c r="I111" s="24">
        <v>0</v>
      </c>
    </row>
    <row r="112" spans="1:12" ht="15" customHeight="1" x14ac:dyDescent="0.25">
      <c r="A112" s="105" t="s">
        <v>119</v>
      </c>
      <c r="B112" s="105"/>
      <c r="C112" s="105"/>
      <c r="D112" s="105"/>
      <c r="E112" s="105"/>
      <c r="F112" s="105"/>
      <c r="G112" s="105"/>
      <c r="H112" s="25">
        <f>H106+H107+H108+H109+H110+H111</f>
        <v>0</v>
      </c>
      <c r="I112" s="54">
        <f>SUM(I106:I111)</f>
        <v>0</v>
      </c>
      <c r="J112" s="34"/>
    </row>
    <row r="113" spans="1:12" ht="30" customHeight="1" x14ac:dyDescent="0.25">
      <c r="B113" s="106" t="s">
        <v>120</v>
      </c>
      <c r="C113" s="106"/>
      <c r="D113" s="106"/>
      <c r="E113" s="106"/>
      <c r="F113" s="106"/>
      <c r="G113" s="106"/>
      <c r="H113" s="106"/>
      <c r="I113" s="106"/>
    </row>
    <row r="114" spans="1:12" ht="5.25" customHeight="1" x14ac:dyDescent="0.25"/>
    <row r="115" spans="1:12" ht="48.75" customHeight="1" x14ac:dyDescent="0.25">
      <c r="A115" s="115" t="s">
        <v>121</v>
      </c>
      <c r="B115" s="115"/>
      <c r="C115" s="115"/>
      <c r="D115" s="115"/>
      <c r="E115" s="115"/>
      <c r="F115" s="55">
        <f>I29</f>
        <v>0.2</v>
      </c>
      <c r="G115" s="56">
        <f>I117*F115</f>
        <v>1018.2505956459518</v>
      </c>
      <c r="H115" s="57" t="s">
        <v>122</v>
      </c>
      <c r="I115" s="58">
        <f>I85</f>
        <v>31.332000000000008</v>
      </c>
    </row>
    <row r="116" spans="1:12" s="61" customFormat="1" ht="16.5" customHeight="1" x14ac:dyDescent="0.25">
      <c r="A116" s="112" t="s">
        <v>123</v>
      </c>
      <c r="B116" s="112"/>
      <c r="C116" s="57" t="s">
        <v>124</v>
      </c>
      <c r="D116" s="57" t="s">
        <v>125</v>
      </c>
      <c r="E116" s="57" t="s">
        <v>126</v>
      </c>
      <c r="F116" s="57" t="s">
        <v>127</v>
      </c>
      <c r="G116" s="57" t="s">
        <v>128</v>
      </c>
      <c r="H116" s="57" t="s">
        <v>129</v>
      </c>
      <c r="I116" s="59" t="s">
        <v>130</v>
      </c>
      <c r="J116" s="60"/>
    </row>
    <row r="117" spans="1:12" ht="16.5" customHeight="1" x14ac:dyDescent="0.25">
      <c r="A117" s="113">
        <f>I44</f>
        <v>2606.2399999999998</v>
      </c>
      <c r="B117" s="113"/>
      <c r="C117" s="62">
        <f>I55</f>
        <v>959.09631999999988</v>
      </c>
      <c r="D117" s="62">
        <f>I67</f>
        <v>664.44264431999989</v>
      </c>
      <c r="E117" s="62">
        <f>I74</f>
        <v>90.684120799999988</v>
      </c>
      <c r="F117" s="62">
        <f>I78</f>
        <v>244.51489310976001</v>
      </c>
      <c r="G117" s="62">
        <f>I88</f>
        <v>557.60699999999997</v>
      </c>
      <c r="H117" s="62">
        <f>A117+C117+D117+E117+F117+G117</f>
        <v>5122.5849782297591</v>
      </c>
      <c r="I117" s="62">
        <f>H117-I115</f>
        <v>5091.2529782297588</v>
      </c>
      <c r="J117" s="34"/>
    </row>
    <row r="118" spans="1:12" ht="4.5" customHeight="1" x14ac:dyDescent="0.25">
      <c r="A118" s="29"/>
      <c r="B118" s="116"/>
      <c r="C118" s="116"/>
      <c r="D118" s="116"/>
      <c r="E118" s="116"/>
      <c r="F118" s="116"/>
      <c r="G118" s="116"/>
      <c r="H118" s="116"/>
      <c r="I118" s="116"/>
    </row>
    <row r="119" spans="1:12" ht="33.75" customHeight="1" x14ac:dyDescent="0.25">
      <c r="A119" s="22" t="s">
        <v>51</v>
      </c>
      <c r="B119" s="114" t="s">
        <v>131</v>
      </c>
      <c r="C119" s="114"/>
      <c r="D119" s="114"/>
      <c r="E119" s="114"/>
      <c r="F119" s="114"/>
      <c r="G119" s="114"/>
      <c r="H119" s="22" t="s">
        <v>39</v>
      </c>
      <c r="I119" s="22" t="s">
        <v>40</v>
      </c>
    </row>
    <row r="120" spans="1:12" ht="15" customHeight="1" x14ac:dyDescent="0.25">
      <c r="A120" s="14">
        <v>1</v>
      </c>
      <c r="B120" s="90" t="s">
        <v>132</v>
      </c>
      <c r="C120" s="90"/>
      <c r="D120" s="90"/>
      <c r="E120" s="90"/>
      <c r="F120" s="90"/>
      <c r="G120" s="90"/>
      <c r="H120" s="23">
        <f>I120/$I$130</f>
        <v>0</v>
      </c>
      <c r="I120" s="24">
        <v>0</v>
      </c>
    </row>
    <row r="121" spans="1:12" ht="15" customHeight="1" x14ac:dyDescent="0.25">
      <c r="A121" s="14">
        <v>2</v>
      </c>
      <c r="B121" s="90" t="s">
        <v>133</v>
      </c>
      <c r="C121" s="90"/>
      <c r="D121" s="90"/>
      <c r="E121" s="90"/>
      <c r="F121" s="90"/>
      <c r="G121" s="90"/>
      <c r="H121" s="23">
        <f>I121/$I$130</f>
        <v>0</v>
      </c>
      <c r="I121" s="24">
        <v>0</v>
      </c>
    </row>
    <row r="122" spans="1:12" ht="34.5" customHeight="1" x14ac:dyDescent="0.25">
      <c r="A122" s="105" t="s">
        <v>206</v>
      </c>
      <c r="B122" s="105"/>
      <c r="C122" s="105"/>
      <c r="D122" s="105"/>
      <c r="E122" s="105"/>
      <c r="F122" s="105"/>
      <c r="G122" s="105"/>
      <c r="H122" s="25">
        <f>H120+H121</f>
        <v>0</v>
      </c>
      <c r="I122" s="26">
        <f>SUM(I120:I121)</f>
        <v>0</v>
      </c>
    </row>
    <row r="123" spans="1:12" ht="4.5" customHeight="1" x14ac:dyDescent="0.25"/>
    <row r="124" spans="1:12" ht="33.75" customHeight="1" x14ac:dyDescent="0.25">
      <c r="A124" s="22" t="s">
        <v>64</v>
      </c>
      <c r="B124" s="114" t="s">
        <v>134</v>
      </c>
      <c r="C124" s="114"/>
      <c r="D124" s="114"/>
      <c r="E124" s="114"/>
      <c r="F124" s="114"/>
      <c r="G124" s="114"/>
      <c r="H124" s="22" t="s">
        <v>39</v>
      </c>
      <c r="I124" s="22" t="s">
        <v>40</v>
      </c>
    </row>
    <row r="125" spans="1:12" ht="15" customHeight="1" x14ac:dyDescent="0.25">
      <c r="A125" s="14">
        <v>1</v>
      </c>
      <c r="B125" s="90" t="s">
        <v>134</v>
      </c>
      <c r="C125" s="90"/>
      <c r="D125" s="90"/>
      <c r="E125" s="90"/>
      <c r="F125" s="90"/>
      <c r="G125" s="90"/>
      <c r="H125" s="23">
        <f>I125/I130</f>
        <v>0</v>
      </c>
      <c r="I125" s="24">
        <v>0</v>
      </c>
    </row>
    <row r="126" spans="1:12" ht="35.1" customHeight="1" x14ac:dyDescent="0.25">
      <c r="A126" s="105" t="s">
        <v>205</v>
      </c>
      <c r="B126" s="105"/>
      <c r="C126" s="105"/>
      <c r="D126" s="105"/>
      <c r="E126" s="105"/>
      <c r="F126" s="105"/>
      <c r="G126" s="105"/>
      <c r="H126" s="25">
        <f>H125</f>
        <v>0</v>
      </c>
      <c r="I126" s="26">
        <f>I125</f>
        <v>0</v>
      </c>
      <c r="J126" s="34"/>
      <c r="K126" s="34"/>
      <c r="L126" s="2"/>
    </row>
    <row r="127" spans="1:12" ht="4.5" customHeight="1" x14ac:dyDescent="0.25">
      <c r="A127" s="28"/>
      <c r="B127" s="28"/>
      <c r="C127" s="28"/>
      <c r="D127" s="28"/>
      <c r="E127" s="28"/>
      <c r="F127" s="28"/>
      <c r="G127" s="28"/>
      <c r="H127" s="35"/>
      <c r="I127" s="36"/>
    </row>
    <row r="128" spans="1:12" ht="39" customHeight="1" x14ac:dyDescent="0.25">
      <c r="A128" s="111" t="s">
        <v>135</v>
      </c>
      <c r="B128" s="111"/>
      <c r="C128" s="111"/>
      <c r="D128" s="111"/>
      <c r="E128" s="111"/>
      <c r="F128" s="55">
        <v>0.18</v>
      </c>
      <c r="G128" s="56">
        <f>I130*F128</f>
        <v>916.42553608135654</v>
      </c>
      <c r="H128" s="57" t="s">
        <v>122</v>
      </c>
      <c r="I128" s="58">
        <f>I85</f>
        <v>31.332000000000008</v>
      </c>
      <c r="L128" s="2"/>
    </row>
    <row r="129" spans="1:12" s="61" customFormat="1" ht="16.5" customHeight="1" x14ac:dyDescent="0.25">
      <c r="A129" s="112" t="s">
        <v>123</v>
      </c>
      <c r="B129" s="112"/>
      <c r="C129" s="57" t="s">
        <v>124</v>
      </c>
      <c r="D129" s="57" t="s">
        <v>125</v>
      </c>
      <c r="E129" s="57" t="s">
        <v>126</v>
      </c>
      <c r="F129" s="57" t="s">
        <v>127</v>
      </c>
      <c r="G129" s="57" t="s">
        <v>128</v>
      </c>
      <c r="H129" s="57" t="s">
        <v>129</v>
      </c>
      <c r="I129" s="59" t="s">
        <v>130</v>
      </c>
      <c r="J129" s="60"/>
      <c r="L129" s="60"/>
    </row>
    <row r="130" spans="1:12" ht="16.5" customHeight="1" x14ac:dyDescent="0.25">
      <c r="A130" s="113">
        <f>I44</f>
        <v>2606.2399999999998</v>
      </c>
      <c r="B130" s="113"/>
      <c r="C130" s="62">
        <f>I55</f>
        <v>959.09631999999988</v>
      </c>
      <c r="D130" s="62">
        <f>I67</f>
        <v>664.44264431999989</v>
      </c>
      <c r="E130" s="62">
        <f>I74</f>
        <v>90.684120799999988</v>
      </c>
      <c r="F130" s="62">
        <f>I78</f>
        <v>244.51489310976001</v>
      </c>
      <c r="G130" s="62">
        <f>I88</f>
        <v>557.60699999999997</v>
      </c>
      <c r="H130" s="62">
        <f>A130+C130+D130+E130+F130+G130</f>
        <v>5122.5849782297591</v>
      </c>
      <c r="I130" s="62">
        <f>H130-I128</f>
        <v>5091.2529782297588</v>
      </c>
      <c r="J130" s="34"/>
      <c r="L130" s="2"/>
    </row>
    <row r="131" spans="1:12" ht="4.5" customHeight="1" x14ac:dyDescent="0.25"/>
    <row r="132" spans="1:12" ht="12" customHeight="1" x14ac:dyDescent="0.25">
      <c r="A132" s="88" t="s">
        <v>136</v>
      </c>
      <c r="B132" s="88"/>
      <c r="C132" s="88"/>
      <c r="D132" s="88"/>
      <c r="E132" s="88"/>
      <c r="F132" s="88"/>
      <c r="G132" s="88"/>
      <c r="H132" s="47">
        <f>H112+H122+H126</f>
        <v>0</v>
      </c>
      <c r="I132" s="48">
        <f>I112+I122+I126</f>
        <v>0</v>
      </c>
    </row>
    <row r="133" spans="1:12" ht="4.5" customHeight="1" x14ac:dyDescent="0.25"/>
    <row r="134" spans="1:12" ht="11.25" customHeight="1" x14ac:dyDescent="0.25">
      <c r="A134" s="89" t="s">
        <v>137</v>
      </c>
      <c r="B134" s="89"/>
      <c r="C134" s="89"/>
      <c r="D134" s="89"/>
      <c r="E134" s="89"/>
      <c r="F134" s="89"/>
      <c r="G134" s="89"/>
      <c r="H134" s="89"/>
      <c r="I134" s="89"/>
    </row>
    <row r="135" spans="1:12" ht="33.75" customHeight="1" x14ac:dyDescent="0.25">
      <c r="A135" s="22" t="s">
        <v>37</v>
      </c>
      <c r="B135" s="114" t="s">
        <v>138</v>
      </c>
      <c r="C135" s="114"/>
      <c r="D135" s="114"/>
      <c r="E135" s="114"/>
      <c r="F135" s="114"/>
      <c r="G135" s="114"/>
      <c r="H135" s="22" t="s">
        <v>39</v>
      </c>
      <c r="I135" s="22" t="s">
        <v>40</v>
      </c>
    </row>
    <row r="136" spans="1:12" ht="15" customHeight="1" x14ac:dyDescent="0.25">
      <c r="A136" s="14">
        <v>1</v>
      </c>
      <c r="B136" s="90" t="s">
        <v>139</v>
      </c>
      <c r="C136" s="90"/>
      <c r="D136" s="90"/>
      <c r="E136" s="90"/>
      <c r="F136" s="90"/>
      <c r="G136" s="90"/>
      <c r="H136" s="23">
        <f>I136/$I$102</f>
        <v>7.0384407146724419E-3</v>
      </c>
      <c r="I136" s="24">
        <f>($D$146/$E$148)*H146</f>
        <v>36.05501067514178</v>
      </c>
    </row>
    <row r="137" spans="1:12" ht="15" customHeight="1" x14ac:dyDescent="0.25">
      <c r="A137" s="14">
        <v>2</v>
      </c>
      <c r="B137" s="90" t="s">
        <v>140</v>
      </c>
      <c r="C137" s="90"/>
      <c r="D137" s="90"/>
      <c r="E137" s="90"/>
      <c r="F137" s="90"/>
      <c r="G137" s="90"/>
      <c r="H137" s="23">
        <f>I137/$I$102</f>
        <v>3.248511099079588E-2</v>
      </c>
      <c r="I137" s="24">
        <f>($D$146/$E$148)*H147</f>
        <v>166.40774157757744</v>
      </c>
    </row>
    <row r="138" spans="1:12" ht="15" customHeight="1" x14ac:dyDescent="0.25">
      <c r="A138" s="14">
        <v>3</v>
      </c>
      <c r="B138" s="90" t="s">
        <v>14</v>
      </c>
      <c r="C138" s="90"/>
      <c r="D138" s="90"/>
      <c r="E138" s="90"/>
      <c r="F138" s="90"/>
      <c r="G138" s="90"/>
      <c r="H138" s="23">
        <f>I138/$I$102</f>
        <v>4.3313481321061185E-2</v>
      </c>
      <c r="I138" s="24">
        <f>($D$146/$E$148)*H148</f>
        <v>221.87698877010328</v>
      </c>
    </row>
    <row r="139" spans="1:12" ht="15" customHeight="1" x14ac:dyDescent="0.25">
      <c r="A139" s="14">
        <v>4</v>
      </c>
      <c r="B139" s="90" t="s">
        <v>141</v>
      </c>
      <c r="C139" s="90"/>
      <c r="D139" s="90"/>
      <c r="E139" s="90"/>
      <c r="F139" s="90"/>
      <c r="G139" s="90"/>
      <c r="H139" s="23">
        <f>I139/$I$102</f>
        <v>0</v>
      </c>
      <c r="I139" s="24">
        <f>($D$146/$E$148)*H149</f>
        <v>0</v>
      </c>
    </row>
    <row r="140" spans="1:12" ht="15" customHeight="1" x14ac:dyDescent="0.25">
      <c r="A140" s="14">
        <v>5</v>
      </c>
      <c r="B140" s="90" t="s">
        <v>142</v>
      </c>
      <c r="C140" s="90"/>
      <c r="D140" s="90"/>
      <c r="E140" s="90"/>
      <c r="F140" s="90"/>
      <c r="G140" s="90"/>
      <c r="H140" s="23">
        <f>I140/$I$102</f>
        <v>0</v>
      </c>
      <c r="I140" s="24">
        <f>($D$146/$E$148)*H150</f>
        <v>0</v>
      </c>
    </row>
    <row r="141" spans="1:12" ht="15" customHeight="1" x14ac:dyDescent="0.25">
      <c r="A141" s="105" t="s">
        <v>143</v>
      </c>
      <c r="B141" s="105"/>
      <c r="C141" s="105"/>
      <c r="D141" s="105"/>
      <c r="E141" s="105"/>
      <c r="F141" s="105"/>
      <c r="G141" s="105"/>
      <c r="H141" s="25">
        <f>H136+H137+H138+H139+H140</f>
        <v>8.2837033026529505E-2</v>
      </c>
      <c r="I141" s="26">
        <f>SUM(I136:I140)</f>
        <v>424.33974102282252</v>
      </c>
    </row>
    <row r="142" spans="1:12" ht="11.25" customHeight="1" x14ac:dyDescent="0.25">
      <c r="A142" s="29" t="s">
        <v>144</v>
      </c>
      <c r="B142" s="106" t="s">
        <v>145</v>
      </c>
      <c r="C142" s="106"/>
      <c r="D142" s="106"/>
      <c r="E142" s="106"/>
      <c r="F142" s="106"/>
      <c r="G142" s="106"/>
      <c r="H142" s="106"/>
      <c r="I142" s="106"/>
    </row>
    <row r="143" spans="1:12" ht="20.25" customHeight="1" x14ac:dyDescent="0.25">
      <c r="A143" s="29" t="s">
        <v>146</v>
      </c>
      <c r="B143" s="99" t="s">
        <v>147</v>
      </c>
      <c r="C143" s="99"/>
      <c r="D143" s="99"/>
      <c r="E143" s="99"/>
      <c r="F143" s="99"/>
      <c r="G143" s="99"/>
      <c r="H143" s="99"/>
      <c r="I143" s="99"/>
    </row>
    <row r="144" spans="1:12" ht="13.5" customHeight="1" x14ac:dyDescent="0.25">
      <c r="A144" s="107" t="s">
        <v>148</v>
      </c>
      <c r="B144" s="107"/>
      <c r="C144" s="107"/>
      <c r="D144" s="107"/>
      <c r="E144" s="107"/>
      <c r="F144" s="107"/>
      <c r="G144" s="107"/>
      <c r="H144" s="107"/>
      <c r="I144" s="107"/>
    </row>
    <row r="145" spans="1:10" ht="13.5" customHeight="1" x14ac:dyDescent="0.25">
      <c r="A145" s="108" t="s">
        <v>149</v>
      </c>
      <c r="B145" s="108"/>
      <c r="C145" s="3" t="s">
        <v>150</v>
      </c>
      <c r="D145" s="109" t="s">
        <v>151</v>
      </c>
      <c r="E145" s="109"/>
      <c r="F145" s="3" t="s">
        <v>152</v>
      </c>
      <c r="G145" s="3" t="s">
        <v>153</v>
      </c>
      <c r="H145" s="110" t="s">
        <v>154</v>
      </c>
      <c r="I145" s="110"/>
    </row>
    <row r="146" spans="1:10" ht="13.5" customHeight="1" x14ac:dyDescent="0.25">
      <c r="A146" s="102">
        <f>I102</f>
        <v>5122.5849782297591</v>
      </c>
      <c r="B146" s="102"/>
      <c r="C146" s="24">
        <f>I132</f>
        <v>0</v>
      </c>
      <c r="D146" s="103">
        <f>A146+C146</f>
        <v>5122.5849782297591</v>
      </c>
      <c r="E146" s="103"/>
      <c r="F146" s="14" t="s">
        <v>139</v>
      </c>
      <c r="G146" s="43">
        <v>1.6500000000000001E-2</v>
      </c>
      <c r="H146" s="96">
        <v>6.4999999999999997E-3</v>
      </c>
      <c r="I146" s="96"/>
      <c r="J146" s="34"/>
    </row>
    <row r="147" spans="1:10" ht="13.5" customHeight="1" x14ac:dyDescent="0.25">
      <c r="A147" s="90" t="s">
        <v>155</v>
      </c>
      <c r="B147" s="90"/>
      <c r="C147" s="14">
        <v>1</v>
      </c>
      <c r="D147" s="63">
        <f>G151/1</f>
        <v>0.13250000000000001</v>
      </c>
      <c r="E147" s="64">
        <f>C147-D147</f>
        <v>0.86749999999999994</v>
      </c>
      <c r="F147" s="14" t="s">
        <v>140</v>
      </c>
      <c r="G147" s="43">
        <v>7.5999999999999998E-2</v>
      </c>
      <c r="H147" s="96">
        <v>0.03</v>
      </c>
      <c r="I147" s="96"/>
    </row>
    <row r="148" spans="1:10" ht="13.5" customHeight="1" x14ac:dyDescent="0.25">
      <c r="A148" s="104" t="s">
        <v>156</v>
      </c>
      <c r="B148" s="104"/>
      <c r="C148" s="14">
        <v>1</v>
      </c>
      <c r="D148" s="63">
        <f>H151</f>
        <v>7.6499999999999999E-2</v>
      </c>
      <c r="E148" s="65">
        <f>C148-D148</f>
        <v>0.92349999999999999</v>
      </c>
      <c r="F148" s="14" t="s">
        <v>14</v>
      </c>
      <c r="G148" s="43">
        <f>I11</f>
        <v>0.04</v>
      </c>
      <c r="H148" s="96">
        <f>I11</f>
        <v>0.04</v>
      </c>
      <c r="I148" s="96"/>
    </row>
    <row r="149" spans="1:10" ht="13.5" customHeight="1" x14ac:dyDescent="0.25">
      <c r="A149" s="104" t="s">
        <v>157</v>
      </c>
      <c r="B149" s="104"/>
      <c r="C149" s="14">
        <v>1</v>
      </c>
      <c r="D149" s="66">
        <v>0.09</v>
      </c>
      <c r="E149" s="67">
        <f>C149-D149</f>
        <v>0.91</v>
      </c>
      <c r="F149" s="14" t="s">
        <v>158</v>
      </c>
      <c r="G149" s="43">
        <v>0</v>
      </c>
      <c r="H149" s="96">
        <v>0</v>
      </c>
      <c r="I149" s="96"/>
    </row>
    <row r="150" spans="1:10" ht="13.5" customHeight="1" x14ac:dyDescent="0.25">
      <c r="A150" s="95" t="s">
        <v>159</v>
      </c>
      <c r="B150" s="95" t="s">
        <v>160</v>
      </c>
      <c r="C150" s="95"/>
      <c r="D150" s="95"/>
      <c r="E150" s="95"/>
      <c r="F150" s="12" t="s">
        <v>161</v>
      </c>
      <c r="G150" s="43">
        <v>0</v>
      </c>
      <c r="H150" s="96">
        <v>0</v>
      </c>
      <c r="I150" s="96"/>
    </row>
    <row r="151" spans="1:10" ht="18" customHeight="1" x14ac:dyDescent="0.25">
      <c r="A151" s="95"/>
      <c r="B151" s="95"/>
      <c r="C151" s="95"/>
      <c r="D151" s="95"/>
      <c r="E151" s="95"/>
      <c r="F151" s="3" t="s">
        <v>162</v>
      </c>
      <c r="G151" s="68">
        <f>SUM(G146:G150)</f>
        <v>0.13250000000000001</v>
      </c>
      <c r="H151" s="97">
        <f>SUM(H146:I150)</f>
        <v>7.6499999999999999E-2</v>
      </c>
      <c r="I151" s="97"/>
    </row>
    <row r="152" spans="1:10" ht="48.75" customHeight="1" x14ac:dyDescent="0.25">
      <c r="A152" s="98" t="s">
        <v>163</v>
      </c>
      <c r="B152" s="98"/>
      <c r="C152" s="98"/>
      <c r="D152" s="98"/>
      <c r="E152" s="98"/>
      <c r="F152" s="98"/>
      <c r="G152" s="98"/>
      <c r="H152" s="98"/>
      <c r="I152" s="98"/>
    </row>
    <row r="153" spans="1:10" ht="12" customHeight="1" x14ac:dyDescent="0.25">
      <c r="A153" s="29" t="s">
        <v>164</v>
      </c>
      <c r="B153" s="99" t="s">
        <v>165</v>
      </c>
      <c r="C153" s="99"/>
      <c r="D153" s="99"/>
      <c r="E153" s="99"/>
      <c r="F153" s="99"/>
      <c r="G153" s="99"/>
      <c r="H153" s="99"/>
      <c r="I153" s="99"/>
    </row>
    <row r="154" spans="1:10" ht="4.5" customHeight="1" x14ac:dyDescent="0.25">
      <c r="A154" s="69"/>
      <c r="B154" s="100"/>
      <c r="C154" s="100"/>
      <c r="D154" s="100"/>
      <c r="E154" s="100"/>
      <c r="F154" s="100"/>
      <c r="G154" s="100"/>
      <c r="H154" s="100"/>
      <c r="I154" s="100"/>
    </row>
    <row r="155" spans="1:10" ht="12" customHeight="1" x14ac:dyDescent="0.25">
      <c r="A155" s="88" t="s">
        <v>166</v>
      </c>
      <c r="B155" s="88"/>
      <c r="C155" s="88"/>
      <c r="D155" s="88"/>
      <c r="E155" s="88"/>
      <c r="F155" s="88"/>
      <c r="G155" s="88"/>
      <c r="H155" s="47">
        <f>H141</f>
        <v>8.2837033026529505E-2</v>
      </c>
      <c r="I155" s="48">
        <f>I141</f>
        <v>424.33974102282252</v>
      </c>
    </row>
    <row r="156" spans="1:10" ht="4.5" customHeight="1" x14ac:dyDescent="0.25"/>
    <row r="157" spans="1:10" ht="11.25" customHeight="1" x14ac:dyDescent="0.25">
      <c r="A157" s="101" t="s">
        <v>167</v>
      </c>
      <c r="B157" s="101"/>
      <c r="C157" s="101"/>
      <c r="D157" s="101"/>
      <c r="E157" s="101"/>
      <c r="F157" s="101"/>
      <c r="G157" s="101"/>
      <c r="H157" s="101"/>
      <c r="I157" s="101"/>
    </row>
    <row r="158" spans="1:10" ht="11.25" customHeight="1" x14ac:dyDescent="0.25">
      <c r="A158" s="89" t="s">
        <v>36</v>
      </c>
      <c r="B158" s="89"/>
      <c r="C158" s="89"/>
      <c r="D158" s="89"/>
      <c r="E158" s="89"/>
      <c r="F158" s="89"/>
      <c r="G158" s="89"/>
      <c r="H158" s="89"/>
      <c r="I158" s="89"/>
    </row>
    <row r="159" spans="1:10" ht="15" customHeight="1" x14ac:dyDescent="0.25">
      <c r="A159" s="14">
        <v>1</v>
      </c>
      <c r="B159" s="90" t="s">
        <v>168</v>
      </c>
      <c r="C159" s="90"/>
      <c r="D159" s="90"/>
      <c r="E159" s="90"/>
      <c r="F159" s="90"/>
      <c r="G159" s="90"/>
      <c r="H159" s="23">
        <f>I159/$G$176</f>
        <v>0.46985314059772865</v>
      </c>
      <c r="I159" s="70">
        <f>I44</f>
        <v>2606.2399999999998</v>
      </c>
    </row>
    <row r="160" spans="1:10" ht="15" customHeight="1" x14ac:dyDescent="0.25">
      <c r="A160" s="14">
        <v>2</v>
      </c>
      <c r="B160" s="90" t="s">
        <v>169</v>
      </c>
      <c r="C160" s="90"/>
      <c r="D160" s="90"/>
      <c r="E160" s="90"/>
      <c r="F160" s="90"/>
      <c r="G160" s="90"/>
      <c r="H160" s="23">
        <f>I160/$G$176</f>
        <v>0.3531214280646825</v>
      </c>
      <c r="I160" s="70">
        <f>I55+I67+I74+I78</f>
        <v>1958.7379782297598</v>
      </c>
    </row>
    <row r="161" spans="1:11" ht="15" customHeight="1" x14ac:dyDescent="0.25">
      <c r="A161" s="14">
        <v>3</v>
      </c>
      <c r="B161" s="90" t="s">
        <v>170</v>
      </c>
      <c r="C161" s="90"/>
      <c r="D161" s="90"/>
      <c r="E161" s="90"/>
      <c r="F161" s="90"/>
      <c r="G161" s="90"/>
      <c r="H161" s="23">
        <f>I161/$G$176</f>
        <v>0.1005254313375889</v>
      </c>
      <c r="I161" s="70">
        <f>I88</f>
        <v>557.60699999999997</v>
      </c>
    </row>
    <row r="162" spans="1:11" s="28" customFormat="1" ht="15" customHeight="1" x14ac:dyDescent="0.25">
      <c r="A162" s="88" t="s">
        <v>171</v>
      </c>
      <c r="B162" s="88"/>
      <c r="C162" s="88"/>
      <c r="D162" s="88"/>
      <c r="E162" s="88"/>
      <c r="F162" s="88"/>
      <c r="G162" s="88"/>
      <c r="H162" s="47">
        <f>H159+H160+H161</f>
        <v>0.92349999999999999</v>
      </c>
      <c r="I162" s="48">
        <f>SUM(I159:I161)</f>
        <v>5122.5849782297591</v>
      </c>
      <c r="J162" s="35"/>
    </row>
    <row r="163" spans="1:11" ht="4.5" customHeight="1" x14ac:dyDescent="0.25"/>
    <row r="164" spans="1:11" ht="11.25" customHeight="1" x14ac:dyDescent="0.25">
      <c r="A164" s="89" t="s">
        <v>111</v>
      </c>
      <c r="B164" s="89"/>
      <c r="C164" s="89"/>
      <c r="D164" s="89"/>
      <c r="E164" s="89"/>
      <c r="F164" s="89"/>
      <c r="G164" s="89"/>
      <c r="H164" s="89"/>
      <c r="I164" s="89"/>
    </row>
    <row r="165" spans="1:11" ht="15" customHeight="1" x14ac:dyDescent="0.25">
      <c r="A165" s="14">
        <v>1</v>
      </c>
      <c r="B165" s="90" t="s">
        <v>172</v>
      </c>
      <c r="C165" s="90"/>
      <c r="D165" s="90"/>
      <c r="E165" s="90"/>
      <c r="F165" s="90"/>
      <c r="G165" s="90"/>
      <c r="H165" s="23">
        <f>I165/$G$176</f>
        <v>0</v>
      </c>
      <c r="I165" s="24">
        <f>I112</f>
        <v>0</v>
      </c>
    </row>
    <row r="166" spans="1:11" ht="15" customHeight="1" x14ac:dyDescent="0.25">
      <c r="A166" s="14">
        <v>2</v>
      </c>
      <c r="B166" s="90" t="s">
        <v>173</v>
      </c>
      <c r="C166" s="90"/>
      <c r="D166" s="90"/>
      <c r="E166" s="90"/>
      <c r="F166" s="90"/>
      <c r="G166" s="90"/>
      <c r="H166" s="23">
        <f>I166/$G$176</f>
        <v>0</v>
      </c>
      <c r="I166" s="24">
        <f>I122</f>
        <v>0</v>
      </c>
    </row>
    <row r="167" spans="1:11" ht="15" customHeight="1" x14ac:dyDescent="0.25">
      <c r="A167" s="14">
        <v>3</v>
      </c>
      <c r="B167" s="90" t="s">
        <v>174</v>
      </c>
      <c r="C167" s="90"/>
      <c r="D167" s="90"/>
      <c r="E167" s="90"/>
      <c r="F167" s="90"/>
      <c r="G167" s="90"/>
      <c r="H167" s="23">
        <f>I167/$G$176</f>
        <v>0</v>
      </c>
      <c r="I167" s="24">
        <f>I126</f>
        <v>0</v>
      </c>
    </row>
    <row r="168" spans="1:11" ht="15" customHeight="1" x14ac:dyDescent="0.25">
      <c r="A168" s="88" t="s">
        <v>175</v>
      </c>
      <c r="B168" s="88"/>
      <c r="C168" s="88"/>
      <c r="D168" s="88"/>
      <c r="E168" s="88"/>
      <c r="F168" s="88"/>
      <c r="G168" s="88"/>
      <c r="H168" s="47">
        <f>H165+H166+H167</f>
        <v>0</v>
      </c>
      <c r="I168" s="48">
        <f>I165+I166+I167</f>
        <v>0</v>
      </c>
    </row>
    <row r="169" spans="1:11" ht="4.5" customHeight="1" x14ac:dyDescent="0.25"/>
    <row r="170" spans="1:11" ht="11.25" customHeight="1" x14ac:dyDescent="0.25">
      <c r="A170" s="89" t="s">
        <v>137</v>
      </c>
      <c r="B170" s="89"/>
      <c r="C170" s="89"/>
      <c r="D170" s="89"/>
      <c r="E170" s="89"/>
      <c r="F170" s="89"/>
      <c r="G170" s="89"/>
      <c r="H170" s="89"/>
      <c r="I170" s="89"/>
    </row>
    <row r="171" spans="1:11" ht="15" customHeight="1" x14ac:dyDescent="0.25">
      <c r="A171" s="14">
        <v>1</v>
      </c>
      <c r="B171" s="90" t="s">
        <v>176</v>
      </c>
      <c r="C171" s="90"/>
      <c r="D171" s="90"/>
      <c r="E171" s="90"/>
      <c r="F171" s="90"/>
      <c r="G171" s="90"/>
      <c r="H171" s="23">
        <f>I171/$G$176</f>
        <v>7.6499999999999999E-2</v>
      </c>
      <c r="I171" s="24">
        <f>I141</f>
        <v>424.33974102282252</v>
      </c>
    </row>
    <row r="172" spans="1:11" ht="15" customHeight="1" x14ac:dyDescent="0.25">
      <c r="A172" s="88" t="s">
        <v>177</v>
      </c>
      <c r="B172" s="88"/>
      <c r="C172" s="88"/>
      <c r="D172" s="88"/>
      <c r="E172" s="88"/>
      <c r="F172" s="88"/>
      <c r="G172" s="88"/>
      <c r="H172" s="47">
        <f>H171</f>
        <v>7.6499999999999999E-2</v>
      </c>
      <c r="I172" s="48">
        <f>I141</f>
        <v>424.33974102282252</v>
      </c>
      <c r="K172" s="41"/>
    </row>
    <row r="173" spans="1:11" ht="4.5" customHeight="1" x14ac:dyDescent="0.25"/>
    <row r="174" spans="1:11" ht="11.25" customHeight="1" x14ac:dyDescent="0.25">
      <c r="A174" s="91" t="s">
        <v>167</v>
      </c>
      <c r="B174" s="91"/>
      <c r="C174" s="91"/>
      <c r="D174" s="91"/>
      <c r="E174" s="91"/>
      <c r="F174" s="91"/>
      <c r="G174" s="91"/>
      <c r="H174" s="91"/>
      <c r="I174" s="91"/>
    </row>
    <row r="175" spans="1:11" ht="45" customHeight="1" x14ac:dyDescent="0.25">
      <c r="A175" s="92" t="s">
        <v>178</v>
      </c>
      <c r="B175" s="92"/>
      <c r="C175" s="92"/>
      <c r="D175" s="92"/>
      <c r="E175" s="92"/>
      <c r="F175" s="92"/>
      <c r="G175" s="71" t="s">
        <v>179</v>
      </c>
      <c r="H175" s="71" t="s">
        <v>180</v>
      </c>
      <c r="I175" s="71" t="s">
        <v>181</v>
      </c>
    </row>
    <row r="176" spans="1:11" ht="11.25" customHeight="1" x14ac:dyDescent="0.25">
      <c r="A176" s="93" t="str">
        <f>D5</f>
        <v>VIGILANTE</v>
      </c>
      <c r="B176" s="93"/>
      <c r="C176" s="93"/>
      <c r="D176" s="93"/>
      <c r="E176" s="93"/>
      <c r="F176" s="93"/>
      <c r="G176" s="72">
        <f>I162+I168+I172</f>
        <v>5546.9247192525818</v>
      </c>
      <c r="H176" s="71">
        <f>IF(D6="12x36",2,1)</f>
        <v>2</v>
      </c>
      <c r="I176" s="72">
        <f>G176*H176</f>
        <v>11093.849438505164</v>
      </c>
    </row>
    <row r="177" spans="1:10" x14ac:dyDescent="0.25">
      <c r="A177" s="93"/>
      <c r="B177" s="93"/>
      <c r="C177" s="93"/>
      <c r="D177" s="93"/>
      <c r="E177" s="93"/>
      <c r="F177" s="93"/>
      <c r="G177" s="71"/>
      <c r="H177" s="71"/>
      <c r="I177" s="72"/>
    </row>
    <row r="178" spans="1:10" s="28" customFormat="1" ht="12" customHeight="1" x14ac:dyDescent="0.25">
      <c r="A178" s="94" t="s">
        <v>182</v>
      </c>
      <c r="B178" s="94"/>
      <c r="C178" s="94"/>
      <c r="D178" s="94"/>
      <c r="E178" s="94"/>
      <c r="F178" s="94"/>
      <c r="G178" s="94"/>
      <c r="H178" s="94"/>
      <c r="I178" s="73">
        <f>I176</f>
        <v>11093.849438505164</v>
      </c>
      <c r="J178" s="35"/>
    </row>
  </sheetData>
  <mergeCells count="176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1:I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A44:G44"/>
    <mergeCell ref="B46:G46"/>
    <mergeCell ref="B47:G47"/>
    <mergeCell ref="B48:G48"/>
    <mergeCell ref="B49:G49"/>
    <mergeCell ref="B50:G50"/>
    <mergeCell ref="B51:G51"/>
    <mergeCell ref="B52:G52"/>
    <mergeCell ref="B53:G53"/>
    <mergeCell ref="B54:G54"/>
    <mergeCell ref="A55:G55"/>
    <mergeCell ref="A56:I56"/>
    <mergeCell ref="A57:I57"/>
    <mergeCell ref="B58:G58"/>
    <mergeCell ref="B59:G59"/>
    <mergeCell ref="B60:G60"/>
    <mergeCell ref="B61:G61"/>
    <mergeCell ref="B62:G62"/>
    <mergeCell ref="B63:G63"/>
    <mergeCell ref="B64:G64"/>
    <mergeCell ref="B65:G65"/>
    <mergeCell ref="B66:G66"/>
    <mergeCell ref="A67:G67"/>
    <mergeCell ref="B68:I68"/>
    <mergeCell ref="B69:I69"/>
    <mergeCell ref="B70:G70"/>
    <mergeCell ref="B71:G71"/>
    <mergeCell ref="B72:G72"/>
    <mergeCell ref="B73:G73"/>
    <mergeCell ref="A74:G74"/>
    <mergeCell ref="B76:G76"/>
    <mergeCell ref="B77:G77"/>
    <mergeCell ref="A78:G78"/>
    <mergeCell ref="A80:G80"/>
    <mergeCell ref="B82:G82"/>
    <mergeCell ref="B83:G83"/>
    <mergeCell ref="B84:G84"/>
    <mergeCell ref="B85:G85"/>
    <mergeCell ref="B86:G86"/>
    <mergeCell ref="B87:G87"/>
    <mergeCell ref="A88:G88"/>
    <mergeCell ref="B89:G89"/>
    <mergeCell ref="A90:I90"/>
    <mergeCell ref="A91:B91"/>
    <mergeCell ref="A92:B92"/>
    <mergeCell ref="A94:I94"/>
    <mergeCell ref="A95:B95"/>
    <mergeCell ref="A96:B96"/>
    <mergeCell ref="A98:I98"/>
    <mergeCell ref="A99:B99"/>
    <mergeCell ref="A100:B100"/>
    <mergeCell ref="A102:G102"/>
    <mergeCell ref="A104:I104"/>
    <mergeCell ref="B105:G105"/>
    <mergeCell ref="B106:G106"/>
    <mergeCell ref="B107:G107"/>
    <mergeCell ref="B108:G108"/>
    <mergeCell ref="B109:G109"/>
    <mergeCell ref="B110:G110"/>
    <mergeCell ref="B111:G111"/>
    <mergeCell ref="A112:G112"/>
    <mergeCell ref="B113:I113"/>
    <mergeCell ref="A115:E115"/>
    <mergeCell ref="A116:B116"/>
    <mergeCell ref="A117:B117"/>
    <mergeCell ref="B118:I118"/>
    <mergeCell ref="B119:G119"/>
    <mergeCell ref="B120:G120"/>
    <mergeCell ref="B121:G121"/>
    <mergeCell ref="A122:G122"/>
    <mergeCell ref="B124:G124"/>
    <mergeCell ref="B125:G125"/>
    <mergeCell ref="A126:G126"/>
    <mergeCell ref="A128:E128"/>
    <mergeCell ref="A129:B129"/>
    <mergeCell ref="A130:B130"/>
    <mergeCell ref="A132:G132"/>
    <mergeCell ref="A134:I134"/>
    <mergeCell ref="B135:G135"/>
    <mergeCell ref="B136:G136"/>
    <mergeCell ref="B137:G137"/>
    <mergeCell ref="B138:G138"/>
    <mergeCell ref="B139:G139"/>
    <mergeCell ref="B140:G140"/>
    <mergeCell ref="A141:G141"/>
    <mergeCell ref="B142:I142"/>
    <mergeCell ref="B143:I143"/>
    <mergeCell ref="A144:I144"/>
    <mergeCell ref="A145:B145"/>
    <mergeCell ref="D145:E145"/>
    <mergeCell ref="H145:I145"/>
    <mergeCell ref="A146:B146"/>
    <mergeCell ref="D146:E146"/>
    <mergeCell ref="H146:I146"/>
    <mergeCell ref="A147:B147"/>
    <mergeCell ref="H147:I147"/>
    <mergeCell ref="A148:B148"/>
    <mergeCell ref="H148:I148"/>
    <mergeCell ref="A149:B149"/>
    <mergeCell ref="H149:I149"/>
    <mergeCell ref="A150:A151"/>
    <mergeCell ref="B150:E151"/>
    <mergeCell ref="H150:I150"/>
    <mergeCell ref="H151:I151"/>
    <mergeCell ref="A152:I152"/>
    <mergeCell ref="B153:I153"/>
    <mergeCell ref="B154:I154"/>
    <mergeCell ref="A155:G155"/>
    <mergeCell ref="A157:I157"/>
    <mergeCell ref="A158:I158"/>
    <mergeCell ref="B159:G159"/>
    <mergeCell ref="B160:G160"/>
    <mergeCell ref="B161:G161"/>
    <mergeCell ref="A162:G162"/>
    <mergeCell ref="A164:I164"/>
    <mergeCell ref="B165:G165"/>
    <mergeCell ref="B166:G166"/>
    <mergeCell ref="B167:G167"/>
    <mergeCell ref="A168:G168"/>
    <mergeCell ref="A170:I170"/>
    <mergeCell ref="B171:G171"/>
    <mergeCell ref="A172:G172"/>
    <mergeCell ref="A174:I174"/>
    <mergeCell ref="A175:F175"/>
    <mergeCell ref="A176:F176"/>
    <mergeCell ref="A177:F177"/>
    <mergeCell ref="A178:H178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86"/>
  <sheetViews>
    <sheetView view="pageBreakPreview" topLeftCell="A162" zoomScale="130" zoomScaleNormal="130" zoomScalePageLayoutView="130" workbookViewId="0">
      <selection activeCell="I134" sqref="I134"/>
    </sheetView>
  </sheetViews>
  <sheetFormatPr defaultColWidth="9.140625" defaultRowHeight="11.25" x14ac:dyDescent="0.25"/>
  <cols>
    <col min="1" max="1" width="2.85546875" style="1" customWidth="1"/>
    <col min="2" max="4" width="11.28515625" style="1" customWidth="1"/>
    <col min="5" max="5" width="12.140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140625" style="2" customWidth="1"/>
    <col min="11" max="11" width="10" style="1" customWidth="1"/>
    <col min="12" max="12" width="9.140625" style="1"/>
    <col min="13" max="15" width="22.28515625" style="1" customWidth="1"/>
    <col min="16" max="16384" width="9.140625" style="1"/>
  </cols>
  <sheetData>
    <row r="1" spans="1:11" ht="27.75" customHeight="1" x14ac:dyDescent="0.25">
      <c r="A1" s="108" t="s">
        <v>0</v>
      </c>
      <c r="B1" s="108"/>
      <c r="C1" s="108"/>
      <c r="D1" s="108"/>
      <c r="E1" s="108"/>
      <c r="F1" s="108"/>
      <c r="G1" s="108"/>
      <c r="H1" s="108"/>
      <c r="I1" s="108"/>
      <c r="K1" s="4"/>
    </row>
    <row r="2" spans="1:11" ht="22.5" customHeight="1" x14ac:dyDescent="0.25">
      <c r="A2" s="108" t="s">
        <v>1</v>
      </c>
      <c r="B2" s="108"/>
      <c r="C2" s="134" t="s">
        <v>207</v>
      </c>
      <c r="D2" s="134"/>
      <c r="E2" s="135" t="s">
        <v>2</v>
      </c>
      <c r="F2" s="135"/>
      <c r="G2" s="135"/>
      <c r="H2" s="135"/>
      <c r="I2" s="135"/>
    </row>
    <row r="3" spans="1:11" ht="11.25" customHeight="1" x14ac:dyDescent="0.25">
      <c r="A3" s="108" t="s">
        <v>3</v>
      </c>
      <c r="B3" s="108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17" t="s">
        <v>5</v>
      </c>
      <c r="B5" s="117"/>
      <c r="C5" s="117"/>
      <c r="D5" s="136" t="s">
        <v>208</v>
      </c>
      <c r="E5" s="136"/>
      <c r="F5" s="136"/>
      <c r="G5" s="137" t="str">
        <f>IF(D6="12x36","Regime de trabalho:","Quantidade de HORAS/MÊS")</f>
        <v>Regime de trabalho:</v>
      </c>
      <c r="H5" s="137"/>
      <c r="I5" s="138" t="str">
        <f>IF(D6="12x36",D6,5*D6)</f>
        <v>12x36</v>
      </c>
    </row>
    <row r="6" spans="1:11" ht="18.75" customHeight="1" x14ac:dyDescent="0.25">
      <c r="A6" s="117" t="str">
        <f>IF(D6="12x36","Regime de trabalho:","Regime de trabalho (horas semanais):")</f>
        <v>Regime de trabalho:</v>
      </c>
      <c r="B6" s="117"/>
      <c r="C6" s="117"/>
      <c r="D6" s="145" t="s">
        <v>209</v>
      </c>
      <c r="E6" s="145"/>
      <c r="F6" s="145"/>
      <c r="G6" s="137"/>
      <c r="H6" s="137"/>
      <c r="I6" s="138"/>
    </row>
    <row r="7" spans="1:11" ht="22.5" customHeight="1" x14ac:dyDescent="0.25">
      <c r="A7" s="117" t="s">
        <v>6</v>
      </c>
      <c r="B7" s="117"/>
      <c r="C7" s="117"/>
      <c r="D7" s="119" t="s">
        <v>210</v>
      </c>
      <c r="E7" s="119"/>
      <c r="F7" s="119"/>
      <c r="G7" s="131" t="s">
        <v>7</v>
      </c>
      <c r="H7" s="131"/>
      <c r="I7" s="132" t="s">
        <v>8</v>
      </c>
    </row>
    <row r="8" spans="1:11" ht="22.5" customHeight="1" x14ac:dyDescent="0.25">
      <c r="A8" s="117" t="s">
        <v>9</v>
      </c>
      <c r="B8" s="117"/>
      <c r="C8" s="117"/>
      <c r="D8" s="119" t="s">
        <v>17</v>
      </c>
      <c r="E8" s="119"/>
      <c r="F8" s="119"/>
      <c r="G8" s="131"/>
      <c r="H8" s="131"/>
      <c r="I8" s="132"/>
    </row>
    <row r="9" spans="1:11" ht="24.75" customHeight="1" x14ac:dyDescent="0.25">
      <c r="A9" s="117" t="s">
        <v>10</v>
      </c>
      <c r="B9" s="117"/>
      <c r="C9" s="117"/>
      <c r="D9" s="142" t="s">
        <v>211</v>
      </c>
      <c r="E9" s="143"/>
      <c r="F9" s="144"/>
      <c r="G9" s="131" t="s">
        <v>11</v>
      </c>
      <c r="H9" s="131"/>
      <c r="I9" s="9">
        <v>0.3</v>
      </c>
    </row>
    <row r="10" spans="1:11" ht="32.25" customHeight="1" x14ac:dyDescent="0.25">
      <c r="A10" s="127" t="s">
        <v>12</v>
      </c>
      <c r="B10" s="127"/>
      <c r="C10" s="127"/>
      <c r="D10" s="127"/>
      <c r="E10" s="127"/>
      <c r="F10" s="127"/>
      <c r="G10" s="8" t="s">
        <v>13</v>
      </c>
      <c r="H10" s="10">
        <v>220</v>
      </c>
      <c r="I10" s="11">
        <v>1977.8</v>
      </c>
    </row>
    <row r="11" spans="1:11" ht="15" customHeight="1" x14ac:dyDescent="0.25">
      <c r="A11" s="128" t="s">
        <v>14</v>
      </c>
      <c r="B11" s="128"/>
      <c r="C11" s="128"/>
      <c r="D11" s="128"/>
      <c r="E11" s="128"/>
      <c r="F11" s="128"/>
      <c r="G11" s="10" t="str">
        <f>D9</f>
        <v>SANTA MARIA</v>
      </c>
      <c r="H11" s="10" t="s">
        <v>15</v>
      </c>
      <c r="I11" s="13">
        <v>0.04</v>
      </c>
    </row>
    <row r="12" spans="1:11" ht="26.25" customHeight="1" x14ac:dyDescent="0.25">
      <c r="A12" s="119" t="s">
        <v>16</v>
      </c>
      <c r="B12" s="119"/>
      <c r="C12" s="119"/>
      <c r="D12" s="119"/>
      <c r="E12" s="119"/>
      <c r="F12" s="119"/>
      <c r="G12" s="10" t="s">
        <v>17</v>
      </c>
      <c r="H12" s="10" t="s">
        <v>18</v>
      </c>
      <c r="I12" s="11">
        <v>1.5</v>
      </c>
    </row>
    <row r="13" spans="1:11" ht="16.5" customHeight="1" x14ac:dyDescent="0.25">
      <c r="A13" s="119" t="s">
        <v>19</v>
      </c>
      <c r="B13" s="119"/>
      <c r="C13" s="119"/>
      <c r="D13" s="119"/>
      <c r="E13" s="119"/>
      <c r="F13" s="119"/>
      <c r="G13" s="10"/>
      <c r="H13" s="10"/>
      <c r="I13" s="15">
        <v>15</v>
      </c>
    </row>
    <row r="14" spans="1:11" ht="15" customHeight="1" x14ac:dyDescent="0.25">
      <c r="A14" s="128" t="s">
        <v>20</v>
      </c>
      <c r="B14" s="128"/>
      <c r="C14" s="128"/>
      <c r="D14" s="128"/>
      <c r="E14" s="128"/>
      <c r="F14" s="128"/>
      <c r="G14" s="129" t="s">
        <v>17</v>
      </c>
      <c r="H14" s="10" t="s">
        <v>21</v>
      </c>
      <c r="I14" s="11">
        <v>5</v>
      </c>
    </row>
    <row r="15" spans="1:11" x14ac:dyDescent="0.25">
      <c r="A15" s="128"/>
      <c r="B15" s="128"/>
      <c r="C15" s="128"/>
      <c r="D15" s="128"/>
      <c r="E15" s="128"/>
      <c r="F15" s="128"/>
      <c r="G15" s="129"/>
      <c r="H15" s="10" t="s">
        <v>22</v>
      </c>
      <c r="I15" s="15">
        <f>I13</f>
        <v>15</v>
      </c>
    </row>
    <row r="16" spans="1:11" x14ac:dyDescent="0.25">
      <c r="A16" s="128"/>
      <c r="B16" s="128"/>
      <c r="C16" s="128"/>
      <c r="D16" s="128"/>
      <c r="E16" s="128"/>
      <c r="F16" s="128"/>
      <c r="G16" s="129"/>
      <c r="H16" s="10" t="s">
        <v>23</v>
      </c>
      <c r="I16" s="9">
        <v>0.06</v>
      </c>
    </row>
    <row r="17" spans="1:10" ht="11.25" customHeight="1" x14ac:dyDescent="0.25">
      <c r="A17" s="128" t="s">
        <v>183</v>
      </c>
      <c r="B17" s="128"/>
      <c r="C17" s="128"/>
      <c r="D17" s="128"/>
      <c r="E17" s="128"/>
      <c r="F17" s="128"/>
      <c r="G17" s="129" t="s">
        <v>17</v>
      </c>
      <c r="H17" s="10" t="s">
        <v>21</v>
      </c>
      <c r="I17" s="11">
        <v>27</v>
      </c>
    </row>
    <row r="18" spans="1:10" ht="11.25" customHeight="1" x14ac:dyDescent="0.25">
      <c r="A18" s="128"/>
      <c r="B18" s="128"/>
      <c r="C18" s="128"/>
      <c r="D18" s="128"/>
      <c r="E18" s="128"/>
      <c r="F18" s="128"/>
      <c r="G18" s="129"/>
      <c r="H18" s="10" t="s">
        <v>22</v>
      </c>
      <c r="I18" s="15">
        <f>I13</f>
        <v>15</v>
      </c>
    </row>
    <row r="19" spans="1:10" x14ac:dyDescent="0.25">
      <c r="A19" s="128"/>
      <c r="B19" s="128"/>
      <c r="C19" s="128"/>
      <c r="D19" s="128"/>
      <c r="E19" s="128"/>
      <c r="F19" s="128"/>
      <c r="G19" s="129"/>
      <c r="H19" s="10" t="s">
        <v>23</v>
      </c>
      <c r="I19" s="9">
        <v>0.2</v>
      </c>
    </row>
    <row r="20" spans="1:10" ht="11.25" customHeight="1" x14ac:dyDescent="0.25">
      <c r="A20" s="128" t="s">
        <v>25</v>
      </c>
      <c r="B20" s="128"/>
      <c r="C20" s="128"/>
      <c r="D20" s="128"/>
      <c r="E20" s="128"/>
      <c r="F20" s="128"/>
      <c r="G20" s="129" t="s">
        <v>17</v>
      </c>
      <c r="H20" s="10" t="s">
        <v>21</v>
      </c>
      <c r="I20" s="11">
        <v>0</v>
      </c>
    </row>
    <row r="21" spans="1:10" x14ac:dyDescent="0.25">
      <c r="A21" s="128"/>
      <c r="B21" s="128"/>
      <c r="C21" s="128"/>
      <c r="D21" s="128"/>
      <c r="E21" s="128"/>
      <c r="F21" s="128"/>
      <c r="G21" s="129"/>
      <c r="H21" s="10" t="s">
        <v>22</v>
      </c>
      <c r="I21" s="15">
        <v>15</v>
      </c>
    </row>
    <row r="22" spans="1:10" x14ac:dyDescent="0.25">
      <c r="A22" s="128"/>
      <c r="B22" s="128"/>
      <c r="C22" s="128"/>
      <c r="D22" s="128"/>
      <c r="E22" s="128"/>
      <c r="F22" s="128"/>
      <c r="G22" s="129"/>
      <c r="H22" s="10" t="s">
        <v>23</v>
      </c>
      <c r="I22" s="9">
        <v>0</v>
      </c>
    </row>
    <row r="23" spans="1:10" ht="36" customHeight="1" x14ac:dyDescent="0.25">
      <c r="A23" s="126" t="s">
        <v>26</v>
      </c>
      <c r="B23" s="126"/>
      <c r="C23" s="126"/>
      <c r="D23" s="126"/>
      <c r="E23" s="126"/>
      <c r="F23" s="126"/>
      <c r="G23" s="16" t="s">
        <v>17</v>
      </c>
      <c r="H23" s="16" t="s">
        <v>27</v>
      </c>
      <c r="I23" s="17" t="s">
        <v>8</v>
      </c>
    </row>
    <row r="24" spans="1:10" ht="22.5" customHeight="1" x14ac:dyDescent="0.25">
      <c r="A24" s="119" t="s">
        <v>28</v>
      </c>
      <c r="B24" s="119"/>
      <c r="C24" s="119"/>
      <c r="D24" s="119"/>
      <c r="E24" s="119"/>
      <c r="F24" s="119"/>
      <c r="G24" s="16"/>
      <c r="H24" s="16" t="s">
        <v>29</v>
      </c>
      <c r="I24" s="18" t="s">
        <v>8</v>
      </c>
    </row>
    <row r="25" spans="1:10" ht="36" customHeight="1" x14ac:dyDescent="0.25">
      <c r="A25" s="119" t="s">
        <v>30</v>
      </c>
      <c r="B25" s="119"/>
      <c r="C25" s="119"/>
      <c r="D25" s="119"/>
      <c r="E25" s="119"/>
      <c r="F25" s="119"/>
      <c r="G25" s="10"/>
      <c r="H25" s="10" t="s">
        <v>18</v>
      </c>
      <c r="I25" s="11" t="s">
        <v>8</v>
      </c>
    </row>
    <row r="26" spans="1:10" ht="15" customHeight="1" x14ac:dyDescent="0.25">
      <c r="A26" s="119" t="s">
        <v>31</v>
      </c>
      <c r="B26" s="119"/>
      <c r="C26" s="119"/>
      <c r="D26" s="119"/>
      <c r="E26" s="119"/>
      <c r="F26" s="119"/>
      <c r="G26" s="16"/>
      <c r="H26" s="19" t="s">
        <v>32</v>
      </c>
      <c r="I26" s="20" t="s">
        <v>8</v>
      </c>
    </row>
    <row r="27" spans="1:10" ht="15" customHeight="1" x14ac:dyDescent="0.25">
      <c r="A27" s="119"/>
      <c r="B27" s="119"/>
      <c r="C27" s="119"/>
      <c r="D27" s="119"/>
      <c r="E27" s="119"/>
      <c r="F27" s="119"/>
      <c r="G27" s="16"/>
      <c r="H27" s="21" t="s">
        <v>33</v>
      </c>
      <c r="I27" s="9" t="s">
        <v>8</v>
      </c>
    </row>
    <row r="28" spans="1:10" ht="26.25" customHeight="1" x14ac:dyDescent="0.25">
      <c r="A28" s="119" t="s">
        <v>34</v>
      </c>
      <c r="B28" s="119"/>
      <c r="C28" s="119"/>
      <c r="D28" s="119"/>
      <c r="E28" s="119"/>
      <c r="F28" s="119"/>
      <c r="G28" s="16"/>
      <c r="H28" s="10" t="s">
        <v>32</v>
      </c>
      <c r="I28" s="20">
        <v>15</v>
      </c>
    </row>
    <row r="29" spans="1:10" ht="36.75" customHeight="1" x14ac:dyDescent="0.25">
      <c r="A29" s="119" t="s">
        <v>35</v>
      </c>
      <c r="B29" s="119"/>
      <c r="C29" s="119"/>
      <c r="D29" s="119"/>
      <c r="E29" s="119"/>
      <c r="F29" s="119"/>
      <c r="G29" s="10"/>
      <c r="H29" s="8" t="s">
        <v>29</v>
      </c>
      <c r="I29" s="9">
        <v>0.2</v>
      </c>
    </row>
    <row r="30" spans="1:10" ht="24.75" customHeight="1" x14ac:dyDescent="0.25">
      <c r="A30" s="108" t="s">
        <v>184</v>
      </c>
      <c r="B30" s="108"/>
      <c r="C30" s="108"/>
      <c r="D30" s="108"/>
      <c r="E30" s="108"/>
      <c r="F30" s="108"/>
      <c r="G30" s="129" t="s">
        <v>17</v>
      </c>
      <c r="H30" s="16" t="s">
        <v>185</v>
      </c>
      <c r="I30" s="74">
        <f>((60/52.5)*7)*15</f>
        <v>120</v>
      </c>
    </row>
    <row r="31" spans="1:10" ht="24.75" customHeight="1" x14ac:dyDescent="0.25">
      <c r="A31" s="108"/>
      <c r="B31" s="108"/>
      <c r="C31" s="108"/>
      <c r="D31" s="108"/>
      <c r="E31" s="108"/>
      <c r="F31" s="108"/>
      <c r="G31" s="129"/>
      <c r="H31" s="16" t="s">
        <v>186</v>
      </c>
      <c r="I31" s="16">
        <f>I10/H10*20%</f>
        <v>1.798</v>
      </c>
    </row>
    <row r="32" spans="1:10" ht="29.25" customHeight="1" x14ac:dyDescent="0.25">
      <c r="A32" s="109" t="s">
        <v>187</v>
      </c>
      <c r="B32" s="109"/>
      <c r="C32" s="109"/>
      <c r="D32" s="109"/>
      <c r="E32" s="109"/>
      <c r="F32" s="109"/>
      <c r="G32" s="129" t="s">
        <v>17</v>
      </c>
      <c r="H32" s="10" t="s">
        <v>185</v>
      </c>
      <c r="I32" s="20">
        <f>((5+7+1)*15)-190.67</f>
        <v>4.3300000000000125</v>
      </c>
      <c r="J32" s="75"/>
    </row>
    <row r="33" spans="1:10" ht="30.75" customHeight="1" x14ac:dyDescent="0.25">
      <c r="A33" s="109"/>
      <c r="B33" s="109"/>
      <c r="C33" s="109"/>
      <c r="D33" s="109"/>
      <c r="E33" s="109"/>
      <c r="F33" s="109"/>
      <c r="G33" s="129"/>
      <c r="H33" s="10" t="s">
        <v>186</v>
      </c>
      <c r="I33" s="76">
        <f>(I10/H10)*1.5</f>
        <v>13.484999999999999</v>
      </c>
    </row>
    <row r="34" spans="1:10" ht="4.5" customHeight="1" x14ac:dyDescent="0.25"/>
    <row r="35" spans="1:10" ht="17.25" customHeight="1" x14ac:dyDescent="0.25">
      <c r="A35" s="89" t="s">
        <v>36</v>
      </c>
      <c r="B35" s="89"/>
      <c r="C35" s="89"/>
      <c r="D35" s="89"/>
      <c r="E35" s="89"/>
      <c r="F35" s="89"/>
      <c r="G35" s="89"/>
      <c r="H35" s="89"/>
      <c r="I35" s="89"/>
    </row>
    <row r="36" spans="1:10" ht="33.75" customHeight="1" x14ac:dyDescent="0.25">
      <c r="A36" s="22" t="s">
        <v>37</v>
      </c>
      <c r="B36" s="114" t="s">
        <v>38</v>
      </c>
      <c r="C36" s="114"/>
      <c r="D36" s="114"/>
      <c r="E36" s="114"/>
      <c r="F36" s="114"/>
      <c r="G36" s="114"/>
      <c r="H36" s="22" t="s">
        <v>39</v>
      </c>
      <c r="I36" s="22" t="s">
        <v>40</v>
      </c>
    </row>
    <row r="37" spans="1:10" ht="15" customHeight="1" x14ac:dyDescent="0.25">
      <c r="A37" s="14">
        <v>1</v>
      </c>
      <c r="B37" s="90" t="s">
        <v>41</v>
      </c>
      <c r="C37" s="90"/>
      <c r="D37" s="90"/>
      <c r="E37" s="90"/>
      <c r="F37" s="90"/>
      <c r="G37" s="90"/>
      <c r="H37" s="23">
        <f t="shared" ref="H37:H51" si="0">I37/$I$52</f>
        <v>0.6518971695150293</v>
      </c>
      <c r="I37" s="24">
        <f>IF(D6="12x36",I10,I10/H10*I5)</f>
        <v>1977.8</v>
      </c>
    </row>
    <row r="38" spans="1:10" ht="15" customHeight="1" x14ac:dyDescent="0.25">
      <c r="A38" s="14">
        <f t="shared" ref="A38:A51" si="1">A37+1</f>
        <v>2</v>
      </c>
      <c r="B38" s="90" t="s">
        <v>188</v>
      </c>
      <c r="C38" s="90"/>
      <c r="D38" s="90"/>
      <c r="E38" s="90"/>
      <c r="F38" s="90"/>
      <c r="G38" s="90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90" t="s">
        <v>42</v>
      </c>
      <c r="C39" s="90"/>
      <c r="D39" s="90"/>
      <c r="E39" s="90"/>
      <c r="F39" s="90"/>
      <c r="G39" s="90"/>
      <c r="H39" s="23">
        <f t="shared" si="0"/>
        <v>0.23076923076923078</v>
      </c>
      <c r="I39" s="24">
        <f>IF(I9=30%,(I37+I49+I46+I47+I48+I50)*I9,0)</f>
        <v>700.13401800000008</v>
      </c>
    </row>
    <row r="40" spans="1:10" ht="15" customHeight="1" x14ac:dyDescent="0.25">
      <c r="A40" s="14">
        <f t="shared" si="1"/>
        <v>4</v>
      </c>
      <c r="B40" s="90" t="s">
        <v>43</v>
      </c>
      <c r="C40" s="90"/>
      <c r="D40" s="90"/>
      <c r="E40" s="90"/>
      <c r="F40" s="90"/>
      <c r="G40" s="90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90" t="s">
        <v>44</v>
      </c>
      <c r="C41" s="90"/>
      <c r="D41" s="90"/>
      <c r="E41" s="90"/>
      <c r="F41" s="90"/>
      <c r="G41" s="90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90" t="s">
        <v>45</v>
      </c>
      <c r="C42" s="90"/>
      <c r="D42" s="90"/>
      <c r="E42" s="90"/>
      <c r="F42" s="90"/>
      <c r="G42" s="90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90" t="s">
        <v>201</v>
      </c>
      <c r="C43" s="90"/>
      <c r="D43" s="90"/>
      <c r="E43" s="90"/>
      <c r="F43" s="90"/>
      <c r="G43" s="90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90" t="s">
        <v>46</v>
      </c>
      <c r="C44" s="90"/>
      <c r="D44" s="90"/>
      <c r="E44" s="90"/>
      <c r="F44" s="90"/>
      <c r="G44" s="90"/>
      <c r="H44" s="23">
        <f t="shared" si="0"/>
        <v>0</v>
      </c>
      <c r="I44" s="24">
        <f>IF(I26="Não aplicável",0,(I37+I38+I39+I40+I41+I42+I43+I51)/I5*I26*(1+I27))</f>
        <v>0</v>
      </c>
    </row>
    <row r="45" spans="1:10" ht="21" customHeight="1" x14ac:dyDescent="0.25">
      <c r="A45" s="14">
        <f t="shared" si="1"/>
        <v>9</v>
      </c>
      <c r="B45" s="90" t="s">
        <v>47</v>
      </c>
      <c r="C45" s="90"/>
      <c r="D45" s="90"/>
      <c r="E45" s="90"/>
      <c r="F45" s="90"/>
      <c r="G45" s="90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90" t="s">
        <v>189</v>
      </c>
      <c r="C46" s="90"/>
      <c r="D46" s="90"/>
      <c r="E46" s="90"/>
      <c r="F46" s="90"/>
      <c r="G46" s="90"/>
      <c r="H46" s="23">
        <f t="shared" si="0"/>
        <v>1.9245782345455126E-2</v>
      </c>
      <c r="I46" s="24">
        <f>I32*I33</f>
        <v>58.390050000000166</v>
      </c>
    </row>
    <row r="47" spans="1:10" ht="15" customHeight="1" x14ac:dyDescent="0.25">
      <c r="A47" s="14">
        <f t="shared" si="1"/>
        <v>11</v>
      </c>
      <c r="B47" s="90" t="s">
        <v>190</v>
      </c>
      <c r="C47" s="90"/>
      <c r="D47" s="90"/>
      <c r="E47" s="90"/>
      <c r="F47" s="90"/>
      <c r="G47" s="90"/>
      <c r="H47" s="23">
        <f t="shared" si="0"/>
        <v>7.111605485618501E-2</v>
      </c>
      <c r="I47" s="24">
        <f>I30*I31</f>
        <v>215.76</v>
      </c>
    </row>
    <row r="48" spans="1:10" ht="24" customHeight="1" x14ac:dyDescent="0.25">
      <c r="A48" s="14">
        <f t="shared" si="1"/>
        <v>12</v>
      </c>
      <c r="B48" s="90" t="s">
        <v>191</v>
      </c>
      <c r="C48" s="90"/>
      <c r="D48" s="90"/>
      <c r="E48" s="90"/>
      <c r="F48" s="90"/>
      <c r="G48" s="90"/>
      <c r="H48" s="23">
        <f t="shared" si="0"/>
        <v>1.8072367440328026E-2</v>
      </c>
      <c r="I48" s="24">
        <f>(I46+I47)*0.2</f>
        <v>54.83001000000003</v>
      </c>
    </row>
    <row r="49" spans="1:10" ht="12.75" customHeight="1" x14ac:dyDescent="0.25">
      <c r="A49" s="14">
        <f t="shared" si="1"/>
        <v>13</v>
      </c>
      <c r="B49" s="90" t="s">
        <v>192</v>
      </c>
      <c r="C49" s="90"/>
      <c r="D49" s="90"/>
      <c r="E49" s="90"/>
      <c r="F49" s="90"/>
      <c r="G49" s="90"/>
      <c r="H49" s="23">
        <f t="shared" si="0"/>
        <v>7.4161625614764682E-3</v>
      </c>
      <c r="I49" s="24">
        <f>I12*I13</f>
        <v>22.5</v>
      </c>
    </row>
    <row r="50" spans="1:10" ht="12.75" customHeight="1" x14ac:dyDescent="0.25">
      <c r="A50" s="14">
        <f t="shared" si="1"/>
        <v>14</v>
      </c>
      <c r="B50" s="90" t="s">
        <v>193</v>
      </c>
      <c r="C50" s="90"/>
      <c r="D50" s="90"/>
      <c r="E50" s="90"/>
      <c r="F50" s="90"/>
      <c r="G50" s="90"/>
      <c r="H50" s="23">
        <f t="shared" si="0"/>
        <v>1.4832325122952938E-3</v>
      </c>
      <c r="I50" s="24">
        <f>I49*20%</f>
        <v>4.5</v>
      </c>
    </row>
    <row r="51" spans="1:10" ht="15" customHeight="1" x14ac:dyDescent="0.25">
      <c r="A51" s="14">
        <f t="shared" si="1"/>
        <v>15</v>
      </c>
      <c r="B51" s="125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51" s="125"/>
      <c r="D51" s="125"/>
      <c r="E51" s="125"/>
      <c r="F51" s="125"/>
      <c r="G51" s="125"/>
      <c r="H51" s="23">
        <f t="shared" si="0"/>
        <v>0</v>
      </c>
      <c r="I51" s="24">
        <v>0</v>
      </c>
    </row>
    <row r="52" spans="1:10" s="28" customFormat="1" ht="15" customHeight="1" x14ac:dyDescent="0.25">
      <c r="A52" s="105" t="s">
        <v>50</v>
      </c>
      <c r="B52" s="105"/>
      <c r="C52" s="105"/>
      <c r="D52" s="105"/>
      <c r="E52" s="105"/>
      <c r="F52" s="105"/>
      <c r="G52" s="105"/>
      <c r="H52" s="25">
        <f>SUM(H37:H51)</f>
        <v>1</v>
      </c>
      <c r="I52" s="26">
        <f>SUM(I37:I51)</f>
        <v>3033.9140780000002</v>
      </c>
      <c r="J52" s="27"/>
    </row>
    <row r="53" spans="1:10" ht="4.5" customHeight="1" x14ac:dyDescent="0.25"/>
    <row r="54" spans="1:10" ht="33.75" customHeight="1" x14ac:dyDescent="0.25">
      <c r="A54" s="22" t="s">
        <v>51</v>
      </c>
      <c r="B54" s="114" t="s">
        <v>52</v>
      </c>
      <c r="C54" s="114"/>
      <c r="D54" s="114"/>
      <c r="E54" s="114"/>
      <c r="F54" s="114"/>
      <c r="G54" s="114"/>
      <c r="H54" s="22" t="s">
        <v>39</v>
      </c>
      <c r="I54" s="22" t="s">
        <v>40</v>
      </c>
    </row>
    <row r="55" spans="1:10" ht="15" customHeight="1" x14ac:dyDescent="0.25">
      <c r="A55" s="14">
        <v>1</v>
      </c>
      <c r="B55" s="90" t="s">
        <v>53</v>
      </c>
      <c r="C55" s="90"/>
      <c r="D55" s="90"/>
      <c r="E55" s="90"/>
      <c r="F55" s="90"/>
      <c r="G55" s="90"/>
      <c r="H55" s="23">
        <v>0.2</v>
      </c>
      <c r="I55" s="24">
        <f t="shared" ref="I55:I62" si="2">$I$52*H55</f>
        <v>606.78281560000005</v>
      </c>
    </row>
    <row r="56" spans="1:10" ht="15" customHeight="1" x14ac:dyDescent="0.25">
      <c r="A56" s="14">
        <v>2</v>
      </c>
      <c r="B56" s="90" t="s">
        <v>54</v>
      </c>
      <c r="C56" s="90"/>
      <c r="D56" s="90"/>
      <c r="E56" s="90"/>
      <c r="F56" s="90"/>
      <c r="G56" s="90"/>
      <c r="H56" s="23">
        <v>1.4999999999999999E-2</v>
      </c>
      <c r="I56" s="24">
        <f t="shared" si="2"/>
        <v>45.508711170000005</v>
      </c>
    </row>
    <row r="57" spans="1:10" ht="15" customHeight="1" x14ac:dyDescent="0.25">
      <c r="A57" s="14">
        <v>3</v>
      </c>
      <c r="B57" s="90" t="s">
        <v>55</v>
      </c>
      <c r="C57" s="90"/>
      <c r="D57" s="90"/>
      <c r="E57" s="90"/>
      <c r="F57" s="90"/>
      <c r="G57" s="90"/>
      <c r="H57" s="23">
        <v>0.01</v>
      </c>
      <c r="I57" s="24">
        <f t="shared" si="2"/>
        <v>30.339140780000005</v>
      </c>
    </row>
    <row r="58" spans="1:10" ht="15" customHeight="1" x14ac:dyDescent="0.25">
      <c r="A58" s="14">
        <v>4</v>
      </c>
      <c r="B58" s="90" t="s">
        <v>56</v>
      </c>
      <c r="C58" s="90"/>
      <c r="D58" s="90"/>
      <c r="E58" s="90"/>
      <c r="F58" s="90"/>
      <c r="G58" s="90"/>
      <c r="H58" s="23">
        <v>2E-3</v>
      </c>
      <c r="I58" s="24">
        <f t="shared" si="2"/>
        <v>6.0678281560000009</v>
      </c>
    </row>
    <row r="59" spans="1:10" ht="15" customHeight="1" x14ac:dyDescent="0.25">
      <c r="A59" s="14">
        <v>5</v>
      </c>
      <c r="B59" s="90" t="s">
        <v>57</v>
      </c>
      <c r="C59" s="90"/>
      <c r="D59" s="90"/>
      <c r="E59" s="90"/>
      <c r="F59" s="90"/>
      <c r="G59" s="90"/>
      <c r="H59" s="23">
        <v>2.5000000000000001E-2</v>
      </c>
      <c r="I59" s="24">
        <f t="shared" si="2"/>
        <v>75.847851950000006</v>
      </c>
    </row>
    <row r="60" spans="1:10" ht="15" customHeight="1" x14ac:dyDescent="0.25">
      <c r="A60" s="14">
        <v>6</v>
      </c>
      <c r="B60" s="90" t="s">
        <v>58</v>
      </c>
      <c r="C60" s="90"/>
      <c r="D60" s="90"/>
      <c r="E60" s="90"/>
      <c r="F60" s="90"/>
      <c r="G60" s="90"/>
      <c r="H60" s="23">
        <v>0.08</v>
      </c>
      <c r="I60" s="24">
        <f t="shared" si="2"/>
        <v>242.71312624000004</v>
      </c>
    </row>
    <row r="61" spans="1:10" ht="15" customHeight="1" x14ac:dyDescent="0.25">
      <c r="A61" s="14">
        <v>7</v>
      </c>
      <c r="B61" s="90" t="s">
        <v>59</v>
      </c>
      <c r="C61" s="90"/>
      <c r="D61" s="90"/>
      <c r="E61" s="90"/>
      <c r="F61" s="90"/>
      <c r="G61" s="90"/>
      <c r="H61" s="23">
        <v>0.03</v>
      </c>
      <c r="I61" s="24">
        <f t="shared" si="2"/>
        <v>91.01742234000001</v>
      </c>
    </row>
    <row r="62" spans="1:10" ht="15" customHeight="1" x14ac:dyDescent="0.25">
      <c r="A62" s="14">
        <v>8</v>
      </c>
      <c r="B62" s="90" t="s">
        <v>60</v>
      </c>
      <c r="C62" s="90"/>
      <c r="D62" s="90"/>
      <c r="E62" s="90"/>
      <c r="F62" s="90"/>
      <c r="G62" s="90"/>
      <c r="H62" s="23">
        <v>6.0000000000000001E-3</v>
      </c>
      <c r="I62" s="24">
        <f t="shared" si="2"/>
        <v>18.203484468000003</v>
      </c>
    </row>
    <row r="63" spans="1:10" s="28" customFormat="1" ht="15" customHeight="1" x14ac:dyDescent="0.25">
      <c r="A63" s="105" t="s">
        <v>61</v>
      </c>
      <c r="B63" s="105"/>
      <c r="C63" s="105"/>
      <c r="D63" s="105"/>
      <c r="E63" s="105"/>
      <c r="F63" s="105"/>
      <c r="G63" s="105"/>
      <c r="H63" s="25">
        <f>SUM(H55:H62)</f>
        <v>0.3680000000000001</v>
      </c>
      <c r="I63" s="26">
        <f>SUM(I55:I62)</f>
        <v>1116.480380704</v>
      </c>
      <c r="J63" s="27"/>
    </row>
    <row r="64" spans="1:10" ht="15" customHeight="1" x14ac:dyDescent="0.25">
      <c r="A64" s="121" t="s">
        <v>62</v>
      </c>
      <c r="B64" s="121"/>
      <c r="C64" s="121"/>
      <c r="D64" s="121"/>
      <c r="E64" s="121"/>
      <c r="F64" s="121"/>
      <c r="G64" s="121"/>
      <c r="H64" s="121"/>
      <c r="I64" s="121"/>
    </row>
    <row r="65" spans="1:10" ht="30.75" customHeight="1" x14ac:dyDescent="0.25">
      <c r="A65" s="124" t="s">
        <v>63</v>
      </c>
      <c r="B65" s="124"/>
      <c r="C65" s="124"/>
      <c r="D65" s="124"/>
      <c r="E65" s="124"/>
      <c r="F65" s="124"/>
      <c r="G65" s="124"/>
      <c r="H65" s="124"/>
      <c r="I65" s="124"/>
    </row>
    <row r="66" spans="1:10" ht="33.75" customHeight="1" x14ac:dyDescent="0.25">
      <c r="A66" s="22" t="s">
        <v>64</v>
      </c>
      <c r="B66" s="114" t="s">
        <v>65</v>
      </c>
      <c r="C66" s="114"/>
      <c r="D66" s="114"/>
      <c r="E66" s="114"/>
      <c r="F66" s="114"/>
      <c r="G66" s="114"/>
      <c r="H66" s="22" t="s">
        <v>39</v>
      </c>
      <c r="I66" s="22" t="s">
        <v>40</v>
      </c>
    </row>
    <row r="67" spans="1:10" ht="15" customHeight="1" x14ac:dyDescent="0.25">
      <c r="A67" s="14">
        <v>1</v>
      </c>
      <c r="B67" s="90" t="s">
        <v>66</v>
      </c>
      <c r="C67" s="90"/>
      <c r="D67" s="90"/>
      <c r="E67" s="90"/>
      <c r="F67" s="90"/>
      <c r="G67" s="90"/>
      <c r="H67" s="23">
        <v>0.119314</v>
      </c>
      <c r="I67" s="24">
        <f t="shared" ref="I67:I74" si="3">$I$52*H67</f>
        <v>361.98842430249204</v>
      </c>
    </row>
    <row r="68" spans="1:10" ht="15" customHeight="1" x14ac:dyDescent="0.25">
      <c r="A68" s="14">
        <v>2</v>
      </c>
      <c r="B68" s="90" t="s">
        <v>67</v>
      </c>
      <c r="C68" s="90"/>
      <c r="D68" s="90"/>
      <c r="E68" s="90"/>
      <c r="F68" s="90"/>
      <c r="G68" s="90"/>
      <c r="H68" s="23">
        <v>2.0479000000000001E-2</v>
      </c>
      <c r="I68" s="24">
        <f t="shared" si="3"/>
        <v>62.13152640336201</v>
      </c>
    </row>
    <row r="69" spans="1:10" ht="15" customHeight="1" x14ac:dyDescent="0.25">
      <c r="A69" s="14">
        <v>3</v>
      </c>
      <c r="B69" s="90" t="s">
        <v>68</v>
      </c>
      <c r="C69" s="90"/>
      <c r="D69" s="90"/>
      <c r="E69" s="90"/>
      <c r="F69" s="90"/>
      <c r="G69" s="90"/>
      <c r="H69" s="23">
        <v>1.2123E-2</v>
      </c>
      <c r="I69" s="24">
        <f t="shared" si="3"/>
        <v>36.780140367594001</v>
      </c>
    </row>
    <row r="70" spans="1:10" ht="15" customHeight="1" x14ac:dyDescent="0.25">
      <c r="A70" s="14">
        <v>4</v>
      </c>
      <c r="B70" s="90" t="s">
        <v>69</v>
      </c>
      <c r="C70" s="90"/>
      <c r="D70" s="90"/>
      <c r="E70" s="90"/>
      <c r="F70" s="90"/>
      <c r="G70" s="90"/>
      <c r="H70" s="23">
        <v>1.1436E-2</v>
      </c>
      <c r="I70" s="24">
        <f t="shared" si="3"/>
        <v>34.695841396007999</v>
      </c>
    </row>
    <row r="71" spans="1:10" ht="15" customHeight="1" x14ac:dyDescent="0.25">
      <c r="A71" s="14">
        <v>5</v>
      </c>
      <c r="B71" s="90" t="s">
        <v>70</v>
      </c>
      <c r="C71" s="90"/>
      <c r="D71" s="90"/>
      <c r="E71" s="90"/>
      <c r="F71" s="90"/>
      <c r="G71" s="90"/>
      <c r="H71" s="23">
        <v>1.74E-4</v>
      </c>
      <c r="I71" s="24">
        <f t="shared" si="3"/>
        <v>0.52790104957200001</v>
      </c>
    </row>
    <row r="72" spans="1:10" ht="15" customHeight="1" x14ac:dyDescent="0.25">
      <c r="A72" s="14">
        <v>6</v>
      </c>
      <c r="B72" s="90" t="s">
        <v>71</v>
      </c>
      <c r="C72" s="90"/>
      <c r="D72" s="90"/>
      <c r="E72" s="90"/>
      <c r="F72" s="90"/>
      <c r="G72" s="90"/>
      <c r="H72" s="23">
        <v>4.4200000000000001E-4</v>
      </c>
      <c r="I72" s="24">
        <f t="shared" si="3"/>
        <v>1.3409900224760001</v>
      </c>
    </row>
    <row r="73" spans="1:10" ht="15" customHeight="1" x14ac:dyDescent="0.25">
      <c r="A73" s="14">
        <v>7</v>
      </c>
      <c r="B73" s="90" t="s">
        <v>72</v>
      </c>
      <c r="C73" s="90"/>
      <c r="D73" s="90"/>
      <c r="E73" s="90"/>
      <c r="F73" s="90"/>
      <c r="G73" s="90"/>
      <c r="H73" s="23">
        <v>1.85E-4</v>
      </c>
      <c r="I73" s="24">
        <f t="shared" si="3"/>
        <v>0.56127410443000003</v>
      </c>
    </row>
    <row r="74" spans="1:10" ht="15" customHeight="1" x14ac:dyDescent="0.25">
      <c r="A74" s="14">
        <v>8</v>
      </c>
      <c r="B74" s="90" t="s">
        <v>73</v>
      </c>
      <c r="C74" s="90"/>
      <c r="D74" s="90"/>
      <c r="E74" s="90"/>
      <c r="F74" s="90"/>
      <c r="G74" s="90"/>
      <c r="H74" s="23">
        <v>9.0789999999999996E-2</v>
      </c>
      <c r="I74" s="24">
        <f t="shared" si="3"/>
        <v>275.44905914162001</v>
      </c>
    </row>
    <row r="75" spans="1:10" s="28" customFormat="1" ht="15" customHeight="1" x14ac:dyDescent="0.25">
      <c r="A75" s="105" t="s">
        <v>74</v>
      </c>
      <c r="B75" s="105"/>
      <c r="C75" s="105"/>
      <c r="D75" s="105"/>
      <c r="E75" s="105"/>
      <c r="F75" s="105"/>
      <c r="G75" s="105"/>
      <c r="H75" s="25">
        <f>SUM(H67:H74)</f>
        <v>0.25494299999999998</v>
      </c>
      <c r="I75" s="26">
        <f>SUM(I67:I74)</f>
        <v>773.47515678755406</v>
      </c>
      <c r="J75" s="27"/>
    </row>
    <row r="76" spans="1:10" ht="11.25" customHeight="1" x14ac:dyDescent="0.25">
      <c r="A76" s="29" t="s">
        <v>75</v>
      </c>
      <c r="B76" s="106" t="s">
        <v>76</v>
      </c>
      <c r="C76" s="106"/>
      <c r="D76" s="106"/>
      <c r="E76" s="106"/>
      <c r="F76" s="106"/>
      <c r="G76" s="106"/>
      <c r="H76" s="106"/>
      <c r="I76" s="106"/>
    </row>
    <row r="77" spans="1:10" ht="15" customHeight="1" x14ac:dyDescent="0.25">
      <c r="A77" s="29" t="s">
        <v>77</v>
      </c>
      <c r="B77" s="123" t="s">
        <v>78</v>
      </c>
      <c r="C77" s="123"/>
      <c r="D77" s="123"/>
      <c r="E77" s="123"/>
      <c r="F77" s="123"/>
      <c r="G77" s="123"/>
      <c r="H77" s="123"/>
      <c r="I77" s="123"/>
    </row>
    <row r="78" spans="1:10" ht="33.75" customHeight="1" x14ac:dyDescent="0.25">
      <c r="A78" s="22" t="s">
        <v>79</v>
      </c>
      <c r="B78" s="114" t="s">
        <v>80</v>
      </c>
      <c r="C78" s="114"/>
      <c r="D78" s="114"/>
      <c r="E78" s="114"/>
      <c r="F78" s="114"/>
      <c r="G78" s="114"/>
      <c r="H78" s="22" t="s">
        <v>39</v>
      </c>
      <c r="I78" s="22" t="s">
        <v>40</v>
      </c>
    </row>
    <row r="79" spans="1:10" ht="15" customHeight="1" x14ac:dyDescent="0.25">
      <c r="A79" s="14">
        <v>1</v>
      </c>
      <c r="B79" s="90" t="s">
        <v>81</v>
      </c>
      <c r="C79" s="90"/>
      <c r="D79" s="90"/>
      <c r="E79" s="90"/>
      <c r="F79" s="90"/>
      <c r="G79" s="90"/>
      <c r="H79" s="23">
        <v>2.3626999999999999E-2</v>
      </c>
      <c r="I79" s="24">
        <f>$I$52*H79</f>
        <v>71.682287920906006</v>
      </c>
    </row>
    <row r="80" spans="1:10" ht="15" customHeight="1" x14ac:dyDescent="0.25">
      <c r="A80" s="14">
        <v>2</v>
      </c>
      <c r="B80" s="90" t="s">
        <v>82</v>
      </c>
      <c r="C80" s="90"/>
      <c r="D80" s="90"/>
      <c r="E80" s="90"/>
      <c r="F80" s="90"/>
      <c r="G80" s="90"/>
      <c r="H80" s="23">
        <v>1.717E-3</v>
      </c>
      <c r="I80" s="24">
        <f>$I$52*H80</f>
        <v>5.2092304719260003</v>
      </c>
    </row>
    <row r="81" spans="1:11" ht="15" customHeight="1" x14ac:dyDescent="0.25">
      <c r="A81" s="14">
        <v>3</v>
      </c>
      <c r="B81" s="90" t="s">
        <v>83</v>
      </c>
      <c r="C81" s="90"/>
      <c r="D81" s="90"/>
      <c r="E81" s="90"/>
      <c r="F81" s="90"/>
      <c r="G81" s="90"/>
      <c r="H81" s="23">
        <v>9.4509999999999993E-3</v>
      </c>
      <c r="I81" s="24">
        <f>$I$52*H81</f>
        <v>28.673521951178</v>
      </c>
    </row>
    <row r="82" spans="1:11" s="28" customFormat="1" ht="15" customHeight="1" x14ac:dyDescent="0.25">
      <c r="A82" s="105" t="s">
        <v>84</v>
      </c>
      <c r="B82" s="105"/>
      <c r="C82" s="105"/>
      <c r="D82" s="105"/>
      <c r="E82" s="105"/>
      <c r="F82" s="105"/>
      <c r="G82" s="105"/>
      <c r="H82" s="25">
        <f>SUM(H79:H81)</f>
        <v>3.4795E-2</v>
      </c>
      <c r="I82" s="26">
        <f>SUM(I79:I81)</f>
        <v>105.56504034401001</v>
      </c>
      <c r="J82" s="27"/>
    </row>
    <row r="83" spans="1:11" ht="4.5" customHeight="1" x14ac:dyDescent="0.25"/>
    <row r="84" spans="1:11" ht="33.75" customHeight="1" x14ac:dyDescent="0.25">
      <c r="A84" s="22" t="s">
        <v>85</v>
      </c>
      <c r="B84" s="114" t="s">
        <v>86</v>
      </c>
      <c r="C84" s="114"/>
      <c r="D84" s="114"/>
      <c r="E84" s="114"/>
      <c r="F84" s="114"/>
      <c r="G84" s="114"/>
      <c r="H84" s="22" t="s">
        <v>39</v>
      </c>
      <c r="I84" s="22" t="s">
        <v>40</v>
      </c>
    </row>
    <row r="85" spans="1:11" ht="15" customHeight="1" x14ac:dyDescent="0.25">
      <c r="A85" s="14">
        <v>1</v>
      </c>
      <c r="B85" s="90" t="s">
        <v>87</v>
      </c>
      <c r="C85" s="90"/>
      <c r="D85" s="90"/>
      <c r="E85" s="90"/>
      <c r="F85" s="90"/>
      <c r="G85" s="90"/>
      <c r="H85" s="23">
        <f>(H63*H75)</f>
        <v>9.3819024000000015E-2</v>
      </c>
      <c r="I85" s="24">
        <f>$I$52*H85</f>
        <v>284.63885769781996</v>
      </c>
    </row>
    <row r="86" spans="1:11" s="28" customFormat="1" ht="15" customHeight="1" x14ac:dyDescent="0.25">
      <c r="A86" s="105" t="s">
        <v>88</v>
      </c>
      <c r="B86" s="105"/>
      <c r="C86" s="105"/>
      <c r="D86" s="105"/>
      <c r="E86" s="105"/>
      <c r="F86" s="105"/>
      <c r="G86" s="105"/>
      <c r="H86" s="25">
        <f>SUM(H85:H85)</f>
        <v>9.3819024000000015E-2</v>
      </c>
      <c r="I86" s="26">
        <f>I85</f>
        <v>284.63885769781996</v>
      </c>
      <c r="J86" s="27"/>
      <c r="K86" s="30"/>
    </row>
    <row r="87" spans="1:11" ht="4.5" customHeight="1" x14ac:dyDescent="0.25">
      <c r="J87" s="31"/>
    </row>
    <row r="88" spans="1:11" s="28" customFormat="1" ht="12" customHeight="1" x14ac:dyDescent="0.25">
      <c r="A88" s="122" t="s">
        <v>89</v>
      </c>
      <c r="B88" s="122"/>
      <c r="C88" s="122"/>
      <c r="D88" s="122"/>
      <c r="E88" s="122"/>
      <c r="F88" s="122"/>
      <c r="G88" s="122"/>
      <c r="H88" s="32">
        <f>H63+H75+H82+H86</f>
        <v>0.75155702400000002</v>
      </c>
      <c r="I88" s="33">
        <f>I63+I75+I82+I86</f>
        <v>2280.1594355333837</v>
      </c>
      <c r="J88" s="27"/>
    </row>
    <row r="89" spans="1:11" ht="4.5" customHeight="1" x14ac:dyDescent="0.25"/>
    <row r="90" spans="1:11" ht="33.75" customHeight="1" x14ac:dyDescent="0.25">
      <c r="A90" s="22" t="s">
        <v>90</v>
      </c>
      <c r="B90" s="114" t="s">
        <v>91</v>
      </c>
      <c r="C90" s="114"/>
      <c r="D90" s="114"/>
      <c r="E90" s="114"/>
      <c r="F90" s="114"/>
      <c r="G90" s="114"/>
      <c r="H90" s="22" t="s">
        <v>39</v>
      </c>
      <c r="I90" s="22" t="s">
        <v>40</v>
      </c>
    </row>
    <row r="91" spans="1:11" ht="15" customHeight="1" x14ac:dyDescent="0.25">
      <c r="A91" s="14">
        <v>1</v>
      </c>
      <c r="B91" s="90" t="s">
        <v>24</v>
      </c>
      <c r="C91" s="90"/>
      <c r="D91" s="90"/>
      <c r="E91" s="90"/>
      <c r="F91" s="90"/>
      <c r="G91" s="90"/>
      <c r="H91" s="23">
        <f>I91/$I$52</f>
        <v>0.10679274088526114</v>
      </c>
      <c r="I91" s="24">
        <f>I108</f>
        <v>324</v>
      </c>
    </row>
    <row r="92" spans="1:11" ht="15" customHeight="1" x14ac:dyDescent="0.25">
      <c r="A92" s="14">
        <v>2</v>
      </c>
      <c r="B92" s="90" t="s">
        <v>25</v>
      </c>
      <c r="C92" s="90"/>
      <c r="D92" s="90"/>
      <c r="E92" s="90"/>
      <c r="F92" s="90"/>
      <c r="G92" s="90"/>
      <c r="H92" s="23">
        <f>I92/$I$52</f>
        <v>0</v>
      </c>
      <c r="I92" s="24">
        <f>I104</f>
        <v>0</v>
      </c>
    </row>
    <row r="93" spans="1:11" ht="15" customHeight="1" x14ac:dyDescent="0.25">
      <c r="A93" s="14">
        <v>3</v>
      </c>
      <c r="B93" s="90" t="s">
        <v>92</v>
      </c>
      <c r="C93" s="90"/>
      <c r="D93" s="90"/>
      <c r="E93" s="90"/>
      <c r="F93" s="90"/>
      <c r="G93" s="90"/>
      <c r="H93" s="23">
        <f>I93/$I$52</f>
        <v>1.0327253572274701E-2</v>
      </c>
      <c r="I93" s="24">
        <f>I100</f>
        <v>31.332000000000008</v>
      </c>
    </row>
    <row r="94" spans="1:11" ht="15" customHeight="1" x14ac:dyDescent="0.25">
      <c r="A94" s="14">
        <v>4</v>
      </c>
      <c r="B94" s="90" t="s">
        <v>93</v>
      </c>
      <c r="C94" s="90"/>
      <c r="D94" s="90"/>
      <c r="E94" s="90"/>
      <c r="F94" s="90"/>
      <c r="G94" s="90"/>
      <c r="H94" s="23">
        <f>I94/$I$52</f>
        <v>6.6671301427673441E-2</v>
      </c>
      <c r="I94" s="24">
        <f>IF(I28="Não aplicável",0,((I10/H10)*1.5*I28))</f>
        <v>202.27499999999998</v>
      </c>
    </row>
    <row r="95" spans="1:11" ht="15" customHeight="1" x14ac:dyDescent="0.25">
      <c r="A95" s="14">
        <v>5</v>
      </c>
      <c r="B95" s="90" t="s">
        <v>94</v>
      </c>
      <c r="C95" s="90"/>
      <c r="D95" s="90"/>
      <c r="E95" s="90"/>
      <c r="F95" s="90"/>
      <c r="G95" s="90"/>
      <c r="H95" s="23">
        <f>I95/$I$52</f>
        <v>0</v>
      </c>
      <c r="I95" s="24">
        <f>IF(I23="Não aplicável",0,I23)</f>
        <v>0</v>
      </c>
    </row>
    <row r="96" spans="1:11" ht="13.5" customHeight="1" x14ac:dyDescent="0.25">
      <c r="A96" s="105" t="s">
        <v>95</v>
      </c>
      <c r="B96" s="105"/>
      <c r="C96" s="105"/>
      <c r="D96" s="105"/>
      <c r="E96" s="105"/>
      <c r="F96" s="105"/>
      <c r="G96" s="105"/>
      <c r="H96" s="25">
        <f>SUM(H91:H95)</f>
        <v>0.18379129588520929</v>
      </c>
      <c r="I96" s="26">
        <f>SUM(I91:I95)</f>
        <v>557.60699999999997</v>
      </c>
      <c r="J96" s="34"/>
    </row>
    <row r="97" spans="1:12" ht="5.25" customHeight="1" x14ac:dyDescent="0.25">
      <c r="A97" s="29"/>
      <c r="B97" s="121"/>
      <c r="C97" s="121"/>
      <c r="D97" s="121"/>
      <c r="E97" s="121"/>
      <c r="F97" s="121"/>
      <c r="G97" s="121"/>
      <c r="H97" s="35"/>
      <c r="I97" s="36"/>
    </row>
    <row r="98" spans="1:12" ht="15" customHeight="1" x14ac:dyDescent="0.25">
      <c r="A98" s="107" t="s">
        <v>98</v>
      </c>
      <c r="B98" s="107"/>
      <c r="C98" s="107"/>
      <c r="D98" s="107"/>
      <c r="E98" s="107"/>
      <c r="F98" s="107"/>
      <c r="G98" s="107"/>
      <c r="H98" s="107"/>
      <c r="I98" s="107"/>
    </row>
    <row r="99" spans="1:12" ht="24" customHeight="1" x14ac:dyDescent="0.25">
      <c r="A99" s="119" t="s">
        <v>99</v>
      </c>
      <c r="B99" s="119"/>
      <c r="C99" s="14" t="s">
        <v>100</v>
      </c>
      <c r="D99" s="14" t="s">
        <v>101</v>
      </c>
      <c r="E99" s="14" t="s">
        <v>102</v>
      </c>
      <c r="F99" s="14" t="s">
        <v>103</v>
      </c>
      <c r="G99" s="14" t="s">
        <v>104</v>
      </c>
      <c r="H99" s="23" t="s">
        <v>105</v>
      </c>
      <c r="I99" s="24" t="s">
        <v>106</v>
      </c>
    </row>
    <row r="100" spans="1:12" ht="15" customHeight="1" x14ac:dyDescent="0.25">
      <c r="A100" s="118">
        <f>I14</f>
        <v>5</v>
      </c>
      <c r="B100" s="118"/>
      <c r="C100" s="14">
        <f>I15</f>
        <v>15</v>
      </c>
      <c r="D100" s="14">
        <v>2</v>
      </c>
      <c r="E100" s="37">
        <f>A100*C100*D100</f>
        <v>150</v>
      </c>
      <c r="F100" s="37">
        <f>I37</f>
        <v>1977.8</v>
      </c>
      <c r="G100" s="38">
        <f>I16</f>
        <v>0.06</v>
      </c>
      <c r="H100" s="37">
        <f>F100*G100</f>
        <v>118.66799999999999</v>
      </c>
      <c r="I100" s="24">
        <f>IF((E100-H100)&gt;0,E100-H100,0)</f>
        <v>31.332000000000008</v>
      </c>
    </row>
    <row r="101" spans="1:12" ht="4.5" customHeight="1" x14ac:dyDescent="0.25">
      <c r="A101" s="39"/>
      <c r="E101" s="34"/>
      <c r="F101" s="34"/>
      <c r="G101" s="40"/>
      <c r="H101" s="34"/>
      <c r="I101" s="41"/>
    </row>
    <row r="102" spans="1:12" ht="15" customHeight="1" x14ac:dyDescent="0.25">
      <c r="A102" s="107" t="s">
        <v>107</v>
      </c>
      <c r="B102" s="107"/>
      <c r="C102" s="107"/>
      <c r="D102" s="107"/>
      <c r="E102" s="107"/>
      <c r="F102" s="107"/>
      <c r="G102" s="107"/>
      <c r="H102" s="107"/>
      <c r="I102" s="107"/>
    </row>
    <row r="103" spans="1:12" ht="24" customHeight="1" x14ac:dyDescent="0.25">
      <c r="A103" s="119" t="s">
        <v>99</v>
      </c>
      <c r="B103" s="119"/>
      <c r="C103" s="14" t="s">
        <v>108</v>
      </c>
      <c r="D103" s="14" t="s">
        <v>101</v>
      </c>
      <c r="E103" s="14" t="s">
        <v>102</v>
      </c>
      <c r="F103" s="14" t="s">
        <v>103</v>
      </c>
      <c r="G103" s="14" t="s">
        <v>104</v>
      </c>
      <c r="H103" s="23" t="s">
        <v>105</v>
      </c>
      <c r="I103" s="24" t="s">
        <v>106</v>
      </c>
    </row>
    <row r="104" spans="1:12" ht="15" customHeight="1" x14ac:dyDescent="0.25">
      <c r="A104" s="120">
        <f>I20</f>
        <v>0</v>
      </c>
      <c r="B104" s="120"/>
      <c r="C104" s="42">
        <f>I21</f>
        <v>15</v>
      </c>
      <c r="D104" s="14">
        <v>1</v>
      </c>
      <c r="E104" s="37">
        <f>A104*C104*D104</f>
        <v>0</v>
      </c>
      <c r="F104" s="37">
        <f>E104</f>
        <v>0</v>
      </c>
      <c r="G104" s="43">
        <f>I22</f>
        <v>0</v>
      </c>
      <c r="H104" s="37">
        <f>F104*G104</f>
        <v>0</v>
      </c>
      <c r="I104" s="24">
        <f>E104-H104</f>
        <v>0</v>
      </c>
    </row>
    <row r="105" spans="1:12" ht="4.5" customHeight="1" x14ac:dyDescent="0.25">
      <c r="A105" s="44"/>
      <c r="B105" s="44"/>
      <c r="C105" s="44"/>
      <c r="D105" s="44"/>
      <c r="E105" s="27"/>
      <c r="F105" s="27"/>
      <c r="G105" s="45"/>
      <c r="H105" s="27"/>
      <c r="I105" s="46"/>
    </row>
    <row r="106" spans="1:12" ht="15" customHeight="1" x14ac:dyDescent="0.25">
      <c r="A106" s="107" t="s">
        <v>109</v>
      </c>
      <c r="B106" s="107"/>
      <c r="C106" s="107"/>
      <c r="D106" s="107"/>
      <c r="E106" s="107"/>
      <c r="F106" s="107"/>
      <c r="G106" s="107"/>
      <c r="H106" s="107"/>
      <c r="I106" s="107"/>
    </row>
    <row r="107" spans="1:12" ht="23.25" customHeight="1" x14ac:dyDescent="0.25">
      <c r="A107" s="119" t="s">
        <v>99</v>
      </c>
      <c r="B107" s="119"/>
      <c r="C107" s="14" t="s">
        <v>108</v>
      </c>
      <c r="D107" s="14" t="s">
        <v>101</v>
      </c>
      <c r="E107" s="14" t="s">
        <v>102</v>
      </c>
      <c r="F107" s="14" t="s">
        <v>103</v>
      </c>
      <c r="G107" s="14" t="s">
        <v>104</v>
      </c>
      <c r="H107" s="23" t="str">
        <f>H99</f>
        <v>Valor desconto</v>
      </c>
      <c r="I107" s="24" t="s">
        <v>106</v>
      </c>
    </row>
    <row r="108" spans="1:12" ht="15" customHeight="1" x14ac:dyDescent="0.25">
      <c r="A108" s="120">
        <f>I17</f>
        <v>27</v>
      </c>
      <c r="B108" s="120"/>
      <c r="C108" s="42">
        <f>I18</f>
        <v>15</v>
      </c>
      <c r="D108" s="14">
        <v>1</v>
      </c>
      <c r="E108" s="37">
        <f>A108*C108*D108</f>
        <v>405</v>
      </c>
      <c r="F108" s="37">
        <f>E108</f>
        <v>405</v>
      </c>
      <c r="G108" s="43">
        <f>I19</f>
        <v>0.2</v>
      </c>
      <c r="H108" s="37">
        <f>F108*G108</f>
        <v>81</v>
      </c>
      <c r="I108" s="24">
        <f>E108-H108</f>
        <v>324</v>
      </c>
    </row>
    <row r="109" spans="1:12" ht="4.5" customHeight="1" x14ac:dyDescent="0.25"/>
    <row r="110" spans="1:12" ht="12" customHeight="1" x14ac:dyDescent="0.25">
      <c r="A110" s="88" t="s">
        <v>110</v>
      </c>
      <c r="B110" s="88"/>
      <c r="C110" s="88"/>
      <c r="D110" s="88"/>
      <c r="E110" s="88"/>
      <c r="F110" s="88"/>
      <c r="G110" s="88"/>
      <c r="H110" s="47">
        <f>H52+H88+H96</f>
        <v>1.9353483198852093</v>
      </c>
      <c r="I110" s="48">
        <f>I52+I88+I96</f>
        <v>5871.6805135333834</v>
      </c>
      <c r="J110" s="34"/>
      <c r="L110" s="34"/>
    </row>
    <row r="111" spans="1:12" s="53" customFormat="1" ht="4.5" customHeight="1" x14ac:dyDescent="0.25">
      <c r="A111" s="49"/>
      <c r="B111" s="49"/>
      <c r="C111" s="49"/>
      <c r="D111" s="49"/>
      <c r="E111" s="49"/>
      <c r="F111" s="49"/>
      <c r="G111" s="49"/>
      <c r="H111" s="50"/>
      <c r="I111" s="51"/>
      <c r="J111" s="52"/>
      <c r="L111" s="52"/>
    </row>
    <row r="112" spans="1:12" ht="11.25" customHeight="1" x14ac:dyDescent="0.25">
      <c r="A112" s="89" t="s">
        <v>111</v>
      </c>
      <c r="B112" s="89"/>
      <c r="C112" s="89"/>
      <c r="D112" s="89"/>
      <c r="E112" s="89"/>
      <c r="F112" s="89"/>
      <c r="G112" s="89"/>
      <c r="H112" s="89"/>
      <c r="I112" s="89"/>
    </row>
    <row r="113" spans="1:10" ht="33.75" customHeight="1" x14ac:dyDescent="0.25">
      <c r="A113" s="22" t="s">
        <v>37</v>
      </c>
      <c r="B113" s="114" t="s">
        <v>112</v>
      </c>
      <c r="C113" s="114"/>
      <c r="D113" s="114"/>
      <c r="E113" s="114"/>
      <c r="F113" s="114"/>
      <c r="G113" s="114"/>
      <c r="H113" s="22" t="s">
        <v>39</v>
      </c>
      <c r="I113" s="22" t="s">
        <v>40</v>
      </c>
    </row>
    <row r="114" spans="1:10" ht="15" customHeight="1" x14ac:dyDescent="0.25">
      <c r="A114" s="14">
        <v>1</v>
      </c>
      <c r="B114" s="90" t="s">
        <v>113</v>
      </c>
      <c r="C114" s="90"/>
      <c r="D114" s="90"/>
      <c r="E114" s="90"/>
      <c r="F114" s="90"/>
      <c r="G114" s="90"/>
      <c r="H114" s="23">
        <f t="shared" ref="H114:H119" si="4">I114/$I$125</f>
        <v>0</v>
      </c>
      <c r="I114" s="24">
        <v>0</v>
      </c>
    </row>
    <row r="115" spans="1:10" ht="15" customHeight="1" x14ac:dyDescent="0.25">
      <c r="A115" s="14">
        <v>2</v>
      </c>
      <c r="B115" s="117" t="s">
        <v>114</v>
      </c>
      <c r="C115" s="117"/>
      <c r="D115" s="117"/>
      <c r="E115" s="117"/>
      <c r="F115" s="117"/>
      <c r="G115" s="117"/>
      <c r="H115" s="23">
        <f t="shared" si="4"/>
        <v>0</v>
      </c>
      <c r="I115" s="24">
        <f>IF(F123=10%,G123,0)</f>
        <v>0</v>
      </c>
    </row>
    <row r="116" spans="1:10" ht="15" customHeight="1" x14ac:dyDescent="0.25">
      <c r="A116" s="14">
        <v>3</v>
      </c>
      <c r="B116" s="90" t="s">
        <v>115</v>
      </c>
      <c r="C116" s="90"/>
      <c r="D116" s="90"/>
      <c r="E116" s="90"/>
      <c r="F116" s="90"/>
      <c r="G116" s="90"/>
      <c r="H116" s="23">
        <f t="shared" si="4"/>
        <v>0</v>
      </c>
      <c r="I116" s="24">
        <v>0</v>
      </c>
    </row>
    <row r="117" spans="1:10" ht="15" customHeight="1" x14ac:dyDescent="0.25">
      <c r="A117" s="14">
        <v>4</v>
      </c>
      <c r="B117" s="117" t="s">
        <v>116</v>
      </c>
      <c r="C117" s="117"/>
      <c r="D117" s="117"/>
      <c r="E117" s="117"/>
      <c r="F117" s="117"/>
      <c r="G117" s="117"/>
      <c r="H117" s="23">
        <f t="shared" si="4"/>
        <v>0</v>
      </c>
      <c r="I117" s="24">
        <v>0</v>
      </c>
    </row>
    <row r="118" spans="1:10" ht="15" customHeight="1" x14ac:dyDescent="0.25">
      <c r="A118" s="14">
        <v>5</v>
      </c>
      <c r="B118" s="90" t="s">
        <v>117</v>
      </c>
      <c r="C118" s="90"/>
      <c r="D118" s="90"/>
      <c r="E118" s="90"/>
      <c r="F118" s="90"/>
      <c r="G118" s="90"/>
      <c r="H118" s="23">
        <f t="shared" si="4"/>
        <v>0</v>
      </c>
      <c r="I118" s="24">
        <v>0</v>
      </c>
    </row>
    <row r="119" spans="1:10" ht="15" customHeight="1" x14ac:dyDescent="0.25">
      <c r="A119" s="14">
        <v>6</v>
      </c>
      <c r="B119" s="90" t="s">
        <v>118</v>
      </c>
      <c r="C119" s="90"/>
      <c r="D119" s="90"/>
      <c r="E119" s="90"/>
      <c r="F119" s="90"/>
      <c r="G119" s="90"/>
      <c r="H119" s="23">
        <f t="shared" si="4"/>
        <v>0</v>
      </c>
      <c r="I119" s="24">
        <v>0</v>
      </c>
    </row>
    <row r="120" spans="1:10" ht="15" customHeight="1" x14ac:dyDescent="0.25">
      <c r="A120" s="105" t="s">
        <v>119</v>
      </c>
      <c r="B120" s="105"/>
      <c r="C120" s="105"/>
      <c r="D120" s="105"/>
      <c r="E120" s="105"/>
      <c r="F120" s="105"/>
      <c r="G120" s="105"/>
      <c r="H120" s="25">
        <f>H114+H115+H116+H117+H118+H119</f>
        <v>0</v>
      </c>
      <c r="I120" s="54">
        <f>SUM(I114:I119)</f>
        <v>0</v>
      </c>
      <c r="J120" s="34"/>
    </row>
    <row r="121" spans="1:10" ht="30" customHeight="1" x14ac:dyDescent="0.25">
      <c r="B121" s="106" t="s">
        <v>120</v>
      </c>
      <c r="C121" s="106"/>
      <c r="D121" s="106"/>
      <c r="E121" s="106"/>
      <c r="F121" s="106"/>
      <c r="G121" s="106"/>
      <c r="H121" s="106"/>
      <c r="I121" s="106"/>
    </row>
    <row r="122" spans="1:10" ht="5.25" customHeight="1" x14ac:dyDescent="0.25"/>
    <row r="123" spans="1:10" ht="48.75" customHeight="1" x14ac:dyDescent="0.25">
      <c r="A123" s="115" t="s">
        <v>121</v>
      </c>
      <c r="B123" s="115"/>
      <c r="C123" s="115"/>
      <c r="D123" s="115"/>
      <c r="E123" s="115"/>
      <c r="F123" s="55">
        <f>I29</f>
        <v>0.2</v>
      </c>
      <c r="G123" s="56">
        <f>I125*F123</f>
        <v>1168.0697027066769</v>
      </c>
      <c r="H123" s="57" t="s">
        <v>122</v>
      </c>
      <c r="I123" s="58">
        <f>I93</f>
        <v>31.332000000000008</v>
      </c>
    </row>
    <row r="124" spans="1:10" s="61" customFormat="1" ht="16.5" customHeight="1" x14ac:dyDescent="0.25">
      <c r="A124" s="112" t="s">
        <v>123</v>
      </c>
      <c r="B124" s="112"/>
      <c r="C124" s="57" t="s">
        <v>124</v>
      </c>
      <c r="D124" s="57" t="s">
        <v>125</v>
      </c>
      <c r="E124" s="57" t="s">
        <v>126</v>
      </c>
      <c r="F124" s="57" t="s">
        <v>127</v>
      </c>
      <c r="G124" s="57" t="s">
        <v>128</v>
      </c>
      <c r="H124" s="57" t="s">
        <v>129</v>
      </c>
      <c r="I124" s="59" t="s">
        <v>130</v>
      </c>
      <c r="J124" s="60"/>
    </row>
    <row r="125" spans="1:10" ht="16.5" customHeight="1" x14ac:dyDescent="0.25">
      <c r="A125" s="113">
        <f>I52</f>
        <v>3033.9140780000002</v>
      </c>
      <c r="B125" s="113"/>
      <c r="C125" s="62">
        <f>I63</f>
        <v>1116.480380704</v>
      </c>
      <c r="D125" s="62">
        <f>I75</f>
        <v>773.47515678755406</v>
      </c>
      <c r="E125" s="62">
        <f>I82</f>
        <v>105.56504034401001</v>
      </c>
      <c r="F125" s="62">
        <f>I86</f>
        <v>284.63885769781996</v>
      </c>
      <c r="G125" s="62">
        <f>I96</f>
        <v>557.60699999999997</v>
      </c>
      <c r="H125" s="62">
        <f>A125+C125+D125+E125+F125+G125</f>
        <v>5871.6805135333843</v>
      </c>
      <c r="I125" s="62">
        <f>H125-I123</f>
        <v>5840.348513533384</v>
      </c>
      <c r="J125" s="34"/>
    </row>
    <row r="126" spans="1:10" ht="4.5" customHeight="1" x14ac:dyDescent="0.25">
      <c r="A126" s="29"/>
      <c r="B126" s="116"/>
      <c r="C126" s="116"/>
      <c r="D126" s="116"/>
      <c r="E126" s="116"/>
      <c r="F126" s="116"/>
      <c r="G126" s="116"/>
      <c r="H126" s="116"/>
      <c r="I126" s="116"/>
    </row>
    <row r="127" spans="1:10" ht="33.75" customHeight="1" x14ac:dyDescent="0.25">
      <c r="A127" s="22" t="s">
        <v>51</v>
      </c>
      <c r="B127" s="114" t="s">
        <v>131</v>
      </c>
      <c r="C127" s="114"/>
      <c r="D127" s="114"/>
      <c r="E127" s="114"/>
      <c r="F127" s="114"/>
      <c r="G127" s="114"/>
      <c r="H127" s="22" t="s">
        <v>39</v>
      </c>
      <c r="I127" s="22" t="s">
        <v>40</v>
      </c>
    </row>
    <row r="128" spans="1:10" ht="15" customHeight="1" x14ac:dyDescent="0.25">
      <c r="A128" s="14">
        <v>1</v>
      </c>
      <c r="B128" s="90" t="s">
        <v>132</v>
      </c>
      <c r="C128" s="90"/>
      <c r="D128" s="90"/>
      <c r="E128" s="90"/>
      <c r="F128" s="90"/>
      <c r="G128" s="90"/>
      <c r="H128" s="23">
        <f>I128/$I$138</f>
        <v>0</v>
      </c>
      <c r="I128" s="24">
        <v>0</v>
      </c>
    </row>
    <row r="129" spans="1:12" ht="15" customHeight="1" x14ac:dyDescent="0.25">
      <c r="A129" s="14">
        <v>2</v>
      </c>
      <c r="B129" s="90" t="s">
        <v>133</v>
      </c>
      <c r="C129" s="90"/>
      <c r="D129" s="90"/>
      <c r="E129" s="90"/>
      <c r="F129" s="90"/>
      <c r="G129" s="90"/>
      <c r="H129" s="23">
        <f>I129/$I$138</f>
        <v>0</v>
      </c>
      <c r="I129" s="24">
        <v>0</v>
      </c>
    </row>
    <row r="130" spans="1:12" ht="33" customHeight="1" x14ac:dyDescent="0.25">
      <c r="A130" s="105" t="s">
        <v>204</v>
      </c>
      <c r="B130" s="105"/>
      <c r="C130" s="105"/>
      <c r="D130" s="105"/>
      <c r="E130" s="105"/>
      <c r="F130" s="105"/>
      <c r="G130" s="105"/>
      <c r="H130" s="25">
        <f>H128+H129</f>
        <v>0</v>
      </c>
      <c r="I130" s="26">
        <f>SUM(I128:I129)</f>
        <v>0</v>
      </c>
    </row>
    <row r="131" spans="1:12" ht="4.5" customHeight="1" x14ac:dyDescent="0.25"/>
    <row r="132" spans="1:12" ht="33.75" customHeight="1" x14ac:dyDescent="0.25">
      <c r="A132" s="22" t="s">
        <v>64</v>
      </c>
      <c r="B132" s="114" t="s">
        <v>134</v>
      </c>
      <c r="C132" s="114"/>
      <c r="D132" s="114"/>
      <c r="E132" s="114"/>
      <c r="F132" s="114"/>
      <c r="G132" s="114"/>
      <c r="H132" s="22" t="s">
        <v>39</v>
      </c>
      <c r="I132" s="22" t="s">
        <v>40</v>
      </c>
    </row>
    <row r="133" spans="1:12" ht="15" customHeight="1" x14ac:dyDescent="0.25">
      <c r="A133" s="14">
        <v>1</v>
      </c>
      <c r="B133" s="90" t="s">
        <v>134</v>
      </c>
      <c r="C133" s="90"/>
      <c r="D133" s="90"/>
      <c r="E133" s="90"/>
      <c r="F133" s="90"/>
      <c r="G133" s="90"/>
      <c r="H133" s="23">
        <f>I133/I138</f>
        <v>0</v>
      </c>
      <c r="I133" s="24">
        <v>0</v>
      </c>
    </row>
    <row r="134" spans="1:12" ht="33.950000000000003" customHeight="1" x14ac:dyDescent="0.25">
      <c r="A134" s="105" t="s">
        <v>203</v>
      </c>
      <c r="B134" s="105"/>
      <c r="C134" s="105"/>
      <c r="D134" s="105"/>
      <c r="E134" s="105"/>
      <c r="F134" s="105"/>
      <c r="G134" s="105"/>
      <c r="H134" s="25">
        <f>H133</f>
        <v>0</v>
      </c>
      <c r="I134" s="26">
        <f>I133</f>
        <v>0</v>
      </c>
      <c r="J134" s="34"/>
      <c r="K134" s="34"/>
      <c r="L134" s="2"/>
    </row>
    <row r="135" spans="1:12" ht="4.5" customHeight="1" x14ac:dyDescent="0.25">
      <c r="A135" s="28"/>
      <c r="B135" s="28"/>
      <c r="C135" s="28"/>
      <c r="D135" s="28"/>
      <c r="E135" s="28"/>
      <c r="F135" s="28"/>
      <c r="G135" s="28"/>
      <c r="H135" s="35"/>
      <c r="I135" s="36"/>
    </row>
    <row r="136" spans="1:12" ht="39" customHeight="1" x14ac:dyDescent="0.25">
      <c r="A136" s="111" t="s">
        <v>135</v>
      </c>
      <c r="B136" s="111"/>
      <c r="C136" s="111"/>
      <c r="D136" s="111"/>
      <c r="E136" s="111"/>
      <c r="F136" s="55">
        <v>0.18</v>
      </c>
      <c r="G136" s="56">
        <f>I138*F136</f>
        <v>1051.2627324360092</v>
      </c>
      <c r="H136" s="57" t="s">
        <v>122</v>
      </c>
      <c r="I136" s="58">
        <f>I93</f>
        <v>31.332000000000008</v>
      </c>
      <c r="L136" s="2"/>
    </row>
    <row r="137" spans="1:12" s="61" customFormat="1" ht="16.5" customHeight="1" x14ac:dyDescent="0.25">
      <c r="A137" s="112" t="s">
        <v>123</v>
      </c>
      <c r="B137" s="112"/>
      <c r="C137" s="57" t="s">
        <v>124</v>
      </c>
      <c r="D137" s="57" t="s">
        <v>125</v>
      </c>
      <c r="E137" s="57" t="s">
        <v>126</v>
      </c>
      <c r="F137" s="57" t="s">
        <v>127</v>
      </c>
      <c r="G137" s="57" t="s">
        <v>128</v>
      </c>
      <c r="H137" s="57" t="s">
        <v>129</v>
      </c>
      <c r="I137" s="59" t="s">
        <v>130</v>
      </c>
      <c r="J137" s="60"/>
      <c r="L137" s="60"/>
    </row>
    <row r="138" spans="1:12" ht="16.5" customHeight="1" x14ac:dyDescent="0.25">
      <c r="A138" s="113">
        <f>I52</f>
        <v>3033.9140780000002</v>
      </c>
      <c r="B138" s="113"/>
      <c r="C138" s="62">
        <f>I63</f>
        <v>1116.480380704</v>
      </c>
      <c r="D138" s="62">
        <f>I75</f>
        <v>773.47515678755406</v>
      </c>
      <c r="E138" s="62">
        <f>I82</f>
        <v>105.56504034401001</v>
      </c>
      <c r="F138" s="62">
        <f>I86</f>
        <v>284.63885769781996</v>
      </c>
      <c r="G138" s="62">
        <f>I96</f>
        <v>557.60699999999997</v>
      </c>
      <c r="H138" s="62">
        <f>A138+C138+D138+E138+F138+G138</f>
        <v>5871.6805135333843</v>
      </c>
      <c r="I138" s="62">
        <f>H138-I136</f>
        <v>5840.348513533384</v>
      </c>
      <c r="J138" s="34"/>
      <c r="L138" s="2"/>
    </row>
    <row r="139" spans="1:12" ht="4.5" customHeight="1" x14ac:dyDescent="0.25"/>
    <row r="140" spans="1:12" ht="12" customHeight="1" x14ac:dyDescent="0.25">
      <c r="A140" s="88" t="s">
        <v>136</v>
      </c>
      <c r="B140" s="88"/>
      <c r="C140" s="88"/>
      <c r="D140" s="88"/>
      <c r="E140" s="88"/>
      <c r="F140" s="88"/>
      <c r="G140" s="88"/>
      <c r="H140" s="47">
        <f>H120+H130+H134</f>
        <v>0</v>
      </c>
      <c r="I140" s="48">
        <f>I120+I130+I134</f>
        <v>0</v>
      </c>
    </row>
    <row r="141" spans="1:12" ht="4.5" customHeight="1" x14ac:dyDescent="0.25"/>
    <row r="142" spans="1:12" ht="11.25" customHeight="1" x14ac:dyDescent="0.25">
      <c r="A142" s="89" t="s">
        <v>137</v>
      </c>
      <c r="B142" s="89"/>
      <c r="C142" s="89"/>
      <c r="D142" s="89"/>
      <c r="E142" s="89"/>
      <c r="F142" s="89"/>
      <c r="G142" s="89"/>
      <c r="H142" s="89"/>
      <c r="I142" s="89"/>
    </row>
    <row r="143" spans="1:12" ht="33.75" customHeight="1" x14ac:dyDescent="0.25">
      <c r="A143" s="22" t="s">
        <v>37</v>
      </c>
      <c r="B143" s="114" t="s">
        <v>138</v>
      </c>
      <c r="C143" s="114"/>
      <c r="D143" s="114"/>
      <c r="E143" s="114"/>
      <c r="F143" s="114"/>
      <c r="G143" s="114"/>
      <c r="H143" s="22" t="s">
        <v>39</v>
      </c>
      <c r="I143" s="22" t="s">
        <v>40</v>
      </c>
    </row>
    <row r="144" spans="1:12" ht="15" customHeight="1" x14ac:dyDescent="0.25">
      <c r="A144" s="14">
        <v>1</v>
      </c>
      <c r="B144" s="90" t="s">
        <v>139</v>
      </c>
      <c r="C144" s="90"/>
      <c r="D144" s="90"/>
      <c r="E144" s="90"/>
      <c r="F144" s="90"/>
      <c r="G144" s="90"/>
      <c r="H144" s="23">
        <f>I144/$I$110</f>
        <v>7.038440714672441E-3</v>
      </c>
      <c r="I144" s="24">
        <f>($D$154/$E$156)*H154</f>
        <v>41.327475190002154</v>
      </c>
    </row>
    <row r="145" spans="1:10" ht="15" customHeight="1" x14ac:dyDescent="0.25">
      <c r="A145" s="14">
        <v>2</v>
      </c>
      <c r="B145" s="90" t="s">
        <v>140</v>
      </c>
      <c r="C145" s="90"/>
      <c r="D145" s="90"/>
      <c r="E145" s="90"/>
      <c r="F145" s="90"/>
      <c r="G145" s="90"/>
      <c r="H145" s="23">
        <f>I145/$I$110</f>
        <v>3.2485110990795887E-2</v>
      </c>
      <c r="I145" s="24">
        <f>($D$154/$E$156)*H155</f>
        <v>190.74219318462534</v>
      </c>
    </row>
    <row r="146" spans="1:10" ht="15" customHeight="1" x14ac:dyDescent="0.25">
      <c r="A146" s="14">
        <v>3</v>
      </c>
      <c r="B146" s="90" t="s">
        <v>14</v>
      </c>
      <c r="C146" s="90"/>
      <c r="D146" s="90"/>
      <c r="E146" s="90"/>
      <c r="F146" s="90"/>
      <c r="G146" s="90"/>
      <c r="H146" s="23">
        <f>I146/$I$110</f>
        <v>4.3313481321061185E-2</v>
      </c>
      <c r="I146" s="24">
        <f>($D$154/$E$156)*H156</f>
        <v>254.32292424616713</v>
      </c>
    </row>
    <row r="147" spans="1:10" ht="15" customHeight="1" x14ac:dyDescent="0.25">
      <c r="A147" s="14">
        <v>4</v>
      </c>
      <c r="B147" s="90" t="s">
        <v>141</v>
      </c>
      <c r="C147" s="90"/>
      <c r="D147" s="90"/>
      <c r="E147" s="90"/>
      <c r="F147" s="90"/>
      <c r="G147" s="90"/>
      <c r="H147" s="23">
        <f>I147/$I$110</f>
        <v>0</v>
      </c>
      <c r="I147" s="24">
        <f>($D$154/$E$156)*H157</f>
        <v>0</v>
      </c>
    </row>
    <row r="148" spans="1:10" ht="15" customHeight="1" x14ac:dyDescent="0.25">
      <c r="A148" s="14">
        <v>5</v>
      </c>
      <c r="B148" s="90" t="s">
        <v>142</v>
      </c>
      <c r="C148" s="90"/>
      <c r="D148" s="90"/>
      <c r="E148" s="90"/>
      <c r="F148" s="90"/>
      <c r="G148" s="90"/>
      <c r="H148" s="23">
        <f>I148/$I$110</f>
        <v>0</v>
      </c>
      <c r="I148" s="24">
        <f>($D$154/$E$156)*H158</f>
        <v>0</v>
      </c>
    </row>
    <row r="149" spans="1:10" ht="15" customHeight="1" x14ac:dyDescent="0.25">
      <c r="A149" s="105" t="s">
        <v>143</v>
      </c>
      <c r="B149" s="105"/>
      <c r="C149" s="105"/>
      <c r="D149" s="105"/>
      <c r="E149" s="105"/>
      <c r="F149" s="105"/>
      <c r="G149" s="105"/>
      <c r="H149" s="25">
        <f>H144+H145+H146+H147+H148</f>
        <v>8.2837033026529505E-2</v>
      </c>
      <c r="I149" s="26">
        <f>SUM(I144:I148)</f>
        <v>486.39259262079463</v>
      </c>
    </row>
    <row r="150" spans="1:10" ht="11.25" customHeight="1" x14ac:dyDescent="0.25">
      <c r="A150" s="29" t="s">
        <v>144</v>
      </c>
      <c r="B150" s="106" t="s">
        <v>145</v>
      </c>
      <c r="C150" s="106"/>
      <c r="D150" s="106"/>
      <c r="E150" s="106"/>
      <c r="F150" s="106"/>
      <c r="G150" s="106"/>
      <c r="H150" s="106"/>
      <c r="I150" s="106"/>
    </row>
    <row r="151" spans="1:10" ht="20.25" customHeight="1" x14ac:dyDescent="0.25">
      <c r="A151" s="29" t="s">
        <v>146</v>
      </c>
      <c r="B151" s="99" t="s">
        <v>147</v>
      </c>
      <c r="C151" s="99"/>
      <c r="D151" s="99"/>
      <c r="E151" s="99"/>
      <c r="F151" s="99"/>
      <c r="G151" s="99"/>
      <c r="H151" s="99"/>
      <c r="I151" s="99"/>
    </row>
    <row r="152" spans="1:10" ht="13.5" customHeight="1" x14ac:dyDescent="0.25">
      <c r="A152" s="107" t="s">
        <v>148</v>
      </c>
      <c r="B152" s="107"/>
      <c r="C152" s="107"/>
      <c r="D152" s="107"/>
      <c r="E152" s="107"/>
      <c r="F152" s="107"/>
      <c r="G152" s="107"/>
      <c r="H152" s="107"/>
      <c r="I152" s="107"/>
    </row>
    <row r="153" spans="1:10" ht="13.5" customHeight="1" x14ac:dyDescent="0.25">
      <c r="A153" s="108" t="s">
        <v>149</v>
      </c>
      <c r="B153" s="108"/>
      <c r="C153" s="3" t="s">
        <v>150</v>
      </c>
      <c r="D153" s="109" t="s">
        <v>151</v>
      </c>
      <c r="E153" s="109"/>
      <c r="F153" s="3" t="s">
        <v>152</v>
      </c>
      <c r="G153" s="3" t="s">
        <v>153</v>
      </c>
      <c r="H153" s="110" t="s">
        <v>154</v>
      </c>
      <c r="I153" s="110"/>
    </row>
    <row r="154" spans="1:10" ht="13.5" customHeight="1" x14ac:dyDescent="0.25">
      <c r="A154" s="102">
        <f>I110</f>
        <v>5871.6805135333834</v>
      </c>
      <c r="B154" s="102"/>
      <c r="C154" s="24">
        <f>I140</f>
        <v>0</v>
      </c>
      <c r="D154" s="103">
        <f>A154+C154</f>
        <v>5871.6805135333834</v>
      </c>
      <c r="E154" s="103"/>
      <c r="F154" s="14" t="s">
        <v>139</v>
      </c>
      <c r="G154" s="43">
        <v>1.6500000000000001E-2</v>
      </c>
      <c r="H154" s="96">
        <v>6.4999999999999997E-3</v>
      </c>
      <c r="I154" s="96"/>
      <c r="J154" s="34"/>
    </row>
    <row r="155" spans="1:10" ht="13.5" customHeight="1" x14ac:dyDescent="0.25">
      <c r="A155" s="141" t="s">
        <v>155</v>
      </c>
      <c r="B155" s="141"/>
      <c r="C155" s="14">
        <v>1</v>
      </c>
      <c r="D155" s="63">
        <f>G159/1</f>
        <v>0.13250000000000001</v>
      </c>
      <c r="E155" s="64">
        <f>C155-D155</f>
        <v>0.86749999999999994</v>
      </c>
      <c r="F155" s="14" t="s">
        <v>140</v>
      </c>
      <c r="G155" s="43">
        <v>7.5999999999999998E-2</v>
      </c>
      <c r="H155" s="96">
        <v>0.03</v>
      </c>
      <c r="I155" s="96"/>
    </row>
    <row r="156" spans="1:10" ht="13.5" customHeight="1" x14ac:dyDescent="0.25">
      <c r="A156" s="104" t="s">
        <v>156</v>
      </c>
      <c r="B156" s="104"/>
      <c r="C156" s="14">
        <v>1</v>
      </c>
      <c r="D156" s="63">
        <f>H159</f>
        <v>7.6499999999999999E-2</v>
      </c>
      <c r="E156" s="65">
        <f>C156-D156</f>
        <v>0.92349999999999999</v>
      </c>
      <c r="F156" s="14" t="s">
        <v>14</v>
      </c>
      <c r="G156" s="43">
        <f>I11</f>
        <v>0.04</v>
      </c>
      <c r="H156" s="96">
        <f>I11</f>
        <v>0.04</v>
      </c>
      <c r="I156" s="96"/>
    </row>
    <row r="157" spans="1:10" ht="13.5" customHeight="1" x14ac:dyDescent="0.25">
      <c r="A157" s="104" t="s">
        <v>157</v>
      </c>
      <c r="B157" s="104"/>
      <c r="C157" s="14">
        <v>1</v>
      </c>
      <c r="D157" s="66">
        <v>0.09</v>
      </c>
      <c r="E157" s="67">
        <f>C157-D157</f>
        <v>0.91</v>
      </c>
      <c r="F157" s="14" t="s">
        <v>158</v>
      </c>
      <c r="G157" s="43">
        <v>0</v>
      </c>
      <c r="H157" s="96">
        <v>0</v>
      </c>
      <c r="I157" s="96"/>
    </row>
    <row r="158" spans="1:10" ht="13.5" customHeight="1" x14ac:dyDescent="0.25">
      <c r="A158" s="139" t="s">
        <v>159</v>
      </c>
      <c r="B158" s="139" t="s">
        <v>160</v>
      </c>
      <c r="C158" s="139"/>
      <c r="D158" s="139"/>
      <c r="E158" s="139"/>
      <c r="F158" s="12" t="s">
        <v>161</v>
      </c>
      <c r="G158" s="43">
        <v>0</v>
      </c>
      <c r="H158" s="96">
        <v>0</v>
      </c>
      <c r="I158" s="96"/>
    </row>
    <row r="159" spans="1:10" ht="18" customHeight="1" x14ac:dyDescent="0.25">
      <c r="A159" s="139"/>
      <c r="B159" s="139"/>
      <c r="C159" s="139"/>
      <c r="D159" s="139"/>
      <c r="E159" s="139"/>
      <c r="F159" s="3" t="s">
        <v>162</v>
      </c>
      <c r="G159" s="68">
        <f>SUM(G154:G158)</f>
        <v>0.13250000000000001</v>
      </c>
      <c r="H159" s="97">
        <f>SUM(H154:I158)</f>
        <v>7.6499999999999999E-2</v>
      </c>
      <c r="I159" s="97"/>
    </row>
    <row r="160" spans="1:10" ht="59.25" customHeight="1" x14ac:dyDescent="0.25">
      <c r="A160" s="140" t="s">
        <v>163</v>
      </c>
      <c r="B160" s="140"/>
      <c r="C160" s="140"/>
      <c r="D160" s="140"/>
      <c r="E160" s="140"/>
      <c r="F160" s="140"/>
      <c r="G160" s="140"/>
      <c r="H160" s="140"/>
      <c r="I160" s="140"/>
    </row>
    <row r="161" spans="1:10" ht="13.5" customHeight="1" x14ac:dyDescent="0.25">
      <c r="A161" s="29" t="s">
        <v>164</v>
      </c>
      <c r="B161" s="99" t="s">
        <v>165</v>
      </c>
      <c r="C161" s="99"/>
      <c r="D161" s="99"/>
      <c r="E161" s="99"/>
      <c r="F161" s="99"/>
      <c r="G161" s="99"/>
      <c r="H161" s="99"/>
      <c r="I161" s="99"/>
    </row>
    <row r="162" spans="1:10" ht="4.5" customHeight="1" x14ac:dyDescent="0.25">
      <c r="A162" s="69"/>
      <c r="B162" s="100"/>
      <c r="C162" s="100"/>
      <c r="D162" s="100"/>
      <c r="E162" s="100"/>
      <c r="F162" s="100"/>
      <c r="G162" s="100"/>
      <c r="H162" s="100"/>
      <c r="I162" s="100"/>
    </row>
    <row r="163" spans="1:10" ht="12" customHeight="1" x14ac:dyDescent="0.25">
      <c r="A163" s="88" t="s">
        <v>166</v>
      </c>
      <c r="B163" s="88"/>
      <c r="C163" s="88"/>
      <c r="D163" s="88"/>
      <c r="E163" s="88"/>
      <c r="F163" s="88"/>
      <c r="G163" s="88"/>
      <c r="H163" s="47">
        <f>H149</f>
        <v>8.2837033026529505E-2</v>
      </c>
      <c r="I163" s="48">
        <f>I149</f>
        <v>486.39259262079463</v>
      </c>
    </row>
    <row r="164" spans="1:10" ht="4.5" customHeight="1" x14ac:dyDescent="0.25"/>
    <row r="165" spans="1:10" ht="11.25" customHeight="1" x14ac:dyDescent="0.25">
      <c r="A165" s="101" t="s">
        <v>167</v>
      </c>
      <c r="B165" s="101"/>
      <c r="C165" s="101"/>
      <c r="D165" s="101"/>
      <c r="E165" s="101"/>
      <c r="F165" s="101"/>
      <c r="G165" s="101"/>
      <c r="H165" s="101"/>
      <c r="I165" s="101"/>
    </row>
    <row r="166" spans="1:10" ht="11.25" customHeight="1" x14ac:dyDescent="0.25">
      <c r="A166" s="89" t="s">
        <v>36</v>
      </c>
      <c r="B166" s="89"/>
      <c r="C166" s="89"/>
      <c r="D166" s="89"/>
      <c r="E166" s="89"/>
      <c r="F166" s="89"/>
      <c r="G166" s="89"/>
      <c r="H166" s="89"/>
      <c r="I166" s="89"/>
    </row>
    <row r="167" spans="1:10" ht="15" customHeight="1" x14ac:dyDescent="0.25">
      <c r="A167" s="14">
        <v>1</v>
      </c>
      <c r="B167" s="90" t="s">
        <v>168</v>
      </c>
      <c r="C167" s="90"/>
      <c r="D167" s="90"/>
      <c r="E167" s="90"/>
      <c r="F167" s="90"/>
      <c r="G167" s="90"/>
      <c r="H167" s="23">
        <f>I167/$G$184</f>
        <v>0.4771750854930214</v>
      </c>
      <c r="I167" s="70">
        <f>I52</f>
        <v>3033.9140780000002</v>
      </c>
    </row>
    <row r="168" spans="1:10" ht="15" customHeight="1" x14ac:dyDescent="0.25">
      <c r="A168" s="14">
        <v>2</v>
      </c>
      <c r="B168" s="90" t="s">
        <v>169</v>
      </c>
      <c r="C168" s="90"/>
      <c r="D168" s="90"/>
      <c r="E168" s="90"/>
      <c r="F168" s="90"/>
      <c r="G168" s="90"/>
      <c r="H168" s="23">
        <f>I168/$G$184</f>
        <v>0.35862428718008066</v>
      </c>
      <c r="I168" s="70">
        <f>I63+I75+I82+I86</f>
        <v>2280.1594355333837</v>
      </c>
    </row>
    <row r="169" spans="1:10" ht="15" customHeight="1" x14ac:dyDescent="0.25">
      <c r="A169" s="14">
        <v>3</v>
      </c>
      <c r="B169" s="90" t="s">
        <v>170</v>
      </c>
      <c r="C169" s="90"/>
      <c r="D169" s="90"/>
      <c r="E169" s="90"/>
      <c r="F169" s="90"/>
      <c r="G169" s="90"/>
      <c r="H169" s="23">
        <f>I169/$G$184</f>
        <v>8.7700627326897942E-2</v>
      </c>
      <c r="I169" s="70">
        <f>I96</f>
        <v>557.60699999999997</v>
      </c>
    </row>
    <row r="170" spans="1:10" s="28" customFormat="1" ht="15" customHeight="1" x14ac:dyDescent="0.25">
      <c r="A170" s="88" t="s">
        <v>171</v>
      </c>
      <c r="B170" s="88"/>
      <c r="C170" s="88"/>
      <c r="D170" s="88"/>
      <c r="E170" s="88"/>
      <c r="F170" s="88"/>
      <c r="G170" s="88"/>
      <c r="H170" s="47">
        <f>H167+H168+H169</f>
        <v>0.9235000000000001</v>
      </c>
      <c r="I170" s="48">
        <f>SUM(I167:I169)</f>
        <v>5871.6805135333834</v>
      </c>
      <c r="J170" s="35"/>
    </row>
    <row r="171" spans="1:10" ht="4.5" customHeight="1" x14ac:dyDescent="0.25"/>
    <row r="172" spans="1:10" ht="11.25" customHeight="1" x14ac:dyDescent="0.25">
      <c r="A172" s="89" t="s">
        <v>111</v>
      </c>
      <c r="B172" s="89"/>
      <c r="C172" s="89"/>
      <c r="D172" s="89"/>
      <c r="E172" s="89"/>
      <c r="F172" s="89"/>
      <c r="G172" s="89"/>
      <c r="H172" s="89"/>
      <c r="I172" s="89"/>
    </row>
    <row r="173" spans="1:10" ht="15" customHeight="1" x14ac:dyDescent="0.25">
      <c r="A173" s="14">
        <v>1</v>
      </c>
      <c r="B173" s="90" t="s">
        <v>172</v>
      </c>
      <c r="C173" s="90"/>
      <c r="D173" s="90"/>
      <c r="E173" s="90"/>
      <c r="F173" s="90"/>
      <c r="G173" s="90"/>
      <c r="H173" s="23">
        <f>I173/$G$184</f>
        <v>0</v>
      </c>
      <c r="I173" s="24">
        <f>I120</f>
        <v>0</v>
      </c>
    </row>
    <row r="174" spans="1:10" ht="15" customHeight="1" x14ac:dyDescent="0.25">
      <c r="A174" s="14">
        <v>2</v>
      </c>
      <c r="B174" s="90" t="s">
        <v>173</v>
      </c>
      <c r="C174" s="90"/>
      <c r="D174" s="90"/>
      <c r="E174" s="90"/>
      <c r="F174" s="90"/>
      <c r="G174" s="90"/>
      <c r="H174" s="23">
        <f>I174/$G$184</f>
        <v>0</v>
      </c>
      <c r="I174" s="24">
        <f>I130</f>
        <v>0</v>
      </c>
    </row>
    <row r="175" spans="1:10" ht="15" customHeight="1" x14ac:dyDescent="0.25">
      <c r="A175" s="14">
        <v>3</v>
      </c>
      <c r="B175" s="90" t="s">
        <v>174</v>
      </c>
      <c r="C175" s="90"/>
      <c r="D175" s="90"/>
      <c r="E175" s="90"/>
      <c r="F175" s="90"/>
      <c r="G175" s="90"/>
      <c r="H175" s="23">
        <f>I175/$G$184</f>
        <v>0</v>
      </c>
      <c r="I175" s="24">
        <f>I134</f>
        <v>0</v>
      </c>
    </row>
    <row r="176" spans="1:10" ht="15" customHeight="1" x14ac:dyDescent="0.25">
      <c r="A176" s="88" t="s">
        <v>175</v>
      </c>
      <c r="B176" s="88"/>
      <c r="C176" s="88"/>
      <c r="D176" s="88"/>
      <c r="E176" s="88"/>
      <c r="F176" s="88"/>
      <c r="G176" s="88"/>
      <c r="H176" s="47">
        <f>H173+H174+H175</f>
        <v>0</v>
      </c>
      <c r="I176" s="48">
        <f>I173+I174+I175</f>
        <v>0</v>
      </c>
    </row>
    <row r="177" spans="1:11" ht="4.5" customHeight="1" x14ac:dyDescent="0.25"/>
    <row r="178" spans="1:11" ht="11.25" customHeight="1" x14ac:dyDescent="0.25">
      <c r="A178" s="89" t="s">
        <v>137</v>
      </c>
      <c r="B178" s="89"/>
      <c r="C178" s="89"/>
      <c r="D178" s="89"/>
      <c r="E178" s="89"/>
      <c r="F178" s="89"/>
      <c r="G178" s="89"/>
      <c r="H178" s="89"/>
      <c r="I178" s="89"/>
    </row>
    <row r="179" spans="1:11" ht="15" customHeight="1" x14ac:dyDescent="0.25">
      <c r="A179" s="14">
        <v>1</v>
      </c>
      <c r="B179" s="90" t="s">
        <v>176</v>
      </c>
      <c r="C179" s="90"/>
      <c r="D179" s="90"/>
      <c r="E179" s="90"/>
      <c r="F179" s="90"/>
      <c r="G179" s="90"/>
      <c r="H179" s="23">
        <f>I179/$G$184</f>
        <v>7.6499999999999999E-2</v>
      </c>
      <c r="I179" s="24">
        <f>I149</f>
        <v>486.39259262079463</v>
      </c>
    </row>
    <row r="180" spans="1:11" ht="15" customHeight="1" x14ac:dyDescent="0.25">
      <c r="A180" s="88" t="s">
        <v>177</v>
      </c>
      <c r="B180" s="88"/>
      <c r="C180" s="88"/>
      <c r="D180" s="88"/>
      <c r="E180" s="88"/>
      <c r="F180" s="88"/>
      <c r="G180" s="88"/>
      <c r="H180" s="47">
        <f>H179</f>
        <v>7.6499999999999999E-2</v>
      </c>
      <c r="I180" s="48">
        <f>I149</f>
        <v>486.39259262079463</v>
      </c>
      <c r="K180" s="41"/>
    </row>
    <row r="181" spans="1:11" ht="4.5" customHeight="1" x14ac:dyDescent="0.25"/>
    <row r="182" spans="1:11" ht="11.25" customHeight="1" x14ac:dyDescent="0.25">
      <c r="A182" s="91" t="s">
        <v>167</v>
      </c>
      <c r="B182" s="91"/>
      <c r="C182" s="91"/>
      <c r="D182" s="91"/>
      <c r="E182" s="91"/>
      <c r="F182" s="91"/>
      <c r="G182" s="91"/>
      <c r="H182" s="91"/>
      <c r="I182" s="91"/>
    </row>
    <row r="183" spans="1:11" ht="45" customHeight="1" x14ac:dyDescent="0.25">
      <c r="A183" s="92" t="s">
        <v>178</v>
      </c>
      <c r="B183" s="92"/>
      <c r="C183" s="92"/>
      <c r="D183" s="92"/>
      <c r="E183" s="92"/>
      <c r="F183" s="92"/>
      <c r="G183" s="71" t="s">
        <v>179</v>
      </c>
      <c r="H183" s="71" t="s">
        <v>180</v>
      </c>
      <c r="I183" s="71" t="s">
        <v>181</v>
      </c>
    </row>
    <row r="184" spans="1:11" ht="11.25" customHeight="1" x14ac:dyDescent="0.25">
      <c r="A184" s="93" t="str">
        <f>D5</f>
        <v>VIGILANTE</v>
      </c>
      <c r="B184" s="93"/>
      <c r="C184" s="93"/>
      <c r="D184" s="93"/>
      <c r="E184" s="93"/>
      <c r="F184" s="93"/>
      <c r="G184" s="72">
        <f>I170+I176+I180</f>
        <v>6358.0731061541783</v>
      </c>
      <c r="H184" s="71">
        <f>IF(D6="12x36",2,1)</f>
        <v>2</v>
      </c>
      <c r="I184" s="72">
        <f>G184*H184</f>
        <v>12716.146212308357</v>
      </c>
    </row>
    <row r="185" spans="1:11" x14ac:dyDescent="0.25">
      <c r="A185" s="93"/>
      <c r="B185" s="93"/>
      <c r="C185" s="93"/>
      <c r="D185" s="93"/>
      <c r="E185" s="93"/>
      <c r="F185" s="93"/>
      <c r="G185" s="71"/>
      <c r="H185" s="71"/>
      <c r="I185" s="72"/>
    </row>
    <row r="186" spans="1:11" s="28" customFormat="1" ht="12" customHeight="1" x14ac:dyDescent="0.25">
      <c r="A186" s="94" t="s">
        <v>182</v>
      </c>
      <c r="B186" s="94"/>
      <c r="C186" s="94"/>
      <c r="D186" s="94"/>
      <c r="E186" s="94"/>
      <c r="F186" s="94"/>
      <c r="G186" s="94"/>
      <c r="H186" s="94"/>
      <c r="I186" s="73">
        <f>I184</f>
        <v>12716.146212308357</v>
      </c>
      <c r="J186" s="35"/>
    </row>
  </sheetData>
  <mergeCells count="184"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49:G49"/>
    <mergeCell ref="B50:G50"/>
    <mergeCell ref="B51:G51"/>
    <mergeCell ref="A52:G52"/>
    <mergeCell ref="B54:G54"/>
    <mergeCell ref="B55:G55"/>
    <mergeCell ref="B56:G56"/>
    <mergeCell ref="B57:G57"/>
    <mergeCell ref="B58:G58"/>
    <mergeCell ref="B59:G59"/>
    <mergeCell ref="B60:G60"/>
    <mergeCell ref="B61:G61"/>
    <mergeCell ref="B62:G62"/>
    <mergeCell ref="A63:G63"/>
    <mergeCell ref="A64:I64"/>
    <mergeCell ref="A65:I65"/>
    <mergeCell ref="B66:G66"/>
    <mergeCell ref="B67:G67"/>
    <mergeCell ref="B68:G68"/>
    <mergeCell ref="B69:G69"/>
    <mergeCell ref="B70:G70"/>
    <mergeCell ref="B71:G71"/>
    <mergeCell ref="B72:G72"/>
    <mergeCell ref="B73:G73"/>
    <mergeCell ref="B74:G74"/>
    <mergeCell ref="A75:G75"/>
    <mergeCell ref="B76:I76"/>
    <mergeCell ref="B77:I77"/>
    <mergeCell ref="B78:G78"/>
    <mergeCell ref="B79:G79"/>
    <mergeCell ref="B80:G80"/>
    <mergeCell ref="B81:G81"/>
    <mergeCell ref="A82:G82"/>
    <mergeCell ref="B84:G84"/>
    <mergeCell ref="B85:G85"/>
    <mergeCell ref="A86:G86"/>
    <mergeCell ref="A88:G88"/>
    <mergeCell ref="B90:G90"/>
    <mergeCell ref="B91:G91"/>
    <mergeCell ref="B92:G92"/>
    <mergeCell ref="B93:G93"/>
    <mergeCell ref="B94:G94"/>
    <mergeCell ref="B95:G95"/>
    <mergeCell ref="A96:G96"/>
    <mergeCell ref="B97:G97"/>
    <mergeCell ref="A98:I98"/>
    <mergeCell ref="A99:B99"/>
    <mergeCell ref="A100:B100"/>
    <mergeCell ref="A102:I102"/>
    <mergeCell ref="A103:B103"/>
    <mergeCell ref="A104:B104"/>
    <mergeCell ref="A106:I106"/>
    <mergeCell ref="A107:B107"/>
    <mergeCell ref="A108:B108"/>
    <mergeCell ref="A110:G110"/>
    <mergeCell ref="A112:I112"/>
    <mergeCell ref="B113:G113"/>
    <mergeCell ref="B114:G114"/>
    <mergeCell ref="B115:G115"/>
    <mergeCell ref="B116:G116"/>
    <mergeCell ref="B117:G117"/>
    <mergeCell ref="B118:G118"/>
    <mergeCell ref="B119:G119"/>
    <mergeCell ref="A120:G120"/>
    <mergeCell ref="B121:I121"/>
    <mergeCell ref="A123:E123"/>
    <mergeCell ref="A124:B124"/>
    <mergeCell ref="A125:B125"/>
    <mergeCell ref="B126:I126"/>
    <mergeCell ref="B127:G127"/>
    <mergeCell ref="B128:G128"/>
    <mergeCell ref="B129:G129"/>
    <mergeCell ref="A130:G130"/>
    <mergeCell ref="B132:G132"/>
    <mergeCell ref="B133:G133"/>
    <mergeCell ref="A134:G134"/>
    <mergeCell ref="A136:E136"/>
    <mergeCell ref="A137:B137"/>
    <mergeCell ref="A138:B138"/>
    <mergeCell ref="A140:G140"/>
    <mergeCell ref="A142:I142"/>
    <mergeCell ref="B143:G143"/>
    <mergeCell ref="B144:G144"/>
    <mergeCell ref="B145:G145"/>
    <mergeCell ref="B146:G146"/>
    <mergeCell ref="B147:G147"/>
    <mergeCell ref="B148:G148"/>
    <mergeCell ref="A149:G149"/>
    <mergeCell ref="B150:I150"/>
    <mergeCell ref="B151:I151"/>
    <mergeCell ref="A152:I152"/>
    <mergeCell ref="A153:B153"/>
    <mergeCell ref="D153:E153"/>
    <mergeCell ref="H153:I153"/>
    <mergeCell ref="A154:B154"/>
    <mergeCell ref="D154:E154"/>
    <mergeCell ref="H154:I154"/>
    <mergeCell ref="A155:B155"/>
    <mergeCell ref="H155:I155"/>
    <mergeCell ref="A156:B156"/>
    <mergeCell ref="H156:I156"/>
    <mergeCell ref="A157:B157"/>
    <mergeCell ref="H157:I157"/>
    <mergeCell ref="A158:A159"/>
    <mergeCell ref="B158:E159"/>
    <mergeCell ref="H158:I158"/>
    <mergeCell ref="H159:I159"/>
    <mergeCell ref="A160:I160"/>
    <mergeCell ref="B161:I161"/>
    <mergeCell ref="B162:I162"/>
    <mergeCell ref="A163:G163"/>
    <mergeCell ref="A165:I165"/>
    <mergeCell ref="A166:I166"/>
    <mergeCell ref="B167:G167"/>
    <mergeCell ref="B168:G168"/>
    <mergeCell ref="B169:G169"/>
    <mergeCell ref="A170:G170"/>
    <mergeCell ref="A172:I172"/>
    <mergeCell ref="B173:G173"/>
    <mergeCell ref="B174:G174"/>
    <mergeCell ref="B175:G175"/>
    <mergeCell ref="A176:G176"/>
    <mergeCell ref="A178:I178"/>
    <mergeCell ref="B179:G179"/>
    <mergeCell ref="A180:G180"/>
    <mergeCell ref="A182:I182"/>
    <mergeCell ref="A183:F183"/>
    <mergeCell ref="A184:F184"/>
    <mergeCell ref="A185:F185"/>
    <mergeCell ref="A186:H18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G12"/>
  <sheetViews>
    <sheetView tabSelected="1" view="pageBreakPreview" zoomScaleNormal="100" workbookViewId="0">
      <selection activeCell="F4" sqref="F4"/>
    </sheetView>
  </sheetViews>
  <sheetFormatPr defaultColWidth="8.42578125" defaultRowHeight="15" x14ac:dyDescent="0.25"/>
  <cols>
    <col min="1" max="1" width="19.85546875" style="77" customWidth="1"/>
    <col min="2" max="2" width="11.140625" style="77" customWidth="1"/>
    <col min="3" max="3" width="13.28515625" style="77" customWidth="1"/>
    <col min="4" max="4" width="11.140625" style="77" customWidth="1"/>
    <col min="5" max="5" width="17.28515625" style="77" customWidth="1"/>
    <col min="6" max="6" width="7.140625" style="77" customWidth="1"/>
    <col min="7" max="7" width="14" style="77" customWidth="1"/>
    <col min="8" max="16384" width="8.42578125" style="77"/>
  </cols>
  <sheetData>
    <row r="2" spans="1:7" x14ac:dyDescent="0.25">
      <c r="A2" s="146" t="s">
        <v>194</v>
      </c>
      <c r="B2" s="146"/>
      <c r="C2" s="146"/>
      <c r="D2" s="146"/>
      <c r="E2" s="146"/>
      <c r="F2" s="146"/>
      <c r="G2" s="146"/>
    </row>
    <row r="3" spans="1:7" ht="29.25" customHeight="1" x14ac:dyDescent="0.25">
      <c r="A3" s="78" t="s">
        <v>195</v>
      </c>
      <c r="B3" s="78" t="s">
        <v>196</v>
      </c>
      <c r="C3" s="78" t="s">
        <v>197</v>
      </c>
      <c r="D3" s="78" t="s">
        <v>198</v>
      </c>
      <c r="E3" s="79" t="s">
        <v>99</v>
      </c>
      <c r="F3" s="79" t="s">
        <v>199</v>
      </c>
      <c r="G3" s="79" t="s">
        <v>200</v>
      </c>
    </row>
    <row r="4" spans="1:7" x14ac:dyDescent="0.25">
      <c r="A4" s="80" t="s">
        <v>212</v>
      </c>
      <c r="B4" s="80" t="s">
        <v>213</v>
      </c>
      <c r="C4" s="81" t="s">
        <v>215</v>
      </c>
      <c r="D4" s="81" t="s">
        <v>214</v>
      </c>
      <c r="E4" s="82">
        <f>'Cargo diurno'!I178</f>
        <v>11093.849438505164</v>
      </c>
      <c r="F4" s="83">
        <v>2</v>
      </c>
      <c r="G4" s="82">
        <f t="shared" ref="G4:G5" si="0">F4*E4</f>
        <v>22187.698877010327</v>
      </c>
    </row>
    <row r="5" spans="1:7" x14ac:dyDescent="0.25">
      <c r="A5" s="80" t="s">
        <v>212</v>
      </c>
      <c r="B5" s="80" t="s">
        <v>213</v>
      </c>
      <c r="C5" s="81" t="s">
        <v>216</v>
      </c>
      <c r="D5" s="81" t="s">
        <v>214</v>
      </c>
      <c r="E5" s="82">
        <f>'Cargo noturno'!I186</f>
        <v>12716.146212308357</v>
      </c>
      <c r="F5" s="83">
        <v>1</v>
      </c>
      <c r="G5" s="82">
        <f t="shared" si="0"/>
        <v>12716.146212308357</v>
      </c>
    </row>
    <row r="6" spans="1:7" x14ac:dyDescent="0.25">
      <c r="A6" s="147" t="s">
        <v>162</v>
      </c>
      <c r="B6" s="147"/>
      <c r="C6" s="147"/>
      <c r="D6" s="147"/>
      <c r="E6" s="147"/>
      <c r="F6" s="84">
        <f>SUM(F4:F5)</f>
        <v>3</v>
      </c>
      <c r="G6" s="85">
        <f>SUM(G4:G5)</f>
        <v>34903.845089318682</v>
      </c>
    </row>
    <row r="9" spans="1:7" x14ac:dyDescent="0.25">
      <c r="G9" s="86"/>
    </row>
    <row r="12" spans="1:7" x14ac:dyDescent="0.25">
      <c r="A12" s="87"/>
      <c r="B12" s="87"/>
      <c r="C12" s="87"/>
      <c r="D12" s="87"/>
    </row>
  </sheetData>
  <mergeCells count="2">
    <mergeCell ref="A2:G2"/>
    <mergeCell ref="A6:E6"/>
  </mergeCells>
  <phoneticPr fontId="32" type="noConversion"/>
  <pageMargins left="0.51180555555555596" right="0.51180555555555596" top="0.78749999999999998" bottom="0.78749999999999998" header="0.511811023622047" footer="0.511811023622047"/>
  <pageSetup paperSize="9" scale="9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Cargo diurno</vt:lpstr>
      <vt:lpstr>Cargo noturno</vt:lpstr>
      <vt:lpstr>Resumo</vt:lpstr>
      <vt:lpstr>'Cargo diurno'!Area_de_impressao</vt:lpstr>
      <vt:lpstr>'Cargo noturno'!Area_de_impressao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Lucas do Nascimento Dutra</cp:lastModifiedBy>
  <cp:revision>1</cp:revision>
  <cp:lastPrinted>2021-01-28T12:18:46Z</cp:lastPrinted>
  <dcterms:created xsi:type="dcterms:W3CDTF">2019-04-12T20:03:09Z</dcterms:created>
  <dcterms:modified xsi:type="dcterms:W3CDTF">2025-02-04T12:02:41Z</dcterms:modified>
  <dc:language>pt-BR</dc:language>
</cp:coreProperties>
</file>