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U:\GT-PREGOEIROS\PASTA NOME PREGOEIROS\CLAUDIA\CLAUDIA\2026\PE 9309 2026\"/>
    </mc:Choice>
  </mc:AlternateContent>
  <xr:revisionPtr revIDLastSave="0" documentId="8_{B046235D-4786-4764-9530-D2099B0D1DBA}" xr6:coauthVersionLast="47" xr6:coauthVersionMax="47" xr10:uidLastSave="{00000000-0000-0000-0000-000000000000}"/>
  <bookViews>
    <workbookView xWindow="-120" yWindow="-120" windowWidth="29040" windowHeight="15720" tabRatio="500" xr2:uid="{00000000-000D-0000-FFFF-FFFF00000000}"/>
  </bookViews>
  <sheets>
    <sheet name="Vigilante Diurno Armado" sheetId="1" r:id="rId1"/>
    <sheet name="Vigilante Noturno Armado" sheetId="2" r:id="rId2"/>
    <sheet name="Supervisor Diurno Armado" sheetId="3" r:id="rId3"/>
    <sheet name="Supervisor Noturno Armado" sheetId="4" r:id="rId4"/>
    <sheet name="Materiais Equipamentos" sheetId="5" r:id="rId5"/>
    <sheet name="Resumo" sheetId="6" r:id="rId6"/>
  </sheets>
  <externalReferences>
    <externalReference r:id="rId7"/>
    <externalReference r:id="rId8"/>
  </externalReferences>
  <definedNames>
    <definedName name="_xlnm.Print_Area" localSheetId="2">'Supervisor Diurno Armado'!$A$1:$I$196</definedName>
    <definedName name="_xlnm.Print_Area" localSheetId="3">'Supervisor Noturno Armado'!$A$1:$I$196</definedName>
    <definedName name="_xlnm.Print_Area" localSheetId="0">'Vigilante Diurno Armado'!$A$1:$I$196</definedName>
    <definedName name="_xlnm.Print_Area" localSheetId="1">'Vigilante Noturno Armado'!$A$1:$I$196</definedName>
    <definedName name="Auxiliar" localSheetId="4">#REF!</definedName>
    <definedName name="Auxiliar" localSheetId="5">#REF!</definedName>
    <definedName name="Auxiliar" localSheetId="2">#REF!</definedName>
    <definedName name="Auxiliar" localSheetId="3">#REF!</definedName>
    <definedName name="Auxiliar" localSheetId="1">#REF!</definedName>
    <definedName name="Auxiliar">#REF!</definedName>
    <definedName name="CUSTO_VALE_TRANSPORTE" localSheetId="4">#REF!</definedName>
    <definedName name="CUSTO_VALE_TRANSPORTE" localSheetId="2">#REF!</definedName>
    <definedName name="CUSTO_VALE_TRANSPORTE" localSheetId="3">#REF!</definedName>
    <definedName name="CUSTO_VALE_TRANSPORTE" localSheetId="1">#REF!</definedName>
    <definedName name="CUSTO_VALE_TRANSPORTE">#REF!</definedName>
    <definedName name="ecwece4c" localSheetId="4">#REF!</definedName>
    <definedName name="ecwece4c" localSheetId="2">#REF!</definedName>
    <definedName name="ecwece4c" localSheetId="3">#REF!</definedName>
    <definedName name="ecwece4c" localSheetId="1">#REF!</definedName>
    <definedName name="ecwece4c">#REF!</definedName>
    <definedName name="MOMB4">'[1]SERVENTE MANUTENCAO'!$I$144</definedName>
    <definedName name="MONA1" localSheetId="4">#REF!</definedName>
    <definedName name="MONA1" localSheetId="5">#REF!</definedName>
    <definedName name="MONA1" localSheetId="2">#REF!</definedName>
    <definedName name="MONA1" localSheetId="3">#REF!</definedName>
    <definedName name="MONA1" localSheetId="1">#REF!</definedName>
    <definedName name="MONA1">#REF!</definedName>
    <definedName name="MONA2" localSheetId="4">#REF!</definedName>
    <definedName name="MONA2" localSheetId="2">#REF!</definedName>
    <definedName name="MONA2" localSheetId="3">#REF!</definedName>
    <definedName name="MONA2" localSheetId="1">#REF!</definedName>
    <definedName name="MONA2">#REF!</definedName>
    <definedName name="MONA3">[2]HIDRAULICO!$I$138</definedName>
    <definedName name="MONA4">'[2]SERVENTE (AUX PRODUCAO)'!$I$138</definedName>
    <definedName name="MONA5" localSheetId="4">#REF!</definedName>
    <definedName name="MONA5" localSheetId="5">#REF!</definedName>
    <definedName name="MONA5" localSheetId="2">#REF!</definedName>
    <definedName name="MONA5" localSheetId="3">#REF!</definedName>
    <definedName name="MONA5" localSheetId="1">#REF!</definedName>
    <definedName name="MONA5">#REF!</definedName>
    <definedName name="MONA6" localSheetId="4">#REF!</definedName>
    <definedName name="MONA6" localSheetId="2">#REF!</definedName>
    <definedName name="MONA6" localSheetId="3">#REF!</definedName>
    <definedName name="MONA6" localSheetId="1">#REF!</definedName>
    <definedName name="MONA6">#REF!</definedName>
    <definedName name="MONA7" localSheetId="4">#REF!</definedName>
    <definedName name="MONA7" localSheetId="2">#REF!</definedName>
    <definedName name="MONA7" localSheetId="3">#REF!</definedName>
    <definedName name="MONA7" localSheetId="1">#REF!</definedName>
    <definedName name="MONA7">#REF!</definedName>
    <definedName name="MONA8">[2]MECANICO_REFRIGERACAO!$I$138</definedName>
    <definedName name="MONB1" localSheetId="4">#REF!</definedName>
    <definedName name="MONB1" localSheetId="5">#REF!</definedName>
    <definedName name="MONB1" localSheetId="2">#REF!</definedName>
    <definedName name="MONB1" localSheetId="3">#REF!</definedName>
    <definedName name="MONB1" localSheetId="1">#REF!</definedName>
    <definedName name="MONB1">#REF!</definedName>
    <definedName name="MONB2" localSheetId="4">#REF!</definedName>
    <definedName name="MONB2" localSheetId="2">#REF!</definedName>
    <definedName name="MONB2" localSheetId="3">#REF!</definedName>
    <definedName name="MONB2" localSheetId="1">#REF!</definedName>
    <definedName name="MONB2">#REF!</definedName>
    <definedName name="MONB3">[2]HIDRAULICO!$I$144</definedName>
    <definedName name="MONB4">'[2]SERVENTE (AUX PRODUCAO)'!$I$144</definedName>
    <definedName name="MONB5" localSheetId="4">#REF!</definedName>
    <definedName name="MONB5" localSheetId="5">#REF!</definedName>
    <definedName name="MONB5" localSheetId="2">#REF!</definedName>
    <definedName name="MONB5" localSheetId="3">#REF!</definedName>
    <definedName name="MONB5" localSheetId="1">#REF!</definedName>
    <definedName name="MONB5">#REF!</definedName>
    <definedName name="MONB6" localSheetId="4">#REF!</definedName>
    <definedName name="MONB6" localSheetId="2">#REF!</definedName>
    <definedName name="MONB6" localSheetId="3">#REF!</definedName>
    <definedName name="MONB6" localSheetId="1">#REF!</definedName>
    <definedName name="MONB6">#REF!</definedName>
    <definedName name="MONB7" localSheetId="4">#REF!</definedName>
    <definedName name="MONB7" localSheetId="2">#REF!</definedName>
    <definedName name="MONB7" localSheetId="3">#REF!</definedName>
    <definedName name="MONB7" localSheetId="1">#REF!</definedName>
    <definedName name="MONB7">#REF!</definedName>
    <definedName name="MONB8">[2]MECANICO_REFRIGERACAO!$I$144</definedName>
    <definedName name="MONC1" localSheetId="4">#REF!</definedName>
    <definedName name="MONC1" localSheetId="5">#REF!</definedName>
    <definedName name="MONC1" localSheetId="2">#REF!</definedName>
    <definedName name="MONC1" localSheetId="3">#REF!</definedName>
    <definedName name="MONC1" localSheetId="1">#REF!</definedName>
    <definedName name="MONC1">#REF!</definedName>
    <definedName name="MONC2" localSheetId="4">#REF!</definedName>
    <definedName name="MONC2" localSheetId="2">#REF!</definedName>
    <definedName name="MONC2" localSheetId="3">#REF!</definedName>
    <definedName name="MONC2" localSheetId="1">#REF!</definedName>
    <definedName name="MONC2">#REF!</definedName>
    <definedName name="MONC3">[2]HIDRAULICO!$I$148</definedName>
    <definedName name="MONC4">'[2]SERVENTE (AUX PRODUCAO)'!$I$148</definedName>
    <definedName name="MONC5" localSheetId="4">#REF!</definedName>
    <definedName name="MONC5" localSheetId="5">#REF!</definedName>
    <definedName name="MONC5" localSheetId="2">#REF!</definedName>
    <definedName name="MONC5" localSheetId="3">#REF!</definedName>
    <definedName name="MONC5" localSheetId="1">#REF!</definedName>
    <definedName name="MONC5">#REF!</definedName>
    <definedName name="MONC6" localSheetId="4">#REF!</definedName>
    <definedName name="MONC6" localSheetId="2">#REF!</definedName>
    <definedName name="MONC6" localSheetId="3">#REF!</definedName>
    <definedName name="MONC6" localSheetId="1">#REF!</definedName>
    <definedName name="MONC6">#REF!</definedName>
    <definedName name="MONC7" localSheetId="4">#REF!</definedName>
    <definedName name="MONC7" localSheetId="2">#REF!</definedName>
    <definedName name="MONC7" localSheetId="3">#REF!</definedName>
    <definedName name="MONC7" localSheetId="1">#REF!</definedName>
    <definedName name="MONC7">#REF!</definedName>
    <definedName name="MONC8">[2]MECANICO_REFRIGERACAO!$I$148</definedName>
    <definedName name="mont" localSheetId="4">#REF!</definedName>
    <definedName name="mont" localSheetId="5">#REF!</definedName>
    <definedName name="mont" localSheetId="2">#REF!</definedName>
    <definedName name="mont" localSheetId="3">#REF!</definedName>
    <definedName name="mont" localSheetId="1">#REF!</definedName>
    <definedName name="mont">#REF!</definedName>
    <definedName name="MONTANTEA" localSheetId="4">#REF!</definedName>
    <definedName name="MONTANTEA" localSheetId="2">#REF!</definedName>
    <definedName name="MONTANTEA" localSheetId="3">#REF!</definedName>
    <definedName name="MONTANTEA" localSheetId="1">#REF!</definedName>
    <definedName name="MONTANTEA">#REF!</definedName>
    <definedName name="MONTANTEA1" localSheetId="4">#REF!</definedName>
    <definedName name="MONTANTEA1" localSheetId="2">#REF!</definedName>
    <definedName name="MONTANTEA1" localSheetId="3">#REF!</definedName>
    <definedName name="MONTANTEA1" localSheetId="1">#REF!</definedName>
    <definedName name="MONTANTEA1">#REF!</definedName>
    <definedName name="MONTANTEA2" localSheetId="4">#REF!</definedName>
    <definedName name="MONTANTEA2" localSheetId="2">#REF!</definedName>
    <definedName name="MONTANTEA2" localSheetId="3">#REF!</definedName>
    <definedName name="MONTANTEA2" localSheetId="1">#REF!</definedName>
    <definedName name="MONTANTEA2">#REF!</definedName>
    <definedName name="MONTANTEB" localSheetId="4">#REF!</definedName>
    <definedName name="MONTANTEB" localSheetId="2">#REF!</definedName>
    <definedName name="MONTANTEB" localSheetId="3">#REF!</definedName>
    <definedName name="MONTANTEB" localSheetId="1">#REF!</definedName>
    <definedName name="MONTANTEB">#REF!</definedName>
    <definedName name="MONTANTEB1" localSheetId="4">#REF!</definedName>
    <definedName name="MONTANTEB1" localSheetId="2">#REF!</definedName>
    <definedName name="MONTANTEB1" localSheetId="3">#REF!</definedName>
    <definedName name="MONTANTEB1" localSheetId="1">#REF!</definedName>
    <definedName name="MONTANTEB1">#REF!</definedName>
    <definedName name="MONTANTEB2" localSheetId="4">#REF!</definedName>
    <definedName name="MONTANTEB2" localSheetId="2">#REF!</definedName>
    <definedName name="MONTANTEB2" localSheetId="3">#REF!</definedName>
    <definedName name="MONTANTEB2" localSheetId="1">#REF!</definedName>
    <definedName name="MONTANTEB2">#REF!</definedName>
    <definedName name="MONTANTEC" localSheetId="4">#REF!</definedName>
    <definedName name="MONTANTEC" localSheetId="2">#REF!</definedName>
    <definedName name="MONTANTEC" localSheetId="3">#REF!</definedName>
    <definedName name="MONTANTEC" localSheetId="1">#REF!</definedName>
    <definedName name="MONTANTEC">#REF!</definedName>
    <definedName name="MONTANTEC1" localSheetId="4">#REF!</definedName>
    <definedName name="MONTANTEC1" localSheetId="2">#REF!</definedName>
    <definedName name="MONTANTEC1" localSheetId="3">#REF!</definedName>
    <definedName name="MONTANTEC1" localSheetId="1">#REF!</definedName>
    <definedName name="MONTANTEC1">#REF!</definedName>
    <definedName name="MONTANTEC2" localSheetId="4">#REF!</definedName>
    <definedName name="MONTANTEC2" localSheetId="2">#REF!</definedName>
    <definedName name="MONTANTEC2" localSheetId="3">#REF!</definedName>
    <definedName name="MONTANTEC2" localSheetId="1">#REF!</definedName>
    <definedName name="MONTANTEC2">#REF!</definedName>
    <definedName name="ok" localSheetId="4">#REF!</definedName>
    <definedName name="ok" localSheetId="2">#REF!</definedName>
    <definedName name="ok" localSheetId="3">#REF!</definedName>
    <definedName name="ok" localSheetId="1">#REF!</definedName>
    <definedName name="ok">#REF!</definedName>
    <definedName name="REMUNERACAO1" localSheetId="4">#REF!</definedName>
    <definedName name="REMUNERACAO1" localSheetId="2">#REF!</definedName>
    <definedName name="REMUNERACAO1" localSheetId="3">#REF!</definedName>
    <definedName name="REMUNERACAO1" localSheetId="1">#REF!</definedName>
    <definedName name="REMUNERACAO1">#REF!</definedName>
    <definedName name="REMUNERACAO2" localSheetId="4">#REF!</definedName>
    <definedName name="REMUNERACAO2" localSheetId="2">#REF!</definedName>
    <definedName name="REMUNERACAO2" localSheetId="3">#REF!</definedName>
    <definedName name="REMUNERACAO2" localSheetId="1">#REF!</definedName>
    <definedName name="REMUNERACAO2">#REF!</definedName>
    <definedName name="REMUNERACAO3">[2]HIDRAULICO!$I$30</definedName>
    <definedName name="REMUNERACAO4">'[2]SERVENTE (AUX PRODUCAO)'!$I$30</definedName>
    <definedName name="REMUNERACAO5" localSheetId="4">#REF!</definedName>
    <definedName name="REMUNERACAO5" localSheetId="5">#REF!</definedName>
    <definedName name="REMUNERACAO5" localSheetId="2">#REF!</definedName>
    <definedName name="REMUNERACAO5" localSheetId="3">#REF!</definedName>
    <definedName name="REMUNERACAO5" localSheetId="1">#REF!</definedName>
    <definedName name="REMUNERACAO5">#REF!</definedName>
    <definedName name="REMUNERACAO6" localSheetId="4">#REF!</definedName>
    <definedName name="REMUNERACAO6" localSheetId="2">#REF!</definedName>
    <definedName name="REMUNERACAO6" localSheetId="3">#REF!</definedName>
    <definedName name="REMUNERACAO6" localSheetId="1">#REF!</definedName>
    <definedName name="REMUNERACAO6">#REF!</definedName>
    <definedName name="REMUNERACAO7" localSheetId="4">#REF!</definedName>
    <definedName name="REMUNERACAO7" localSheetId="2">#REF!</definedName>
    <definedName name="REMUNERACAO7" localSheetId="3">#REF!</definedName>
    <definedName name="REMUNERACAO7" localSheetId="1">#REF!</definedName>
    <definedName name="REMUNERACAO7">#REF!</definedName>
    <definedName name="REMUNERACAO8">[2]MECANICO_REFRIGERACAO!$I$30</definedName>
    <definedName name="TOTAL_MONT_A" localSheetId="4">#REF!</definedName>
    <definedName name="TOTAL_MONT_A" localSheetId="5">#REF!</definedName>
    <definedName name="TOTAL_MONT_A" localSheetId="2">#REF!</definedName>
    <definedName name="TOTAL_MONT_A" localSheetId="3">#REF!</definedName>
    <definedName name="TOTAL_MONT_A" localSheetId="1">#REF!</definedName>
    <definedName name="TOTAL_MONT_A">#REF!</definedName>
    <definedName name="TOTAL1" localSheetId="4">#REF!</definedName>
    <definedName name="TOTAL1" localSheetId="2">#REF!</definedName>
    <definedName name="TOTAL1" localSheetId="3">#REF!</definedName>
    <definedName name="TOTAL1" localSheetId="1">#REF!</definedName>
    <definedName name="TOTAL1">#REF!</definedName>
    <definedName name="TOTAL2" localSheetId="4">#REF!</definedName>
    <definedName name="TOTAL2" localSheetId="2">#REF!</definedName>
    <definedName name="TOTAL2" localSheetId="3">#REF!</definedName>
    <definedName name="TOTAL2" localSheetId="1">#REF!</definedName>
    <definedName name="TOTAL2">#REF!</definedName>
    <definedName name="VALE_TRANSPORTE" localSheetId="4">#REF!</definedName>
    <definedName name="VALE_TRANSPORTE" localSheetId="2">#REF!</definedName>
    <definedName name="VALE_TRANSPORTE" localSheetId="3">#REF!</definedName>
    <definedName name="VALE_TRANSPORTE" localSheetId="1">#REF!</definedName>
    <definedName name="VALE_TRANSPORTE">#REF!</definedName>
  </definedNames>
  <calcPr calcId="181029" iterateDelta="1E-4"/>
  <extLst>
    <ext xmlns:x15="http://schemas.microsoft.com/office/spreadsheetml/2010/11/main" uri="{140A7094-0E35-4892-8432-C4D2E57EDEB5}">
      <x15:workbookPr chartTrackingRefBase="1"/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I53" i="4" l="1"/>
  <c r="D35" i="5"/>
  <c r="H196" i="4"/>
  <c r="E163" i="4"/>
  <c r="H162" i="4"/>
  <c r="H165" i="4" s="1"/>
  <c r="G162" i="4"/>
  <c r="G165" i="4" s="1"/>
  <c r="D162" i="4"/>
  <c r="E162" i="4" s="1"/>
  <c r="D161" i="4"/>
  <c r="E161" i="4" s="1"/>
  <c r="I136" i="4"/>
  <c r="I180" i="4" s="1"/>
  <c r="F129" i="4"/>
  <c r="I120" i="4"/>
  <c r="G113" i="4"/>
  <c r="C113" i="4"/>
  <c r="A113" i="4"/>
  <c r="E113" i="4" s="1"/>
  <c r="H112" i="4"/>
  <c r="G109" i="4"/>
  <c r="C109" i="4"/>
  <c r="A109" i="4"/>
  <c r="E109" i="4" s="1"/>
  <c r="G105" i="4"/>
  <c r="A105" i="4"/>
  <c r="I100" i="4"/>
  <c r="I97" i="4"/>
  <c r="H85" i="4"/>
  <c r="H78" i="4"/>
  <c r="H66" i="4"/>
  <c r="I54" i="4"/>
  <c r="I50" i="4"/>
  <c r="I47" i="4"/>
  <c r="I45" i="4"/>
  <c r="I44" i="4"/>
  <c r="I42" i="4"/>
  <c r="I41" i="4"/>
  <c r="I40" i="4"/>
  <c r="A38" i="4"/>
  <c r="A39" i="4" s="1"/>
  <c r="A40" i="4" s="1"/>
  <c r="A41" i="4" s="1"/>
  <c r="A42" i="4" s="1"/>
  <c r="A43" i="4" s="1"/>
  <c r="A44" i="4" s="1"/>
  <c r="A45" i="4" s="1"/>
  <c r="A46" i="4" s="1"/>
  <c r="A47" i="4" s="1"/>
  <c r="A48" i="4" s="1"/>
  <c r="A49" i="4" s="1"/>
  <c r="A50" i="4" s="1"/>
  <c r="A51" i="4" s="1"/>
  <c r="A52" i="4" s="1"/>
  <c r="A53" i="4" s="1"/>
  <c r="A54" i="4" s="1"/>
  <c r="I37" i="4"/>
  <c r="I33" i="4"/>
  <c r="I32" i="4"/>
  <c r="I46" i="4" s="1"/>
  <c r="I31" i="4"/>
  <c r="I30" i="4"/>
  <c r="I49" i="4" s="1"/>
  <c r="I15" i="4"/>
  <c r="C105" i="4" s="1"/>
  <c r="G11" i="4"/>
  <c r="A6" i="4"/>
  <c r="I5" i="4"/>
  <c r="G5" i="4"/>
  <c r="H196" i="3"/>
  <c r="E163" i="3"/>
  <c r="H162" i="3"/>
  <c r="H165" i="3" s="1"/>
  <c r="G162" i="3"/>
  <c r="G165" i="3" s="1"/>
  <c r="D162" i="3"/>
  <c r="E162" i="3" s="1"/>
  <c r="D161" i="3"/>
  <c r="E161" i="3" s="1"/>
  <c r="I136" i="3"/>
  <c r="I180" i="3" s="1"/>
  <c r="F129" i="3"/>
  <c r="I120" i="3"/>
  <c r="G113" i="3"/>
  <c r="C113" i="3"/>
  <c r="A113" i="3"/>
  <c r="E113" i="3" s="1"/>
  <c r="H112" i="3"/>
  <c r="G109" i="3"/>
  <c r="C109" i="3"/>
  <c r="A109" i="3"/>
  <c r="E109" i="3" s="1"/>
  <c r="G105" i="3"/>
  <c r="A105" i="3"/>
  <c r="I100" i="3"/>
  <c r="I97" i="3"/>
  <c r="H85" i="3"/>
  <c r="H78" i="3"/>
  <c r="H66" i="3"/>
  <c r="B47" i="3"/>
  <c r="I45" i="3"/>
  <c r="I46" i="3" s="1"/>
  <c r="I44" i="3"/>
  <c r="I43" i="3"/>
  <c r="I41" i="3"/>
  <c r="I40" i="3"/>
  <c r="I39" i="3"/>
  <c r="A38" i="3"/>
  <c r="A39" i="3" s="1"/>
  <c r="A40" i="3" s="1"/>
  <c r="A41" i="3" s="1"/>
  <c r="A42" i="3" s="1"/>
  <c r="A43" i="3" s="1"/>
  <c r="A44" i="3" s="1"/>
  <c r="A45" i="3" s="1"/>
  <c r="A46" i="3" s="1"/>
  <c r="A47" i="3" s="1"/>
  <c r="I37" i="3"/>
  <c r="I15" i="3"/>
  <c r="C105" i="3" s="1"/>
  <c r="A6" i="3"/>
  <c r="I5" i="3"/>
  <c r="G5" i="3"/>
  <c r="H196" i="2"/>
  <c r="E163" i="2"/>
  <c r="H162" i="2"/>
  <c r="H165" i="2" s="1"/>
  <c r="G162" i="2"/>
  <c r="G165" i="2" s="1"/>
  <c r="D162" i="2"/>
  <c r="E162" i="2" s="1"/>
  <c r="D161" i="2"/>
  <c r="E161" i="2" s="1"/>
  <c r="I136" i="2"/>
  <c r="I180" i="2" s="1"/>
  <c r="F129" i="2"/>
  <c r="I120" i="2"/>
  <c r="G113" i="2"/>
  <c r="C113" i="2"/>
  <c r="A113" i="2"/>
  <c r="E113" i="2" s="1"/>
  <c r="H112" i="2"/>
  <c r="G109" i="2"/>
  <c r="C109" i="2"/>
  <c r="A109" i="2"/>
  <c r="E109" i="2" s="1"/>
  <c r="G105" i="2"/>
  <c r="A105" i="2"/>
  <c r="I100" i="2"/>
  <c r="I97" i="2"/>
  <c r="H85" i="2"/>
  <c r="H78" i="2"/>
  <c r="H66" i="2"/>
  <c r="I53" i="2"/>
  <c r="I54" i="2" s="1"/>
  <c r="I50" i="2"/>
  <c r="I47" i="2"/>
  <c r="I45" i="2"/>
  <c r="I44" i="2"/>
  <c r="I43" i="2"/>
  <c r="I42" i="2"/>
  <c r="I41" i="2"/>
  <c r="I40" i="2"/>
  <c r="A38" i="2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I37" i="2"/>
  <c r="I33" i="2"/>
  <c r="I32" i="2"/>
  <c r="I46" i="2" s="1"/>
  <c r="I31" i="2"/>
  <c r="I30" i="2"/>
  <c r="I49" i="2" s="1"/>
  <c r="I15" i="2"/>
  <c r="C105" i="2" s="1"/>
  <c r="G11" i="2"/>
  <c r="A6" i="2"/>
  <c r="I5" i="2"/>
  <c r="G5" i="2"/>
  <c r="H196" i="1"/>
  <c r="E163" i="1"/>
  <c r="H162" i="1"/>
  <c r="H165" i="1" s="1"/>
  <c r="G162" i="1"/>
  <c r="G165" i="1" s="1"/>
  <c r="D162" i="1"/>
  <c r="E162" i="1" s="1"/>
  <c r="D161" i="1"/>
  <c r="E161" i="1" s="1"/>
  <c r="I136" i="1"/>
  <c r="I180" i="1" s="1"/>
  <c r="F129" i="1"/>
  <c r="I120" i="1"/>
  <c r="G113" i="1"/>
  <c r="C113" i="1"/>
  <c r="A113" i="1"/>
  <c r="E113" i="1" s="1"/>
  <c r="H112" i="1"/>
  <c r="G109" i="1"/>
  <c r="C109" i="1"/>
  <c r="A109" i="1"/>
  <c r="E109" i="1" s="1"/>
  <c r="G105" i="1"/>
  <c r="A105" i="1"/>
  <c r="I100" i="1"/>
  <c r="I97" i="1"/>
  <c r="H85" i="1"/>
  <c r="H78" i="1"/>
  <c r="H66" i="1"/>
  <c r="B47" i="1"/>
  <c r="I45" i="1"/>
  <c r="I46" i="1" s="1"/>
  <c r="I44" i="1"/>
  <c r="I43" i="1"/>
  <c r="I42" i="1"/>
  <c r="I41" i="1"/>
  <c r="I40" i="1"/>
  <c r="I39" i="1"/>
  <c r="A38" i="1"/>
  <c r="A39" i="1" s="1"/>
  <c r="A40" i="1" s="1"/>
  <c r="A41" i="1" s="1"/>
  <c r="A42" i="1" s="1"/>
  <c r="A43" i="1" s="1"/>
  <c r="A44" i="1" s="1"/>
  <c r="A45" i="1" s="1"/>
  <c r="A46" i="1" s="1"/>
  <c r="A47" i="1" s="1"/>
  <c r="I37" i="1"/>
  <c r="I15" i="1"/>
  <c r="C105" i="1" s="1"/>
  <c r="A6" i="1"/>
  <c r="I5" i="1"/>
  <c r="G5" i="1"/>
  <c r="E5" i="6"/>
  <c r="F105" i="1" l="1"/>
  <c r="H105" i="1" s="1"/>
  <c r="I38" i="1"/>
  <c r="H88" i="1"/>
  <c r="H89" i="1" s="1"/>
  <c r="H91" i="1" s="1"/>
  <c r="E105" i="1"/>
  <c r="I105" i="1" s="1"/>
  <c r="I96" i="1" s="1"/>
  <c r="F109" i="1"/>
  <c r="H109" i="1" s="1"/>
  <c r="I109" i="1" s="1"/>
  <c r="I95" i="1" s="1"/>
  <c r="F113" i="1"/>
  <c r="H113" i="1" s="1"/>
  <c r="I113" i="1" s="1"/>
  <c r="I94" i="1" s="1"/>
  <c r="I51" i="2"/>
  <c r="I52" i="2"/>
  <c r="I48" i="2"/>
  <c r="F105" i="2"/>
  <c r="H105" i="2" s="1"/>
  <c r="I39" i="2"/>
  <c r="H88" i="2"/>
  <c r="H89" i="2" s="1"/>
  <c r="H91" i="2" s="1"/>
  <c r="E105" i="2"/>
  <c r="I105" i="2" s="1"/>
  <c r="I96" i="2" s="1"/>
  <c r="F109" i="2"/>
  <c r="H109" i="2" s="1"/>
  <c r="I109" i="2" s="1"/>
  <c r="I95" i="2" s="1"/>
  <c r="F113" i="2"/>
  <c r="H113" i="2" s="1"/>
  <c r="I113" i="2" s="1"/>
  <c r="I94" i="2" s="1"/>
  <c r="F105" i="3"/>
  <c r="H105" i="3" s="1"/>
  <c r="I42" i="3"/>
  <c r="I38" i="3"/>
  <c r="H88" i="3"/>
  <c r="H89" i="3" s="1"/>
  <c r="H91" i="3" s="1"/>
  <c r="E105" i="3"/>
  <c r="I105" i="3" s="1"/>
  <c r="I96" i="3" s="1"/>
  <c r="F109" i="3"/>
  <c r="H109" i="3" s="1"/>
  <c r="I109" i="3" s="1"/>
  <c r="I95" i="3" s="1"/>
  <c r="F113" i="3"/>
  <c r="H113" i="3" s="1"/>
  <c r="I113" i="3" s="1"/>
  <c r="I94" i="3" s="1"/>
  <c r="I51" i="4"/>
  <c r="I52" i="4"/>
  <c r="I48" i="4"/>
  <c r="F105" i="4"/>
  <c r="H105" i="4" s="1"/>
  <c r="I43" i="4"/>
  <c r="I39" i="4"/>
  <c r="I55" i="4" s="1"/>
  <c r="H37" i="4" s="1"/>
  <c r="H88" i="4"/>
  <c r="H89" i="4" s="1"/>
  <c r="H91" i="4" s="1"/>
  <c r="E105" i="4"/>
  <c r="I105" i="4" s="1"/>
  <c r="I96" i="4" s="1"/>
  <c r="F109" i="4"/>
  <c r="H109" i="4" s="1"/>
  <c r="I109" i="4" s="1"/>
  <c r="I95" i="4" s="1"/>
  <c r="F113" i="4"/>
  <c r="H113" i="4" s="1"/>
  <c r="I113" i="4" s="1"/>
  <c r="I94" i="4" s="1"/>
  <c r="I101" i="4" l="1"/>
  <c r="I142" i="4"/>
  <c r="I129" i="4"/>
  <c r="H43" i="4"/>
  <c r="H48" i="4"/>
  <c r="H52" i="4"/>
  <c r="H51" i="4"/>
  <c r="I101" i="3"/>
  <c r="I142" i="3"/>
  <c r="I129" i="3"/>
  <c r="I48" i="3"/>
  <c r="H42" i="3"/>
  <c r="I101" i="2"/>
  <c r="I142" i="2"/>
  <c r="I129" i="2"/>
  <c r="I55" i="2"/>
  <c r="H48" i="2"/>
  <c r="H52" i="2"/>
  <c r="H51" i="2"/>
  <c r="I101" i="1"/>
  <c r="I142" i="1"/>
  <c r="I129" i="1"/>
  <c r="I48" i="1"/>
  <c r="I173" i="1" l="1"/>
  <c r="A144" i="1"/>
  <c r="A131" i="1"/>
  <c r="H100" i="1"/>
  <c r="H99" i="1"/>
  <c r="H98" i="1"/>
  <c r="H97" i="1"/>
  <c r="I88" i="1"/>
  <c r="I89" i="1" s="1"/>
  <c r="I84" i="1"/>
  <c r="I83" i="1"/>
  <c r="I82" i="1"/>
  <c r="I85" i="1" s="1"/>
  <c r="I77" i="1"/>
  <c r="I76" i="1"/>
  <c r="I75" i="1"/>
  <c r="I74" i="1"/>
  <c r="I73" i="1"/>
  <c r="I72" i="1"/>
  <c r="I71" i="1"/>
  <c r="I70" i="1"/>
  <c r="I78" i="1" s="1"/>
  <c r="I65" i="1"/>
  <c r="I64" i="1"/>
  <c r="I63" i="1"/>
  <c r="I62" i="1"/>
  <c r="I61" i="1"/>
  <c r="I60" i="1"/>
  <c r="I59" i="1"/>
  <c r="I58" i="1"/>
  <c r="I66" i="1" s="1"/>
  <c r="H47" i="1"/>
  <c r="H45" i="1"/>
  <c r="H44" i="1"/>
  <c r="H43" i="1"/>
  <c r="H42" i="1"/>
  <c r="H41" i="1"/>
  <c r="H40" i="1"/>
  <c r="H39" i="1"/>
  <c r="H37" i="1"/>
  <c r="H46" i="1"/>
  <c r="I193" i="1"/>
  <c r="H94" i="1"/>
  <c r="H95" i="1"/>
  <c r="H96" i="1"/>
  <c r="H38" i="1"/>
  <c r="I175" i="1"/>
  <c r="G144" i="1"/>
  <c r="G131" i="1"/>
  <c r="I173" i="2"/>
  <c r="A144" i="2"/>
  <c r="A131" i="2"/>
  <c r="H100" i="2"/>
  <c r="H99" i="2"/>
  <c r="H98" i="2"/>
  <c r="H97" i="2"/>
  <c r="I88" i="2"/>
  <c r="I89" i="2" s="1"/>
  <c r="I84" i="2"/>
  <c r="I83" i="2"/>
  <c r="I82" i="2"/>
  <c r="I85" i="2" s="1"/>
  <c r="I77" i="2"/>
  <c r="I76" i="2"/>
  <c r="I75" i="2"/>
  <c r="I74" i="2"/>
  <c r="I73" i="2"/>
  <c r="I72" i="2"/>
  <c r="I71" i="2"/>
  <c r="I70" i="2"/>
  <c r="I78" i="2" s="1"/>
  <c r="I65" i="2"/>
  <c r="I64" i="2"/>
  <c r="I63" i="2"/>
  <c r="I62" i="2"/>
  <c r="I61" i="2"/>
  <c r="I60" i="2"/>
  <c r="I59" i="2"/>
  <c r="I58" i="2"/>
  <c r="I66" i="2" s="1"/>
  <c r="H53" i="2"/>
  <c r="H50" i="2"/>
  <c r="H47" i="2"/>
  <c r="H45" i="2"/>
  <c r="H44" i="2"/>
  <c r="H43" i="2"/>
  <c r="H42" i="2"/>
  <c r="H41" i="2"/>
  <c r="H40" i="2"/>
  <c r="H38" i="2"/>
  <c r="H37" i="2"/>
  <c r="H49" i="2"/>
  <c r="H46" i="2"/>
  <c r="H54" i="2"/>
  <c r="I193" i="2"/>
  <c r="H94" i="2"/>
  <c r="H95" i="2"/>
  <c r="H96" i="2"/>
  <c r="H39" i="2"/>
  <c r="I175" i="2"/>
  <c r="G144" i="2"/>
  <c r="G131" i="2"/>
  <c r="I173" i="3"/>
  <c r="A144" i="3"/>
  <c r="A131" i="3"/>
  <c r="H100" i="3"/>
  <c r="H99" i="3"/>
  <c r="H98" i="3"/>
  <c r="H97" i="3"/>
  <c r="I88" i="3"/>
  <c r="I89" i="3" s="1"/>
  <c r="I84" i="3"/>
  <c r="I83" i="3"/>
  <c r="I82" i="3"/>
  <c r="I85" i="3" s="1"/>
  <c r="I77" i="3"/>
  <c r="I76" i="3"/>
  <c r="I75" i="3"/>
  <c r="I74" i="3"/>
  <c r="I73" i="3"/>
  <c r="I72" i="3"/>
  <c r="I71" i="3"/>
  <c r="I70" i="3"/>
  <c r="I78" i="3" s="1"/>
  <c r="I65" i="3"/>
  <c r="I64" i="3"/>
  <c r="I63" i="3"/>
  <c r="I62" i="3"/>
  <c r="I61" i="3"/>
  <c r="I60" i="3"/>
  <c r="I59" i="3"/>
  <c r="I58" i="3"/>
  <c r="I66" i="3" s="1"/>
  <c r="H47" i="3"/>
  <c r="H45" i="3"/>
  <c r="H44" i="3"/>
  <c r="H43" i="3"/>
  <c r="H41" i="3"/>
  <c r="H40" i="3"/>
  <c r="H39" i="3"/>
  <c r="H37" i="3"/>
  <c r="H46" i="3"/>
  <c r="I193" i="3"/>
  <c r="H94" i="3"/>
  <c r="H95" i="3"/>
  <c r="H96" i="3"/>
  <c r="H38" i="3"/>
  <c r="I175" i="3"/>
  <c r="G144" i="3"/>
  <c r="G131" i="3"/>
  <c r="I173" i="4"/>
  <c r="A144" i="4"/>
  <c r="A131" i="4"/>
  <c r="H100" i="4"/>
  <c r="H99" i="4"/>
  <c r="H98" i="4"/>
  <c r="H97" i="4"/>
  <c r="I88" i="4"/>
  <c r="I89" i="4" s="1"/>
  <c r="I84" i="4"/>
  <c r="I83" i="4"/>
  <c r="I82" i="4"/>
  <c r="I85" i="4" s="1"/>
  <c r="I77" i="4"/>
  <c r="I76" i="4"/>
  <c r="I75" i="4"/>
  <c r="I74" i="4"/>
  <c r="I73" i="4"/>
  <c r="I72" i="4"/>
  <c r="I71" i="4"/>
  <c r="I70" i="4"/>
  <c r="I78" i="4" s="1"/>
  <c r="I65" i="4"/>
  <c r="I64" i="4"/>
  <c r="I63" i="4"/>
  <c r="I62" i="4"/>
  <c r="I61" i="4"/>
  <c r="I60" i="4"/>
  <c r="I59" i="4"/>
  <c r="I58" i="4"/>
  <c r="I66" i="4" s="1"/>
  <c r="H53" i="4"/>
  <c r="H50" i="4"/>
  <c r="H47" i="4"/>
  <c r="H45" i="4"/>
  <c r="H44" i="4"/>
  <c r="H42" i="4"/>
  <c r="H41" i="4"/>
  <c r="H40" i="4"/>
  <c r="H38" i="4"/>
  <c r="H49" i="4"/>
  <c r="H46" i="4"/>
  <c r="H54" i="4"/>
  <c r="I193" i="4"/>
  <c r="H94" i="4"/>
  <c r="H95" i="4"/>
  <c r="H96" i="4"/>
  <c r="H39" i="4"/>
  <c r="I175" i="4"/>
  <c r="G144" i="4"/>
  <c r="G131" i="4"/>
  <c r="H101" i="4" l="1"/>
  <c r="H55" i="4"/>
  <c r="H115" i="4" s="1"/>
  <c r="I174" i="4"/>
  <c r="C144" i="4"/>
  <c r="C131" i="4"/>
  <c r="I91" i="4"/>
  <c r="I115" i="4" s="1"/>
  <c r="A160" i="4" s="1"/>
  <c r="D144" i="4"/>
  <c r="D131" i="4"/>
  <c r="E144" i="4"/>
  <c r="E131" i="4"/>
  <c r="F144" i="4"/>
  <c r="F131" i="4"/>
  <c r="H131" i="4"/>
  <c r="I131" i="4" s="1"/>
  <c r="H144" i="4"/>
  <c r="I144" i="4" s="1"/>
  <c r="I176" i="4"/>
  <c r="H101" i="3"/>
  <c r="H3" i="6"/>
  <c r="I3" i="6" s="1"/>
  <c r="H48" i="3"/>
  <c r="H115" i="3" s="1"/>
  <c r="I174" i="3"/>
  <c r="C144" i="3"/>
  <c r="C131" i="3"/>
  <c r="I91" i="3"/>
  <c r="I115" i="3" s="1"/>
  <c r="A160" i="3" s="1"/>
  <c r="D144" i="3"/>
  <c r="D131" i="3"/>
  <c r="E144" i="3"/>
  <c r="E131" i="3"/>
  <c r="F144" i="3"/>
  <c r="F131" i="3"/>
  <c r="H131" i="3"/>
  <c r="I131" i="3" s="1"/>
  <c r="H144" i="3"/>
  <c r="I144" i="3" s="1"/>
  <c r="I176" i="3"/>
  <c r="H101" i="2"/>
  <c r="H55" i="2"/>
  <c r="H115" i="2" s="1"/>
  <c r="I174" i="2"/>
  <c r="C144" i="2"/>
  <c r="C131" i="2"/>
  <c r="I91" i="2"/>
  <c r="I115" i="2" s="1"/>
  <c r="A160" i="2" s="1"/>
  <c r="D144" i="2"/>
  <c r="D131" i="2"/>
  <c r="E144" i="2"/>
  <c r="E131" i="2"/>
  <c r="F144" i="2"/>
  <c r="F131" i="2"/>
  <c r="H131" i="2"/>
  <c r="I131" i="2" s="1"/>
  <c r="H144" i="2"/>
  <c r="I144" i="2" s="1"/>
  <c r="I176" i="2"/>
  <c r="H101" i="1"/>
  <c r="H2" i="6"/>
  <c r="I2" i="6" s="1"/>
  <c r="I5" i="6" s="1"/>
  <c r="H48" i="1"/>
  <c r="H115" i="1" s="1"/>
  <c r="I174" i="1"/>
  <c r="C144" i="1"/>
  <c r="C131" i="1"/>
  <c r="I91" i="1"/>
  <c r="I115" i="1" s="1"/>
  <c r="A160" i="1" s="1"/>
  <c r="D144" i="1"/>
  <c r="D131" i="1"/>
  <c r="E144" i="1"/>
  <c r="E131" i="1"/>
  <c r="F144" i="1"/>
  <c r="F131" i="1"/>
  <c r="H131" i="1"/>
  <c r="I131" i="1" s="1"/>
  <c r="H144" i="1"/>
  <c r="I144" i="1" s="1"/>
  <c r="I176" i="1"/>
  <c r="G142" i="1" l="1"/>
  <c r="H135" i="1"/>
  <c r="H134" i="1"/>
  <c r="H136" i="1" s="1"/>
  <c r="G129" i="1"/>
  <c r="H125" i="1"/>
  <c r="H124" i="1"/>
  <c r="H123" i="1"/>
  <c r="H121" i="1"/>
  <c r="H120" i="1"/>
  <c r="H119" i="1"/>
  <c r="G142" i="2"/>
  <c r="H135" i="2"/>
  <c r="H134" i="2"/>
  <c r="G129" i="2"/>
  <c r="H125" i="2"/>
  <c r="H124" i="2"/>
  <c r="H123" i="2"/>
  <c r="H121" i="2"/>
  <c r="H120" i="2"/>
  <c r="H119" i="2"/>
  <c r="G142" i="3"/>
  <c r="H135" i="3"/>
  <c r="H134" i="3"/>
  <c r="G129" i="3"/>
  <c r="H125" i="3"/>
  <c r="H124" i="3"/>
  <c r="H123" i="3"/>
  <c r="H121" i="3"/>
  <c r="H120" i="3"/>
  <c r="H119" i="3"/>
  <c r="G142" i="4"/>
  <c r="H135" i="4"/>
  <c r="H134" i="4"/>
  <c r="H136" i="4" s="1"/>
  <c r="G129" i="4"/>
  <c r="H125" i="4"/>
  <c r="H124" i="4"/>
  <c r="H123" i="4"/>
  <c r="H121" i="4"/>
  <c r="H120" i="4"/>
  <c r="H119" i="4"/>
  <c r="H136" i="2" l="1"/>
  <c r="H136" i="3"/>
  <c r="I190" i="4"/>
  <c r="H122" i="4"/>
  <c r="H126" i="4" s="1"/>
  <c r="I126" i="4"/>
  <c r="I140" i="4"/>
  <c r="I181" i="4" s="1"/>
  <c r="H139" i="4"/>
  <c r="H140" i="4" s="1"/>
  <c r="I190" i="3"/>
  <c r="H122" i="3"/>
  <c r="H126" i="3" s="1"/>
  <c r="I126" i="3"/>
  <c r="I140" i="3"/>
  <c r="I181" i="3" s="1"/>
  <c r="H139" i="3"/>
  <c r="H140" i="3" s="1"/>
  <c r="I190" i="2"/>
  <c r="H122" i="2"/>
  <c r="H126" i="2" s="1"/>
  <c r="I126" i="2"/>
  <c r="I140" i="2"/>
  <c r="I181" i="2" s="1"/>
  <c r="H139" i="2"/>
  <c r="H140" i="2" s="1"/>
  <c r="I190" i="1"/>
  <c r="F2" i="6" s="1"/>
  <c r="G2" i="6" s="1"/>
  <c r="H122" i="1"/>
  <c r="H126" i="1" s="1"/>
  <c r="I126" i="1"/>
  <c r="I140" i="1"/>
  <c r="I181" i="1" s="1"/>
  <c r="H139" i="1"/>
  <c r="H140" i="1" s="1"/>
  <c r="F3" i="6" l="1"/>
  <c r="G3" i="6" s="1"/>
  <c r="G5" i="6" s="1"/>
  <c r="I179" i="1"/>
  <c r="I146" i="1"/>
  <c r="C160" i="1" s="1"/>
  <c r="D160" i="1" s="1"/>
  <c r="H146" i="1"/>
  <c r="I179" i="2"/>
  <c r="I146" i="2"/>
  <c r="C160" i="2" s="1"/>
  <c r="D160" i="2" s="1"/>
  <c r="H146" i="2"/>
  <c r="I179" i="3"/>
  <c r="I146" i="3"/>
  <c r="C160" i="3" s="1"/>
  <c r="D160" i="3" s="1"/>
  <c r="H146" i="3"/>
  <c r="I179" i="4"/>
  <c r="I146" i="4"/>
  <c r="C160" i="4" s="1"/>
  <c r="D160" i="4" s="1"/>
  <c r="H146" i="4"/>
  <c r="I154" i="4" l="1"/>
  <c r="H154" i="4" s="1"/>
  <c r="I153" i="4"/>
  <c r="H153" i="4" s="1"/>
  <c r="I152" i="4"/>
  <c r="H152" i="4" s="1"/>
  <c r="I151" i="4"/>
  <c r="H151" i="4" s="1"/>
  <c r="I150" i="4"/>
  <c r="I182" i="4"/>
  <c r="I154" i="3"/>
  <c r="H154" i="3" s="1"/>
  <c r="I153" i="3"/>
  <c r="H153" i="3" s="1"/>
  <c r="I152" i="3"/>
  <c r="H152" i="3" s="1"/>
  <c r="I151" i="3"/>
  <c r="H151" i="3" s="1"/>
  <c r="I150" i="3"/>
  <c r="I182" i="3"/>
  <c r="I154" i="2"/>
  <c r="H154" i="2" s="1"/>
  <c r="I153" i="2"/>
  <c r="H153" i="2" s="1"/>
  <c r="I152" i="2"/>
  <c r="H152" i="2" s="1"/>
  <c r="I151" i="2"/>
  <c r="H151" i="2" s="1"/>
  <c r="I150" i="2"/>
  <c r="I182" i="2"/>
  <c r="I154" i="1"/>
  <c r="H154" i="1" s="1"/>
  <c r="I153" i="1"/>
  <c r="H153" i="1" s="1"/>
  <c r="I152" i="1"/>
  <c r="H152" i="1" s="1"/>
  <c r="I151" i="1"/>
  <c r="H151" i="1" s="1"/>
  <c r="I150" i="1"/>
  <c r="I182" i="1"/>
  <c r="I155" i="1" l="1"/>
  <c r="H150" i="1"/>
  <c r="H155" i="1" s="1"/>
  <c r="H169" i="1" s="1"/>
  <c r="I155" i="2"/>
  <c r="H150" i="2"/>
  <c r="H155" i="2" s="1"/>
  <c r="H169" i="2" s="1"/>
  <c r="I155" i="3"/>
  <c r="H150" i="3"/>
  <c r="H155" i="3" s="1"/>
  <c r="H169" i="3" s="1"/>
  <c r="I155" i="4"/>
  <c r="H150" i="4"/>
  <c r="H155" i="4" s="1"/>
  <c r="H169" i="4" s="1"/>
  <c r="I186" i="4" l="1"/>
  <c r="G196" i="4" s="1"/>
  <c r="I185" i="4"/>
  <c r="I169" i="4"/>
  <c r="I186" i="3"/>
  <c r="G196" i="3" s="1"/>
  <c r="I185" i="3"/>
  <c r="I169" i="3"/>
  <c r="I186" i="2"/>
  <c r="G196" i="2" s="1"/>
  <c r="I185" i="2"/>
  <c r="I169" i="2"/>
  <c r="I186" i="1"/>
  <c r="G196" i="1" s="1"/>
  <c r="I185" i="1"/>
  <c r="I169" i="1"/>
  <c r="H185" i="3" l="1"/>
  <c r="H186" i="3" s="1"/>
  <c r="H185" i="2"/>
  <c r="H186" i="2" s="1"/>
  <c r="H185" i="1"/>
  <c r="H186" i="1" s="1"/>
  <c r="H185" i="4"/>
  <c r="H186" i="4" s="1"/>
  <c r="I196" i="1"/>
  <c r="H180" i="1"/>
  <c r="H175" i="1"/>
  <c r="H173" i="1"/>
  <c r="H174" i="1"/>
  <c r="H181" i="1"/>
  <c r="H179" i="1"/>
  <c r="I196" i="2"/>
  <c r="H180" i="2"/>
  <c r="H175" i="2"/>
  <c r="H173" i="2"/>
  <c r="H174" i="2"/>
  <c r="H181" i="2"/>
  <c r="H179" i="2"/>
  <c r="H182" i="2" s="1"/>
  <c r="I196" i="3"/>
  <c r="H180" i="3"/>
  <c r="H175" i="3"/>
  <c r="H173" i="3"/>
  <c r="H174" i="3"/>
  <c r="H181" i="3"/>
  <c r="H179" i="3"/>
  <c r="I196" i="4"/>
  <c r="H180" i="4"/>
  <c r="H175" i="4"/>
  <c r="H173" i="4"/>
  <c r="H174" i="4"/>
  <c r="H181" i="4"/>
  <c r="H179" i="4"/>
  <c r="H182" i="3" l="1"/>
  <c r="H182" i="1"/>
  <c r="H182" i="4"/>
  <c r="H176" i="4"/>
  <c r="H176" i="3"/>
  <c r="J3" i="6"/>
  <c r="K3" i="6" s="1"/>
  <c r="K7" i="6" s="1"/>
  <c r="K5" i="6" s="1"/>
  <c r="H176" i="2"/>
  <c r="H176" i="1"/>
  <c r="J2" i="6"/>
  <c r="K2" i="6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Autor desconhecido</author>
  </authors>
  <commentList>
    <comment ref="D5" authorId="0" shapeId="0" xr:uid="{00000000-0006-0000-0000-000001000000}">
      <text>
        <r>
          <rPr>
            <sz val="10"/>
            <rFont val="Arial"/>
            <family val="2"/>
          </rPr>
          <t>Informar o nome do cargo</t>
        </r>
      </text>
    </comment>
    <comment ref="I5" authorId="0" shapeId="0" xr:uid="{00000000-0006-0000-0000-000006000000}">
      <text>
        <r>
          <rPr>
            <sz val="10"/>
            <rFont val="Arial"/>
            <family val="2"/>
          </rPr>
          <t>Caso o posto tenha que trabalhar também em feriados (exemplo: de segunda a sexta, inclusive feriados), deverá ser considerado 1 feriado por mês e o resultado que constar nesta célula deverá ser somado com o número de horas diárias correspondente ao feriado. 
Exemplo: para posto de trabalho de 30 horas semanais, segunda a sexta, inclusive feriados, o resultado nesta célula será 150. Portanto deverá ser somado mais 6, resultando na quantidade de horas mensais de 156 horas.</t>
        </r>
      </text>
    </comment>
    <comment ref="D6" authorId="0" shapeId="0" xr:uid="{00000000-0006-0000-0000-000002000000}">
      <text>
        <r>
          <rPr>
            <sz val="10"/>
            <rFont val="Arial"/>
            <family val="2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0" shapeId="0" xr:uid="{00000000-0006-0000-0000-000003000000}">
      <text>
        <r>
          <rPr>
            <sz val="10"/>
            <rFont val="Arial"/>
            <family val="2"/>
          </rPr>
          <t xml:space="preserve">Informar o número de registro no MTE da CCT da categoria.
</t>
        </r>
      </text>
    </comment>
    <comment ref="I7" authorId="0" shapeId="0" xr:uid="{00000000-0006-0000-0000-000007000000}">
      <text>
        <r>
          <rPr>
            <sz val="10"/>
            <rFont val="Arial"/>
            <family val="2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0" shapeId="0" xr:uid="{00000000-0006-0000-0000-000004000000}">
      <text>
        <r>
          <rPr>
            <sz val="10"/>
            <rFont val="Arial"/>
            <family val="2"/>
          </rPr>
          <t>Informar a origem do salário (exemplo: CCT, Lei, Sindicato, etc). Geralmente o salário consta na CCT da categoria.</t>
        </r>
      </text>
    </comment>
    <comment ref="I9" authorId="0" shapeId="0" xr:uid="{00000000-0006-0000-0000-000008000000}">
      <text>
        <r>
          <rPr>
            <sz val="10"/>
            <rFont val="Arial"/>
            <family val="2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0" shapeId="0" xr:uid="{00000000-0006-0000-0000-000005000000}">
      <text>
        <r>
          <rPr>
            <sz val="10"/>
            <rFont val="Arial"/>
            <family val="2"/>
          </rPr>
          <t>Informar o número de horas correspondente ao salário normativo (exemplo: 220, 180, etc).</t>
        </r>
      </text>
    </comment>
    <comment ref="I10" authorId="0" shapeId="0" xr:uid="{00000000-0006-0000-0000-000009000000}">
      <text>
        <r>
          <rPr>
            <sz val="10"/>
            <rFont val="Arial"/>
            <family val="2"/>
          </rPr>
          <t>Informar o valor do salário normativo do cargo</t>
        </r>
      </text>
    </comment>
    <comment ref="I11" authorId="0" shapeId="0" xr:uid="{00000000-0006-0000-0000-00000A000000}">
      <text>
        <r>
          <rPr>
            <sz val="10"/>
            <rFont val="Arial"/>
            <family val="2"/>
          </rPr>
          <t>Informar a alíquota do ISS relativo ao serviço do posto de trabalho</t>
        </r>
      </text>
    </comment>
    <comment ref="I12" authorId="0" shapeId="0" xr:uid="{00000000-0006-0000-0000-00000B000000}">
      <text>
        <r>
          <rPr>
            <sz val="10"/>
            <rFont val="Arial"/>
            <family val="2"/>
          </rPr>
          <t>Preencher com o valor da troca de uniforme somente para os postos de vigilantes que preveem o pagamento da troca de uniforme na CCT.</t>
        </r>
      </text>
    </comment>
    <comment ref="I13" authorId="0" shapeId="0" xr:uid="{00000000-0006-0000-0000-00000C000000}">
      <text>
        <r>
          <rPr>
            <sz val="10"/>
            <rFont val="Arial"/>
            <family val="2"/>
          </rPr>
          <t>Informar a quantidade de dias trabalhados.
Para postos 12x36, utilizar 15.</t>
        </r>
      </text>
    </comment>
    <comment ref="I14" authorId="0" shapeId="0" xr:uid="{00000000-0006-0000-0000-00000D000000}">
      <text>
        <r>
          <rPr>
            <sz val="10"/>
            <rFont val="Arial"/>
            <family val="2"/>
          </rPr>
          <t>Informar o valor do VT da cidade que o posto de trabalho irá exercer suas funções</t>
        </r>
      </text>
    </comment>
    <comment ref="I15" authorId="0" shapeId="0" xr:uid="{00000000-0006-0000-0000-00000E000000}">
      <text>
        <r>
          <rPr>
            <sz val="10"/>
            <rFont val="Arial"/>
            <family val="2"/>
          </rPr>
          <t>Informar o número de dias por mês que o posto irá trabalhar. 
Caso seja de segunda a sexta, utilizar 22.
Caso seja 12x36, utilizar 15.</t>
        </r>
      </text>
    </comment>
    <comment ref="I16" authorId="0" shapeId="0" xr:uid="{00000000-0006-0000-0000-00000F000000}">
      <text>
        <r>
          <rPr>
            <sz val="10"/>
            <rFont val="Arial"/>
            <family val="2"/>
          </rPr>
          <t>Informar o valor do desconto do VT. Geralmente é 6%, porém a CCT pode indicar outra porcentagem</t>
        </r>
      </text>
    </comment>
    <comment ref="I17" authorId="0" shapeId="0" xr:uid="{00000000-0006-0000-0000-000010000000}">
      <text>
        <r>
          <rPr>
            <sz val="10"/>
            <rFont val="Arial"/>
            <family val="2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8" authorId="0" shapeId="0" xr:uid="{00000000-0006-0000-0000-000011000000}">
      <text>
        <r>
          <rPr>
            <sz val="10"/>
            <rFont val="Arial"/>
            <family val="2"/>
          </rPr>
          <t>Informar o número de dias por mês que o posto irá receber o VA.</t>
        </r>
      </text>
    </comment>
    <comment ref="I19" authorId="0" shapeId="0" xr:uid="{00000000-0006-0000-0000-000012000000}">
      <text>
        <r>
          <rPr>
            <sz val="10"/>
            <rFont val="Arial"/>
            <family val="2"/>
          </rPr>
          <t>Informar o valor do desconto do VA. Geralmente é 20%, porém a CCT pode indicar outra porcentagem</t>
        </r>
      </text>
    </comment>
    <comment ref="I20" authorId="0" shapeId="0" xr:uid="{00000000-0006-0000-0000-000013000000}">
      <text>
        <r>
          <rPr>
            <sz val="10"/>
            <rFont val="Arial"/>
            <family val="2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21" authorId="0" shapeId="0" xr:uid="{00000000-0006-0000-0000-000014000000}">
      <text>
        <r>
          <rPr>
            <sz val="10"/>
            <rFont val="Arial"/>
            <family val="2"/>
          </rPr>
          <t>Informar o número de dias por mês que o posto irá receber o VL.</t>
        </r>
      </text>
    </comment>
    <comment ref="I22" authorId="0" shapeId="0" xr:uid="{00000000-0006-0000-0000-000015000000}">
      <text>
        <r>
          <rPr>
            <sz val="10"/>
            <rFont val="Arial"/>
            <family val="2"/>
          </rPr>
          <t>Informar o valor do desconto do VL. Geralmente é 20%, porém a CCT pode indicar outra porcentagem</t>
        </r>
      </text>
    </comment>
    <comment ref="I23" authorId="0" shapeId="0" xr:uid="{00000000-0006-0000-0000-000016000000}">
      <text>
        <r>
          <rPr>
            <sz val="10"/>
            <rFont val="Arial"/>
            <family val="2"/>
          </rPr>
          <t>Caso haja necessidade de pagamento de outros benefícios previstos na CCT, como o Custeio compulsório para a aprendizagem, incluir aqui o valor mensal indicando a que se trata tal valor. Caso não haja necessidade, incluir a expressão "Não aplicável".</t>
        </r>
      </text>
    </comment>
    <comment ref="I24" authorId="0" shapeId="0" xr:uid="{00000000-0006-0000-0000-000017000000}">
      <text>
        <r>
          <rPr>
            <sz val="10"/>
            <rFont val="Arial"/>
            <family val="2"/>
          </rPr>
          <t>Caso haja necessidade de pagamento de adicional de supervisão ao posto, incluir o número "37". Caso não haja necessidade, manter a expressão "Não aplicável".</t>
        </r>
      </text>
    </comment>
    <comment ref="I26" authorId="0" shapeId="0" xr:uid="{00000000-0006-0000-0000-000018000000}">
      <text>
        <r>
          <rPr>
            <sz val="10"/>
            <rFont val="Arial"/>
            <family val="2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
Caso o posto não inclua feriados, manter a expressão "Não aplicável".</t>
        </r>
      </text>
    </comment>
    <comment ref="I27" authorId="0" shapeId="0" xr:uid="{00000000-0006-0000-0000-000019000000}">
      <text>
        <r>
          <rPr>
            <sz val="10"/>
            <rFont val="Arial"/>
            <family val="2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0" shapeId="0" xr:uid="{00000000-0006-0000-0000-00001A000000}">
      <text>
        <r>
          <rPr>
            <sz val="10"/>
            <rFont val="Arial"/>
            <family val="2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0" shapeId="0" xr:uid="{00000000-0006-0000-0000-00001B000000}">
      <text>
        <r>
          <rPr>
            <sz val="10"/>
            <rFont val="Arial"/>
            <family val="2"/>
          </rPr>
          <t>Informar a porcentagem de 10% ou 20%.
Obs.: fornecimento  de uniformes (roupa, crachá, etc) não é considerado materiais/equipamentos.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Autor desconhecido</author>
  </authors>
  <commentList>
    <comment ref="D5" authorId="0" shapeId="0" xr:uid="{00000000-0006-0000-0100-000001000000}">
      <text>
        <r>
          <rPr>
            <sz val="10"/>
            <rFont val="Arial"/>
            <family val="2"/>
          </rPr>
          <t>Informar o nome do cargo</t>
        </r>
      </text>
    </comment>
    <comment ref="I5" authorId="0" shapeId="0" xr:uid="{00000000-0006-0000-0100-000007000000}">
      <text>
        <r>
          <rPr>
            <sz val="10"/>
            <rFont val="Arial"/>
            <family val="2"/>
          </rPr>
          <t>Caso o posto tenha que trabalhar também em feriados (exemplo: de segunda a sexta, inclusive feriados), deverá ser considerado 1 feriado por mês e o resultado que constar nesta célula deverá ser somado com o número de horas diárias correspondente ao feriado. 
Exemplo: para posto de trabalho de 30 horas semanais, segunda a sexta, inclusive feriados, o resultado nesta célula será 150. Portanto deverá ser somado mais 6, resultando na quantidade de horas mensais de 156 horas.</t>
        </r>
      </text>
    </comment>
    <comment ref="D6" authorId="0" shapeId="0" xr:uid="{00000000-0006-0000-0100-000002000000}">
      <text>
        <r>
          <rPr>
            <sz val="10"/>
            <rFont val="Arial"/>
            <family val="2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0" shapeId="0" xr:uid="{00000000-0006-0000-0100-000003000000}">
      <text>
        <r>
          <rPr>
            <sz val="10"/>
            <rFont val="Arial"/>
            <family val="2"/>
          </rPr>
          <t xml:space="preserve">Informar o número de registro no MTE da CCT da categoria.
</t>
        </r>
      </text>
    </comment>
    <comment ref="I7" authorId="0" shapeId="0" xr:uid="{00000000-0006-0000-0100-000008000000}">
      <text>
        <r>
          <rPr>
            <sz val="10"/>
            <rFont val="Arial"/>
            <family val="2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0" shapeId="0" xr:uid="{00000000-0006-0000-0100-000004000000}">
      <text>
        <r>
          <rPr>
            <sz val="10"/>
            <rFont val="Arial"/>
            <family val="2"/>
          </rPr>
          <t>Informar a origem do salário (exemplo: CCT, Lei, Sindicato, etc). Geralmente o salário consta na CCT da categoria.</t>
        </r>
      </text>
    </comment>
    <comment ref="D9" authorId="0" shapeId="0" xr:uid="{00000000-0006-0000-0100-000005000000}">
      <text>
        <r>
          <rPr>
            <sz val="10"/>
            <rFont val="Arial"/>
            <family val="2"/>
          </rPr>
          <t>Informar a cidade de prestação dos serviços</t>
        </r>
      </text>
    </comment>
    <comment ref="I9" authorId="0" shapeId="0" xr:uid="{00000000-0006-0000-0100-000009000000}">
      <text>
        <r>
          <rPr>
            <sz val="10"/>
            <rFont val="Arial"/>
            <family val="2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0" shapeId="0" xr:uid="{00000000-0006-0000-0100-000006000000}">
      <text>
        <r>
          <rPr>
            <sz val="10"/>
            <rFont val="Arial"/>
            <family val="2"/>
          </rPr>
          <t>Informar o número de horas correspondente ao salário normativo (exemplo: 220, 180, etc).</t>
        </r>
      </text>
    </comment>
    <comment ref="I10" authorId="0" shapeId="0" xr:uid="{00000000-0006-0000-0100-00000A000000}">
      <text>
        <r>
          <rPr>
            <sz val="10"/>
            <rFont val="Arial"/>
            <family val="2"/>
          </rPr>
          <t>Informar o valor do salário normativo do cargo</t>
        </r>
      </text>
    </comment>
    <comment ref="I11" authorId="0" shapeId="0" xr:uid="{00000000-0006-0000-0100-00000B000000}">
      <text>
        <r>
          <rPr>
            <sz val="10"/>
            <rFont val="Arial"/>
            <family val="2"/>
          </rPr>
          <t>Informar a alíquota do ISS relativo ao serviço do posto de trabalho</t>
        </r>
      </text>
    </comment>
    <comment ref="I12" authorId="0" shapeId="0" xr:uid="{00000000-0006-0000-0100-00000C000000}">
      <text>
        <r>
          <rPr>
            <sz val="10"/>
            <rFont val="Arial"/>
            <family val="2"/>
          </rPr>
          <t>Preencher com o valor da troca de uniforme somente para os postos de vigilantes que preveem o pagamento da troca de uniforme na CCT.</t>
        </r>
      </text>
    </comment>
    <comment ref="I13" authorId="0" shapeId="0" xr:uid="{00000000-0006-0000-0100-00000D000000}">
      <text>
        <r>
          <rPr>
            <sz val="10"/>
            <rFont val="Arial"/>
            <family val="2"/>
          </rPr>
          <t>Informar a quantidade de dias trabalhados.
Para postos 12x36, utilizar 15.</t>
        </r>
      </text>
    </comment>
    <comment ref="I14" authorId="0" shapeId="0" xr:uid="{00000000-0006-0000-0100-00000E000000}">
      <text>
        <r>
          <rPr>
            <sz val="10"/>
            <rFont val="Arial"/>
            <family val="2"/>
          </rPr>
          <t>Informar o valor do VT da cidade que o posto de trabalho irá exercer suas funções</t>
        </r>
      </text>
    </comment>
    <comment ref="I15" authorId="0" shapeId="0" xr:uid="{00000000-0006-0000-0100-00000F000000}">
      <text>
        <r>
          <rPr>
            <sz val="10"/>
            <rFont val="Arial"/>
            <family val="2"/>
          </rPr>
          <t>Informar o número de dias por mês que o posto irá trabalhar. 
Caso seja de segunda a sexta, utilizar 22.
Caso seja 12x36, utilizar 15.</t>
        </r>
      </text>
    </comment>
    <comment ref="I16" authorId="0" shapeId="0" xr:uid="{00000000-0006-0000-0100-000010000000}">
      <text>
        <r>
          <rPr>
            <sz val="10"/>
            <rFont val="Arial"/>
            <family val="2"/>
          </rPr>
          <t>Informar o valor do desconto do VT. Geralmente é 6%, porém a CCT pode indicar outra porcentagem</t>
        </r>
      </text>
    </comment>
    <comment ref="I17" authorId="0" shapeId="0" xr:uid="{00000000-0006-0000-0100-000011000000}">
      <text>
        <r>
          <rPr>
            <sz val="10"/>
            <rFont val="Arial"/>
            <family val="2"/>
          </rPr>
          <t>Informar o valor do vale alimentação caso conste na CCT. Caso não conste na CCT, incluir o valor 0 ou a expressão Não aplicável
Obs.: caso conste na CCT que deverá ser fornecido lanche, porém não especifica nenhum valor, utilizar o valor atribuído aos servidores estaduais conforme Leis 10.002/93 e  15.011/16 (o valor atualizado em 01/06/20 é de R$ 10,13).</t>
        </r>
      </text>
    </comment>
    <comment ref="I18" authorId="0" shapeId="0" xr:uid="{00000000-0006-0000-0100-000012000000}">
      <text>
        <r>
          <rPr>
            <sz val="10"/>
            <rFont val="Arial"/>
            <family val="2"/>
          </rPr>
          <t>Informar o número de dias por mês que o posto irá receber o VA.</t>
        </r>
      </text>
    </comment>
    <comment ref="I19" authorId="0" shapeId="0" xr:uid="{00000000-0006-0000-0100-000013000000}">
      <text>
        <r>
          <rPr>
            <sz val="10"/>
            <rFont val="Arial"/>
            <family val="2"/>
          </rPr>
          <t>Informar o valor do desconto do VA. Geralmente é 20%, porém a CCT pode indicar outra porcentagem</t>
        </r>
      </text>
    </comment>
    <comment ref="I20" authorId="0" shapeId="0" xr:uid="{00000000-0006-0000-0100-000014000000}">
      <text>
        <r>
          <rPr>
            <sz val="10"/>
            <rFont val="Arial"/>
            <family val="2"/>
          </rPr>
          <t>Informar o valor do vale lanche caso seja necessário o pagamento conforme CCT. 
Caso não conste na CCT, incluir o valor 0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21" authorId="0" shapeId="0" xr:uid="{00000000-0006-0000-0100-000015000000}">
      <text>
        <r>
          <rPr>
            <sz val="10"/>
            <rFont val="Arial"/>
            <family val="2"/>
          </rPr>
          <t>Informar o número de dias por mês que o posto irá receber o VL.</t>
        </r>
      </text>
    </comment>
    <comment ref="I22" authorId="0" shapeId="0" xr:uid="{00000000-0006-0000-0100-000016000000}">
      <text>
        <r>
          <rPr>
            <sz val="10"/>
            <rFont val="Arial"/>
            <family val="2"/>
          </rPr>
          <t>Informar o valor do desconto do VL. Geralmente é 20%, porém a CCT pode indicar outra porcentagem</t>
        </r>
      </text>
    </comment>
    <comment ref="I23" authorId="0" shapeId="0" xr:uid="{00000000-0006-0000-0100-000017000000}">
      <text>
        <r>
          <rPr>
            <sz val="10"/>
            <rFont val="Arial"/>
            <family val="2"/>
          </rPr>
          <t>Caso haja necessidade de pagamento de outros benefícios previstos na CCT, como o Custeio compulsório para a aprendizagem, incluir aqui o valor mensal indicando a que se trata tal valor. Caso não haja necessidade, incluir a expressão "Não aplicável".</t>
        </r>
      </text>
    </comment>
    <comment ref="I24" authorId="0" shapeId="0" xr:uid="{00000000-0006-0000-0100-000018000000}">
      <text>
        <r>
          <rPr>
            <sz val="10"/>
            <rFont val="Arial"/>
            <family val="2"/>
          </rPr>
          <t xml:space="preserve">Caso haja necessidade de pagamento de adicional de supervisão ao posto, incluir o número "37". Caso não haja necessidade, manter a expressão "Não aplicável".
</t>
        </r>
      </text>
    </comment>
    <comment ref="I26" authorId="0" shapeId="0" xr:uid="{00000000-0006-0000-0100-000019000000}">
      <text>
        <r>
          <rPr>
            <sz val="10"/>
            <rFont val="Arial"/>
            <family val="2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
Caso o posto não inclua feriados, manter a expressão "Não aplicável".</t>
        </r>
      </text>
    </comment>
    <comment ref="I27" authorId="0" shapeId="0" xr:uid="{00000000-0006-0000-0100-00001A000000}">
      <text>
        <r>
          <rPr>
            <sz val="10"/>
            <rFont val="Arial"/>
            <family val="2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0" shapeId="0" xr:uid="{00000000-0006-0000-0100-00001B000000}">
      <text>
        <r>
          <rPr>
            <sz val="10"/>
            <rFont val="Arial"/>
            <family val="2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0" shapeId="0" xr:uid="{00000000-0006-0000-0100-00001C000000}">
      <text>
        <r>
          <rPr>
            <sz val="10"/>
            <rFont val="Arial"/>
            <family val="2"/>
          </rPr>
          <t>Informar a porcentagem de 10% ou 20%.
Obs.: fornecimento  de uniformes (roupa, crachá, etc) não é considerado materiais/equipamentos.</t>
        </r>
      </text>
    </comment>
    <comment ref="I30" authorId="0" shapeId="0" xr:uid="{00000000-0006-0000-0100-00001D000000}">
      <text>
        <r>
          <rPr>
            <sz val="10"/>
            <rFont val="Arial"/>
            <family val="2"/>
          </rPr>
          <t>Informar neste campo o número de horas conforme cálculo explicado ao lado.
Obs.: já consta na célula, a fórmula para postos de trabalho em regime 12x36. Somente deve ser alterada esta célular se o regime de trabalho for outro.</t>
        </r>
      </text>
    </comment>
    <comment ref="I31" authorId="0" shapeId="0" xr:uid="{00000000-0006-0000-0100-00001E000000}">
      <text>
        <r>
          <rPr>
            <sz val="10"/>
            <rFont val="Arial"/>
            <family val="2"/>
          </rPr>
          <t>Informar neste campo o valor da hora conforme cálculo explicado ao lado.
Obs. 1: a CCT poderá indicar outra porcentagem do adicional noturno. A que consta na fórmula, é a porcentagem padrão de 20%.
Obs. 2: já consta na célula, a fórmula para postos de trabalho em regime 12x36. Somente deve ser alterada esta célular se o regime de trabalho for outro ou se a porcentagem do adicional noturno for outra que não os 20%.</t>
        </r>
      </text>
    </comment>
    <comment ref="I32" authorId="0" shapeId="0" xr:uid="{00000000-0006-0000-0100-00001F000000}">
      <text>
        <r>
          <rPr>
            <sz val="10"/>
            <rFont val="Arial"/>
            <family val="2"/>
          </rPr>
          <t>Informar neste campo o número de horas reduzidas conforme cálculo explicado ao lado.
Obs.: já consta na célula, a fórmula para postos de trabalho em regime 12x36. Somente deve ser alterada esta célular se o regime de trabalho for outro.</t>
        </r>
      </text>
    </comment>
    <comment ref="I33" authorId="0" shapeId="0" xr:uid="{00000000-0006-0000-0100-000020000000}">
      <text>
        <r>
          <rPr>
            <sz val="10"/>
            <rFont val="Arial"/>
            <family val="2"/>
          </rPr>
          <t>Informar neste campo o valor da hora reduzida conforme cálculo explicado ao lado.
Obs.: já consta na célula, a fórmula para postos de trabalho em regime 12x36. Somente deve ser alterada esta célular se o regime de trabalho for outro.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Autor desconhecido</author>
  </authors>
  <commentList>
    <comment ref="D5" authorId="0" shapeId="0" xr:uid="{00000000-0006-0000-0200-000001000000}">
      <text>
        <r>
          <rPr>
            <sz val="10"/>
            <rFont val="Arial"/>
            <family val="2"/>
          </rPr>
          <t>Informar o nome do cargo</t>
        </r>
      </text>
    </comment>
    <comment ref="I5" authorId="0" shapeId="0" xr:uid="{00000000-0006-0000-0200-000006000000}">
      <text>
        <r>
          <rPr>
            <sz val="10"/>
            <rFont val="Arial"/>
            <family val="2"/>
          </rPr>
          <t>Caso o posto tenha que trabalhar também em feriados (exemplo: de segunda a sexta, inclusive feriados), deverá ser considerado 1 feriado por mês e o resultado que constar nesta célula deverá ser somado com o número de horas diárias correspondente ao feriado. 
Exemplo: para posto de trabalho de 30 horas semanais, segunda a sexta, inclusive feriados, o resultado nesta célula será 150. Portanto deverá ser somado mais 6, resultando na quantidade de horas mensais de 156 horas.</t>
        </r>
      </text>
    </comment>
    <comment ref="D6" authorId="0" shapeId="0" xr:uid="{00000000-0006-0000-0200-000002000000}">
      <text>
        <r>
          <rPr>
            <sz val="10"/>
            <rFont val="Arial"/>
            <family val="2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0" shapeId="0" xr:uid="{00000000-0006-0000-0200-000003000000}">
      <text>
        <r>
          <rPr>
            <sz val="10"/>
            <rFont val="Arial"/>
            <family val="2"/>
          </rPr>
          <t xml:space="preserve">Informar o número de registro no MTE da CCT da categoria.
</t>
        </r>
      </text>
    </comment>
    <comment ref="I7" authorId="0" shapeId="0" xr:uid="{00000000-0006-0000-0200-000007000000}">
      <text>
        <r>
          <rPr>
            <sz val="10"/>
            <rFont val="Arial"/>
            <family val="2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0" shapeId="0" xr:uid="{00000000-0006-0000-0200-000004000000}">
      <text>
        <r>
          <rPr>
            <sz val="10"/>
            <rFont val="Arial"/>
            <family val="2"/>
          </rPr>
          <t>Informar a origem do salário (exemplo: CCT, Lei, Sindicato, etc). Geralmente o salário consta na CCT da categoria.</t>
        </r>
      </text>
    </comment>
    <comment ref="I9" authorId="0" shapeId="0" xr:uid="{00000000-0006-0000-0200-000008000000}">
      <text>
        <r>
          <rPr>
            <sz val="10"/>
            <rFont val="Arial"/>
            <family val="2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0" shapeId="0" xr:uid="{00000000-0006-0000-0200-000005000000}">
      <text>
        <r>
          <rPr>
            <sz val="10"/>
            <rFont val="Arial"/>
            <family val="2"/>
          </rPr>
          <t>Informar o número de horas correspondente ao salário normativo (exemplo: 220, 180, etc).</t>
        </r>
      </text>
    </comment>
    <comment ref="I10" authorId="0" shapeId="0" xr:uid="{00000000-0006-0000-0200-000009000000}">
      <text>
        <r>
          <rPr>
            <sz val="10"/>
            <rFont val="Arial"/>
            <family val="2"/>
          </rPr>
          <t>Informar o valor do salário normativo do cargo</t>
        </r>
      </text>
    </comment>
    <comment ref="I11" authorId="0" shapeId="0" xr:uid="{00000000-0006-0000-0200-00000A000000}">
      <text>
        <r>
          <rPr>
            <sz val="10"/>
            <rFont val="Arial"/>
            <family val="2"/>
          </rPr>
          <t>Informar a alíquota do ISS relativo ao serviço do posto de trabalho</t>
        </r>
      </text>
    </comment>
    <comment ref="I12" authorId="0" shapeId="0" xr:uid="{00000000-0006-0000-0200-00000B000000}">
      <text>
        <r>
          <rPr>
            <sz val="10"/>
            <rFont val="Arial"/>
            <family val="2"/>
          </rPr>
          <t>Preencher com o valor da troca de uniforme somente para os postos de vigilantes que preveem o pagamento da troca de uniforme na CCT.</t>
        </r>
      </text>
    </comment>
    <comment ref="I13" authorId="0" shapeId="0" xr:uid="{00000000-0006-0000-0200-00000C000000}">
      <text>
        <r>
          <rPr>
            <sz val="10"/>
            <rFont val="Arial"/>
            <family val="2"/>
          </rPr>
          <t>Informar a quantidade de dias trabalhados.
Para postos 12x36, utilizar 15.</t>
        </r>
      </text>
    </comment>
    <comment ref="I14" authorId="0" shapeId="0" xr:uid="{00000000-0006-0000-0200-00000D000000}">
      <text>
        <r>
          <rPr>
            <sz val="10"/>
            <rFont val="Arial"/>
            <family val="2"/>
          </rPr>
          <t>Informar o valor do VT da cidade que o posto de trabalho irá exercer suas funções</t>
        </r>
      </text>
    </comment>
    <comment ref="I15" authorId="0" shapeId="0" xr:uid="{00000000-0006-0000-0200-00000E000000}">
      <text>
        <r>
          <rPr>
            <sz val="10"/>
            <rFont val="Arial"/>
            <family val="2"/>
          </rPr>
          <t>Informar o número de dias por mês que o posto irá trabalhar. 
Caso seja de segunda a sexta, utilizar 22.
Caso seja 12x36, utilizar 15.</t>
        </r>
      </text>
    </comment>
    <comment ref="I16" authorId="0" shapeId="0" xr:uid="{00000000-0006-0000-0200-00000F000000}">
      <text>
        <r>
          <rPr>
            <sz val="10"/>
            <rFont val="Arial"/>
            <family val="2"/>
          </rPr>
          <t>Informar o valor do desconto do VT. Geralmente é 6%, porém a CCT pode indicar outra porcentagem</t>
        </r>
      </text>
    </comment>
    <comment ref="I17" authorId="0" shapeId="0" xr:uid="{00000000-0006-0000-0200-000010000000}">
      <text>
        <r>
          <rPr>
            <sz val="10"/>
            <rFont val="Arial"/>
            <family val="2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8" authorId="0" shapeId="0" xr:uid="{00000000-0006-0000-0200-000011000000}">
      <text>
        <r>
          <rPr>
            <sz val="10"/>
            <rFont val="Arial"/>
            <family val="2"/>
          </rPr>
          <t>Informar o número de dias por mês que o posto irá receber o VA.</t>
        </r>
      </text>
    </comment>
    <comment ref="I19" authorId="0" shapeId="0" xr:uid="{00000000-0006-0000-0200-000012000000}">
      <text>
        <r>
          <rPr>
            <sz val="10"/>
            <rFont val="Arial"/>
            <family val="2"/>
          </rPr>
          <t>Informar o valor do desconto do VA. Geralmente é 20%, porém a CCT pode indicar outra porcentagem</t>
        </r>
      </text>
    </comment>
    <comment ref="I20" authorId="0" shapeId="0" xr:uid="{00000000-0006-0000-0200-000013000000}">
      <text>
        <r>
          <rPr>
            <sz val="10"/>
            <rFont val="Arial"/>
            <family val="2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21" authorId="0" shapeId="0" xr:uid="{00000000-0006-0000-0200-000014000000}">
      <text>
        <r>
          <rPr>
            <sz val="10"/>
            <rFont val="Arial"/>
            <family val="2"/>
          </rPr>
          <t>Informar o número de dias por mês que o posto irá receber o VL.</t>
        </r>
      </text>
    </comment>
    <comment ref="I22" authorId="0" shapeId="0" xr:uid="{00000000-0006-0000-0200-000015000000}">
      <text>
        <r>
          <rPr>
            <sz val="10"/>
            <rFont val="Arial"/>
            <family val="2"/>
          </rPr>
          <t>Informar o valor do desconto do VL. Geralmente é 20%, porém a CCT pode indicar outra porcentagem</t>
        </r>
      </text>
    </comment>
    <comment ref="I23" authorId="0" shapeId="0" xr:uid="{00000000-0006-0000-0200-000016000000}">
      <text>
        <r>
          <rPr>
            <sz val="10"/>
            <rFont val="Arial"/>
            <family val="2"/>
          </rPr>
          <t>Caso haja necessidade de pagamento de outros benefícios previstos na CCT, como o Custeio compulsório para a aprendizagem, incluir aqui o valor mensal indicando a que se trata tal valor. Caso não haja necessidade, incluir a expressão "Não aplicável".</t>
        </r>
      </text>
    </comment>
    <comment ref="I24" authorId="0" shapeId="0" xr:uid="{00000000-0006-0000-0200-000017000000}">
      <text>
        <r>
          <rPr>
            <sz val="10"/>
            <rFont val="Arial"/>
            <family val="2"/>
          </rPr>
          <t>Caso haja necessidade de pagamento de adicional de supervisão ao posto, incluir o número "37". Caso não haja necessidade, manter a expressão "Não aplicável".</t>
        </r>
      </text>
    </comment>
    <comment ref="I26" authorId="0" shapeId="0" xr:uid="{00000000-0006-0000-0200-000018000000}">
      <text>
        <r>
          <rPr>
            <sz val="10"/>
            <rFont val="Arial"/>
            <family val="2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
Caso o posto não inclua feriados, manter a expressão "Não aplicável".</t>
        </r>
      </text>
    </comment>
    <comment ref="I27" authorId="0" shapeId="0" xr:uid="{00000000-0006-0000-0200-000019000000}">
      <text>
        <r>
          <rPr>
            <sz val="10"/>
            <rFont val="Arial"/>
            <family val="2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0" shapeId="0" xr:uid="{00000000-0006-0000-0200-00001A000000}">
      <text>
        <r>
          <rPr>
            <sz val="10"/>
            <rFont val="Arial"/>
            <family val="2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0" shapeId="0" xr:uid="{00000000-0006-0000-0200-00001B000000}">
      <text>
        <r>
          <rPr>
            <sz val="10"/>
            <rFont val="Arial"/>
            <family val="2"/>
          </rPr>
          <t>Informar a porcentagem de 10% ou 20%.
Obs.: fornecimento  de uniformes (roupa, crachá, etc) não é considerado materiais/equipamentos.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Autor desconhecido</author>
  </authors>
  <commentList>
    <comment ref="D5" authorId="0" shapeId="0" xr:uid="{00000000-0006-0000-0300-000001000000}">
      <text>
        <r>
          <rPr>
            <sz val="10"/>
            <rFont val="Arial"/>
            <family val="2"/>
          </rPr>
          <t>Informar o nome do cargo</t>
        </r>
      </text>
    </comment>
    <comment ref="I5" authorId="0" shapeId="0" xr:uid="{00000000-0006-0000-0300-000007000000}">
      <text>
        <r>
          <rPr>
            <sz val="10"/>
            <rFont val="Arial"/>
            <family val="2"/>
          </rPr>
          <t>Caso o posto tenha que trabalhar também em feriados (exemplo: de segunda a sexta, inclusive feriados), deverá ser considerado 1 feriado por mês e o resultado que constar nesta célula deverá ser somado com o número de horas diárias correspondente ao feriado. 
Exemplo: para posto de trabalho de 30 horas semanais, segunda a sexta, inclusive feriados, o resultado nesta célula será 150. Portanto deverá ser somado mais 6, resultando na quantidade de horas mensais de 156 horas.</t>
        </r>
      </text>
    </comment>
    <comment ref="D6" authorId="0" shapeId="0" xr:uid="{00000000-0006-0000-0300-000002000000}">
      <text>
        <r>
          <rPr>
            <sz val="10"/>
            <rFont val="Arial"/>
            <family val="2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0" shapeId="0" xr:uid="{00000000-0006-0000-0300-000003000000}">
      <text>
        <r>
          <rPr>
            <sz val="10"/>
            <rFont val="Arial"/>
            <family val="2"/>
          </rPr>
          <t xml:space="preserve">Informar o número de registro no MTE da CCT da categoria.
</t>
        </r>
      </text>
    </comment>
    <comment ref="I7" authorId="0" shapeId="0" xr:uid="{00000000-0006-0000-0300-000008000000}">
      <text>
        <r>
          <rPr>
            <sz val="10"/>
            <rFont val="Arial"/>
            <family val="2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0" shapeId="0" xr:uid="{00000000-0006-0000-0300-000004000000}">
      <text>
        <r>
          <rPr>
            <sz val="10"/>
            <rFont val="Arial"/>
            <family val="2"/>
          </rPr>
          <t>Informar a origem do salário (exemplo: CCT, Lei, Sindicato, etc). Geralmente o salário consta na CCT da categoria.</t>
        </r>
      </text>
    </comment>
    <comment ref="D9" authorId="0" shapeId="0" xr:uid="{00000000-0006-0000-0300-000005000000}">
      <text>
        <r>
          <rPr>
            <sz val="10"/>
            <rFont val="Arial"/>
            <family val="2"/>
          </rPr>
          <t>Informar a cidade de prestação dos serviços</t>
        </r>
      </text>
    </comment>
    <comment ref="I9" authorId="0" shapeId="0" xr:uid="{00000000-0006-0000-0300-000009000000}">
      <text>
        <r>
          <rPr>
            <sz val="10"/>
            <rFont val="Arial"/>
            <family val="2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0" shapeId="0" xr:uid="{00000000-0006-0000-0300-000006000000}">
      <text>
        <r>
          <rPr>
            <sz val="10"/>
            <rFont val="Arial"/>
            <family val="2"/>
          </rPr>
          <t>Informar o número de horas correspondente ao salário normativo (exemplo: 220, 180, etc).</t>
        </r>
      </text>
    </comment>
    <comment ref="I10" authorId="0" shapeId="0" xr:uid="{00000000-0006-0000-0300-00000A000000}">
      <text>
        <r>
          <rPr>
            <sz val="10"/>
            <rFont val="Arial"/>
            <family val="2"/>
          </rPr>
          <t>Informar o valor do salário normativo do cargo</t>
        </r>
      </text>
    </comment>
    <comment ref="I11" authorId="0" shapeId="0" xr:uid="{00000000-0006-0000-0300-00000B000000}">
      <text>
        <r>
          <rPr>
            <sz val="10"/>
            <rFont val="Arial"/>
            <family val="2"/>
          </rPr>
          <t>Informar a alíquota do ISS relativo ao serviço do posto de trabalho</t>
        </r>
      </text>
    </comment>
    <comment ref="I12" authorId="0" shapeId="0" xr:uid="{00000000-0006-0000-0300-00000C000000}">
      <text>
        <r>
          <rPr>
            <sz val="10"/>
            <rFont val="Arial"/>
            <family val="2"/>
          </rPr>
          <t>Preencher com o valor da troca de uniforme somente para os postos de vigilantes que preveem o pagamento da troca de uniforme na CCT.</t>
        </r>
      </text>
    </comment>
    <comment ref="I13" authorId="0" shapeId="0" xr:uid="{00000000-0006-0000-0300-00000D000000}">
      <text>
        <r>
          <rPr>
            <sz val="10"/>
            <rFont val="Arial"/>
            <family val="2"/>
          </rPr>
          <t>Informar a quantidade de dias trabalhados.
Para postos 12x36, utilizar 15.</t>
        </r>
      </text>
    </comment>
    <comment ref="I14" authorId="0" shapeId="0" xr:uid="{00000000-0006-0000-0300-00000E000000}">
      <text>
        <r>
          <rPr>
            <sz val="10"/>
            <rFont val="Arial"/>
            <family val="2"/>
          </rPr>
          <t>Informar o valor do VT da cidade que o posto de trabalho irá exercer suas funções</t>
        </r>
      </text>
    </comment>
    <comment ref="I15" authorId="0" shapeId="0" xr:uid="{00000000-0006-0000-0300-00000F000000}">
      <text>
        <r>
          <rPr>
            <sz val="10"/>
            <rFont val="Arial"/>
            <family val="2"/>
          </rPr>
          <t>Informar o número de dias por mês que o posto irá trabalhar. 
Caso seja de segunda a sexta, utilizar 22.
Caso seja 12x36, utilizar 15.</t>
        </r>
      </text>
    </comment>
    <comment ref="I16" authorId="0" shapeId="0" xr:uid="{00000000-0006-0000-0300-000010000000}">
      <text>
        <r>
          <rPr>
            <sz val="10"/>
            <rFont val="Arial"/>
            <family val="2"/>
          </rPr>
          <t>Informar o valor do desconto do VT. Geralmente é 6%, porém a CCT pode indicar outra porcentagem</t>
        </r>
      </text>
    </comment>
    <comment ref="I17" authorId="0" shapeId="0" xr:uid="{00000000-0006-0000-0300-000011000000}">
      <text>
        <r>
          <rPr>
            <sz val="10"/>
            <rFont val="Arial"/>
            <family val="2"/>
          </rPr>
          <t>Informar o valor do vale alimentação caso conste na CCT. Caso não conste na CCT, incluir o valor 0 ou a expressão Não aplicável
Obs.: caso conste na CCT que deverá ser fornecido lanche, porém não especifica nenhum valor, utilizar o valor atribuído aos servidores estaduais conforme Leis 10.002/93 e  15.011/16 (o valor atualizado em 01/06/20 é de R$ 10,13).</t>
        </r>
      </text>
    </comment>
    <comment ref="I18" authorId="0" shapeId="0" xr:uid="{00000000-0006-0000-0300-000012000000}">
      <text>
        <r>
          <rPr>
            <sz val="10"/>
            <rFont val="Arial"/>
            <family val="2"/>
          </rPr>
          <t>Informar o número de dias por mês que o posto irá receber o VA.</t>
        </r>
      </text>
    </comment>
    <comment ref="I19" authorId="0" shapeId="0" xr:uid="{00000000-0006-0000-0300-000013000000}">
      <text>
        <r>
          <rPr>
            <sz val="10"/>
            <rFont val="Arial"/>
            <family val="2"/>
          </rPr>
          <t>Informar o valor do desconto do VA. Geralmente é 20%, porém a CCT pode indicar outra porcentagem</t>
        </r>
      </text>
    </comment>
    <comment ref="I20" authorId="0" shapeId="0" xr:uid="{00000000-0006-0000-0300-000014000000}">
      <text>
        <r>
          <rPr>
            <sz val="10"/>
            <rFont val="Arial"/>
            <family val="2"/>
          </rPr>
          <t>Informar o valor do vale lanche caso seja necessário o pagamento conforme CCT. 
Caso não conste na CCT, incluir o valor 0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21" authorId="0" shapeId="0" xr:uid="{00000000-0006-0000-0300-000015000000}">
      <text>
        <r>
          <rPr>
            <sz val="10"/>
            <rFont val="Arial"/>
            <family val="2"/>
          </rPr>
          <t>Informar o número de dias por mês que o posto irá receber o VL.</t>
        </r>
      </text>
    </comment>
    <comment ref="I22" authorId="0" shapeId="0" xr:uid="{00000000-0006-0000-0300-000016000000}">
      <text>
        <r>
          <rPr>
            <sz val="10"/>
            <rFont val="Arial"/>
            <family val="2"/>
          </rPr>
          <t>Informar o valor do desconto do VL. Geralmente é 20%, porém a CCT pode indicar outra porcentagem</t>
        </r>
      </text>
    </comment>
    <comment ref="I23" authorId="0" shapeId="0" xr:uid="{00000000-0006-0000-0300-000017000000}">
      <text>
        <r>
          <rPr>
            <sz val="10"/>
            <rFont val="Arial"/>
            <family val="2"/>
          </rPr>
          <t>Caso haja necessidade de pagamento de outros benefícios previstos na CCT, como o Custeio compulsório para a aprendizagem, incluir aqui o valor mensal indicando a que se trata tal valor. Caso não haja necessidade, incluir a expressão "Não aplicável".</t>
        </r>
      </text>
    </comment>
    <comment ref="I24" authorId="0" shapeId="0" xr:uid="{00000000-0006-0000-0300-000018000000}">
      <text>
        <r>
          <rPr>
            <sz val="10"/>
            <rFont val="Arial"/>
            <family val="2"/>
          </rPr>
          <t xml:space="preserve">Caso haja necessidade de pagamento de adicional de supervisão ao posto, incluir o número "37". Caso não haja necessidade, manter a expressão "Não aplicável".
</t>
        </r>
      </text>
    </comment>
    <comment ref="I26" authorId="0" shapeId="0" xr:uid="{00000000-0006-0000-0300-000019000000}">
      <text>
        <r>
          <rPr>
            <sz val="10"/>
            <rFont val="Arial"/>
            <family val="2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
Caso o posto não inclua feriados, manter a expressão "Não aplicável".</t>
        </r>
      </text>
    </comment>
    <comment ref="I27" authorId="0" shapeId="0" xr:uid="{00000000-0006-0000-0300-00001A000000}">
      <text>
        <r>
          <rPr>
            <sz val="10"/>
            <rFont val="Arial"/>
            <family val="2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0" shapeId="0" xr:uid="{00000000-0006-0000-0300-00001B000000}">
      <text>
        <r>
          <rPr>
            <sz val="10"/>
            <rFont val="Arial"/>
            <family val="2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0" shapeId="0" xr:uid="{00000000-0006-0000-0300-00001C000000}">
      <text>
        <r>
          <rPr>
            <sz val="10"/>
            <rFont val="Arial"/>
            <family val="2"/>
          </rPr>
          <t>Informar a porcentagem de 10% ou 20%.
Obs.: fornecimento  de uniformes (roupa, crachá, etc) não é considerado materiais/equipamentos.</t>
        </r>
      </text>
    </comment>
    <comment ref="I30" authorId="0" shapeId="0" xr:uid="{00000000-0006-0000-0300-00001D000000}">
      <text>
        <r>
          <rPr>
            <sz val="10"/>
            <rFont val="Arial"/>
            <family val="2"/>
          </rPr>
          <t>Informar neste campo o número de horas conforme cálculo explicado ao lado.
Obs.: já consta na célula, a fórmula para postos de trabalho em regime 12x36. Somente deve ser alterada esta célular se o regime de trabalho for outro.</t>
        </r>
      </text>
    </comment>
    <comment ref="I31" authorId="0" shapeId="0" xr:uid="{00000000-0006-0000-0300-00001E000000}">
      <text>
        <r>
          <rPr>
            <sz val="10"/>
            <rFont val="Arial"/>
            <family val="2"/>
          </rPr>
          <t>Informar neste campo o valor da hora conforme cálculo explicado ao lado.
Obs. 1: a CCT poderá indicar outra porcentagem do adicional noturno. A que consta na fórmula, é a porcentagem padrão de 20%.
Obs. 2: já consta na célula, a fórmula para postos de trabalho em regime 12x36. Somente deve ser alterada esta célular se o regime de trabalho for outro ou se a porcentagem do adicional noturno for outra que não os 20%.</t>
        </r>
      </text>
    </comment>
    <comment ref="I32" authorId="0" shapeId="0" xr:uid="{00000000-0006-0000-0300-00001F000000}">
      <text>
        <r>
          <rPr>
            <sz val="10"/>
            <rFont val="Arial"/>
            <family val="2"/>
          </rPr>
          <t>Informar neste campo o número de horas reduzidas conforme cálculo explicado ao lado.
Obs.: já consta na célula, a fórmula para postos de trabalho em regime 12x36. Somente deve ser alterada esta célular se o regime de trabalho for outro.</t>
        </r>
      </text>
    </comment>
    <comment ref="I33" authorId="0" shapeId="0" xr:uid="{00000000-0006-0000-0300-000020000000}">
      <text>
        <r>
          <rPr>
            <sz val="10"/>
            <rFont val="Arial"/>
            <family val="2"/>
          </rPr>
          <t>Informar neste campo o valor da hora reduzida conforme cálculo explicado ao lado.
Obs.: já consta na célula, a fórmula para postos de trabalho em regime 12x36. Somente deve ser alterada esta célular se o regime de trabalho for outro.</t>
        </r>
      </text>
    </comment>
  </commentList>
</comments>
</file>

<file path=xl/sharedStrings.xml><?xml version="1.0" encoding="utf-8"?>
<sst xmlns="http://schemas.openxmlformats.org/spreadsheetml/2006/main" count="1153" uniqueCount="244">
  <si>
    <r>
      <rPr>
        <b/>
        <sz val="8"/>
        <color rgb="FF000000"/>
        <rFont val="Calibri"/>
        <family val="2"/>
        <charset val="1"/>
      </rPr>
      <t xml:space="preserve">PLANILHA DE CUSTOS E FORMAÇÃO DE PREÇOS DE SERVIÇOS CONTINUADOS </t>
    </r>
    <r>
      <rPr>
        <b/>
        <u/>
        <sz val="10"/>
        <color rgb="FFFF0000"/>
        <rFont val="Calibri"/>
        <family val="2"/>
        <charset val="1"/>
      </rPr>
      <t>COM DEDICAÇÃO EXCLUSIVA</t>
    </r>
    <r>
      <rPr>
        <b/>
        <sz val="8"/>
        <color rgb="FF000000"/>
        <rFont val="Calibri"/>
        <family val="2"/>
        <charset val="1"/>
      </rPr>
      <t xml:space="preserve"> DE MÃO DE OBRA (ANEXO III - DECRETOS 52.768 de 15.12.2015)</t>
    </r>
  </si>
  <si>
    <t>PROCESSO:</t>
  </si>
  <si>
    <t>26080490009565</t>
  </si>
  <si>
    <r>
      <rPr>
        <b/>
        <sz val="12"/>
        <color rgb="FF000000"/>
        <rFont val="Calibri"/>
        <family val="2"/>
        <charset val="1"/>
      </rPr>
      <t xml:space="preserve">REGIME DE TRIBUTAÇÃO: </t>
    </r>
    <r>
      <rPr>
        <b/>
        <sz val="12"/>
        <color rgb="FFFF0000"/>
        <rFont val="Calibri"/>
        <family val="2"/>
        <charset val="1"/>
      </rPr>
      <t>LUCRO REAL e PRESUMIDO (*)</t>
    </r>
  </si>
  <si>
    <t>LICITAÇÃO/EDITAL</t>
  </si>
  <si>
    <t>ABERTURA:</t>
  </si>
  <si>
    <t>Cargo/Função:</t>
  </si>
  <si>
    <t>Vigilante Armado</t>
  </si>
  <si>
    <t>12x36</t>
  </si>
  <si>
    <t>Convenção Coletiva de Trabalho:</t>
  </si>
  <si>
    <t>RS000776/2026</t>
  </si>
  <si>
    <t>INSALUBRIDADE (10%, 20%, 40%)</t>
  </si>
  <si>
    <t>Não aplicável</t>
  </si>
  <si>
    <t>Origem do salário:</t>
  </si>
  <si>
    <t>CCT</t>
  </si>
  <si>
    <t>Cidade:</t>
  </si>
  <si>
    <t>Porto Alegre</t>
  </si>
  <si>
    <t>PERICULOSIDADE (30%)</t>
  </si>
  <si>
    <t>Salário Normativo</t>
  </si>
  <si>
    <t>Vlr. do salário e nº de horas correspondentes</t>
  </si>
  <si>
    <t>ISS</t>
  </si>
  <si>
    <t>Alíquota</t>
  </si>
  <si>
    <t>Adicional Troca de Uniforme (somente para postos de vigilantes que preveem pagamento para troca de uniforme na CCT)</t>
  </si>
  <si>
    <t>Valor</t>
  </si>
  <si>
    <t>Quantidade de dias trabalhados no mês</t>
  </si>
  <si>
    <t>Tarifa Transporte</t>
  </si>
  <si>
    <t>Vr. Unitário</t>
  </si>
  <si>
    <t>Dias</t>
  </si>
  <si>
    <t>Desconto</t>
  </si>
  <si>
    <t>Auxílio Alimentação</t>
  </si>
  <si>
    <t>Auxílio Lanche</t>
  </si>
  <si>
    <t>Outros benefícios que refletem na planilha de custos, caso constem na CCT</t>
  </si>
  <si>
    <t>Valor mensal</t>
  </si>
  <si>
    <t>Adicional de Supervisor (37%)</t>
  </si>
  <si>
    <t>Porcentagem</t>
  </si>
  <si>
    <t>Base de cálculo da insalubridade</t>
  </si>
  <si>
    <t>Quantitativo de horas trabalhadas em feriados no mês (estimado) - Não aplicável para postos 12x36</t>
  </si>
  <si>
    <t>Horas por mês</t>
  </si>
  <si>
    <t>Acréscimo da hora extra</t>
  </si>
  <si>
    <t xml:space="preserve">Hora Intervalar </t>
  </si>
  <si>
    <t>Sem fornecimento de materiais ou apenas fornecimento de EPIs ou uniformes, utilizar 10%.       Com fornecimento de materiais ou equipamentos, utilizar 20%.                                                               (Decreto 52.768/2015, alterado pelo Decreto 53.424/2017)</t>
  </si>
  <si>
    <t>MONTANTE A</t>
  </si>
  <si>
    <t>I</t>
  </si>
  <si>
    <t>Remuneração - Grupo I</t>
  </si>
  <si>
    <t>%</t>
  </si>
  <si>
    <t>Valor Mensal/unidade de serviço (R$)</t>
  </si>
  <si>
    <t>Salário</t>
  </si>
  <si>
    <t>Adicional Periculosidade 30%</t>
  </si>
  <si>
    <r>
      <rPr>
        <sz val="8"/>
        <color rgb="FF000000"/>
        <rFont val="Calibri"/>
        <family val="2"/>
        <charset val="1"/>
      </rPr>
      <t xml:space="preserve">Adicional Insalubridade 10%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</si>
  <si>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20%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</si>
  <si>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40%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</si>
  <si>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rPr>
        <sz val="8"/>
        <color rgb="FF000000"/>
        <rFont val="Calibri"/>
        <family val="2"/>
        <charset val="1"/>
      </rPr>
      <t xml:space="preserve">Adicional de Supervisor </t>
    </r>
    <r>
      <rPr>
        <b/>
        <sz val="5"/>
        <color rgb="FF000000"/>
        <rFont val="Calibri"/>
        <family val="2"/>
        <charset val="1"/>
      </rPr>
      <t>(IN 05/2017 MPOG SLTI)</t>
    </r>
  </si>
  <si>
    <t>Feriados</t>
  </si>
  <si>
    <t>DSR =  número total das horas extras do mês / número de dias úteis X domingos e feriados do mês X valor da hora extra com acréscimo</t>
  </si>
  <si>
    <t xml:space="preserve">Adicional Troca de Uniforme </t>
  </si>
  <si>
    <t>Integração RSF (20% sobre Ad.Troca de Uniforme - somente para vigilantes)</t>
  </si>
  <si>
    <t>Total de Remuneração</t>
  </si>
  <si>
    <t>II</t>
  </si>
  <si>
    <t>Encargos Sociais - Grupo II: Obrigações Sociais</t>
  </si>
  <si>
    <r>
      <rPr>
        <sz val="8"/>
        <color rgb="FF000000"/>
        <rFont val="Calibri"/>
        <family val="2"/>
        <charset val="1"/>
      </rPr>
      <t xml:space="preserve">INSS </t>
    </r>
    <r>
      <rPr>
        <b/>
        <sz val="5"/>
        <color rgb="FF000000"/>
        <rFont val="Calibri"/>
        <family val="2"/>
        <charset val="1"/>
      </rPr>
      <t>(art. 22, inc. I, Lei nº 8.212/91)</t>
    </r>
  </si>
  <si>
    <r>
      <rPr>
        <sz val="8"/>
        <color rgb="FF000000"/>
        <rFont val="Calibri"/>
        <family val="2"/>
        <charset val="1"/>
      </rPr>
      <t xml:space="preserve">SESI ou SESC </t>
    </r>
    <r>
      <rPr>
        <b/>
        <sz val="5"/>
        <color rgb="FF000000"/>
        <rFont val="Calibri"/>
        <family val="2"/>
        <charset val="1"/>
      </rPr>
      <t>(art. 30, Lei nº 8.036/90)</t>
    </r>
  </si>
  <si>
    <r>
      <rPr>
        <sz val="8"/>
        <color rgb="FF000000"/>
        <rFont val="Calibri"/>
        <family val="2"/>
        <charset val="1"/>
      </rPr>
      <t xml:space="preserve">SENAI ou SENAC </t>
    </r>
    <r>
      <rPr>
        <b/>
        <sz val="5"/>
        <color rgb="FF000000"/>
        <rFont val="Calibri"/>
        <family val="2"/>
        <charset val="1"/>
      </rPr>
      <t>(Decreto-Lei nº 2.318/86)</t>
    </r>
  </si>
  <si>
    <r>
      <rPr>
        <sz val="8"/>
        <color rgb="FF000000"/>
        <rFont val="Calibri"/>
        <family val="2"/>
        <charset val="1"/>
      </rPr>
      <t xml:space="preserve">INCRA </t>
    </r>
    <r>
      <rPr>
        <b/>
        <sz val="5"/>
        <color rgb="FF000000"/>
        <rFont val="Calibri"/>
        <family val="2"/>
        <charset val="1"/>
      </rPr>
      <t>(art. 15I, Lei Complementar nº 011/71)</t>
    </r>
  </si>
  <si>
    <r>
      <rPr>
        <sz val="8"/>
        <color rgb="FF000000"/>
        <rFont val="Calibri"/>
        <family val="2"/>
        <charset val="1"/>
      </rPr>
      <t xml:space="preserve">SALÁRIO EDUCAÇÃO </t>
    </r>
    <r>
      <rPr>
        <b/>
        <sz val="5"/>
        <color rgb="FF000000"/>
        <rFont val="Calibri"/>
        <family val="2"/>
        <charset val="1"/>
      </rPr>
      <t>(art. , inc. I, Decreto nº 87.043/82)</t>
    </r>
  </si>
  <si>
    <r>
      <rPr>
        <sz val="8"/>
        <color rgb="FF000000"/>
        <rFont val="Calibri"/>
        <family val="2"/>
        <charset val="1"/>
      </rPr>
      <t>FGTS</t>
    </r>
    <r>
      <rPr>
        <b/>
        <sz val="5"/>
        <color rgb="FF000000"/>
        <rFont val="Calibri"/>
        <family val="2"/>
        <charset val="1"/>
      </rPr>
      <t xml:space="preserve"> (art. 15, Lei nº 8.036/90)</t>
    </r>
  </si>
  <si>
    <r>
      <rPr>
        <sz val="8"/>
        <color rgb="FF000000"/>
        <rFont val="Calibri"/>
        <family val="2"/>
        <charset val="1"/>
      </rPr>
      <t xml:space="preserve">SEG. ACIDENTE DO TRABALHO 1%, 2% e 3% </t>
    </r>
    <r>
      <rPr>
        <b/>
        <sz val="5"/>
        <color rgb="FF000000"/>
        <rFont val="Calibri"/>
        <family val="2"/>
        <charset val="1"/>
      </rPr>
      <t>(art. 22, inc. II, alíneas "b" e "c", da Lei nº 8.212/91)</t>
    </r>
  </si>
  <si>
    <r>
      <rPr>
        <sz val="8"/>
        <color rgb="FF000000"/>
        <rFont val="Calibri"/>
        <family val="2"/>
        <charset val="1"/>
      </rPr>
      <t xml:space="preserve">SEBRAE </t>
    </r>
    <r>
      <rPr>
        <b/>
        <sz val="5"/>
        <color rgb="FF000000"/>
        <rFont val="Calibri"/>
        <family val="2"/>
        <charset val="1"/>
      </rPr>
      <t>(§ 3º, art. 8º, Lei nº 8.029/90)</t>
    </r>
  </si>
  <si>
    <t>Total do Grupo II</t>
  </si>
  <si>
    <t>Os percentuais para o SAT podem variar de 0,50% a 6,00% em função do Fator de Acidente Previdenciário (FAP), Decreto nº 6.957/2009</t>
  </si>
  <si>
    <t>Deverá obrigatoriamente acompanhar a proposta de preços e a planilha de custos e formação de preços a prova do Fator Acidentário de Prevenção – FAP por meio de impressão de consulta ao site do Ministério da Previdência Social (que pode ser obtido no endereço eletrônico http://www2.dataprev.gov.br/fap/fap.htm), independentemente de alteração da alíquota da parcela do Seguro Acidente de Trabalho disposta no Quadro II da referida planilha.</t>
  </si>
  <si>
    <t>III</t>
  </si>
  <si>
    <t>Encargos Sociais - Grupo III: Tempo Não Trabalhado</t>
  </si>
  <si>
    <t>FÉRIAS GOZADAS + ADICIONAL DE FÉRIAS</t>
  </si>
  <si>
    <r>
      <rPr>
        <sz val="8"/>
        <color rgb="FF000000"/>
        <rFont val="Calibri"/>
        <family val="2"/>
        <charset val="1"/>
      </rPr>
      <t>FALTAS ABONADAS</t>
    </r>
    <r>
      <rPr>
        <b/>
        <vertAlign val="superscript"/>
        <sz val="8"/>
        <color rgb="FF000000"/>
        <rFont val="Calibri"/>
        <family val="2"/>
        <charset val="1"/>
      </rPr>
      <t xml:space="preserve"> (3)</t>
    </r>
  </si>
  <si>
    <r>
      <rPr>
        <sz val="8"/>
        <color rgb="FF000000"/>
        <rFont val="Calibri"/>
        <family val="2"/>
        <charset val="1"/>
      </rPr>
      <t xml:space="preserve">FALTAS LEGAIS </t>
    </r>
    <r>
      <rPr>
        <vertAlign val="superscript"/>
        <sz val="8"/>
        <color rgb="FF000000"/>
        <rFont val="Calibri"/>
        <family val="2"/>
        <charset val="1"/>
      </rPr>
      <t>(4)</t>
    </r>
  </si>
  <si>
    <t>LICENÇA MATERNIDADE</t>
  </si>
  <si>
    <t>LICENÇA PATERNIDADE</t>
  </si>
  <si>
    <t>ACIDENTE DE TRABALHO</t>
  </si>
  <si>
    <t>AVISO PRÉVIO TRABALHADO</t>
  </si>
  <si>
    <t>13º SALÁRIO</t>
  </si>
  <si>
    <t>Total do Grupo III</t>
  </si>
  <si>
    <t>(3)</t>
  </si>
  <si>
    <t>Faltas Justificadas por Auxílio Doença</t>
  </si>
  <si>
    <t>(4)</t>
  </si>
  <si>
    <t>Faltas Legais - Art. 473 CLT</t>
  </si>
  <si>
    <t>IV</t>
  </si>
  <si>
    <t>Encargos Sociais - Grupo IV: Indenizações</t>
  </si>
  <si>
    <t>INDENIZAÇÕES</t>
  </si>
  <si>
    <t>FGTS SOBRE INDENIZAÇÕES</t>
  </si>
  <si>
    <t>INDENIZAÇÃO COMPENSATÓRIA POR DEMISSÃO SEM JUSTA CAUSA</t>
  </si>
  <si>
    <t>Total do Grupo IV</t>
  </si>
  <si>
    <t>V</t>
  </si>
  <si>
    <t>Encargos Sociais - Grupo V: Incidências</t>
  </si>
  <si>
    <t>INCIDÊNCIA GRUPO II (Obrigações Sociais) X GRUPO III (Tempo Não Trabalhado)</t>
  </si>
  <si>
    <t>Total do Grupo V</t>
  </si>
  <si>
    <t>TOTAL DOS ENCARGOS SOCIAIS (II + III + IV + V)</t>
  </si>
  <si>
    <t>VI</t>
  </si>
  <si>
    <t>Demais custos relativos à Norma Coletiva ou Disposições Legais - Grupo VI</t>
  </si>
  <si>
    <t>Vale-Transporte⁽⁵⁾</t>
  </si>
  <si>
    <t>Adicional Intervalar</t>
  </si>
  <si>
    <t>Plano de Saúde</t>
  </si>
  <si>
    <t>Auxílio Creche</t>
  </si>
  <si>
    <t>Outros</t>
  </si>
  <si>
    <t>Total do Grupo VI</t>
  </si>
  <si>
    <t>(5)</t>
  </si>
  <si>
    <t>O valor do vale-transporte pode variar de acordo com o modal fornecido pelo empregador.</t>
  </si>
  <si>
    <t>MEMÓRIA DE CÁLCULO DO VALE TRANSPORTE</t>
  </si>
  <si>
    <t>Valor Unitário</t>
  </si>
  <si>
    <t>Dias de Trabalho</t>
  </si>
  <si>
    <t>Vale p/dia</t>
  </si>
  <si>
    <t>Custo total</t>
  </si>
  <si>
    <t>Base de cálculo</t>
  </si>
  <si>
    <t>Percentual de desconto</t>
  </si>
  <si>
    <t>Valor desconto</t>
  </si>
  <si>
    <t>Custo efetivo</t>
  </si>
  <si>
    <t>MEMÓRIA DE CÁLCULO DO VALE LANCHE</t>
  </si>
  <si>
    <t>Dias por mês</t>
  </si>
  <si>
    <t>MEMÓRIA DE CÁLCULO DO VALE ALIMENTAÇÃO</t>
  </si>
  <si>
    <t>TOTAL DO MONTANTE A (I + II + III+ IV + V +VI)</t>
  </si>
  <si>
    <t>MONTANTE B</t>
  </si>
  <si>
    <t>Despesas Diretas</t>
  </si>
  <si>
    <r>
      <rPr>
        <sz val="8"/>
        <color rgb="FF000000"/>
        <rFont val="Calibri"/>
        <family val="2"/>
        <charset val="1"/>
      </rPr>
      <t xml:space="preserve">Transporte </t>
    </r>
    <r>
      <rPr>
        <vertAlign val="superscript"/>
        <sz val="8"/>
        <color rgb="FF000000"/>
        <rFont val="Calibri"/>
        <family val="2"/>
        <charset val="1"/>
      </rPr>
      <t xml:space="preserve">(6) </t>
    </r>
  </si>
  <si>
    <r>
      <rPr>
        <sz val="8"/>
        <color rgb="FF000000"/>
        <rFont val="Calibri"/>
        <family val="2"/>
        <charset val="1"/>
      </rPr>
      <t>Uniformes/EPI</t>
    </r>
    <r>
      <rPr>
        <vertAlign val="superscript"/>
        <sz val="8"/>
        <color rgb="FF000000"/>
        <rFont val="Calibri"/>
        <family val="2"/>
        <charset val="1"/>
      </rPr>
      <t xml:space="preserve"> (6a) </t>
    </r>
  </si>
  <si>
    <t>Seguro de vida</t>
  </si>
  <si>
    <r>
      <rPr>
        <sz val="8"/>
        <color rgb="FF000000"/>
        <rFont val="Calibri"/>
        <family val="2"/>
        <charset val="1"/>
      </rPr>
      <t>Materiais/Equipamentos</t>
    </r>
    <r>
      <rPr>
        <vertAlign val="superscript"/>
        <sz val="8"/>
        <color rgb="FF000000"/>
        <rFont val="Calibri"/>
        <family val="2"/>
        <charset val="1"/>
      </rPr>
      <t xml:space="preserve"> (7)</t>
    </r>
  </si>
  <si>
    <r>
      <rPr>
        <sz val="8"/>
        <color rgb="FF000000"/>
        <rFont val="Calibri"/>
        <family val="2"/>
        <charset val="1"/>
      </rPr>
      <t>Depreciação de equipamentos</t>
    </r>
    <r>
      <rPr>
        <vertAlign val="superscript"/>
        <sz val="8"/>
        <color rgb="FF000000"/>
        <rFont val="Calibri"/>
        <family val="2"/>
        <charset val="1"/>
      </rPr>
      <t xml:space="preserve"> (8)</t>
    </r>
  </si>
  <si>
    <r>
      <rPr>
        <sz val="8"/>
        <color rgb="FF000000"/>
        <rFont val="Calibri"/>
        <family val="2"/>
        <charset val="1"/>
      </rPr>
      <t>Mobilização</t>
    </r>
    <r>
      <rPr>
        <vertAlign val="superscript"/>
        <sz val="8"/>
        <color rgb="FF000000"/>
        <rFont val="Calibri"/>
        <family val="2"/>
        <charset val="1"/>
      </rPr>
      <t xml:space="preserve"> (8)</t>
    </r>
  </si>
  <si>
    <t>Outros (especificar)</t>
  </si>
  <si>
    <t>Total de Despesas Diretas</t>
  </si>
  <si>
    <t>(6)   Somente será preenchido quando o licitante fornecer transporte próprio, pagamento de combustível ou quando for necessário outro modal para transporte do funcionário
(6a)  EPI - Equipamento de Proteção Individual
(7) O licitante deverá entregar junto com a sua proposta, uma tabela com o valor unitário de cada material/equipamento constante no Termo de Referência
(8)   Tais custos de mobilização e depreciação de equipamentos não são renováveis, devendo ser eliminados após o primeiro ano de contrato caso haja prorrogação</t>
  </si>
  <si>
    <t>LIMITE QUADRO I (Despesas Diretas) sobre Montante A (exceto Vale-transporte), conforme alíneas "b.2" e "b.3", Inc. II, art. 7º, do Decreto 52.768/2015, alterado pelo Decreto 53.424/2017: 10% SEM MATERIAIS/EQUIPAMENTOS; 20% COM MATERIAIS/EQUIPAMENTOS</t>
  </si>
  <si>
    <t>Dedução Vale Transporte</t>
  </si>
  <si>
    <t>Remuneração (Grupo I)</t>
  </si>
  <si>
    <t>Obrigações Sociais (Grupo II)</t>
  </si>
  <si>
    <t>Tempo Não Trabalhado (Grupo III)</t>
  </si>
  <si>
    <t>Indenizações (Grupo IV)</t>
  </si>
  <si>
    <t>Incidências (Grupo V)</t>
  </si>
  <si>
    <t>Demais Custos CCT</t>
  </si>
  <si>
    <t>Total Montante A</t>
  </si>
  <si>
    <t>Base de Cálculo</t>
  </si>
  <si>
    <t>Despesas Indiretas</t>
  </si>
  <si>
    <t>Despesas Administrativas</t>
  </si>
  <si>
    <t>Seguros</t>
  </si>
  <si>
    <r>
      <rPr>
        <b/>
        <sz val="9"/>
        <color rgb="FF000000"/>
        <rFont val="Calibri"/>
        <family val="2"/>
        <charset val="1"/>
      </rPr>
      <t xml:space="preserve">Total de Despesas Indiretas                  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  <charset val="1"/>
      </rPr>
      <t>Obs.: conforme item b.1 do inciso II do art. 7º do Decreto 52.768/2015, a soma das Despesas Indiretas + Lucro não poderá ultrapassar o valor constante na célula G128.</t>
    </r>
  </si>
  <si>
    <t>Lucro</t>
  </si>
  <si>
    <r>
      <rPr>
        <b/>
        <sz val="9"/>
        <color rgb="FF000000"/>
        <rFont val="Calibri"/>
        <family val="2"/>
        <charset val="1"/>
      </rPr>
      <t xml:space="preserve">Total do Lucro                                           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  <charset val="1"/>
      </rPr>
      <t>Obs.: conforme item b.1 do inciso II do art. 7º do Decreto 52.768/2015, a soma das Despesas Indiretas + Lucro não poderá ultrapassar o valor constante na célula G128.</t>
    </r>
  </si>
  <si>
    <t>LIMITE DOS QUADROS II (Despesas Indiretas) e III (Lucro) sobre Montante A (exceto Vale-transporte), conforme alínea "b1", Inc. II, art. 7º, do Decreto 52.768</t>
  </si>
  <si>
    <t>TOTAL DO MONTANTE B (I + II + III)</t>
  </si>
  <si>
    <t>MONTANTE C</t>
  </si>
  <si>
    <r>
      <rPr>
        <b/>
        <sz val="10"/>
        <color rgb="FF000000"/>
        <rFont val="Calibri"/>
        <family val="2"/>
        <charset val="1"/>
      </rPr>
      <t xml:space="preserve">Tributos </t>
    </r>
    <r>
      <rPr>
        <b/>
        <vertAlign val="superscript"/>
        <sz val="10"/>
        <color rgb="FF000000"/>
        <rFont val="Calibri"/>
        <family val="2"/>
        <charset val="1"/>
      </rPr>
      <t>(8)</t>
    </r>
  </si>
  <si>
    <t>PIS</t>
  </si>
  <si>
    <t>COFINS</t>
  </si>
  <si>
    <r>
      <rPr>
        <sz val="8"/>
        <color rgb="FF000000"/>
        <rFont val="Calibri"/>
        <family val="2"/>
        <charset val="1"/>
      </rPr>
      <t xml:space="preserve">SIMPLES </t>
    </r>
    <r>
      <rPr>
        <vertAlign val="superscript"/>
        <sz val="8"/>
        <color rgb="FF000000"/>
        <rFont val="Calibri"/>
        <family val="2"/>
        <charset val="1"/>
      </rPr>
      <t>(9)</t>
    </r>
  </si>
  <si>
    <t>Outros (CPRB)</t>
  </si>
  <si>
    <t>Total de Tributos</t>
  </si>
  <si>
    <t>(8)</t>
  </si>
  <si>
    <t>O valor referente a tributos é obtido aplicando-se o percentual sobre o valor do faturamento.</t>
  </si>
  <si>
    <t>(9)</t>
  </si>
  <si>
    <t>As empresas optantes pelo SIMPLES que se enquadrarem nas exceções previstas nos parágrafos 5º-B a 5º-E do artigo 18 da Lei Complementar 123/2006, deverão preencher apenas a linha 4 da planilha</t>
  </si>
  <si>
    <t>MEMÓRIA DE CÁLCULO DOS TRIBUTOS</t>
  </si>
  <si>
    <t>Montante A</t>
  </si>
  <si>
    <t>Montante B</t>
  </si>
  <si>
    <t>Custo total por empregado</t>
  </si>
  <si>
    <t>TRIBUTOS</t>
  </si>
  <si>
    <t>LUCRO REAL</t>
  </si>
  <si>
    <t>LUCRO PRESUMIDO e REAL (*)</t>
  </si>
  <si>
    <t>Coeficiente L. Real</t>
  </si>
  <si>
    <t>Coeficiente L. Presumido</t>
  </si>
  <si>
    <r>
      <rPr>
        <sz val="6"/>
        <color rgb="FF000000"/>
        <rFont val="Calibri"/>
        <family val="2"/>
        <charset val="1"/>
      </rPr>
      <t>Coef SIMPLES</t>
    </r>
    <r>
      <rPr>
        <i/>
        <vertAlign val="superscript"/>
        <sz val="6"/>
        <color rgb="FF000000"/>
        <rFont val="Calibri"/>
        <family val="2"/>
        <charset val="1"/>
      </rPr>
      <t xml:space="preserve"> (*)</t>
    </r>
  </si>
  <si>
    <t>SIMPLES</t>
  </si>
  <si>
    <t>(*)</t>
  </si>
  <si>
    <t>Segunda faixa: Receita Bruta em 12 meses De 180.000,01 a 360.000,00- Alíquota de 9,00%</t>
  </si>
  <si>
    <r>
      <rPr>
        <sz val="8"/>
        <color rgb="FF000000"/>
        <rFont val="Calibri"/>
        <family val="2"/>
        <charset val="1"/>
      </rPr>
      <t xml:space="preserve">Outros (CPRB) </t>
    </r>
    <r>
      <rPr>
        <vertAlign val="superscript"/>
        <sz val="8"/>
        <color rgb="FF000000"/>
        <rFont val="Calibri"/>
        <family val="2"/>
        <charset val="1"/>
      </rPr>
      <t>(1)</t>
    </r>
  </si>
  <si>
    <t>TOTAL</t>
  </si>
  <si>
    <t>(*) Com fundamento no disposto no artigo 10, inciso I, da lei 10.833/2003 e Lei 10.637/2002, e em conformidade com a informação ASJUR/CELIC 1.724/16, as Pessoas Jurídicas (empresas) referidas na Lei 7.102/83 (vigilância), optantes (enquadradas) pelo Regime de Tributação, Lucro Real, deverão apurar o PIS e a COFINS, pela sistemática cumulativa (Lucro Presumido), ou seja, com base nas alíquotas de 0,65% e 3,00%, respectivamente, sobre a receita bruta. Assim sendo, as Licitantes cujo Regime Tributário é regrado pelo Lucro Real (sistemática não cumulativa), com vista a não onerar a Administração Pública, deverão utilizar na composição dos custos dos tributos, do “Montante C”, na Planilha de Custos e Formação de Preços, as alíquotas, da sistemática cumulativa de 0,65% para o PIS e de 3,00% para a COFINS (Lucro Presumido), desconsiderando as alíquotas de 1,65% e de 7,60% (Lucro Real).</t>
  </si>
  <si>
    <t>(1)</t>
  </si>
  <si>
    <t>As empresas optantes pela desoneração da Folha de Pagamento prevista na Lei Federal nº 12.546/2011 devem preencher a alíquota no campo "Outros (CPRB)"</t>
  </si>
  <si>
    <t>TOTAL DO MONTANTE C</t>
  </si>
  <si>
    <t>QUADRO RESUMO</t>
  </si>
  <si>
    <t>Remuneração (I)</t>
  </si>
  <si>
    <t>Encargos Sociais (II + III + IV + V)</t>
  </si>
  <si>
    <t>Demais Custos realtivos a Norma Coletiva ou Disposições Legais (VI)</t>
  </si>
  <si>
    <t xml:space="preserve">Total do Montante A </t>
  </si>
  <si>
    <t>Despesas Diretas (I)</t>
  </si>
  <si>
    <t>Despesas Indiretas (II)</t>
  </si>
  <si>
    <t>Lucro (III)</t>
  </si>
  <si>
    <t xml:space="preserve">Total do Montante B </t>
  </si>
  <si>
    <t>Tributos (I)</t>
  </si>
  <si>
    <t xml:space="preserve">Total do Montante C </t>
  </si>
  <si>
    <t>QUADRO RESUMO UNITÁRIO</t>
  </si>
  <si>
    <t>Valor mensal de materiais/equipamentos</t>
  </si>
  <si>
    <t>Conta vinculada</t>
  </si>
  <si>
    <r>
      <rPr>
        <u/>
        <sz val="7"/>
        <color rgb="FF000000"/>
        <rFont val="Calibri"/>
        <family val="2"/>
        <charset val="1"/>
      </rPr>
      <t>Valor unitário de retenção</t>
    </r>
    <r>
      <rPr>
        <sz val="7"/>
        <color rgb="FF000000"/>
        <rFont val="Calibri"/>
        <family val="2"/>
        <charset val="1"/>
      </rPr>
      <t xml:space="preserve"> (total da remuneração X soma das porcentagens de Férias Gozadas, Aviso Prévio Trabalhado, 13º salário, indenizações e incidências X unidades de serviço)</t>
    </r>
  </si>
  <si>
    <t>Valor total do posto</t>
  </si>
  <si>
    <t>Valor Mensal por Unidade de Serviço (A + B + C)</t>
  </si>
  <si>
    <t>Quantidade de Unidade de Serviços</t>
  </si>
  <si>
    <t>Valor mensal do serviço</t>
  </si>
  <si>
    <t>Vale Alimentação</t>
  </si>
  <si>
    <t>Hora Intervalar (somente para postos 12x36, quando for o caso)</t>
  </si>
  <si>
    <r>
      <rPr>
        <b/>
        <sz val="8"/>
        <color rgb="FF000000"/>
        <rFont val="Calibri"/>
        <family val="2"/>
        <charset val="1"/>
      </rPr>
      <t>Adicional Noturno:
Horas:</t>
    </r>
    <r>
      <rPr>
        <sz val="8"/>
        <color rgb="FF000000"/>
        <rFont val="Calibri"/>
        <family val="2"/>
        <charset val="1"/>
      </rPr>
      <t xml:space="preserve"> [(60/52,5) x Nº de horas noturnas diárias] x Nº de dias trabalhados com hora noturna
</t>
    </r>
    <r>
      <rPr>
        <b/>
        <sz val="8"/>
        <color rgb="FF000000"/>
        <rFont val="Calibri"/>
        <family val="2"/>
        <charset val="1"/>
      </rPr>
      <t>Valor hora:</t>
    </r>
    <r>
      <rPr>
        <sz val="8"/>
        <color rgb="FF000000"/>
        <rFont val="Calibri"/>
        <family val="2"/>
        <charset val="1"/>
      </rPr>
      <t xml:space="preserve"> (vlr. do salário/nº de horas correspondente do salário) x 20% (noturno)</t>
    </r>
  </si>
  <si>
    <t>Nº horas</t>
  </si>
  <si>
    <t>Vr. Hora</t>
  </si>
  <si>
    <r>
      <rPr>
        <b/>
        <sz val="8"/>
        <color rgb="FF000000"/>
        <rFont val="Calibri"/>
        <family val="2"/>
        <charset val="1"/>
      </rPr>
      <t>Reduzida Noturna
Horas Reduzidas:</t>
    </r>
    <r>
      <rPr>
        <sz val="8"/>
        <color rgb="FF000000"/>
        <rFont val="Calibri"/>
        <family val="2"/>
        <charset val="1"/>
      </rPr>
      <t xml:space="preserve"> 60/52,5=1,143 x 7h noturnas = 8h noturnas
5h diurnas + 8h noturnas =  13h X 15 dias = 195 horas mensais
195h - 190,67 =</t>
    </r>
    <r>
      <rPr>
        <b/>
        <sz val="8"/>
        <color rgb="FF000000"/>
        <rFont val="Calibri"/>
        <family val="2"/>
        <charset val="1"/>
      </rPr>
      <t xml:space="preserve"> 4,33 horas
Valor hora:</t>
    </r>
    <r>
      <rPr>
        <sz val="8"/>
        <color rgb="FF000000"/>
        <rFont val="Calibri"/>
        <family val="2"/>
        <charset val="1"/>
      </rPr>
      <t xml:space="preserve"> (vlr. do salário/nº de horas correspondente do salário) x 150% (H.Extra)</t>
    </r>
  </si>
  <si>
    <r>
      <rPr>
        <sz val="8"/>
        <color rgb="FF000000"/>
        <rFont val="Calibri"/>
        <family val="2"/>
        <charset val="1"/>
      </rPr>
      <t xml:space="preserve">Adicional Noturno 20% </t>
    </r>
    <r>
      <rPr>
        <b/>
        <sz val="5"/>
        <color rgb="FF000000"/>
        <rFont val="Calibri"/>
        <family val="2"/>
        <charset val="1"/>
      </rPr>
      <t>(Ver súmula 60 TST)</t>
    </r>
  </si>
  <si>
    <t>Reduzida Noturna</t>
  </si>
  <si>
    <t>Adicional de insalubridade sobre Reduzida Noturna</t>
  </si>
  <si>
    <t>Adicional de periculosidade sobre Reduzida Noturna</t>
  </si>
  <si>
    <t xml:space="preserve">Adicional Noturno </t>
  </si>
  <si>
    <t>Adicional de insalubridade sobre o Adicional Noturno</t>
  </si>
  <si>
    <t>Adicional de periculosidade sobre o Adicional Noturno</t>
  </si>
  <si>
    <t>Integração RSRF (20%) sobre H. Extra Red. Noturna e Adic Noturno = [Reduzida Noturna + Adic. Noturno]*[Descanso Semanal Remunerado] (20%)</t>
  </si>
  <si>
    <t>Adicional Troca de Uniforme</t>
  </si>
  <si>
    <t>Integração RSF (20% sobre Ad.Troca de Uniforme)</t>
  </si>
  <si>
    <r>
      <rPr>
        <b/>
        <sz val="9"/>
        <color rgb="FF000000"/>
        <rFont val="Calibri"/>
        <family val="2"/>
        <charset val="1"/>
      </rPr>
      <t xml:space="preserve">Total de Despesas Indiretas                  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  <charset val="1"/>
      </rPr>
      <t>Obs.: conforme item b.1 do inciso II do art. 7º do Decreto 52.768/2015, a soma das Despesas Indiretas + Lucro não poderá ultrapassar o valor constante na célula G136.</t>
    </r>
  </si>
  <si>
    <r>
      <rPr>
        <b/>
        <sz val="9"/>
        <color rgb="FF000000"/>
        <rFont val="Calibri"/>
        <family val="2"/>
        <charset val="1"/>
      </rPr>
      <t xml:space="preserve">Total do Lucro                                           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  <charset val="1"/>
      </rPr>
      <t>Obs.: conforme item b.1 do inciso II do art. 7º do Decreto 52.768/2015, a soma das Despesas Indiretas + Lucro não poderá ultrapassar o valor constante na célula G136.</t>
    </r>
  </si>
  <si>
    <r>
      <rPr>
        <b/>
        <sz val="11"/>
        <color rgb="FFFF0000"/>
        <rFont val="Calibri"/>
        <family val="2"/>
        <charset val="1"/>
      </rPr>
      <t>ATENÇÃO: SOMENTE PREENCHER QUANDO HOUVER FORNECIMENTO DE MATERIAIS E/OU EQUIPAMENTOS (</t>
    </r>
    <r>
      <rPr>
        <b/>
        <u/>
        <sz val="11"/>
        <color rgb="FFFF0000"/>
        <rFont val="Calibri"/>
        <family val="2"/>
        <charset val="1"/>
      </rPr>
      <t>NÃO INCLUÍDO EPIs E UNIFORMES</t>
    </r>
    <r>
      <rPr>
        <b/>
        <sz val="11"/>
        <color rgb="FFFF0000"/>
        <rFont val="Calibri"/>
        <family val="2"/>
        <charset val="1"/>
      </rPr>
      <t>)</t>
    </r>
  </si>
  <si>
    <t>PLANILHA DE MATERIAIS E EQUIPAMENTOS A SER PREENCHIDA PELO LICITANTE COM BASE NO TERMO DE REFERÊNCIA, QUANDO HOUVER NECESSIDADE DE FORNECIMENTO DE MATERIAIS/EQUIPAMENTOS (VER CGL 7.2 DO EDITAL)</t>
  </si>
  <si>
    <r>
      <rPr>
        <b/>
        <sz val="11"/>
        <rFont val="Calibri"/>
        <family val="2"/>
        <charset val="1"/>
      </rPr>
      <t>Material/Equipamento (</t>
    </r>
    <r>
      <rPr>
        <b/>
        <u/>
        <sz val="11"/>
        <rFont val="Calibri"/>
        <family val="2"/>
        <charset val="1"/>
      </rPr>
      <t>não incluir EPIs e uniformes</t>
    </r>
    <r>
      <rPr>
        <b/>
        <sz val="11"/>
        <rFont val="Calibri"/>
        <family val="2"/>
        <charset val="1"/>
      </rPr>
      <t>)</t>
    </r>
  </si>
  <si>
    <t>Quantidade</t>
  </si>
  <si>
    <t>Valor unitário</t>
  </si>
  <si>
    <t>Valor total</t>
  </si>
  <si>
    <t>VALOR TOTAL MENSAL DE MATERIAIS/EQUIPAMENTOS:</t>
  </si>
  <si>
    <t>Função</t>
  </si>
  <si>
    <t>Cidade</t>
  </si>
  <si>
    <t>Carga Horária</t>
  </si>
  <si>
    <t>Dias da semana</t>
  </si>
  <si>
    <t>Nº de Postos</t>
  </si>
  <si>
    <t>Valor unitário mensal de MATERIAL/EQUIPAMENTO</t>
  </si>
  <si>
    <t>Valor total mensal de MATERIAL/EQUIPAMENTO</t>
  </si>
  <si>
    <t>Valor unitário  mensal de retenção para a CONTA VINCULADA</t>
  </si>
  <si>
    <t>Valor total mensal de retenção para a CONTA VINCULADA</t>
  </si>
  <si>
    <t>Valor unitário mensal do posto</t>
  </si>
  <si>
    <t>Valor total mensal do posto</t>
  </si>
  <si>
    <t>24h</t>
  </si>
  <si>
    <t>seg-dom inclusive feriados</t>
  </si>
  <si>
    <t>Supervisor</t>
  </si>
  <si>
    <t>TOTAL DE POSTOS:</t>
  </si>
  <si>
    <t>VALOR TOTAL MENSAL PARA RETENÇÃO EM CONTA VINCULADA:</t>
  </si>
  <si>
    <t>PORCENTAGEM CORRESPONDENTE EM RELAÇÃO AO VALOR TOTAL PARA RETENÇÃO EM CONTA VINCULADA:</t>
  </si>
  <si>
    <t>VALOR GLOBAL MENSAL:</t>
  </si>
  <si>
    <t>Supervisor Noturno Armado</t>
  </si>
  <si>
    <t>Supervisor Diurno Armado</t>
  </si>
  <si>
    <t>Vigilante Noturno Armado</t>
  </si>
  <si>
    <t>Vigilante Diurno Armado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</si>
</sst>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_(* #,##0.00_);_(* \(#,##0.00\);_(* &quot;-&quot;??_);_(@_)"/>
    <numFmt numFmtId="165" formatCode="_-&quot;R$ &quot;* #,##0.00_-;&quot;-R$ &quot;* #,##0.00_-;_-&quot;R$ &quot;* \-??_-;_-@_-"/>
    <numFmt numFmtId="166" formatCode="0.0000%"/>
    <numFmt numFmtId="167" formatCode="&quot;R$ &quot;#,##0.00"/>
    <numFmt numFmtId="168" formatCode="0.0%"/>
    <numFmt numFmtId="169" formatCode="0.0000"/>
    <numFmt numFmtId="170" formatCode="&quot;R$ &quot;#,##0.000"/>
    <numFmt numFmtId="171" formatCode="_-* #,##0_-;\-* #,##0_-;_-* \-??_-;_-@_-"/>
  </numFmts>
  <fonts count="39" x14ac:knownFonts="1">
    <font>
      <sz val="11"/>
      <color rgb="FF000000"/>
      <name val="Calibri"/>
      <family val="2"/>
      <charset val="1"/>
    </font>
    <font>
      <u/>
      <sz val="11"/>
      <color rgb="FF0563C1"/>
      <name val="Calibri"/>
      <family val="2"/>
      <charset val="1"/>
    </font>
    <font>
      <sz val="8"/>
      <color rgb="FF000000"/>
      <name val="Calibri"/>
      <family val="2"/>
      <charset val="1"/>
    </font>
    <font>
      <b/>
      <sz val="8"/>
      <color rgb="FF000000"/>
      <name val="Calibri"/>
      <family val="2"/>
      <charset val="1"/>
    </font>
    <font>
      <b/>
      <u/>
      <sz val="10"/>
      <color rgb="FFFF0000"/>
      <name val="Calibri"/>
      <family val="2"/>
      <charset val="1"/>
    </font>
    <font>
      <b/>
      <sz val="12"/>
      <name val="Calibri"/>
      <family val="2"/>
      <charset val="1"/>
    </font>
    <font>
      <b/>
      <sz val="12"/>
      <color rgb="FF000000"/>
      <name val="Calibri"/>
      <family val="2"/>
      <charset val="1"/>
    </font>
    <font>
      <b/>
      <sz val="12"/>
      <color rgb="FFFF0000"/>
      <name val="Calibri"/>
      <family val="2"/>
      <charset val="1"/>
    </font>
    <font>
      <b/>
      <sz val="14"/>
      <color rgb="FFFF0000"/>
      <name val="Calibri"/>
      <family val="2"/>
      <charset val="1"/>
    </font>
    <font>
      <sz val="7.5"/>
      <color rgb="FF000000"/>
      <name val="Calibri"/>
      <family val="2"/>
      <charset val="1"/>
    </font>
    <font>
      <sz val="7"/>
      <color rgb="FF000000"/>
      <name val="Calibri"/>
      <family val="2"/>
      <charset val="1"/>
    </font>
    <font>
      <sz val="6"/>
      <color rgb="FF000000"/>
      <name val="Calibri"/>
      <family val="2"/>
      <charset val="1"/>
    </font>
    <font>
      <b/>
      <sz val="10"/>
      <color rgb="FF000000"/>
      <name val="Calibri"/>
      <family val="2"/>
      <charset val="1"/>
    </font>
    <font>
      <b/>
      <sz val="5"/>
      <color rgb="FF000000"/>
      <name val="Calibri"/>
      <family val="2"/>
      <charset val="1"/>
    </font>
    <font>
      <b/>
      <sz val="9"/>
      <color rgb="FF000000"/>
      <name val="Calibri"/>
      <family val="2"/>
      <charset val="1"/>
    </font>
    <font>
      <sz val="9"/>
      <color rgb="FF000000"/>
      <name val="Calibri"/>
      <family val="2"/>
      <charset val="1"/>
    </font>
    <font>
      <i/>
      <sz val="7"/>
      <color rgb="FF000000"/>
      <name val="Calibri"/>
      <family val="2"/>
      <charset val="1"/>
    </font>
    <font>
      <b/>
      <vertAlign val="superscript"/>
      <sz val="8"/>
      <color rgb="FF000000"/>
      <name val="Calibri"/>
      <family val="2"/>
      <charset val="1"/>
    </font>
    <font>
      <vertAlign val="superscript"/>
      <sz val="8"/>
      <color rgb="FF000000"/>
      <name val="Calibri"/>
      <family val="2"/>
      <charset val="1"/>
    </font>
    <font>
      <i/>
      <sz val="6"/>
      <color rgb="FF000000"/>
      <name val="Calibri"/>
      <family val="2"/>
      <charset val="1"/>
    </font>
    <font>
      <u/>
      <sz val="7.5"/>
      <color rgb="FF000000"/>
      <name val="Calibri"/>
      <family val="2"/>
      <charset val="1"/>
    </font>
    <font>
      <b/>
      <vertAlign val="superscript"/>
      <sz val="10"/>
      <color rgb="FF000000"/>
      <name val="Calibri"/>
      <family val="2"/>
      <charset val="1"/>
    </font>
    <font>
      <i/>
      <vertAlign val="superscript"/>
      <sz val="6"/>
      <color rgb="FF000000"/>
      <name val="Calibri"/>
      <family val="2"/>
      <charset val="1"/>
    </font>
    <font>
      <b/>
      <i/>
      <sz val="6"/>
      <color rgb="FF000000"/>
      <name val="Calibri"/>
      <family val="2"/>
      <charset val="1"/>
    </font>
    <font>
      <b/>
      <sz val="6"/>
      <color rgb="FF000000"/>
      <name val="Calibri"/>
      <family val="2"/>
      <charset val="1"/>
    </font>
    <font>
      <sz val="5"/>
      <color rgb="FF000000"/>
      <name val="Calibri"/>
      <family val="2"/>
      <charset val="1"/>
    </font>
    <font>
      <u/>
      <sz val="7"/>
      <color rgb="FF000000"/>
      <name val="Calibri"/>
      <family val="2"/>
      <charset val="1"/>
    </font>
    <font>
      <b/>
      <u/>
      <sz val="10"/>
      <color rgb="FF000000"/>
      <name val="Calibri"/>
      <family val="2"/>
      <charset val="1"/>
    </font>
    <font>
      <sz val="10"/>
      <name val="Arial"/>
      <family val="2"/>
    </font>
    <font>
      <b/>
      <sz val="6"/>
      <color rgb="FF000000"/>
      <name val="Arial"/>
      <family val="2"/>
      <charset val="1"/>
    </font>
    <font>
      <b/>
      <sz val="11"/>
      <color rgb="FFFF0000"/>
      <name val="Calibri"/>
      <family val="2"/>
      <charset val="1"/>
    </font>
    <font>
      <b/>
      <u/>
      <sz val="11"/>
      <color rgb="FFFF0000"/>
      <name val="Calibri"/>
      <family val="2"/>
      <charset val="1"/>
    </font>
    <font>
      <b/>
      <sz val="11"/>
      <name val="Calibri"/>
      <family val="2"/>
      <charset val="1"/>
    </font>
    <font>
      <b/>
      <u/>
      <sz val="11"/>
      <name val="Calibri"/>
      <family val="2"/>
      <charset val="1"/>
    </font>
    <font>
      <sz val="11"/>
      <color rgb="FFFF0000"/>
      <name val="Calibri"/>
      <family val="2"/>
      <charset val="1"/>
    </font>
    <font>
      <b/>
      <sz val="11"/>
      <color rgb="FF000000"/>
      <name val="Calibri"/>
      <family val="2"/>
      <charset val="1"/>
    </font>
    <font>
      <sz val="10"/>
      <color rgb="FF000000"/>
      <name val="Calibri"/>
      <family val="2"/>
      <charset val="1"/>
    </font>
    <font>
      <sz val="11"/>
      <color rgb="FF000000"/>
      <name val="Calibri"/>
      <family val="2"/>
      <charset val="1"/>
    </font>
    <font>
      <sz val="8"/>
      <color rgb="FF000000"/>
      <name val="Calibri"/>
      <charset val="1"/>
    </font>
  </fonts>
  <fills count="15">
    <fill>
      <patternFill patternType="none"/>
    </fill>
    <fill>
      <patternFill patternType="gray125"/>
    </fill>
    <fill>
      <patternFill patternType="solid">
        <fgColor rgb="FFFFFFFF"/>
        <bgColor rgb="FFFFF2CC"/>
      </patternFill>
    </fill>
    <fill>
      <patternFill patternType="solid">
        <fgColor rgb="FF00B0F0"/>
        <bgColor rgb="FF33CCCC"/>
      </patternFill>
    </fill>
    <fill>
      <patternFill patternType="solid">
        <fgColor rgb="FFD9D9D9"/>
        <bgColor rgb="FFDBDBDB"/>
      </patternFill>
    </fill>
    <fill>
      <patternFill patternType="solid">
        <fgColor rgb="FFD6DCE5"/>
        <bgColor rgb="FFDBDBDB"/>
      </patternFill>
    </fill>
    <fill>
      <patternFill patternType="solid">
        <fgColor rgb="FFFFF2CC"/>
        <bgColor rgb="FFE2F0D9"/>
      </patternFill>
    </fill>
    <fill>
      <patternFill patternType="solid">
        <fgColor rgb="FFFFFF00"/>
        <bgColor rgb="FFFFFF00"/>
      </patternFill>
    </fill>
    <fill>
      <patternFill patternType="solid">
        <fgColor rgb="FFC5E0B4"/>
        <bgColor rgb="FFD9D9D9"/>
      </patternFill>
    </fill>
    <fill>
      <patternFill patternType="solid">
        <fgColor rgb="FFA5A5A5"/>
        <bgColor rgb="FFAFABAB"/>
      </patternFill>
    </fill>
    <fill>
      <patternFill patternType="solid">
        <fgColor rgb="FFFFE699"/>
        <bgColor rgb="FFFFF2CC"/>
      </patternFill>
    </fill>
    <fill>
      <patternFill patternType="solid">
        <fgColor rgb="FFDBDBDB"/>
        <bgColor rgb="FFD9D9D9"/>
      </patternFill>
    </fill>
    <fill>
      <patternFill patternType="solid">
        <fgColor theme="2" tint="-0.249977111117893"/>
        <bgColor rgb="FFA5A5A5"/>
      </patternFill>
    </fill>
    <fill>
      <patternFill patternType="solid">
        <fgColor theme="4" tint="0.59987182226020086"/>
        <bgColor rgb="FFD6DCE5"/>
      </patternFill>
    </fill>
    <fill>
      <patternFill patternType="solid">
        <fgColor theme="9" tint="0.79989013336588644"/>
        <bgColor rgb="FFFFF2CC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0">
    <xf numFmtId="0" fontId="0" fillId="0" borderId="0"/>
    <xf numFmtId="165" fontId="37" fillId="0" borderId="0" applyBorder="0" applyProtection="0"/>
    <xf numFmtId="9" fontId="37" fillId="0" borderId="0" applyBorder="0" applyProtection="0"/>
    <xf numFmtId="0" fontId="1" fillId="0" borderId="0" applyBorder="0" applyProtection="0"/>
    <xf numFmtId="0" fontId="1" fillId="0" borderId="0" applyBorder="0" applyProtection="0"/>
    <xf numFmtId="165" fontId="37" fillId="0" borderId="0" applyBorder="0" applyProtection="0"/>
    <xf numFmtId="0" fontId="37" fillId="0" borderId="0"/>
    <xf numFmtId="0" fontId="37" fillId="0" borderId="0"/>
    <xf numFmtId="0" fontId="37" fillId="0" borderId="0"/>
    <xf numFmtId="9" fontId="37" fillId="0" borderId="0" applyBorder="0" applyProtection="0"/>
  </cellStyleXfs>
  <cellXfs count="175">
    <xf numFmtId="0" fontId="0" fillId="0" borderId="0" xfId="0"/>
    <xf numFmtId="9" fontId="2" fillId="4" borderId="1" xfId="0" applyNumberFormat="1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166" fontId="2" fillId="0" borderId="0" xfId="0" applyNumberFormat="1" applyFont="1" applyAlignment="1">
      <alignment horizontal="center" vertical="center" wrapText="1"/>
    </xf>
    <xf numFmtId="0" fontId="1" fillId="0" borderId="0" xfId="3" applyBorder="1" applyAlignment="1" applyProtection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167" fontId="2" fillId="4" borderId="1" xfId="0" applyNumberFormat="1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0" fontId="2" fillId="4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2" fillId="4" borderId="1" xfId="0" applyNumberFormat="1" applyFont="1" applyFill="1" applyBorder="1" applyAlignment="1">
      <alignment horizontal="center" vertical="center" wrapText="1"/>
    </xf>
    <xf numFmtId="167" fontId="2" fillId="4" borderId="3" xfId="0" applyNumberFormat="1" applyFont="1" applyFill="1" applyBorder="1" applyAlignment="1">
      <alignment horizontal="center" vertical="center" wrapText="1"/>
    </xf>
    <xf numFmtId="9" fontId="2" fillId="4" borderId="3" xfId="0" applyNumberFormat="1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4" fontId="2" fillId="4" borderId="1" xfId="0" applyNumberFormat="1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166" fontId="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166" fontId="14" fillId="0" borderId="1" xfId="0" applyNumberFormat="1" applyFont="1" applyBorder="1" applyAlignment="1">
      <alignment horizontal="center" vertical="center" wrapText="1"/>
    </xf>
    <xf numFmtId="4" fontId="14" fillId="0" borderId="1" xfId="0" applyNumberFormat="1" applyFont="1" applyBorder="1" applyAlignment="1">
      <alignment horizontal="center" vertical="center" wrapText="1"/>
    </xf>
    <xf numFmtId="2" fontId="15" fillId="0" borderId="0" xfId="0" applyNumberFormat="1" applyFont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2" fontId="14" fillId="0" borderId="0" xfId="0" applyNumberFormat="1" applyFont="1" applyAlignment="1">
      <alignment horizontal="center" vertical="center" wrapText="1"/>
    </xf>
    <xf numFmtId="168" fontId="2" fillId="0" borderId="0" xfId="0" applyNumberFormat="1" applyFont="1" applyAlignment="1">
      <alignment horizontal="center" vertical="center" wrapText="1"/>
    </xf>
    <xf numFmtId="166" fontId="14" fillId="4" borderId="1" xfId="0" applyNumberFormat="1" applyFont="1" applyFill="1" applyBorder="1" applyAlignment="1">
      <alignment horizontal="center" vertical="center" wrapText="1"/>
    </xf>
    <xf numFmtId="4" fontId="14" fillId="4" borderId="1" xfId="0" applyNumberFormat="1" applyFont="1" applyFill="1" applyBorder="1" applyAlignment="1">
      <alignment horizontal="center" vertical="center" wrapText="1"/>
    </xf>
    <xf numFmtId="2" fontId="2" fillId="0" borderId="0" xfId="0" applyNumberFormat="1" applyFont="1" applyAlignment="1">
      <alignment horizontal="center" vertical="center" wrapText="1"/>
    </xf>
    <xf numFmtId="166" fontId="14" fillId="0" borderId="0" xfId="0" applyNumberFormat="1" applyFont="1" applyAlignment="1">
      <alignment horizontal="center" vertical="center" wrapText="1"/>
    </xf>
    <xf numFmtId="4" fontId="14" fillId="0" borderId="0" xfId="0" applyNumberFormat="1" applyFont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9" fontId="2" fillId="0" borderId="1" xfId="0" applyNumberFormat="1" applyFont="1" applyBorder="1" applyAlignment="1">
      <alignment horizontal="center" vertical="center" wrapText="1"/>
    </xf>
    <xf numFmtId="167" fontId="2" fillId="0" borderId="0" xfId="0" applyNumberFormat="1" applyFont="1" applyAlignment="1">
      <alignment horizontal="center" vertical="center" wrapText="1"/>
    </xf>
    <xf numFmtId="9" fontId="2" fillId="0" borderId="0" xfId="0" applyNumberFormat="1" applyFont="1" applyAlignment="1">
      <alignment horizontal="center" vertical="center" wrapText="1"/>
    </xf>
    <xf numFmtId="4" fontId="2" fillId="0" borderId="0" xfId="0" applyNumberFormat="1" applyFont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10" fontId="2" fillId="0" borderId="1" xfId="0" applyNumberFormat="1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9" fontId="15" fillId="0" borderId="0" xfId="0" applyNumberFormat="1" applyFont="1" applyAlignment="1">
      <alignment horizontal="center" vertical="center" wrapText="1"/>
    </xf>
    <xf numFmtId="4" fontId="15" fillId="0" borderId="0" xfId="0" applyNumberFormat="1" applyFont="1" applyAlignment="1">
      <alignment horizontal="center" vertical="center" wrapText="1"/>
    </xf>
    <xf numFmtId="166" fontId="14" fillId="8" borderId="1" xfId="0" applyNumberFormat="1" applyFont="1" applyFill="1" applyBorder="1" applyAlignment="1">
      <alignment horizontal="center" vertical="center" wrapText="1"/>
    </xf>
    <xf numFmtId="4" fontId="14" fillId="8" borderId="1" xfId="0" applyNumberFormat="1" applyFont="1" applyFill="1" applyBorder="1" applyAlignment="1">
      <alignment horizontal="center" vertical="center" wrapText="1"/>
    </xf>
    <xf numFmtId="0" fontId="14" fillId="2" borderId="0" xfId="0" applyFont="1" applyFill="1" applyAlignment="1">
      <alignment horizontal="center" vertical="center" wrapText="1"/>
    </xf>
    <xf numFmtId="166" fontId="14" fillId="2" borderId="0" xfId="0" applyNumberFormat="1" applyFont="1" applyFill="1" applyAlignment="1">
      <alignment horizontal="center" vertical="center" wrapText="1"/>
    </xf>
    <xf numFmtId="4" fontId="14" fillId="2" borderId="0" xfId="0" applyNumberFormat="1" applyFont="1" applyFill="1" applyAlignment="1">
      <alignment horizontal="center" vertical="center" wrapText="1"/>
    </xf>
    <xf numFmtId="2" fontId="2" fillId="2" borderId="0" xfId="0" applyNumberFormat="1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4" fontId="14" fillId="7" borderId="1" xfId="0" applyNumberFormat="1" applyFont="1" applyFill="1" applyBorder="1" applyAlignment="1">
      <alignment horizontal="center" vertical="center" wrapText="1"/>
    </xf>
    <xf numFmtId="9" fontId="3" fillId="9" borderId="1" xfId="0" applyNumberFormat="1" applyFont="1" applyFill="1" applyBorder="1" applyAlignment="1">
      <alignment horizontal="center" vertical="center" wrapText="1"/>
    </xf>
    <xf numFmtId="2" fontId="3" fillId="7" borderId="1" xfId="0" applyNumberFormat="1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2" fontId="11" fillId="2" borderId="1" xfId="0" applyNumberFormat="1" applyFont="1" applyFill="1" applyBorder="1" applyAlignment="1">
      <alignment horizontal="center" vertical="center" wrapText="1"/>
    </xf>
    <xf numFmtId="10" fontId="11" fillId="2" borderId="1" xfId="0" applyNumberFormat="1" applyFont="1" applyFill="1" applyBorder="1" applyAlignment="1">
      <alignment horizontal="center" vertical="center" wrapText="1"/>
    </xf>
    <xf numFmtId="166" fontId="11" fillId="0" borderId="0" xfId="0" applyNumberFormat="1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14" fillId="0" borderId="1" xfId="0" applyNumberFormat="1" applyFont="1" applyBorder="1" applyAlignment="1">
      <alignment horizontal="center" vertical="center" wrapText="1"/>
    </xf>
    <xf numFmtId="49" fontId="14" fillId="3" borderId="5" xfId="0" applyNumberFormat="1" applyFont="1" applyFill="1" applyBorder="1" applyAlignment="1">
      <alignment horizontal="center" vertical="center" wrapText="1"/>
    </xf>
    <xf numFmtId="169" fontId="2" fillId="2" borderId="1" xfId="0" applyNumberFormat="1" applyFont="1" applyFill="1" applyBorder="1" applyAlignment="1">
      <alignment horizontal="center" vertical="center" wrapText="1"/>
    </xf>
    <xf numFmtId="169" fontId="14" fillId="2" borderId="1" xfId="0" applyNumberFormat="1" applyFont="1" applyFill="1" applyBorder="1" applyAlignment="1">
      <alignment horizontal="center" vertical="center" wrapText="1"/>
    </xf>
    <xf numFmtId="10" fontId="3" fillId="0" borderId="1" xfId="0" applyNumberFormat="1" applyFont="1" applyBorder="1" applyAlignment="1">
      <alignment horizontal="center" vertical="center" wrapText="1"/>
    </xf>
    <xf numFmtId="0" fontId="25" fillId="0" borderId="0" xfId="0" applyFont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0" fontId="3" fillId="11" borderId="1" xfId="0" applyFont="1" applyFill="1" applyBorder="1" applyAlignment="1">
      <alignment horizontal="center" vertical="center" wrapText="1"/>
    </xf>
    <xf numFmtId="0" fontId="14" fillId="11" borderId="7" xfId="0" applyFont="1" applyFill="1" applyBorder="1" applyAlignment="1">
      <alignment horizontal="center" vertical="center" wrapText="1"/>
    </xf>
    <xf numFmtId="165" fontId="3" fillId="11" borderId="7" xfId="1" applyFont="1" applyFill="1" applyBorder="1" applyAlignment="1" applyProtection="1">
      <alignment vertical="center" wrapText="1"/>
    </xf>
    <xf numFmtId="0" fontId="14" fillId="11" borderId="8" xfId="0" applyFont="1" applyFill="1" applyBorder="1" applyAlignment="1">
      <alignment horizontal="center" vertical="center" wrapText="1"/>
    </xf>
    <xf numFmtId="165" fontId="3" fillId="11" borderId="5" xfId="1" applyFont="1" applyFill="1" applyBorder="1" applyAlignment="1" applyProtection="1">
      <alignment vertical="center" wrapText="1"/>
    </xf>
    <xf numFmtId="0" fontId="10" fillId="11" borderId="1" xfId="0" applyFont="1" applyFill="1" applyBorder="1" applyAlignment="1">
      <alignment horizontal="center" vertical="center" wrapText="1"/>
    </xf>
    <xf numFmtId="4" fontId="3" fillId="11" borderId="1" xfId="0" applyNumberFormat="1" applyFont="1" applyFill="1" applyBorder="1" applyAlignment="1">
      <alignment horizontal="center" vertical="center" wrapText="1"/>
    </xf>
    <xf numFmtId="4" fontId="27" fillId="11" borderId="1" xfId="0" applyNumberFormat="1" applyFont="1" applyFill="1" applyBorder="1" applyAlignment="1">
      <alignment horizontal="center" vertical="center" wrapText="1"/>
    </xf>
    <xf numFmtId="2" fontId="2" fillId="4" borderId="3" xfId="0" applyNumberFormat="1" applyFont="1" applyFill="1" applyBorder="1" applyAlignment="1">
      <alignment horizontal="center" vertical="center" wrapText="1"/>
    </xf>
    <xf numFmtId="169" fontId="2" fillId="0" borderId="0" xfId="0" applyNumberFormat="1" applyFont="1" applyAlignment="1">
      <alignment horizontal="center" vertical="center" wrapText="1"/>
    </xf>
    <xf numFmtId="170" fontId="2" fillId="4" borderId="1" xfId="0" applyNumberFormat="1" applyFont="1" applyFill="1" applyBorder="1" applyAlignment="1">
      <alignment horizontal="center" vertical="center" wrapText="1"/>
    </xf>
    <xf numFmtId="0" fontId="37" fillId="0" borderId="0" xfId="6"/>
    <xf numFmtId="0" fontId="32" fillId="4" borderId="3" xfId="6" applyFont="1" applyFill="1" applyBorder="1" applyAlignment="1">
      <alignment horizontal="center" vertical="center" wrapText="1"/>
    </xf>
    <xf numFmtId="49" fontId="37" fillId="0" borderId="1" xfId="6" applyNumberFormat="1" applyBorder="1"/>
    <xf numFmtId="1" fontId="37" fillId="0" borderId="1" xfId="6" applyNumberFormat="1" applyBorder="1"/>
    <xf numFmtId="167" fontId="37" fillId="0" borderId="1" xfId="6" applyNumberFormat="1" applyBorder="1"/>
    <xf numFmtId="49" fontId="34" fillId="0" borderId="1" xfId="6" applyNumberFormat="1" applyFont="1" applyBorder="1"/>
    <xf numFmtId="1" fontId="34" fillId="0" borderId="1" xfId="6" applyNumberFormat="1" applyFont="1" applyBorder="1"/>
    <xf numFmtId="167" fontId="34" fillId="0" borderId="1" xfId="6" applyNumberFormat="1" applyFont="1" applyBorder="1"/>
    <xf numFmtId="167" fontId="37" fillId="0" borderId="5" xfId="6" applyNumberFormat="1" applyBorder="1"/>
    <xf numFmtId="167" fontId="12" fillId="4" borderId="1" xfId="6" applyNumberFormat="1" applyFont="1" applyFill="1" applyBorder="1" applyAlignment="1">
      <alignment vertical="center" wrapText="1"/>
    </xf>
    <xf numFmtId="0" fontId="32" fillId="13" borderId="3" xfId="6" applyFont="1" applyFill="1" applyBorder="1" applyAlignment="1">
      <alignment horizontal="center" vertical="center" wrapText="1"/>
    </xf>
    <xf numFmtId="0" fontId="32" fillId="13" borderId="1" xfId="6" applyFont="1" applyFill="1" applyBorder="1" applyAlignment="1">
      <alignment horizontal="center" vertical="center" wrapText="1"/>
    </xf>
    <xf numFmtId="0" fontId="35" fillId="13" borderId="5" xfId="6" applyFont="1" applyFill="1" applyBorder="1" applyAlignment="1">
      <alignment horizontal="center" vertical="center" wrapText="1"/>
    </xf>
    <xf numFmtId="0" fontId="35" fillId="13" borderId="1" xfId="6" applyFont="1" applyFill="1" applyBorder="1" applyAlignment="1">
      <alignment horizontal="center" vertical="center" wrapText="1"/>
    </xf>
    <xf numFmtId="0" fontId="35" fillId="13" borderId="12" xfId="6" applyFont="1" applyFill="1" applyBorder="1" applyAlignment="1">
      <alignment horizontal="center" vertical="center" wrapText="1"/>
    </xf>
    <xf numFmtId="0" fontId="37" fillId="0" borderId="1" xfId="6" applyBorder="1"/>
    <xf numFmtId="0" fontId="37" fillId="0" borderId="2" xfId="6" applyBorder="1" applyAlignment="1">
      <alignment horizontal="center"/>
    </xf>
    <xf numFmtId="167" fontId="37" fillId="14" borderId="2" xfId="6" applyNumberFormat="1" applyFill="1" applyBorder="1" applyAlignment="1">
      <alignment horizontal="center"/>
    </xf>
    <xf numFmtId="165" fontId="37" fillId="14" borderId="2" xfId="1" applyFill="1" applyBorder="1" applyAlignment="1" applyProtection="1">
      <alignment horizontal="center"/>
    </xf>
    <xf numFmtId="165" fontId="37" fillId="4" borderId="2" xfId="1" applyFill="1" applyBorder="1" applyAlignment="1" applyProtection="1">
      <alignment horizontal="center"/>
    </xf>
    <xf numFmtId="165" fontId="37" fillId="6" borderId="2" xfId="6" applyNumberFormat="1" applyFill="1" applyBorder="1"/>
    <xf numFmtId="0" fontId="37" fillId="0" borderId="1" xfId="6" applyBorder="1" applyAlignment="1">
      <alignment horizontal="center"/>
    </xf>
    <xf numFmtId="165" fontId="37" fillId="6" borderId="1" xfId="6" applyNumberFormat="1" applyFill="1" applyBorder="1"/>
    <xf numFmtId="171" fontId="12" fillId="4" borderId="1" xfId="6" applyNumberFormat="1" applyFont="1" applyFill="1" applyBorder="1" applyAlignment="1">
      <alignment vertical="center" wrapText="1"/>
    </xf>
    <xf numFmtId="0" fontId="12" fillId="4" borderId="12" xfId="6" applyFont="1" applyFill="1" applyBorder="1" applyAlignment="1">
      <alignment horizontal="right" vertical="center" wrapText="1"/>
    </xf>
    <xf numFmtId="165" fontId="12" fillId="4" borderId="12" xfId="6" applyNumberFormat="1" applyFont="1" applyFill="1" applyBorder="1" applyAlignment="1">
      <alignment horizontal="right" vertical="center" wrapText="1"/>
    </xf>
    <xf numFmtId="0" fontId="12" fillId="4" borderId="1" xfId="6" applyFont="1" applyFill="1" applyBorder="1" applyAlignment="1">
      <alignment horizontal="right" vertical="center" wrapText="1"/>
    </xf>
    <xf numFmtId="165" fontId="12" fillId="4" borderId="7" xfId="6" applyNumberFormat="1" applyFont="1" applyFill="1" applyBorder="1" applyAlignment="1">
      <alignment vertical="center" wrapText="1"/>
    </xf>
    <xf numFmtId="0" fontId="12" fillId="4" borderId="1" xfId="6" applyFont="1" applyFill="1" applyBorder="1" applyAlignment="1">
      <alignment vertical="center" wrapText="1"/>
    </xf>
    <xf numFmtId="10" fontId="12" fillId="4" borderId="1" xfId="2" applyNumberFormat="1" applyFont="1" applyFill="1" applyBorder="1" applyAlignment="1" applyProtection="1">
      <alignment vertical="center" wrapText="1"/>
    </xf>
    <xf numFmtId="165" fontId="12" fillId="4" borderId="1" xfId="6" applyNumberFormat="1" applyFont="1" applyFill="1" applyBorder="1" applyAlignment="1">
      <alignment horizontal="center" vertical="center"/>
    </xf>
    <xf numFmtId="164" fontId="37" fillId="0" borderId="0" xfId="6" applyNumberFormat="1"/>
    <xf numFmtId="0" fontId="3" fillId="0" borderId="1" xfId="0" applyFont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2" fillId="4" borderId="3" xfId="0" applyFont="1" applyFill="1" applyBorder="1" applyAlignment="1">
      <alignment horizontal="center" vertical="center" wrapText="1"/>
    </xf>
    <xf numFmtId="0" fontId="8" fillId="4" borderId="3" xfId="0" applyFont="1" applyFill="1" applyBorder="1" applyAlignment="1">
      <alignment horizontal="center" vertical="center" wrapText="1"/>
    </xf>
    <xf numFmtId="0" fontId="38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9" fillId="4" borderId="1" xfId="0" applyFont="1" applyFill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12" fillId="6" borderId="1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left" vertical="center" wrapText="1"/>
    </xf>
    <xf numFmtId="0" fontId="16" fillId="0" borderId="7" xfId="0" applyFont="1" applyBorder="1" applyAlignment="1">
      <alignment horizontal="justify" vertical="center" wrapText="1"/>
    </xf>
    <xf numFmtId="0" fontId="16" fillId="0" borderId="8" xfId="0" applyFont="1" applyBorder="1" applyAlignment="1">
      <alignment horizontal="left" vertical="center" wrapText="1"/>
    </xf>
    <xf numFmtId="0" fontId="16" fillId="0" borderId="9" xfId="0" applyFont="1" applyBorder="1" applyAlignment="1">
      <alignment horizontal="left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4" fillId="7" borderId="1" xfId="0" applyFont="1" applyFill="1" applyBorder="1" applyAlignment="1">
      <alignment horizontal="center" vertical="center" wrapText="1"/>
    </xf>
    <xf numFmtId="167" fontId="2" fillId="0" borderId="1" xfId="0" applyNumberFormat="1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14" fillId="8" borderId="1" xfId="0" applyFont="1" applyFill="1" applyBorder="1" applyAlignment="1">
      <alignment horizontal="center" vertical="center" wrapText="1"/>
    </xf>
    <xf numFmtId="0" fontId="3" fillId="9" borderId="1" xfId="0" applyFont="1" applyFill="1" applyBorder="1" applyAlignment="1">
      <alignment vertical="top" wrapText="1"/>
    </xf>
    <xf numFmtId="0" fontId="11" fillId="2" borderId="1" xfId="0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19" fillId="0" borderId="9" xfId="0" applyFont="1" applyBorder="1" applyAlignment="1">
      <alignment horizontal="left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16" fillId="0" borderId="0" xfId="0" applyFont="1" applyAlignment="1">
      <alignment horizontal="left" vertical="center" wrapText="1"/>
    </xf>
    <xf numFmtId="0" fontId="3" fillId="3" borderId="1" xfId="0" applyFont="1" applyFill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14" fillId="0" borderId="5" xfId="0" applyNumberFormat="1" applyFont="1" applyBorder="1" applyAlignment="1">
      <alignment horizontal="center" vertical="center" wrapText="1"/>
    </xf>
    <xf numFmtId="10" fontId="2" fillId="3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left" vertical="center" wrapText="1"/>
    </xf>
    <xf numFmtId="0" fontId="23" fillId="2" borderId="10" xfId="0" applyFont="1" applyFill="1" applyBorder="1" applyAlignment="1">
      <alignment horizontal="center" vertical="center" wrapText="1"/>
    </xf>
    <xf numFmtId="10" fontId="3" fillId="3" borderId="1" xfId="0" applyNumberFormat="1" applyFont="1" applyFill="1" applyBorder="1" applyAlignment="1">
      <alignment horizontal="center" vertical="center" wrapText="1"/>
    </xf>
    <xf numFmtId="0" fontId="29" fillId="3" borderId="11" xfId="0" applyFont="1" applyFill="1" applyBorder="1" applyAlignment="1">
      <alignment horizontal="justify" vertical="center" wrapText="1"/>
    </xf>
    <xf numFmtId="0" fontId="11" fillId="0" borderId="9" xfId="0" applyFont="1" applyBorder="1" applyAlignment="1">
      <alignment horizontal="left" vertical="center" wrapText="1"/>
    </xf>
    <xf numFmtId="0" fontId="3" fillId="10" borderId="1" xfId="0" applyFont="1" applyFill="1" applyBorder="1" applyAlignment="1">
      <alignment horizontal="center" vertical="center" wrapText="1"/>
    </xf>
    <xf numFmtId="0" fontId="3" fillId="11" borderId="1" xfId="0" applyFont="1" applyFill="1" applyBorder="1" applyAlignment="1">
      <alignment horizontal="center" vertical="center" wrapText="1"/>
    </xf>
    <xf numFmtId="0" fontId="14" fillId="11" borderId="7" xfId="0" applyFont="1" applyFill="1" applyBorder="1" applyAlignment="1">
      <alignment horizontal="center" vertical="center" wrapText="1"/>
    </xf>
    <xf numFmtId="4" fontId="26" fillId="11" borderId="1" xfId="0" applyNumberFormat="1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14" fillId="0" borderId="7" xfId="0" applyFont="1" applyBorder="1" applyAlignment="1">
      <alignment horizontal="center" vertical="center" wrapText="1"/>
    </xf>
    <xf numFmtId="0" fontId="23" fillId="2" borderId="1" xfId="0" applyFont="1" applyFill="1" applyBorder="1" applyAlignment="1">
      <alignment horizontal="center" vertical="center" wrapText="1"/>
    </xf>
    <xf numFmtId="0" fontId="24" fillId="3" borderId="1" xfId="0" applyFont="1" applyFill="1" applyBorder="1" applyAlignment="1">
      <alignment horizontal="left" vertical="center" wrapText="1"/>
    </xf>
    <xf numFmtId="0" fontId="30" fillId="7" borderId="1" xfId="6" applyFont="1" applyFill="1" applyBorder="1" applyAlignment="1">
      <alignment horizontal="center" vertical="center" wrapText="1"/>
    </xf>
    <xf numFmtId="0" fontId="32" fillId="12" borderId="1" xfId="6" applyFont="1" applyFill="1" applyBorder="1" applyAlignment="1">
      <alignment horizontal="center" vertical="center" wrapText="1"/>
    </xf>
    <xf numFmtId="0" fontId="37" fillId="13" borderId="5" xfId="6" applyFill="1" applyBorder="1" applyAlignment="1">
      <alignment horizontal="center"/>
    </xf>
    <xf numFmtId="0" fontId="12" fillId="4" borderId="5" xfId="6" applyFont="1" applyFill="1" applyBorder="1" applyAlignment="1">
      <alignment horizontal="right" vertical="center" wrapText="1"/>
    </xf>
    <xf numFmtId="0" fontId="37" fillId="13" borderId="1" xfId="6" applyFill="1" applyBorder="1" applyAlignment="1">
      <alignment horizontal="center"/>
    </xf>
    <xf numFmtId="0" fontId="12" fillId="4" borderId="1" xfId="6" applyFont="1" applyFill="1" applyBorder="1" applyAlignment="1">
      <alignment horizontal="right" vertical="center"/>
    </xf>
    <xf numFmtId="0" fontId="36" fillId="13" borderId="1" xfId="6" applyFont="1" applyFill="1" applyBorder="1" applyAlignment="1">
      <alignment horizontal="center"/>
    </xf>
  </cellXfs>
  <cellStyles count="10">
    <cellStyle name="Hiperlink" xfId="3" builtinId="8"/>
    <cellStyle name="Hiperlink 2" xfId="4" xr:uid="{00000000-0005-0000-0000-000006000000}"/>
    <cellStyle name="Moeda" xfId="1" builtinId="4"/>
    <cellStyle name="Moeda 2" xfId="5" xr:uid="{00000000-0005-0000-0000-000007000000}"/>
    <cellStyle name="Normal" xfId="0" builtinId="0"/>
    <cellStyle name="Normal 2" xfId="6" xr:uid="{00000000-0005-0000-0000-000008000000}"/>
    <cellStyle name="Normal 2 2" xfId="7" xr:uid="{00000000-0005-0000-0000-000009000000}"/>
    <cellStyle name="Normal 3" xfId="8" xr:uid="{00000000-0005-0000-0000-00000A000000}"/>
    <cellStyle name="Porcentagem" xfId="2" builtinId="5"/>
    <cellStyle name="Porcentagem 2" xfId="9" xr:uid="{00000000-0005-0000-0000-00000B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AFABAB"/>
      <rgbColor rgb="FF808080"/>
      <rgbColor rgb="FF9999FF"/>
      <rgbColor rgb="FF993366"/>
      <rgbColor rgb="FFFFF2CC"/>
      <rgbColor rgb="FFD6DCE5"/>
      <rgbColor rgb="FF660066"/>
      <rgbColor rgb="FFFF8080"/>
      <rgbColor rgb="FF0563C1"/>
      <rgbColor rgb="FFBDD7EE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B0F0"/>
      <rgbColor rgb="FFDBDBDB"/>
      <rgbColor rgb="FFE2F0D9"/>
      <rgbColor rgb="FFFFE699"/>
      <rgbColor rgb="FFC5E0B4"/>
      <rgbColor rgb="FFFF99CC"/>
      <rgbColor rgb="FFCC99FF"/>
      <rgbColor rgb="FFD9D9D9"/>
      <rgbColor rgb="FF3366FF"/>
      <rgbColor rgb="FF33CCCC"/>
      <rgbColor rgb="FF99CC00"/>
      <rgbColor rgb="FFFFCC00"/>
      <rgbColor rgb="FFFF9900"/>
      <rgbColor rgb="FFFF6600"/>
      <rgbColor rgb="FF666699"/>
      <rgbColor rgb="FFA5A5A5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rhpaefs01\deplan\AAAA\INFORMACOES%20EXPEDIENTES%20SPI%20PROA\EXPEDIENTE%20209921400167%20SEFAZ%20SERVICOS%20GERAIS\EXPEDIENTE%20209921400167%20SEFAZ%20SERVICOS%20GERAIS%20PLANILHAS%20DE%20CUSTO%20E%20FORMACAO%20DE%20PRECO%20RETIFICADA%20IMPUGNACAO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lagpaefs02.seplag.intra.rs.gov.br\Direcao\1PLANILHAS%20DE%20FORMACAO%20DE%20PRECO\EPESQ\DAER%20Manut%20Predial%200000960435166\DAER%20Manut%20Predial%2096043516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LETRICISTA"/>
      <sheetName val="SUPERVISOR"/>
      <sheetName val="PEDREI MARC PINTOR"/>
      <sheetName val="HIDRAULICO"/>
      <sheetName val="SERVENTE MANUTENCAO"/>
      <sheetName val="TEC TELEF CLIMAT REFRIG"/>
      <sheetName val="postos"/>
      <sheetName val="Plan4"/>
      <sheetName val="Plan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IDRAULICO"/>
      <sheetName val="ELETRICISTA"/>
      <sheetName val="PEDREIRO MARCENEIRO CARPINT"/>
      <sheetName val="JARDINEIRO"/>
      <sheetName val="SERVENTE (AUX PRODUCAO)"/>
      <sheetName val="MECANICO_REFRIGERACAO"/>
      <sheetName val="PINTOR"/>
      <sheetName val="RESUMO"/>
      <sheetName val="postos"/>
      <sheetName val="Plan4"/>
      <sheetName val="Plan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</a:majorFont>
      <a:minorFont>
        <a:latin typeface="Calibri" panose="020F050202020403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96"/>
  <sheetViews>
    <sheetView tabSelected="1" view="pageBreakPreview" zoomScale="115" zoomScaleNormal="130" zoomScalePageLayoutView="115" workbookViewId="0">
      <selection activeCell="E2" sqref="E2:I2"/>
    </sheetView>
  </sheetViews>
  <sheetFormatPr defaultColWidth="9.28515625" defaultRowHeight="11.25" x14ac:dyDescent="0.25"/>
  <cols>
    <col min="1" max="1" width="2.7109375" style="5" customWidth="1"/>
    <col min="2" max="2" width="14.28515625" style="5" customWidth="1"/>
    <col min="3" max="3" width="14.42578125" style="5" customWidth="1"/>
    <col min="4" max="4" width="11.28515625" style="5" customWidth="1"/>
    <col min="5" max="5" width="12.28515625" style="5" customWidth="1"/>
    <col min="6" max="7" width="11.28515625" style="5" customWidth="1"/>
    <col min="8" max="8" width="9.28515625" style="5"/>
    <col min="9" max="9" width="11.7109375" style="5" customWidth="1"/>
    <col min="10" max="10" width="11.28515625" style="6" customWidth="1"/>
    <col min="11" max="11" width="10" style="5" customWidth="1"/>
    <col min="12" max="12" width="9.28515625" style="5"/>
    <col min="13" max="15" width="22.28515625" style="5" customWidth="1"/>
    <col min="16" max="16384" width="9.28515625" style="5"/>
  </cols>
  <sheetData>
    <row r="1" spans="1:11" ht="27.75" customHeight="1" x14ac:dyDescent="0.25">
      <c r="A1" s="114" t="s">
        <v>0</v>
      </c>
      <c r="B1" s="114"/>
      <c r="C1" s="114"/>
      <c r="D1" s="114"/>
      <c r="E1" s="114"/>
      <c r="F1" s="114"/>
      <c r="G1" s="114"/>
      <c r="H1" s="114"/>
      <c r="I1" s="114"/>
      <c r="K1" s="7"/>
    </row>
    <row r="2" spans="1:11" ht="22.5" customHeight="1" x14ac:dyDescent="0.25">
      <c r="A2" s="114" t="s">
        <v>1</v>
      </c>
      <c r="B2" s="114"/>
      <c r="C2" s="115" t="s">
        <v>2</v>
      </c>
      <c r="D2" s="115"/>
      <c r="E2" s="116" t="s">
        <v>3</v>
      </c>
      <c r="F2" s="116"/>
      <c r="G2" s="116"/>
      <c r="H2" s="116"/>
      <c r="I2" s="116"/>
    </row>
    <row r="3" spans="1:11" ht="11.25" customHeight="1" x14ac:dyDescent="0.25">
      <c r="A3" s="114" t="s">
        <v>4</v>
      </c>
      <c r="B3" s="114"/>
      <c r="C3" s="8"/>
      <c r="D3" s="9"/>
      <c r="E3" s="10" t="s">
        <v>5</v>
      </c>
      <c r="F3" s="8"/>
      <c r="G3" s="9"/>
      <c r="H3" s="9"/>
      <c r="I3" s="9"/>
    </row>
    <row r="4" spans="1:11" ht="4.5" customHeight="1" x14ac:dyDescent="0.25"/>
    <row r="5" spans="1:11" ht="18.75" customHeight="1" x14ac:dyDescent="0.25">
      <c r="A5" s="122" t="s">
        <v>6</v>
      </c>
      <c r="B5" s="122"/>
      <c r="C5" s="122"/>
      <c r="D5" s="118" t="s">
        <v>243</v>
      </c>
      <c r="E5" s="118"/>
      <c r="F5" s="118"/>
      <c r="G5" s="119" t="str">
        <f>IF(D6="12x36","Regime de trabalho:","Quantidade de HORAS/MÊS")</f>
        <v>Regime de trabalho:</v>
      </c>
      <c r="H5" s="119"/>
      <c r="I5" s="120" t="str">
        <f>IF(D6="12x36",D6,5*D6)</f>
        <v>12x36</v>
      </c>
    </row>
    <row r="6" spans="1:11" ht="18.75" customHeight="1" x14ac:dyDescent="0.25">
      <c r="A6" s="117" t="str">
        <f>IF(D6="12x36","Regime de trabalho:","Regime de trabalho (horas semanais):")</f>
        <v>Regime de trabalho:</v>
      </c>
      <c r="B6" s="117"/>
      <c r="C6" s="117"/>
      <c r="D6" s="117" t="s">
        <v>8</v>
      </c>
      <c r="E6" s="117"/>
      <c r="F6" s="117"/>
      <c r="G6" s="119"/>
      <c r="H6" s="119"/>
      <c r="I6" s="120"/>
    </row>
    <row r="7" spans="1:11" ht="22.5" customHeight="1" x14ac:dyDescent="0.25">
      <c r="A7" s="117" t="s">
        <v>9</v>
      </c>
      <c r="B7" s="117"/>
      <c r="C7" s="117"/>
      <c r="D7" s="122" t="s">
        <v>10</v>
      </c>
      <c r="E7" s="122"/>
      <c r="F7" s="122"/>
      <c r="G7" s="123" t="s">
        <v>11</v>
      </c>
      <c r="H7" s="123"/>
      <c r="I7" s="124" t="s">
        <v>12</v>
      </c>
    </row>
    <row r="8" spans="1:11" ht="22.5" customHeight="1" x14ac:dyDescent="0.25">
      <c r="A8" s="117" t="s">
        <v>13</v>
      </c>
      <c r="B8" s="117"/>
      <c r="C8" s="117"/>
      <c r="D8" s="122" t="s">
        <v>14</v>
      </c>
      <c r="E8" s="122"/>
      <c r="F8" s="122"/>
      <c r="G8" s="123"/>
      <c r="H8" s="123"/>
      <c r="I8" s="124"/>
    </row>
    <row r="9" spans="1:11" ht="18.75" customHeight="1" x14ac:dyDescent="0.25">
      <c r="A9" s="117" t="s">
        <v>15</v>
      </c>
      <c r="B9" s="117"/>
      <c r="C9" s="117"/>
      <c r="D9" s="117" t="s">
        <v>16</v>
      </c>
      <c r="E9" s="117"/>
      <c r="F9" s="117"/>
      <c r="G9" s="123" t="s">
        <v>17</v>
      </c>
      <c r="H9" s="123"/>
      <c r="I9" s="1">
        <v>0.3</v>
      </c>
    </row>
    <row r="10" spans="1:11" ht="32.25" customHeight="1" x14ac:dyDescent="0.25">
      <c r="A10" s="125" t="s">
        <v>18</v>
      </c>
      <c r="B10" s="125"/>
      <c r="C10" s="125"/>
      <c r="D10" s="125"/>
      <c r="E10" s="125"/>
      <c r="F10" s="125"/>
      <c r="G10" s="2" t="s">
        <v>19</v>
      </c>
      <c r="H10" s="11">
        <v>220</v>
      </c>
      <c r="I10" s="12">
        <v>2211</v>
      </c>
    </row>
    <row r="11" spans="1:11" ht="15" customHeight="1" x14ac:dyDescent="0.25">
      <c r="A11" s="126" t="s">
        <v>20</v>
      </c>
      <c r="B11" s="126"/>
      <c r="C11" s="126"/>
      <c r="D11" s="126"/>
      <c r="E11" s="126"/>
      <c r="F11" s="126"/>
      <c r="G11" s="11"/>
      <c r="H11" s="11" t="s">
        <v>21</v>
      </c>
      <c r="I11" s="14">
        <v>2.5000000000000001E-2</v>
      </c>
    </row>
    <row r="12" spans="1:11" ht="24.75" customHeight="1" x14ac:dyDescent="0.25">
      <c r="A12" s="127" t="s">
        <v>22</v>
      </c>
      <c r="B12" s="127"/>
      <c r="C12" s="127"/>
      <c r="D12" s="127"/>
      <c r="E12" s="127"/>
      <c r="F12" s="127"/>
      <c r="G12" s="11" t="s">
        <v>14</v>
      </c>
      <c r="H12" s="11" t="s">
        <v>23</v>
      </c>
      <c r="I12" s="12">
        <v>1.67</v>
      </c>
    </row>
    <row r="13" spans="1:11" ht="15.75" customHeight="1" x14ac:dyDescent="0.25">
      <c r="A13" s="127" t="s">
        <v>24</v>
      </c>
      <c r="B13" s="127"/>
      <c r="C13" s="127"/>
      <c r="D13" s="127"/>
      <c r="E13" s="127"/>
      <c r="F13" s="127"/>
      <c r="G13" s="11"/>
      <c r="H13" s="11"/>
      <c r="I13" s="16">
        <v>15</v>
      </c>
    </row>
    <row r="14" spans="1:11" ht="15" customHeight="1" x14ac:dyDescent="0.25">
      <c r="A14" s="126" t="s">
        <v>25</v>
      </c>
      <c r="B14" s="126"/>
      <c r="C14" s="126"/>
      <c r="D14" s="126"/>
      <c r="E14" s="126"/>
      <c r="F14" s="126"/>
      <c r="G14" s="128" t="s">
        <v>14</v>
      </c>
      <c r="H14" s="11" t="s">
        <v>26</v>
      </c>
      <c r="I14" s="12">
        <v>5.3</v>
      </c>
    </row>
    <row r="15" spans="1:11" x14ac:dyDescent="0.25">
      <c r="A15" s="126"/>
      <c r="B15" s="126"/>
      <c r="C15" s="126"/>
      <c r="D15" s="126"/>
      <c r="E15" s="126"/>
      <c r="F15" s="126"/>
      <c r="G15" s="128"/>
      <c r="H15" s="11" t="s">
        <v>27</v>
      </c>
      <c r="I15" s="16">
        <f>I13</f>
        <v>15</v>
      </c>
    </row>
    <row r="16" spans="1:11" x14ac:dyDescent="0.25">
      <c r="A16" s="126"/>
      <c r="B16" s="126"/>
      <c r="C16" s="126"/>
      <c r="D16" s="126"/>
      <c r="E16" s="126"/>
      <c r="F16" s="126"/>
      <c r="G16" s="128"/>
      <c r="H16" s="11" t="s">
        <v>28</v>
      </c>
      <c r="I16" s="1">
        <v>0.06</v>
      </c>
    </row>
    <row r="17" spans="1:9" ht="11.25" customHeight="1" x14ac:dyDescent="0.25">
      <c r="A17" s="126" t="s">
        <v>29</v>
      </c>
      <c r="B17" s="126"/>
      <c r="C17" s="126"/>
      <c r="D17" s="126"/>
      <c r="E17" s="126"/>
      <c r="F17" s="126"/>
      <c r="G17" s="128" t="s">
        <v>14</v>
      </c>
      <c r="H17" s="11" t="s">
        <v>26</v>
      </c>
      <c r="I17" s="12">
        <v>33</v>
      </c>
    </row>
    <row r="18" spans="1:9" ht="11.25" customHeight="1" x14ac:dyDescent="0.25">
      <c r="A18" s="126"/>
      <c r="B18" s="126"/>
      <c r="C18" s="126"/>
      <c r="D18" s="126"/>
      <c r="E18" s="126"/>
      <c r="F18" s="126"/>
      <c r="G18" s="128"/>
      <c r="H18" s="11" t="s">
        <v>27</v>
      </c>
      <c r="I18" s="16">
        <v>15</v>
      </c>
    </row>
    <row r="19" spans="1:9" x14ac:dyDescent="0.25">
      <c r="A19" s="126"/>
      <c r="B19" s="126"/>
      <c r="C19" s="126"/>
      <c r="D19" s="126"/>
      <c r="E19" s="126"/>
      <c r="F19" s="126"/>
      <c r="G19" s="128"/>
      <c r="H19" s="11" t="s">
        <v>28</v>
      </c>
      <c r="I19" s="1">
        <v>0.2</v>
      </c>
    </row>
    <row r="20" spans="1:9" ht="11.25" customHeight="1" x14ac:dyDescent="0.25">
      <c r="A20" s="126" t="s">
        <v>30</v>
      </c>
      <c r="B20" s="126"/>
      <c r="C20" s="126"/>
      <c r="D20" s="126"/>
      <c r="E20" s="126"/>
      <c r="F20" s="126"/>
      <c r="G20" s="128" t="s">
        <v>14</v>
      </c>
      <c r="H20" s="11" t="s">
        <v>26</v>
      </c>
      <c r="I20" s="12" t="s">
        <v>12</v>
      </c>
    </row>
    <row r="21" spans="1:9" x14ac:dyDescent="0.25">
      <c r="A21" s="126"/>
      <c r="B21" s="126"/>
      <c r="C21" s="126"/>
      <c r="D21" s="126"/>
      <c r="E21" s="126"/>
      <c r="F21" s="126"/>
      <c r="G21" s="128"/>
      <c r="H21" s="11" t="s">
        <v>27</v>
      </c>
      <c r="I21" s="16" t="s">
        <v>12</v>
      </c>
    </row>
    <row r="22" spans="1:9" x14ac:dyDescent="0.25">
      <c r="A22" s="126"/>
      <c r="B22" s="126"/>
      <c r="C22" s="126"/>
      <c r="D22" s="126"/>
      <c r="E22" s="126"/>
      <c r="F22" s="126"/>
      <c r="G22" s="128"/>
      <c r="H22" s="11" t="s">
        <v>28</v>
      </c>
      <c r="I22" s="1" t="s">
        <v>12</v>
      </c>
    </row>
    <row r="23" spans="1:9" ht="36" customHeight="1" x14ac:dyDescent="0.25">
      <c r="A23" s="129" t="s">
        <v>31</v>
      </c>
      <c r="B23" s="129"/>
      <c r="C23" s="129"/>
      <c r="D23" s="129"/>
      <c r="E23" s="129"/>
      <c r="F23" s="129"/>
      <c r="G23" s="3" t="s">
        <v>14</v>
      </c>
      <c r="H23" s="3" t="s">
        <v>32</v>
      </c>
      <c r="I23" s="17" t="s">
        <v>12</v>
      </c>
    </row>
    <row r="24" spans="1:9" ht="22.5" customHeight="1" x14ac:dyDescent="0.25">
      <c r="A24" s="127" t="s">
        <v>33</v>
      </c>
      <c r="B24" s="127"/>
      <c r="C24" s="127"/>
      <c r="D24" s="127"/>
      <c r="E24" s="127"/>
      <c r="F24" s="127"/>
      <c r="G24" s="3"/>
      <c r="H24" s="3" t="s">
        <v>34</v>
      </c>
      <c r="I24" s="18" t="s">
        <v>12</v>
      </c>
    </row>
    <row r="25" spans="1:9" ht="34.5" customHeight="1" x14ac:dyDescent="0.25">
      <c r="A25" s="127" t="s">
        <v>35</v>
      </c>
      <c r="B25" s="127"/>
      <c r="C25" s="127"/>
      <c r="D25" s="127"/>
      <c r="E25" s="127"/>
      <c r="F25" s="127"/>
      <c r="G25" s="11"/>
      <c r="H25" s="11" t="s">
        <v>23</v>
      </c>
      <c r="I25" s="12" t="s">
        <v>12</v>
      </c>
    </row>
    <row r="26" spans="1:9" ht="15" customHeight="1" x14ac:dyDescent="0.25">
      <c r="A26" s="127" t="s">
        <v>36</v>
      </c>
      <c r="B26" s="127"/>
      <c r="C26" s="127"/>
      <c r="D26" s="127"/>
      <c r="E26" s="127"/>
      <c r="F26" s="127"/>
      <c r="G26" s="3"/>
      <c r="H26" s="19" t="s">
        <v>37</v>
      </c>
      <c r="I26" s="20" t="s">
        <v>12</v>
      </c>
    </row>
    <row r="27" spans="1:9" ht="15" customHeight="1" x14ac:dyDescent="0.25">
      <c r="A27" s="127"/>
      <c r="B27" s="127"/>
      <c r="C27" s="127"/>
      <c r="D27" s="127"/>
      <c r="E27" s="127"/>
      <c r="F27" s="127"/>
      <c r="G27" s="3"/>
      <c r="H27" s="21" t="s">
        <v>38</v>
      </c>
      <c r="I27" s="1" t="s">
        <v>12</v>
      </c>
    </row>
    <row r="28" spans="1:9" ht="26.25" customHeight="1" x14ac:dyDescent="0.25">
      <c r="A28" s="127" t="s">
        <v>39</v>
      </c>
      <c r="B28" s="127"/>
      <c r="C28" s="127"/>
      <c r="D28" s="127"/>
      <c r="E28" s="127"/>
      <c r="F28" s="127"/>
      <c r="G28" s="3"/>
      <c r="H28" s="11" t="s">
        <v>37</v>
      </c>
      <c r="I28" s="20">
        <v>15</v>
      </c>
    </row>
    <row r="29" spans="1:9" ht="35.25" customHeight="1" x14ac:dyDescent="0.25">
      <c r="A29" s="127" t="s">
        <v>40</v>
      </c>
      <c r="B29" s="127"/>
      <c r="C29" s="127"/>
      <c r="D29" s="127"/>
      <c r="E29" s="127"/>
      <c r="F29" s="127"/>
      <c r="G29" s="11"/>
      <c r="H29" s="2" t="s">
        <v>34</v>
      </c>
      <c r="I29" s="1">
        <v>0.2</v>
      </c>
    </row>
    <row r="30" spans="1:9" ht="0.75" customHeight="1" x14ac:dyDescent="0.25">
      <c r="A30" s="163"/>
      <c r="B30" s="163"/>
      <c r="C30" s="163"/>
      <c r="D30" s="163"/>
      <c r="E30" s="163"/>
      <c r="F30" s="163"/>
      <c r="G30" s="163"/>
      <c r="H30" s="163"/>
      <c r="I30" s="163"/>
    </row>
    <row r="31" spans="1:9" ht="0.75" customHeight="1" x14ac:dyDescent="0.25">
      <c r="A31" s="163"/>
      <c r="B31" s="163"/>
      <c r="C31" s="163"/>
      <c r="D31" s="163"/>
      <c r="E31" s="163"/>
      <c r="F31" s="163"/>
      <c r="G31" s="163"/>
      <c r="H31" s="163"/>
      <c r="I31" s="163"/>
    </row>
    <row r="32" spans="1:9" ht="0.75" customHeight="1" x14ac:dyDescent="0.25">
      <c r="A32" s="163"/>
      <c r="B32" s="163"/>
      <c r="C32" s="163"/>
      <c r="D32" s="163"/>
      <c r="E32" s="163"/>
      <c r="F32" s="163"/>
      <c r="G32" s="163"/>
      <c r="H32" s="163"/>
      <c r="I32" s="163"/>
    </row>
    <row r="33" spans="1:10" ht="0.75" customHeight="1" x14ac:dyDescent="0.25">
      <c r="A33" s="163"/>
      <c r="B33" s="163"/>
      <c r="C33" s="163"/>
      <c r="D33" s="163"/>
      <c r="E33" s="163"/>
      <c r="F33" s="163"/>
      <c r="G33" s="163"/>
      <c r="H33" s="163"/>
      <c r="I33" s="163"/>
    </row>
    <row r="34" spans="1:10" ht="3" customHeight="1" x14ac:dyDescent="0.25">
      <c r="A34" s="163"/>
      <c r="B34" s="163"/>
      <c r="C34" s="163"/>
      <c r="D34" s="163"/>
      <c r="E34" s="163"/>
      <c r="F34" s="163"/>
      <c r="G34" s="163"/>
      <c r="H34" s="163"/>
      <c r="I34" s="163"/>
    </row>
    <row r="35" spans="1:10" ht="17.25" customHeight="1" x14ac:dyDescent="0.25">
      <c r="A35" s="131" t="s">
        <v>41</v>
      </c>
      <c r="B35" s="131"/>
      <c r="C35" s="131"/>
      <c r="D35" s="131"/>
      <c r="E35" s="131"/>
      <c r="F35" s="131"/>
      <c r="G35" s="131"/>
      <c r="H35" s="131"/>
      <c r="I35" s="131"/>
    </row>
    <row r="36" spans="1:10" ht="33.75" customHeight="1" x14ac:dyDescent="0.25">
      <c r="A36" s="22" t="s">
        <v>42</v>
      </c>
      <c r="B36" s="132" t="s">
        <v>43</v>
      </c>
      <c r="C36" s="132"/>
      <c r="D36" s="132"/>
      <c r="E36" s="132"/>
      <c r="F36" s="132"/>
      <c r="G36" s="132"/>
      <c r="H36" s="22" t="s">
        <v>44</v>
      </c>
      <c r="I36" s="22" t="s">
        <v>45</v>
      </c>
    </row>
    <row r="37" spans="1:10" ht="15" customHeight="1" x14ac:dyDescent="0.25">
      <c r="A37" s="15">
        <v>1</v>
      </c>
      <c r="B37" s="122" t="s">
        <v>46</v>
      </c>
      <c r="C37" s="122"/>
      <c r="D37" s="122"/>
      <c r="E37" s="122"/>
      <c r="F37" s="122"/>
      <c r="G37" s="122"/>
      <c r="H37" s="23">
        <f t="shared" ref="H37:H47" si="0">I37/$I$48</f>
        <v>0.75891284961992556</v>
      </c>
      <c r="I37" s="24">
        <f>IF(D6="12x36",I10,I10/H10*I5)</f>
        <v>2211</v>
      </c>
    </row>
    <row r="38" spans="1:10" ht="15" customHeight="1" x14ac:dyDescent="0.25">
      <c r="A38" s="15">
        <f t="shared" ref="A38:A47" si="1">A37+1</f>
        <v>2</v>
      </c>
      <c r="B38" s="122" t="s">
        <v>47</v>
      </c>
      <c r="C38" s="122"/>
      <c r="D38" s="122"/>
      <c r="E38" s="122"/>
      <c r="F38" s="122"/>
      <c r="G38" s="122"/>
      <c r="H38" s="23">
        <f t="shared" si="0"/>
        <v>0.23076923076923075</v>
      </c>
      <c r="I38" s="24">
        <f>IF(I9=30%,(I37+I45+I46)*I9,0)</f>
        <v>672.3180000000001</v>
      </c>
    </row>
    <row r="39" spans="1:10" ht="15" customHeight="1" x14ac:dyDescent="0.25">
      <c r="A39" s="15">
        <f t="shared" si="1"/>
        <v>3</v>
      </c>
      <c r="B39" s="122" t="s">
        <v>48</v>
      </c>
      <c r="C39" s="122"/>
      <c r="D39" s="122"/>
      <c r="E39" s="122"/>
      <c r="F39" s="122"/>
      <c r="G39" s="122"/>
      <c r="H39" s="23">
        <f t="shared" si="0"/>
        <v>0</v>
      </c>
      <c r="I39" s="24">
        <f>IF(I7=10%,I25*I7,0)</f>
        <v>0</v>
      </c>
    </row>
    <row r="40" spans="1:10" ht="15" customHeight="1" x14ac:dyDescent="0.25">
      <c r="A40" s="15">
        <f t="shared" si="1"/>
        <v>4</v>
      </c>
      <c r="B40" s="122" t="s">
        <v>49</v>
      </c>
      <c r="C40" s="122"/>
      <c r="D40" s="122"/>
      <c r="E40" s="122"/>
      <c r="F40" s="122"/>
      <c r="G40" s="122"/>
      <c r="H40" s="23">
        <f t="shared" si="0"/>
        <v>0</v>
      </c>
      <c r="I40" s="24">
        <f>IF(I7=20%,I25*I7,0)</f>
        <v>0</v>
      </c>
    </row>
    <row r="41" spans="1:10" ht="15" customHeight="1" x14ac:dyDescent="0.25">
      <c r="A41" s="15">
        <f t="shared" si="1"/>
        <v>5</v>
      </c>
      <c r="B41" s="122" t="s">
        <v>50</v>
      </c>
      <c r="C41" s="122"/>
      <c r="D41" s="122"/>
      <c r="E41" s="122"/>
      <c r="F41" s="122"/>
      <c r="G41" s="122"/>
      <c r="H41" s="23">
        <f t="shared" si="0"/>
        <v>0</v>
      </c>
      <c r="I41" s="24">
        <f>IF(I7=40%,I25*I7,0)</f>
        <v>0</v>
      </c>
    </row>
    <row r="42" spans="1:10" ht="15" customHeight="1" x14ac:dyDescent="0.25">
      <c r="A42" s="15">
        <f t="shared" si="1"/>
        <v>6</v>
      </c>
      <c r="B42" s="122" t="s">
        <v>51</v>
      </c>
      <c r="C42" s="122"/>
      <c r="D42" s="122"/>
      <c r="E42" s="122"/>
      <c r="F42" s="122"/>
      <c r="G42" s="122"/>
      <c r="H42" s="23">
        <f t="shared" si="0"/>
        <v>0</v>
      </c>
      <c r="I42" s="24">
        <f>IF(I24="Não aplicável",0,I37*I24)</f>
        <v>0</v>
      </c>
    </row>
    <row r="43" spans="1:10" ht="15" customHeight="1" x14ac:dyDescent="0.25">
      <c r="A43" s="15">
        <f t="shared" si="1"/>
        <v>7</v>
      </c>
      <c r="B43" s="122" t="s">
        <v>52</v>
      </c>
      <c r="C43" s="122"/>
      <c r="D43" s="122"/>
      <c r="E43" s="122"/>
      <c r="F43" s="122"/>
      <c r="G43" s="122"/>
      <c r="H43" s="23">
        <f t="shared" si="0"/>
        <v>0</v>
      </c>
      <c r="I43" s="24">
        <f>IF(I26="Não aplicável",0,(I37+I38+I39+I40+I41+I42+I47)/I5*I26*(1+I27))</f>
        <v>0</v>
      </c>
    </row>
    <row r="44" spans="1:10" ht="23.25" customHeight="1" x14ac:dyDescent="0.25">
      <c r="A44" s="15">
        <f t="shared" si="1"/>
        <v>8</v>
      </c>
      <c r="B44" s="122" t="s">
        <v>53</v>
      </c>
      <c r="C44" s="122"/>
      <c r="D44" s="122"/>
      <c r="E44" s="122"/>
      <c r="F44" s="122"/>
      <c r="G44" s="122"/>
      <c r="H44" s="23">
        <f t="shared" si="0"/>
        <v>0</v>
      </c>
      <c r="I44" s="24">
        <f>IF(I26="Não aplicável",0,I26/I13*5*(I10/H10*(1+I27)))</f>
        <v>0</v>
      </c>
    </row>
    <row r="45" spans="1:10" ht="15" customHeight="1" x14ac:dyDescent="0.25">
      <c r="A45" s="15">
        <f t="shared" si="1"/>
        <v>9</v>
      </c>
      <c r="B45" s="122" t="s">
        <v>54</v>
      </c>
      <c r="C45" s="122"/>
      <c r="D45" s="122"/>
      <c r="E45" s="122"/>
      <c r="F45" s="122"/>
      <c r="G45" s="122"/>
      <c r="H45" s="23">
        <f t="shared" si="0"/>
        <v>8.5982663423695756E-3</v>
      </c>
      <c r="I45" s="24">
        <f>I12*I13</f>
        <v>25.049999999999997</v>
      </c>
    </row>
    <row r="46" spans="1:10" ht="15" customHeight="1" x14ac:dyDescent="0.25">
      <c r="A46" s="15">
        <f t="shared" si="1"/>
        <v>10</v>
      </c>
      <c r="B46" s="122" t="s">
        <v>55</v>
      </c>
      <c r="C46" s="122"/>
      <c r="D46" s="122"/>
      <c r="E46" s="122"/>
      <c r="F46" s="122"/>
      <c r="G46" s="122"/>
      <c r="H46" s="23">
        <f t="shared" si="0"/>
        <v>1.7196532684739154E-3</v>
      </c>
      <c r="I46" s="24">
        <f>I45*20%</f>
        <v>5.01</v>
      </c>
    </row>
    <row r="47" spans="1:10" ht="15" customHeight="1" x14ac:dyDescent="0.25">
      <c r="A47" s="15">
        <f t="shared" si="1"/>
        <v>11</v>
      </c>
      <c r="B47" s="164" t="str">
        <f>IF(D6="12x36","Para postos 12x36 os feriados são considerados compensados, conforme parágrafo único, Art. 59-A da CLT","Outros")</f>
        <v>Para postos 12x36 os feriados são considerados compensados, conforme parágrafo único, Art. 59-A da CLT</v>
      </c>
      <c r="C47" s="164"/>
      <c r="D47" s="164"/>
      <c r="E47" s="164"/>
      <c r="F47" s="164"/>
      <c r="G47" s="164"/>
      <c r="H47" s="23">
        <f t="shared" si="0"/>
        <v>0</v>
      </c>
      <c r="I47" s="24">
        <v>0</v>
      </c>
    </row>
    <row r="48" spans="1:10" s="28" customFormat="1" ht="15" customHeight="1" x14ac:dyDescent="0.25">
      <c r="A48" s="133" t="s">
        <v>56</v>
      </c>
      <c r="B48" s="133"/>
      <c r="C48" s="133"/>
      <c r="D48" s="133"/>
      <c r="E48" s="133"/>
      <c r="F48" s="133"/>
      <c r="G48" s="133"/>
      <c r="H48" s="25">
        <f>SUM(H37:H47)</f>
        <v>0.99999999999999978</v>
      </c>
      <c r="I48" s="26">
        <f>SUM(I37:I47)</f>
        <v>2913.3780000000006</v>
      </c>
      <c r="J48" s="27"/>
    </row>
    <row r="49" spans="1:10" s="28" customFormat="1" ht="0.75" customHeight="1" x14ac:dyDescent="0.25">
      <c r="A49" s="165"/>
      <c r="B49" s="165"/>
      <c r="C49" s="165"/>
      <c r="D49" s="165"/>
      <c r="E49" s="165"/>
      <c r="F49" s="165"/>
      <c r="G49" s="165"/>
      <c r="H49" s="165"/>
      <c r="I49" s="165"/>
      <c r="J49" s="27"/>
    </row>
    <row r="50" spans="1:10" s="28" customFormat="1" ht="0.75" customHeight="1" x14ac:dyDescent="0.25">
      <c r="A50" s="165"/>
      <c r="B50" s="165"/>
      <c r="C50" s="165"/>
      <c r="D50" s="165"/>
      <c r="E50" s="165"/>
      <c r="F50" s="165"/>
      <c r="G50" s="165"/>
      <c r="H50" s="165"/>
      <c r="I50" s="165"/>
      <c r="J50" s="27"/>
    </row>
    <row r="51" spans="1:10" s="28" customFormat="1" ht="0.75" customHeight="1" x14ac:dyDescent="0.25">
      <c r="A51" s="165"/>
      <c r="B51" s="165"/>
      <c r="C51" s="165"/>
      <c r="D51" s="165"/>
      <c r="E51" s="165"/>
      <c r="F51" s="165"/>
      <c r="G51" s="165"/>
      <c r="H51" s="165"/>
      <c r="I51" s="165"/>
      <c r="J51" s="27"/>
    </row>
    <row r="52" spans="1:10" s="28" customFormat="1" ht="0.75" customHeight="1" x14ac:dyDescent="0.25">
      <c r="A52" s="165"/>
      <c r="B52" s="165"/>
      <c r="C52" s="165"/>
      <c r="D52" s="165"/>
      <c r="E52" s="165"/>
      <c r="F52" s="165"/>
      <c r="G52" s="165"/>
      <c r="H52" s="165"/>
      <c r="I52" s="165"/>
      <c r="J52" s="27"/>
    </row>
    <row r="53" spans="1:10" s="28" customFormat="1" ht="0.75" customHeight="1" x14ac:dyDescent="0.25">
      <c r="A53" s="165"/>
      <c r="B53" s="165"/>
      <c r="C53" s="165"/>
      <c r="D53" s="165"/>
      <c r="E53" s="165"/>
      <c r="F53" s="165"/>
      <c r="G53" s="165"/>
      <c r="H53" s="165"/>
      <c r="I53" s="165"/>
      <c r="J53" s="27"/>
    </row>
    <row r="54" spans="1:10" s="28" customFormat="1" ht="0.75" customHeight="1" x14ac:dyDescent="0.25">
      <c r="A54" s="165"/>
      <c r="B54" s="165"/>
      <c r="C54" s="165"/>
      <c r="D54" s="165"/>
      <c r="E54" s="165"/>
      <c r="F54" s="165"/>
      <c r="G54" s="165"/>
      <c r="H54" s="165"/>
      <c r="I54" s="165"/>
      <c r="J54" s="27"/>
    </row>
    <row r="55" spans="1:10" s="28" customFormat="1" ht="0.75" customHeight="1" x14ac:dyDescent="0.25">
      <c r="A55" s="165"/>
      <c r="B55" s="165"/>
      <c r="C55" s="165"/>
      <c r="D55" s="165"/>
      <c r="E55" s="165"/>
      <c r="F55" s="165"/>
      <c r="G55" s="165"/>
      <c r="H55" s="165"/>
      <c r="I55" s="165"/>
      <c r="J55" s="27"/>
    </row>
    <row r="56" spans="1:10" ht="0.75" customHeight="1" x14ac:dyDescent="0.25">
      <c r="A56" s="165"/>
      <c r="B56" s="165"/>
      <c r="C56" s="165"/>
      <c r="D56" s="165"/>
      <c r="E56" s="165"/>
      <c r="F56" s="165"/>
      <c r="G56" s="165"/>
      <c r="H56" s="165"/>
      <c r="I56" s="165"/>
    </row>
    <row r="57" spans="1:10" ht="33.75" customHeight="1" x14ac:dyDescent="0.25">
      <c r="A57" s="22" t="s">
        <v>57</v>
      </c>
      <c r="B57" s="132" t="s">
        <v>58</v>
      </c>
      <c r="C57" s="132"/>
      <c r="D57" s="132"/>
      <c r="E57" s="132"/>
      <c r="F57" s="132"/>
      <c r="G57" s="132"/>
      <c r="H57" s="22" t="s">
        <v>44</v>
      </c>
      <c r="I57" s="22" t="s">
        <v>45</v>
      </c>
    </row>
    <row r="58" spans="1:10" ht="15" customHeight="1" x14ac:dyDescent="0.25">
      <c r="A58" s="15">
        <v>1</v>
      </c>
      <c r="B58" s="122" t="s">
        <v>59</v>
      </c>
      <c r="C58" s="122"/>
      <c r="D58" s="122"/>
      <c r="E58" s="122"/>
      <c r="F58" s="122"/>
      <c r="G58" s="122"/>
      <c r="H58" s="23">
        <v>0.2</v>
      </c>
      <c r="I58" s="24">
        <f t="shared" ref="I58:I65" si="2">$I$48*H58</f>
        <v>582.67560000000014</v>
      </c>
    </row>
    <row r="59" spans="1:10" ht="15" customHeight="1" x14ac:dyDescent="0.25">
      <c r="A59" s="15">
        <v>2</v>
      </c>
      <c r="B59" s="122" t="s">
        <v>60</v>
      </c>
      <c r="C59" s="122"/>
      <c r="D59" s="122"/>
      <c r="E59" s="122"/>
      <c r="F59" s="122"/>
      <c r="G59" s="122"/>
      <c r="H59" s="23">
        <v>1.4999999999999999E-2</v>
      </c>
      <c r="I59" s="24">
        <f t="shared" si="2"/>
        <v>43.700670000000009</v>
      </c>
    </row>
    <row r="60" spans="1:10" ht="15" customHeight="1" x14ac:dyDescent="0.25">
      <c r="A60" s="15">
        <v>3</v>
      </c>
      <c r="B60" s="122" t="s">
        <v>61</v>
      </c>
      <c r="C60" s="122"/>
      <c r="D60" s="122"/>
      <c r="E60" s="122"/>
      <c r="F60" s="122"/>
      <c r="G60" s="122"/>
      <c r="H60" s="23">
        <v>0.01</v>
      </c>
      <c r="I60" s="24">
        <f t="shared" si="2"/>
        <v>29.133780000000005</v>
      </c>
    </row>
    <row r="61" spans="1:10" ht="15" customHeight="1" x14ac:dyDescent="0.25">
      <c r="A61" s="15">
        <v>4</v>
      </c>
      <c r="B61" s="122" t="s">
        <v>62</v>
      </c>
      <c r="C61" s="122"/>
      <c r="D61" s="122"/>
      <c r="E61" s="122"/>
      <c r="F61" s="122"/>
      <c r="G61" s="122"/>
      <c r="H61" s="23">
        <v>2E-3</v>
      </c>
      <c r="I61" s="24">
        <f t="shared" si="2"/>
        <v>5.8267560000000014</v>
      </c>
    </row>
    <row r="62" spans="1:10" ht="15" customHeight="1" x14ac:dyDescent="0.25">
      <c r="A62" s="15">
        <v>5</v>
      </c>
      <c r="B62" s="122" t="s">
        <v>63</v>
      </c>
      <c r="C62" s="122"/>
      <c r="D62" s="122"/>
      <c r="E62" s="122"/>
      <c r="F62" s="122"/>
      <c r="G62" s="122"/>
      <c r="H62" s="23">
        <v>2.5000000000000001E-2</v>
      </c>
      <c r="I62" s="24">
        <f t="shared" si="2"/>
        <v>72.834450000000018</v>
      </c>
    </row>
    <row r="63" spans="1:10" ht="15" customHeight="1" x14ac:dyDescent="0.25">
      <c r="A63" s="15">
        <v>6</v>
      </c>
      <c r="B63" s="122" t="s">
        <v>64</v>
      </c>
      <c r="C63" s="122"/>
      <c r="D63" s="122"/>
      <c r="E63" s="122"/>
      <c r="F63" s="122"/>
      <c r="G63" s="122"/>
      <c r="H63" s="23">
        <v>0.08</v>
      </c>
      <c r="I63" s="24">
        <f t="shared" si="2"/>
        <v>233.07024000000004</v>
      </c>
    </row>
    <row r="64" spans="1:10" ht="15" customHeight="1" x14ac:dyDescent="0.25">
      <c r="A64" s="15">
        <v>7</v>
      </c>
      <c r="B64" s="122" t="s">
        <v>65</v>
      </c>
      <c r="C64" s="122"/>
      <c r="D64" s="122"/>
      <c r="E64" s="122"/>
      <c r="F64" s="122"/>
      <c r="G64" s="122"/>
      <c r="H64" s="23">
        <v>0.03</v>
      </c>
      <c r="I64" s="24">
        <f t="shared" si="2"/>
        <v>87.401340000000019</v>
      </c>
    </row>
    <row r="65" spans="1:10" ht="15" customHeight="1" x14ac:dyDescent="0.25">
      <c r="A65" s="15">
        <v>8</v>
      </c>
      <c r="B65" s="122" t="s">
        <v>66</v>
      </c>
      <c r="C65" s="122"/>
      <c r="D65" s="122"/>
      <c r="E65" s="122"/>
      <c r="F65" s="122"/>
      <c r="G65" s="122"/>
      <c r="H65" s="23">
        <v>6.0000000000000001E-3</v>
      </c>
      <c r="I65" s="24">
        <f t="shared" si="2"/>
        <v>17.480268000000002</v>
      </c>
    </row>
    <row r="66" spans="1:10" s="28" customFormat="1" ht="15" customHeight="1" x14ac:dyDescent="0.25">
      <c r="A66" s="133" t="s">
        <v>67</v>
      </c>
      <c r="B66" s="133"/>
      <c r="C66" s="133"/>
      <c r="D66" s="133"/>
      <c r="E66" s="133"/>
      <c r="F66" s="133"/>
      <c r="G66" s="133"/>
      <c r="H66" s="25">
        <f>SUM(H58:H65)</f>
        <v>0.3680000000000001</v>
      </c>
      <c r="I66" s="26">
        <f>SUM(I58:I65)</f>
        <v>1072.1231040000005</v>
      </c>
      <c r="J66" s="27"/>
    </row>
    <row r="67" spans="1:10" ht="15" customHeight="1" x14ac:dyDescent="0.25">
      <c r="A67" s="134" t="s">
        <v>68</v>
      </c>
      <c r="B67" s="134"/>
      <c r="C67" s="134"/>
      <c r="D67" s="134"/>
      <c r="E67" s="134"/>
      <c r="F67" s="134"/>
      <c r="G67" s="134"/>
      <c r="H67" s="134"/>
      <c r="I67" s="134"/>
    </row>
    <row r="68" spans="1:10" ht="30.75" customHeight="1" x14ac:dyDescent="0.25">
      <c r="A68" s="135" t="s">
        <v>69</v>
      </c>
      <c r="B68" s="135"/>
      <c r="C68" s="135"/>
      <c r="D68" s="135"/>
      <c r="E68" s="135"/>
      <c r="F68" s="135"/>
      <c r="G68" s="135"/>
      <c r="H68" s="135"/>
      <c r="I68" s="135"/>
    </row>
    <row r="69" spans="1:10" ht="33.75" customHeight="1" x14ac:dyDescent="0.25">
      <c r="A69" s="22" t="s">
        <v>70</v>
      </c>
      <c r="B69" s="132" t="s">
        <v>71</v>
      </c>
      <c r="C69" s="132"/>
      <c r="D69" s="132"/>
      <c r="E69" s="132"/>
      <c r="F69" s="132"/>
      <c r="G69" s="132"/>
      <c r="H69" s="22" t="s">
        <v>44</v>
      </c>
      <c r="I69" s="22" t="s">
        <v>45</v>
      </c>
    </row>
    <row r="70" spans="1:10" ht="15" customHeight="1" x14ac:dyDescent="0.25">
      <c r="A70" s="15">
        <v>1</v>
      </c>
      <c r="B70" s="122" t="s">
        <v>72</v>
      </c>
      <c r="C70" s="122"/>
      <c r="D70" s="122"/>
      <c r="E70" s="122"/>
      <c r="F70" s="122"/>
      <c r="G70" s="122"/>
      <c r="H70" s="23">
        <v>0.119314</v>
      </c>
      <c r="I70" s="24">
        <f t="shared" ref="I70:I77" si="3">$I$48*H70</f>
        <v>347.60678269200008</v>
      </c>
    </row>
    <row r="71" spans="1:10" ht="15" customHeight="1" x14ac:dyDescent="0.25">
      <c r="A71" s="15">
        <v>2</v>
      </c>
      <c r="B71" s="122" t="s">
        <v>73</v>
      </c>
      <c r="C71" s="122"/>
      <c r="D71" s="122"/>
      <c r="E71" s="122"/>
      <c r="F71" s="122"/>
      <c r="G71" s="122"/>
      <c r="H71" s="23">
        <v>2.0479000000000001E-2</v>
      </c>
      <c r="I71" s="24">
        <f t="shared" si="3"/>
        <v>59.663068062000015</v>
      </c>
    </row>
    <row r="72" spans="1:10" ht="15" customHeight="1" x14ac:dyDescent="0.25">
      <c r="A72" s="15">
        <v>3</v>
      </c>
      <c r="B72" s="122" t="s">
        <v>74</v>
      </c>
      <c r="C72" s="122"/>
      <c r="D72" s="122"/>
      <c r="E72" s="122"/>
      <c r="F72" s="122"/>
      <c r="G72" s="122"/>
      <c r="H72" s="23">
        <v>1.2123E-2</v>
      </c>
      <c r="I72" s="24">
        <f t="shared" si="3"/>
        <v>35.31888149400001</v>
      </c>
    </row>
    <row r="73" spans="1:10" ht="15" customHeight="1" x14ac:dyDescent="0.25">
      <c r="A73" s="15">
        <v>4</v>
      </c>
      <c r="B73" s="122" t="s">
        <v>75</v>
      </c>
      <c r="C73" s="122"/>
      <c r="D73" s="122"/>
      <c r="E73" s="122"/>
      <c r="F73" s="122"/>
      <c r="G73" s="122"/>
      <c r="H73" s="23">
        <v>1.1436E-2</v>
      </c>
      <c r="I73" s="24">
        <f t="shared" si="3"/>
        <v>33.317390808000006</v>
      </c>
    </row>
    <row r="74" spans="1:10" ht="15" customHeight="1" x14ac:dyDescent="0.25">
      <c r="A74" s="15">
        <v>5</v>
      </c>
      <c r="B74" s="122" t="s">
        <v>76</v>
      </c>
      <c r="C74" s="122"/>
      <c r="D74" s="122"/>
      <c r="E74" s="122"/>
      <c r="F74" s="122"/>
      <c r="G74" s="122"/>
      <c r="H74" s="23">
        <v>1.74E-4</v>
      </c>
      <c r="I74" s="24">
        <f t="shared" si="3"/>
        <v>0.50692777200000005</v>
      </c>
    </row>
    <row r="75" spans="1:10" ht="15" customHeight="1" x14ac:dyDescent="0.25">
      <c r="A75" s="15">
        <v>6</v>
      </c>
      <c r="B75" s="122" t="s">
        <v>77</v>
      </c>
      <c r="C75" s="122"/>
      <c r="D75" s="122"/>
      <c r="E75" s="122"/>
      <c r="F75" s="122"/>
      <c r="G75" s="122"/>
      <c r="H75" s="23">
        <v>4.4200000000000001E-4</v>
      </c>
      <c r="I75" s="24">
        <f t="shared" si="3"/>
        <v>1.2877130760000004</v>
      </c>
    </row>
    <row r="76" spans="1:10" ht="15" customHeight="1" x14ac:dyDescent="0.25">
      <c r="A76" s="15">
        <v>7</v>
      </c>
      <c r="B76" s="122" t="s">
        <v>78</v>
      </c>
      <c r="C76" s="122"/>
      <c r="D76" s="122"/>
      <c r="E76" s="122"/>
      <c r="F76" s="122"/>
      <c r="G76" s="122"/>
      <c r="H76" s="23">
        <v>1.85E-4</v>
      </c>
      <c r="I76" s="24">
        <f t="shared" si="3"/>
        <v>0.53897493000000007</v>
      </c>
    </row>
    <row r="77" spans="1:10" ht="15" customHeight="1" x14ac:dyDescent="0.25">
      <c r="A77" s="15">
        <v>8</v>
      </c>
      <c r="B77" s="122" t="s">
        <v>79</v>
      </c>
      <c r="C77" s="122"/>
      <c r="D77" s="122"/>
      <c r="E77" s="122"/>
      <c r="F77" s="122"/>
      <c r="G77" s="122"/>
      <c r="H77" s="23">
        <v>9.0789999999999996E-2</v>
      </c>
      <c r="I77" s="24">
        <f t="shared" si="3"/>
        <v>264.50558862000003</v>
      </c>
    </row>
    <row r="78" spans="1:10" s="28" customFormat="1" ht="15" customHeight="1" x14ac:dyDescent="0.25">
      <c r="A78" s="133" t="s">
        <v>80</v>
      </c>
      <c r="B78" s="133"/>
      <c r="C78" s="133"/>
      <c r="D78" s="133"/>
      <c r="E78" s="133"/>
      <c r="F78" s="133"/>
      <c r="G78" s="133"/>
      <c r="H78" s="25">
        <f>SUM(H70:H77)</f>
        <v>0.25494299999999998</v>
      </c>
      <c r="I78" s="26">
        <f>SUM(I70:I77)</f>
        <v>742.74532745400018</v>
      </c>
      <c r="J78" s="27"/>
    </row>
    <row r="79" spans="1:10" ht="11.25" customHeight="1" x14ac:dyDescent="0.25">
      <c r="A79" s="29" t="s">
        <v>81</v>
      </c>
      <c r="B79" s="136" t="s">
        <v>82</v>
      </c>
      <c r="C79" s="136"/>
      <c r="D79" s="136"/>
      <c r="E79" s="136"/>
      <c r="F79" s="136"/>
      <c r="G79" s="136"/>
      <c r="H79" s="136"/>
      <c r="I79" s="136"/>
    </row>
    <row r="80" spans="1:10" ht="15" customHeight="1" x14ac:dyDescent="0.25">
      <c r="A80" s="29" t="s">
        <v>83</v>
      </c>
      <c r="B80" s="137" t="s">
        <v>84</v>
      </c>
      <c r="C80" s="137"/>
      <c r="D80" s="137"/>
      <c r="E80" s="137"/>
      <c r="F80" s="137"/>
      <c r="G80" s="137"/>
      <c r="H80" s="137"/>
      <c r="I80" s="137"/>
    </row>
    <row r="81" spans="1:11" ht="33.75" customHeight="1" x14ac:dyDescent="0.25">
      <c r="A81" s="22" t="s">
        <v>85</v>
      </c>
      <c r="B81" s="132" t="s">
        <v>86</v>
      </c>
      <c r="C81" s="132"/>
      <c r="D81" s="132"/>
      <c r="E81" s="132"/>
      <c r="F81" s="132"/>
      <c r="G81" s="132"/>
      <c r="H81" s="22" t="s">
        <v>44</v>
      </c>
      <c r="I81" s="22" t="s">
        <v>45</v>
      </c>
    </row>
    <row r="82" spans="1:11" ht="15" customHeight="1" x14ac:dyDescent="0.25">
      <c r="A82" s="15">
        <v>1</v>
      </c>
      <c r="B82" s="122" t="s">
        <v>87</v>
      </c>
      <c r="C82" s="122"/>
      <c r="D82" s="122"/>
      <c r="E82" s="122"/>
      <c r="F82" s="122"/>
      <c r="G82" s="122"/>
      <c r="H82" s="23">
        <v>4.8321000000000003E-2</v>
      </c>
      <c r="I82" s="24">
        <f>$I$48*H82</f>
        <v>140.77733833800005</v>
      </c>
    </row>
    <row r="83" spans="1:11" ht="15" customHeight="1" x14ac:dyDescent="0.25">
      <c r="A83" s="15">
        <v>2</v>
      </c>
      <c r="B83" s="122" t="s">
        <v>88</v>
      </c>
      <c r="C83" s="122"/>
      <c r="D83" s="122"/>
      <c r="E83" s="122"/>
      <c r="F83" s="122"/>
      <c r="G83" s="122"/>
      <c r="H83" s="23">
        <v>3.5109999999999998E-3</v>
      </c>
      <c r="I83" s="24">
        <f>$I$48*H83</f>
        <v>10.228870158000001</v>
      </c>
    </row>
    <row r="84" spans="1:11" ht="15" customHeight="1" x14ac:dyDescent="0.25">
      <c r="A84" s="15">
        <v>3</v>
      </c>
      <c r="B84" s="122" t="s">
        <v>89</v>
      </c>
      <c r="C84" s="122"/>
      <c r="D84" s="122"/>
      <c r="E84" s="122"/>
      <c r="F84" s="122"/>
      <c r="G84" s="122"/>
      <c r="H84" s="23">
        <v>1.9328000000000001E-2</v>
      </c>
      <c r="I84" s="24">
        <f>$I$48*H84</f>
        <v>56.309769984000013</v>
      </c>
    </row>
    <row r="85" spans="1:11" s="28" customFormat="1" ht="15" customHeight="1" x14ac:dyDescent="0.25">
      <c r="A85" s="133" t="s">
        <v>90</v>
      </c>
      <c r="B85" s="133"/>
      <c r="C85" s="133"/>
      <c r="D85" s="133"/>
      <c r="E85" s="133"/>
      <c r="F85" s="133"/>
      <c r="G85" s="133"/>
      <c r="H85" s="25">
        <f>SUM(H82:H84)</f>
        <v>7.1160000000000001E-2</v>
      </c>
      <c r="I85" s="26">
        <f>SUM(I82:I84)</f>
        <v>207.31597848000007</v>
      </c>
      <c r="J85" s="27"/>
    </row>
    <row r="86" spans="1:11" ht="4.5" customHeight="1" x14ac:dyDescent="0.25"/>
    <row r="87" spans="1:11" ht="33.75" customHeight="1" x14ac:dyDescent="0.25">
      <c r="A87" s="22" t="s">
        <v>91</v>
      </c>
      <c r="B87" s="132" t="s">
        <v>92</v>
      </c>
      <c r="C87" s="132"/>
      <c r="D87" s="132"/>
      <c r="E87" s="132"/>
      <c r="F87" s="132"/>
      <c r="G87" s="132"/>
      <c r="H87" s="22" t="s">
        <v>44</v>
      </c>
      <c r="I87" s="22" t="s">
        <v>45</v>
      </c>
    </row>
    <row r="88" spans="1:11" ht="15" customHeight="1" x14ac:dyDescent="0.25">
      <c r="A88" s="15">
        <v>1</v>
      </c>
      <c r="B88" s="122" t="s">
        <v>93</v>
      </c>
      <c r="C88" s="122"/>
      <c r="D88" s="122"/>
      <c r="E88" s="122"/>
      <c r="F88" s="122"/>
      <c r="G88" s="122"/>
      <c r="H88" s="23">
        <f>(H66*H78)</f>
        <v>9.3819024000000015E-2</v>
      </c>
      <c r="I88" s="24">
        <f>$I$48*H88</f>
        <v>273.33028050307212</v>
      </c>
    </row>
    <row r="89" spans="1:11" s="28" customFormat="1" ht="15" customHeight="1" x14ac:dyDescent="0.25">
      <c r="A89" s="133" t="s">
        <v>94</v>
      </c>
      <c r="B89" s="133"/>
      <c r="C89" s="133"/>
      <c r="D89" s="133"/>
      <c r="E89" s="133"/>
      <c r="F89" s="133"/>
      <c r="G89" s="133"/>
      <c r="H89" s="25">
        <f>SUM(H88)</f>
        <v>9.3819024000000015E-2</v>
      </c>
      <c r="I89" s="26">
        <f>I88</f>
        <v>273.33028050307212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38" t="s">
        <v>95</v>
      </c>
      <c r="B91" s="138"/>
      <c r="C91" s="138"/>
      <c r="D91" s="138"/>
      <c r="E91" s="138"/>
      <c r="F91" s="138"/>
      <c r="G91" s="138"/>
      <c r="H91" s="32">
        <f>H66+H78+H85+H89</f>
        <v>0.787922024</v>
      </c>
      <c r="I91" s="33">
        <f>I66+I78+I85+I89</f>
        <v>2295.5146904370727</v>
      </c>
      <c r="J91" s="27"/>
    </row>
    <row r="92" spans="1:11" ht="4.5" customHeight="1" x14ac:dyDescent="0.25"/>
    <row r="93" spans="1:11" ht="33.75" customHeight="1" x14ac:dyDescent="0.25">
      <c r="A93" s="22" t="s">
        <v>96</v>
      </c>
      <c r="B93" s="132" t="s">
        <v>97</v>
      </c>
      <c r="C93" s="132"/>
      <c r="D93" s="132"/>
      <c r="E93" s="132"/>
      <c r="F93" s="132"/>
      <c r="G93" s="132"/>
      <c r="H93" s="22" t="s">
        <v>44</v>
      </c>
      <c r="I93" s="22" t="s">
        <v>45</v>
      </c>
    </row>
    <row r="94" spans="1:11" ht="15" customHeight="1" x14ac:dyDescent="0.25">
      <c r="A94" s="15">
        <v>1</v>
      </c>
      <c r="B94" s="122" t="s">
        <v>29</v>
      </c>
      <c r="C94" s="122"/>
      <c r="D94" s="122"/>
      <c r="E94" s="122"/>
      <c r="F94" s="122"/>
      <c r="G94" s="122"/>
      <c r="H94" s="23">
        <f t="shared" ref="H94:H100" si="4">I94/$I$48</f>
        <v>0.13592468948416578</v>
      </c>
      <c r="I94" s="24">
        <f>I113</f>
        <v>396</v>
      </c>
    </row>
    <row r="95" spans="1:11" ht="15" customHeight="1" x14ac:dyDescent="0.25">
      <c r="A95" s="15">
        <v>2</v>
      </c>
      <c r="B95" s="122" t="s">
        <v>30</v>
      </c>
      <c r="C95" s="122"/>
      <c r="D95" s="122"/>
      <c r="E95" s="122"/>
      <c r="F95" s="122"/>
      <c r="G95" s="122"/>
      <c r="H95" s="23">
        <f t="shared" si="4"/>
        <v>0</v>
      </c>
      <c r="I95" s="24">
        <f>I109</f>
        <v>0</v>
      </c>
    </row>
    <row r="96" spans="1:11" ht="15" customHeight="1" x14ac:dyDescent="0.25">
      <c r="A96" s="15">
        <v>3</v>
      </c>
      <c r="B96" s="122" t="s">
        <v>98</v>
      </c>
      <c r="C96" s="122"/>
      <c r="D96" s="122"/>
      <c r="E96" s="122"/>
      <c r="F96" s="122"/>
      <c r="G96" s="122"/>
      <c r="H96" s="23">
        <f t="shared" si="4"/>
        <v>9.0410513156892088E-3</v>
      </c>
      <c r="I96" s="24">
        <f>I105</f>
        <v>26.340000000000003</v>
      </c>
    </row>
    <row r="97" spans="1:10" ht="15" customHeight="1" x14ac:dyDescent="0.25">
      <c r="A97" s="15">
        <v>4</v>
      </c>
      <c r="B97" s="122" t="s">
        <v>99</v>
      </c>
      <c r="C97" s="122"/>
      <c r="D97" s="122"/>
      <c r="E97" s="122"/>
      <c r="F97" s="122"/>
      <c r="G97" s="122"/>
      <c r="H97" s="23">
        <f t="shared" si="4"/>
        <v>7.7616086892946939E-2</v>
      </c>
      <c r="I97" s="24">
        <f>IF(I28="Não aplicável",0,((I10/H10)*1.5*I28))</f>
        <v>226.12500000000003</v>
      </c>
    </row>
    <row r="98" spans="1:10" ht="15" customHeight="1" x14ac:dyDescent="0.25">
      <c r="A98" s="15">
        <v>5</v>
      </c>
      <c r="B98" s="122" t="s">
        <v>100</v>
      </c>
      <c r="C98" s="122"/>
      <c r="D98" s="122"/>
      <c r="E98" s="122"/>
      <c r="F98" s="122"/>
      <c r="G98" s="122"/>
      <c r="H98" s="23">
        <f t="shared" si="4"/>
        <v>0</v>
      </c>
      <c r="I98" s="24">
        <v>0</v>
      </c>
    </row>
    <row r="99" spans="1:10" ht="15" customHeight="1" x14ac:dyDescent="0.25">
      <c r="A99" s="15">
        <v>6</v>
      </c>
      <c r="B99" s="122" t="s">
        <v>101</v>
      </c>
      <c r="C99" s="122"/>
      <c r="D99" s="122"/>
      <c r="E99" s="122"/>
      <c r="F99" s="122"/>
      <c r="G99" s="122"/>
      <c r="H99" s="23">
        <f t="shared" si="4"/>
        <v>0</v>
      </c>
      <c r="I99" s="24">
        <v>0</v>
      </c>
    </row>
    <row r="100" spans="1:10" ht="15" customHeight="1" x14ac:dyDescent="0.25">
      <c r="A100" s="15">
        <v>7</v>
      </c>
      <c r="B100" s="122" t="s">
        <v>102</v>
      </c>
      <c r="C100" s="122"/>
      <c r="D100" s="122"/>
      <c r="E100" s="122"/>
      <c r="F100" s="122"/>
      <c r="G100" s="122"/>
      <c r="H100" s="23">
        <f t="shared" si="4"/>
        <v>0</v>
      </c>
      <c r="I100" s="24">
        <f>IF(I23="Não aplicável",0,I23)</f>
        <v>0</v>
      </c>
    </row>
    <row r="101" spans="1:10" ht="15" customHeight="1" x14ac:dyDescent="0.25">
      <c r="A101" s="133" t="s">
        <v>103</v>
      </c>
      <c r="B101" s="133"/>
      <c r="C101" s="133"/>
      <c r="D101" s="133"/>
      <c r="E101" s="133"/>
      <c r="F101" s="133"/>
      <c r="G101" s="133"/>
      <c r="H101" s="25">
        <f>SUM(H94:H100)</f>
        <v>0.22258182769280194</v>
      </c>
      <c r="I101" s="26">
        <f>SUM(I94:I100)</f>
        <v>648.46500000000003</v>
      </c>
      <c r="J101" s="34"/>
    </row>
    <row r="102" spans="1:10" ht="18" customHeight="1" x14ac:dyDescent="0.25">
      <c r="A102" s="29" t="s">
        <v>104</v>
      </c>
      <c r="B102" s="134" t="s">
        <v>105</v>
      </c>
      <c r="C102" s="134"/>
      <c r="D102" s="134"/>
      <c r="E102" s="134"/>
      <c r="F102" s="134"/>
      <c r="G102" s="134"/>
      <c r="H102" s="35"/>
      <c r="I102" s="36"/>
    </row>
    <row r="103" spans="1:10" ht="15" customHeight="1" x14ac:dyDescent="0.25">
      <c r="A103" s="139" t="s">
        <v>106</v>
      </c>
      <c r="B103" s="139"/>
      <c r="C103" s="139"/>
      <c r="D103" s="139"/>
      <c r="E103" s="139"/>
      <c r="F103" s="139"/>
      <c r="G103" s="139"/>
      <c r="H103" s="139"/>
      <c r="I103" s="139"/>
    </row>
    <row r="104" spans="1:10" ht="24" customHeight="1" x14ac:dyDescent="0.25">
      <c r="A104" s="127" t="s">
        <v>107</v>
      </c>
      <c r="B104" s="127"/>
      <c r="C104" s="15" t="s">
        <v>108</v>
      </c>
      <c r="D104" s="15" t="s">
        <v>109</v>
      </c>
      <c r="E104" s="15" t="s">
        <v>110</v>
      </c>
      <c r="F104" s="15" t="s">
        <v>111</v>
      </c>
      <c r="G104" s="15" t="s">
        <v>112</v>
      </c>
      <c r="H104" s="23" t="s">
        <v>113</v>
      </c>
      <c r="I104" s="24" t="s">
        <v>114</v>
      </c>
    </row>
    <row r="105" spans="1:10" ht="15" customHeight="1" x14ac:dyDescent="0.25">
      <c r="A105" s="140">
        <f>IF(I14="Não aplicável",0,I14)</f>
        <v>5.3</v>
      </c>
      <c r="B105" s="140"/>
      <c r="C105" s="15">
        <f>IF(I15="Não aplicável",0,I15)</f>
        <v>15</v>
      </c>
      <c r="D105" s="15">
        <v>2</v>
      </c>
      <c r="E105" s="37">
        <f>A105*C105*D105</f>
        <v>159</v>
      </c>
      <c r="F105" s="37">
        <f>I37</f>
        <v>2211</v>
      </c>
      <c r="G105" s="38">
        <f>IF(I16="Não aplicável",0,I16)</f>
        <v>0.06</v>
      </c>
      <c r="H105" s="37">
        <f>F105*G105</f>
        <v>132.66</v>
      </c>
      <c r="I105" s="24">
        <f>IF((E105-H105)&gt;0,E105-H105,0)</f>
        <v>26.340000000000003</v>
      </c>
    </row>
    <row r="106" spans="1:10" ht="3.75" customHeight="1" x14ac:dyDescent="0.25">
      <c r="A106" s="39"/>
      <c r="E106" s="34"/>
      <c r="F106" s="34"/>
      <c r="G106" s="40"/>
      <c r="H106" s="34"/>
      <c r="I106" s="41"/>
    </row>
    <row r="107" spans="1:10" ht="15" customHeight="1" x14ac:dyDescent="0.25">
      <c r="A107" s="139" t="s">
        <v>115</v>
      </c>
      <c r="B107" s="139"/>
      <c r="C107" s="139"/>
      <c r="D107" s="139"/>
      <c r="E107" s="139"/>
      <c r="F107" s="139"/>
      <c r="G107" s="139"/>
      <c r="H107" s="139"/>
      <c r="I107" s="139"/>
    </row>
    <row r="108" spans="1:10" ht="23.25" customHeight="1" x14ac:dyDescent="0.25">
      <c r="A108" s="127" t="s">
        <v>107</v>
      </c>
      <c r="B108" s="127"/>
      <c r="C108" s="15" t="s">
        <v>116</v>
      </c>
      <c r="D108" s="15" t="s">
        <v>109</v>
      </c>
      <c r="E108" s="15" t="s">
        <v>110</v>
      </c>
      <c r="F108" s="15" t="s">
        <v>111</v>
      </c>
      <c r="G108" s="15" t="s">
        <v>112</v>
      </c>
      <c r="H108" s="23" t="s">
        <v>113</v>
      </c>
      <c r="I108" s="24" t="s">
        <v>114</v>
      </c>
    </row>
    <row r="109" spans="1:10" ht="15" customHeight="1" x14ac:dyDescent="0.25">
      <c r="A109" s="141">
        <f>IF(I20="Não aplicável",0,I20)</f>
        <v>0</v>
      </c>
      <c r="B109" s="141"/>
      <c r="C109" s="42">
        <f>IF(I21="Não aplicável",0,I21)</f>
        <v>0</v>
      </c>
      <c r="D109" s="15">
        <v>1</v>
      </c>
      <c r="E109" s="37">
        <f>A109*C109*D109</f>
        <v>0</v>
      </c>
      <c r="F109" s="37">
        <f>E109</f>
        <v>0</v>
      </c>
      <c r="G109" s="43">
        <f>IF(I22="Não aplicável",0,I22)</f>
        <v>0</v>
      </c>
      <c r="H109" s="37">
        <f>F109*G109</f>
        <v>0</v>
      </c>
      <c r="I109" s="24">
        <f>E109-H109</f>
        <v>0</v>
      </c>
    </row>
    <row r="110" spans="1:10" ht="4.5" customHeight="1" x14ac:dyDescent="0.25">
      <c r="A110" s="44"/>
      <c r="B110" s="44"/>
      <c r="C110" s="44"/>
      <c r="D110" s="44"/>
      <c r="E110" s="27"/>
      <c r="F110" s="27"/>
      <c r="G110" s="45"/>
      <c r="H110" s="27"/>
      <c r="I110" s="46"/>
    </row>
    <row r="111" spans="1:10" ht="15" customHeight="1" x14ac:dyDescent="0.25">
      <c r="A111" s="139" t="s">
        <v>117</v>
      </c>
      <c r="B111" s="139"/>
      <c r="C111" s="139"/>
      <c r="D111" s="139"/>
      <c r="E111" s="139"/>
      <c r="F111" s="139"/>
      <c r="G111" s="139"/>
      <c r="H111" s="139"/>
      <c r="I111" s="139"/>
    </row>
    <row r="112" spans="1:10" ht="23.25" customHeight="1" x14ac:dyDescent="0.25">
      <c r="A112" s="127" t="s">
        <v>107</v>
      </c>
      <c r="B112" s="127"/>
      <c r="C112" s="15" t="s">
        <v>116</v>
      </c>
      <c r="D112" s="15" t="s">
        <v>109</v>
      </c>
      <c r="E112" s="15" t="s">
        <v>110</v>
      </c>
      <c r="F112" s="15" t="s">
        <v>111</v>
      </c>
      <c r="G112" s="15" t="s">
        <v>112</v>
      </c>
      <c r="H112" s="23" t="str">
        <f>H104</f>
        <v>Valor desconto</v>
      </c>
      <c r="I112" s="24" t="s">
        <v>114</v>
      </c>
    </row>
    <row r="113" spans="1:12" ht="15" customHeight="1" x14ac:dyDescent="0.25">
      <c r="A113" s="141">
        <f>IF(I17="Não aplicável",0,I17)</f>
        <v>33</v>
      </c>
      <c r="B113" s="141"/>
      <c r="C113" s="42">
        <f>IF(I18="Não aplicável",0,I18)</f>
        <v>15</v>
      </c>
      <c r="D113" s="15">
        <v>1</v>
      </c>
      <c r="E113" s="37">
        <f>A113*C113*D113</f>
        <v>495</v>
      </c>
      <c r="F113" s="37">
        <f>E113</f>
        <v>495</v>
      </c>
      <c r="G113" s="43">
        <f>IF(I19="Não aplicável",0,I19)</f>
        <v>0.2</v>
      </c>
      <c r="H113" s="37">
        <f>F113*G113</f>
        <v>99</v>
      </c>
      <c r="I113" s="24">
        <f>E113-H113</f>
        <v>396</v>
      </c>
    </row>
    <row r="114" spans="1:12" ht="4.5" customHeight="1" x14ac:dyDescent="0.25"/>
    <row r="115" spans="1:12" ht="12" customHeight="1" x14ac:dyDescent="0.25">
      <c r="A115" s="142" t="s">
        <v>118</v>
      </c>
      <c r="B115" s="142"/>
      <c r="C115" s="142"/>
      <c r="D115" s="142"/>
      <c r="E115" s="142"/>
      <c r="F115" s="142"/>
      <c r="G115" s="142"/>
      <c r="H115" s="47">
        <f>H48+H91+H101</f>
        <v>2.0105038516928015</v>
      </c>
      <c r="I115" s="48">
        <f>I48+I91+I101</f>
        <v>5857.357690437073</v>
      </c>
      <c r="J115" s="34"/>
      <c r="L115" s="34"/>
    </row>
    <row r="116" spans="1:12" s="53" customFormat="1" ht="4.5" customHeight="1" x14ac:dyDescent="0.25">
      <c r="A116" s="49"/>
      <c r="B116" s="49"/>
      <c r="C116" s="49"/>
      <c r="D116" s="49"/>
      <c r="E116" s="49"/>
      <c r="F116" s="49"/>
      <c r="G116" s="49"/>
      <c r="H116" s="50"/>
      <c r="I116" s="51"/>
      <c r="J116" s="52"/>
      <c r="L116" s="52"/>
    </row>
    <row r="117" spans="1:12" ht="11.25" customHeight="1" x14ac:dyDescent="0.25">
      <c r="A117" s="131" t="s">
        <v>119</v>
      </c>
      <c r="B117" s="131"/>
      <c r="C117" s="131"/>
      <c r="D117" s="131"/>
      <c r="E117" s="131"/>
      <c r="F117" s="131"/>
      <c r="G117" s="131"/>
      <c r="H117" s="131"/>
      <c r="I117" s="131"/>
    </row>
    <row r="118" spans="1:12" ht="33.75" customHeight="1" x14ac:dyDescent="0.25">
      <c r="A118" s="22" t="s">
        <v>42</v>
      </c>
      <c r="B118" s="132" t="s">
        <v>120</v>
      </c>
      <c r="C118" s="132"/>
      <c r="D118" s="132"/>
      <c r="E118" s="132"/>
      <c r="F118" s="132"/>
      <c r="G118" s="132"/>
      <c r="H118" s="22" t="s">
        <v>44</v>
      </c>
      <c r="I118" s="22" t="s">
        <v>45</v>
      </c>
    </row>
    <row r="119" spans="1:12" ht="15" customHeight="1" x14ac:dyDescent="0.25">
      <c r="A119" s="15">
        <v>1</v>
      </c>
      <c r="B119" s="122" t="s">
        <v>121</v>
      </c>
      <c r="C119" s="122"/>
      <c r="D119" s="122"/>
      <c r="E119" s="122"/>
      <c r="F119" s="122"/>
      <c r="G119" s="122"/>
      <c r="H119" s="23">
        <f t="shared" ref="H119:H125" si="5">I119/$I$131</f>
        <v>0</v>
      </c>
      <c r="I119" s="24">
        <v>0</v>
      </c>
    </row>
    <row r="120" spans="1:12" ht="15" customHeight="1" x14ac:dyDescent="0.25">
      <c r="A120" s="15">
        <v>2</v>
      </c>
      <c r="B120" s="117" t="s">
        <v>122</v>
      </c>
      <c r="C120" s="117"/>
      <c r="D120" s="117"/>
      <c r="E120" s="117"/>
      <c r="F120" s="117"/>
      <c r="G120" s="117"/>
      <c r="H120" s="23">
        <f t="shared" si="5"/>
        <v>0</v>
      </c>
      <c r="I120" s="24">
        <f>IF(F129=10%,G129,0)</f>
        <v>0</v>
      </c>
    </row>
    <row r="121" spans="1:12" ht="15" customHeight="1" x14ac:dyDescent="0.25">
      <c r="A121" s="15">
        <v>3</v>
      </c>
      <c r="B121" s="122" t="s">
        <v>123</v>
      </c>
      <c r="C121" s="122"/>
      <c r="D121" s="122"/>
      <c r="E121" s="122"/>
      <c r="F121" s="122"/>
      <c r="G121" s="122"/>
      <c r="H121" s="23">
        <f t="shared" si="5"/>
        <v>0</v>
      </c>
      <c r="I121" s="24">
        <v>0</v>
      </c>
    </row>
    <row r="122" spans="1:12" ht="15" customHeight="1" x14ac:dyDescent="0.25">
      <c r="A122" s="15">
        <v>4</v>
      </c>
      <c r="B122" s="122" t="s">
        <v>124</v>
      </c>
      <c r="C122" s="122"/>
      <c r="D122" s="122"/>
      <c r="E122" s="122"/>
      <c r="F122" s="122"/>
      <c r="G122" s="122"/>
      <c r="H122" s="23">
        <f t="shared" si="5"/>
        <v>0</v>
      </c>
      <c r="I122" s="24">
        <v>0</v>
      </c>
    </row>
    <row r="123" spans="1:12" ht="15" customHeight="1" x14ac:dyDescent="0.25">
      <c r="A123" s="15">
        <v>5</v>
      </c>
      <c r="B123" s="122" t="s">
        <v>125</v>
      </c>
      <c r="C123" s="122"/>
      <c r="D123" s="122"/>
      <c r="E123" s="122"/>
      <c r="F123" s="122"/>
      <c r="G123" s="122"/>
      <c r="H123" s="23">
        <f t="shared" si="5"/>
        <v>0</v>
      </c>
      <c r="I123" s="24">
        <v>0</v>
      </c>
    </row>
    <row r="124" spans="1:12" ht="15" customHeight="1" x14ac:dyDescent="0.25">
      <c r="A124" s="15">
        <v>6</v>
      </c>
      <c r="B124" s="122" t="s">
        <v>126</v>
      </c>
      <c r="C124" s="122"/>
      <c r="D124" s="122"/>
      <c r="E124" s="122"/>
      <c r="F124" s="122"/>
      <c r="G124" s="122"/>
      <c r="H124" s="23">
        <f t="shared" si="5"/>
        <v>0</v>
      </c>
      <c r="I124" s="24">
        <v>0</v>
      </c>
    </row>
    <row r="125" spans="1:12" ht="15" customHeight="1" x14ac:dyDescent="0.25">
      <c r="A125" s="15">
        <v>7</v>
      </c>
      <c r="B125" s="122" t="s">
        <v>127</v>
      </c>
      <c r="C125" s="122"/>
      <c r="D125" s="122"/>
      <c r="E125" s="122"/>
      <c r="F125" s="122"/>
      <c r="G125" s="122"/>
      <c r="H125" s="23">
        <f t="shared" si="5"/>
        <v>0</v>
      </c>
      <c r="I125" s="24">
        <v>0</v>
      </c>
    </row>
    <row r="126" spans="1:12" ht="15" customHeight="1" x14ac:dyDescent="0.25">
      <c r="A126" s="133" t="s">
        <v>128</v>
      </c>
      <c r="B126" s="133"/>
      <c r="C126" s="133"/>
      <c r="D126" s="133"/>
      <c r="E126" s="133"/>
      <c r="F126" s="133"/>
      <c r="G126" s="133"/>
      <c r="H126" s="25">
        <f>H119+H120+H121+H122+H124+H125</f>
        <v>0</v>
      </c>
      <c r="I126" s="54">
        <f>SUM(I119:I125)</f>
        <v>0</v>
      </c>
      <c r="J126" s="34"/>
    </row>
    <row r="127" spans="1:12" ht="42.75" customHeight="1" x14ac:dyDescent="0.25">
      <c r="B127" s="136" t="s">
        <v>129</v>
      </c>
      <c r="C127" s="136"/>
      <c r="D127" s="136"/>
      <c r="E127" s="136"/>
      <c r="F127" s="136"/>
      <c r="G127" s="136"/>
      <c r="H127" s="136"/>
      <c r="I127" s="136"/>
    </row>
    <row r="128" spans="1:12" ht="5.25" customHeight="1" x14ac:dyDescent="0.25"/>
    <row r="129" spans="1:12" ht="48.75" customHeight="1" x14ac:dyDescent="0.25">
      <c r="A129" s="143" t="s">
        <v>130</v>
      </c>
      <c r="B129" s="143"/>
      <c r="C129" s="143"/>
      <c r="D129" s="143"/>
      <c r="E129" s="143"/>
      <c r="F129" s="55">
        <f>I29</f>
        <v>0.2</v>
      </c>
      <c r="G129" s="56">
        <f>I131*F129</f>
        <v>1166.2035380874147</v>
      </c>
      <c r="H129" s="57" t="s">
        <v>131</v>
      </c>
      <c r="I129" s="58">
        <f>I96</f>
        <v>26.340000000000003</v>
      </c>
    </row>
    <row r="130" spans="1:12" s="61" customFormat="1" ht="16.5" customHeight="1" x14ac:dyDescent="0.25">
      <c r="A130" s="144" t="s">
        <v>132</v>
      </c>
      <c r="B130" s="144"/>
      <c r="C130" s="57" t="s">
        <v>133</v>
      </c>
      <c r="D130" s="57" t="s">
        <v>134</v>
      </c>
      <c r="E130" s="57" t="s">
        <v>135</v>
      </c>
      <c r="F130" s="57" t="s">
        <v>136</v>
      </c>
      <c r="G130" s="57" t="s">
        <v>137</v>
      </c>
      <c r="H130" s="57" t="s">
        <v>138</v>
      </c>
      <c r="I130" s="59" t="s">
        <v>139</v>
      </c>
      <c r="J130" s="60"/>
    </row>
    <row r="131" spans="1:12" ht="16.5" customHeight="1" x14ac:dyDescent="0.25">
      <c r="A131" s="145">
        <f>I48</f>
        <v>2913.3780000000006</v>
      </c>
      <c r="B131" s="145"/>
      <c r="C131" s="62">
        <f>I66</f>
        <v>1072.1231040000005</v>
      </c>
      <c r="D131" s="62">
        <f>I78</f>
        <v>742.74532745400018</v>
      </c>
      <c r="E131" s="62">
        <f>I85</f>
        <v>207.31597848000007</v>
      </c>
      <c r="F131" s="62">
        <f>I89</f>
        <v>273.33028050307212</v>
      </c>
      <c r="G131" s="62">
        <f>I101</f>
        <v>648.46500000000003</v>
      </c>
      <c r="H131" s="62">
        <f>A131+C131+D131+E131+F131+G131</f>
        <v>5857.357690437073</v>
      </c>
      <c r="I131" s="62">
        <f>H131-I129</f>
        <v>5831.0176904370728</v>
      </c>
      <c r="J131" s="34"/>
    </row>
    <row r="132" spans="1:12" ht="4.5" customHeight="1" x14ac:dyDescent="0.25">
      <c r="A132" s="29"/>
      <c r="B132" s="146"/>
      <c r="C132" s="146"/>
      <c r="D132" s="146"/>
      <c r="E132" s="146"/>
      <c r="F132" s="146"/>
      <c r="G132" s="146"/>
      <c r="H132" s="146"/>
      <c r="I132" s="146"/>
    </row>
    <row r="133" spans="1:12" ht="33.75" customHeight="1" x14ac:dyDescent="0.25">
      <c r="A133" s="22" t="s">
        <v>57</v>
      </c>
      <c r="B133" s="132" t="s">
        <v>140</v>
      </c>
      <c r="C133" s="132"/>
      <c r="D133" s="132"/>
      <c r="E133" s="132"/>
      <c r="F133" s="132"/>
      <c r="G133" s="132"/>
      <c r="H133" s="22" t="s">
        <v>44</v>
      </c>
      <c r="I133" s="22" t="s">
        <v>45</v>
      </c>
    </row>
    <row r="134" spans="1:12" ht="15" customHeight="1" x14ac:dyDescent="0.25">
      <c r="A134" s="15">
        <v>1</v>
      </c>
      <c r="B134" s="122" t="s">
        <v>141</v>
      </c>
      <c r="C134" s="122"/>
      <c r="D134" s="122"/>
      <c r="E134" s="122"/>
      <c r="F134" s="122"/>
      <c r="G134" s="122"/>
      <c r="H134" s="23">
        <f>I134/$I$144</f>
        <v>0</v>
      </c>
      <c r="I134" s="24">
        <v>0</v>
      </c>
    </row>
    <row r="135" spans="1:12" ht="15" customHeight="1" x14ac:dyDescent="0.25">
      <c r="A135" s="15">
        <v>2</v>
      </c>
      <c r="B135" s="122" t="s">
        <v>142</v>
      </c>
      <c r="C135" s="122"/>
      <c r="D135" s="122"/>
      <c r="E135" s="122"/>
      <c r="F135" s="122"/>
      <c r="G135" s="122"/>
      <c r="H135" s="23">
        <f>I135/$I$144</f>
        <v>0</v>
      </c>
      <c r="I135" s="24">
        <v>0</v>
      </c>
    </row>
    <row r="136" spans="1:12" ht="34.5" customHeight="1" x14ac:dyDescent="0.25">
      <c r="A136" s="133" t="s">
        <v>143</v>
      </c>
      <c r="B136" s="133"/>
      <c r="C136" s="133"/>
      <c r="D136" s="133"/>
      <c r="E136" s="133"/>
      <c r="F136" s="133"/>
      <c r="G136" s="133"/>
      <c r="H136" s="25">
        <f>H134+H135</f>
        <v>0</v>
      </c>
      <c r="I136" s="26">
        <f>SUM(I134:I135)</f>
        <v>0</v>
      </c>
    </row>
    <row r="137" spans="1:12" ht="4.5" customHeight="1" x14ac:dyDescent="0.25"/>
    <row r="138" spans="1:12" ht="33.75" customHeight="1" x14ac:dyDescent="0.25">
      <c r="A138" s="22" t="s">
        <v>70</v>
      </c>
      <c r="B138" s="132" t="s">
        <v>144</v>
      </c>
      <c r="C138" s="132"/>
      <c r="D138" s="132"/>
      <c r="E138" s="132"/>
      <c r="F138" s="132"/>
      <c r="G138" s="132"/>
      <c r="H138" s="22" t="s">
        <v>44</v>
      </c>
      <c r="I138" s="22" t="s">
        <v>45</v>
      </c>
    </row>
    <row r="139" spans="1:12" ht="15" customHeight="1" x14ac:dyDescent="0.25">
      <c r="A139" s="15">
        <v>1</v>
      </c>
      <c r="B139" s="122" t="s">
        <v>144</v>
      </c>
      <c r="C139" s="122"/>
      <c r="D139" s="122"/>
      <c r="E139" s="122"/>
      <c r="F139" s="122"/>
      <c r="G139" s="122"/>
      <c r="H139" s="23">
        <f>I139/I144</f>
        <v>0</v>
      </c>
      <c r="I139" s="24">
        <v>0</v>
      </c>
    </row>
    <row r="140" spans="1:12" ht="34.5" customHeight="1" x14ac:dyDescent="0.25">
      <c r="A140" s="133" t="s">
        <v>145</v>
      </c>
      <c r="B140" s="133"/>
      <c r="C140" s="133"/>
      <c r="D140" s="133"/>
      <c r="E140" s="133"/>
      <c r="F140" s="133"/>
      <c r="G140" s="133"/>
      <c r="H140" s="25">
        <f>H139</f>
        <v>0</v>
      </c>
      <c r="I140" s="26">
        <f>I139</f>
        <v>0</v>
      </c>
      <c r="J140" s="34"/>
      <c r="K140" s="34"/>
      <c r="L140" s="6"/>
    </row>
    <row r="141" spans="1:12" ht="4.5" customHeight="1" x14ac:dyDescent="0.25">
      <c r="A141" s="28"/>
      <c r="B141" s="28"/>
      <c r="C141" s="28"/>
      <c r="D141" s="28"/>
      <c r="E141" s="28"/>
      <c r="F141" s="28"/>
      <c r="G141" s="28"/>
      <c r="H141" s="35"/>
      <c r="I141" s="36"/>
    </row>
    <row r="142" spans="1:12" ht="39" customHeight="1" x14ac:dyDescent="0.25">
      <c r="A142" s="147" t="s">
        <v>146</v>
      </c>
      <c r="B142" s="147"/>
      <c r="C142" s="147"/>
      <c r="D142" s="147"/>
      <c r="E142" s="147"/>
      <c r="F142" s="55">
        <v>0.18</v>
      </c>
      <c r="G142" s="56">
        <f>I144*F142</f>
        <v>1049.5831842786731</v>
      </c>
      <c r="H142" s="57" t="s">
        <v>131</v>
      </c>
      <c r="I142" s="58">
        <f>I96</f>
        <v>26.340000000000003</v>
      </c>
      <c r="L142" s="6"/>
    </row>
    <row r="143" spans="1:12" s="61" customFormat="1" ht="16.5" customHeight="1" x14ac:dyDescent="0.25">
      <c r="A143" s="144" t="s">
        <v>132</v>
      </c>
      <c r="B143" s="144"/>
      <c r="C143" s="57" t="s">
        <v>133</v>
      </c>
      <c r="D143" s="57" t="s">
        <v>134</v>
      </c>
      <c r="E143" s="57" t="s">
        <v>135</v>
      </c>
      <c r="F143" s="57" t="s">
        <v>136</v>
      </c>
      <c r="G143" s="57" t="s">
        <v>137</v>
      </c>
      <c r="H143" s="57" t="s">
        <v>138</v>
      </c>
      <c r="I143" s="59" t="s">
        <v>139</v>
      </c>
      <c r="J143" s="60"/>
      <c r="L143" s="60"/>
    </row>
    <row r="144" spans="1:12" ht="16.5" customHeight="1" x14ac:dyDescent="0.25">
      <c r="A144" s="145">
        <f>I48</f>
        <v>2913.3780000000006</v>
      </c>
      <c r="B144" s="145"/>
      <c r="C144" s="62">
        <f>I66</f>
        <v>1072.1231040000005</v>
      </c>
      <c r="D144" s="62">
        <f>I78</f>
        <v>742.74532745400018</v>
      </c>
      <c r="E144" s="62">
        <f>I85</f>
        <v>207.31597848000007</v>
      </c>
      <c r="F144" s="62">
        <f>I89</f>
        <v>273.33028050307212</v>
      </c>
      <c r="G144" s="62">
        <f>I101</f>
        <v>648.46500000000003</v>
      </c>
      <c r="H144" s="62">
        <f>A144+C144+D144+E144+F144+G144</f>
        <v>5857.357690437073</v>
      </c>
      <c r="I144" s="62">
        <f>H144-I142</f>
        <v>5831.0176904370728</v>
      </c>
      <c r="J144" s="34"/>
      <c r="L144" s="6"/>
    </row>
    <row r="145" spans="1:10" ht="4.5" customHeight="1" x14ac:dyDescent="0.25"/>
    <row r="146" spans="1:10" ht="12" customHeight="1" x14ac:dyDescent="0.25">
      <c r="A146" s="142" t="s">
        <v>147</v>
      </c>
      <c r="B146" s="142"/>
      <c r="C146" s="142"/>
      <c r="D146" s="142"/>
      <c r="E146" s="142"/>
      <c r="F146" s="142"/>
      <c r="G146" s="142"/>
      <c r="H146" s="47">
        <f>H126+H136+H140</f>
        <v>0</v>
      </c>
      <c r="I146" s="48">
        <f>I126+I136+I140</f>
        <v>0</v>
      </c>
    </row>
    <row r="147" spans="1:10" ht="4.5" customHeight="1" x14ac:dyDescent="0.25"/>
    <row r="148" spans="1:10" ht="11.25" customHeight="1" x14ac:dyDescent="0.25">
      <c r="A148" s="131" t="s">
        <v>148</v>
      </c>
      <c r="B148" s="131"/>
      <c r="C148" s="131"/>
      <c r="D148" s="131"/>
      <c r="E148" s="131"/>
      <c r="F148" s="131"/>
      <c r="G148" s="131"/>
      <c r="H148" s="131"/>
      <c r="I148" s="131"/>
    </row>
    <row r="149" spans="1:10" ht="33.75" customHeight="1" x14ac:dyDescent="0.25">
      <c r="A149" s="22" t="s">
        <v>42</v>
      </c>
      <c r="B149" s="132" t="s">
        <v>149</v>
      </c>
      <c r="C149" s="132"/>
      <c r="D149" s="132"/>
      <c r="E149" s="132"/>
      <c r="F149" s="132"/>
      <c r="G149" s="132"/>
      <c r="H149" s="22" t="s">
        <v>44</v>
      </c>
      <c r="I149" s="22" t="s">
        <v>45</v>
      </c>
    </row>
    <row r="150" spans="1:10" ht="15" customHeight="1" x14ac:dyDescent="0.25">
      <c r="A150" s="15">
        <v>1</v>
      </c>
      <c r="B150" s="122" t="s">
        <v>150</v>
      </c>
      <c r="C150" s="122"/>
      <c r="D150" s="122"/>
      <c r="E150" s="122"/>
      <c r="F150" s="122"/>
      <c r="G150" s="122"/>
      <c r="H150" s="23">
        <f>I150/$I$115</f>
        <v>6.9259456579648365E-3</v>
      </c>
      <c r="I150" s="24">
        <f>($D$160/$E$162)*H160</f>
        <v>40.56774106322959</v>
      </c>
    </row>
    <row r="151" spans="1:10" ht="15" customHeight="1" x14ac:dyDescent="0.25">
      <c r="A151" s="15">
        <v>2</v>
      </c>
      <c r="B151" s="122" t="s">
        <v>151</v>
      </c>
      <c r="C151" s="122"/>
      <c r="D151" s="122"/>
      <c r="E151" s="122"/>
      <c r="F151" s="122"/>
      <c r="G151" s="122"/>
      <c r="H151" s="23">
        <f>I151/$I$115</f>
        <v>3.1965903036760786E-2</v>
      </c>
      <c r="I151" s="24">
        <f>($D$160/$E$162)*H161</f>
        <v>187.23572798413659</v>
      </c>
    </row>
    <row r="152" spans="1:10" ht="15" customHeight="1" x14ac:dyDescent="0.25">
      <c r="A152" s="15">
        <v>3</v>
      </c>
      <c r="B152" s="122" t="s">
        <v>20</v>
      </c>
      <c r="C152" s="122"/>
      <c r="D152" s="122"/>
      <c r="E152" s="122"/>
      <c r="F152" s="122"/>
      <c r="G152" s="122"/>
      <c r="H152" s="23">
        <f>I152/$I$115</f>
        <v>2.6638252530633993E-2</v>
      </c>
      <c r="I152" s="24">
        <f>($D$160/$E$162)*H162</f>
        <v>156.02977332011383</v>
      </c>
    </row>
    <row r="153" spans="1:10" ht="15" customHeight="1" x14ac:dyDescent="0.25">
      <c r="A153" s="15">
        <v>4</v>
      </c>
      <c r="B153" s="122" t="s">
        <v>152</v>
      </c>
      <c r="C153" s="122"/>
      <c r="D153" s="122"/>
      <c r="E153" s="122"/>
      <c r="F153" s="122"/>
      <c r="G153" s="122"/>
      <c r="H153" s="23">
        <f>I153/$I$115</f>
        <v>0</v>
      </c>
      <c r="I153" s="24">
        <f>($D$160/$E$162)*H163</f>
        <v>0</v>
      </c>
    </row>
    <row r="154" spans="1:10" ht="15" customHeight="1" x14ac:dyDescent="0.25">
      <c r="A154" s="15">
        <v>5</v>
      </c>
      <c r="B154" s="122" t="s">
        <v>153</v>
      </c>
      <c r="C154" s="122"/>
      <c r="D154" s="122"/>
      <c r="E154" s="122"/>
      <c r="F154" s="122"/>
      <c r="G154" s="122"/>
      <c r="H154" s="23">
        <f>I154/$I$115</f>
        <v>0</v>
      </c>
      <c r="I154" s="24">
        <f>($D$160/$E$162)*H164</f>
        <v>0</v>
      </c>
    </row>
    <row r="155" spans="1:10" ht="15" customHeight="1" x14ac:dyDescent="0.25">
      <c r="A155" s="133" t="s">
        <v>154</v>
      </c>
      <c r="B155" s="133"/>
      <c r="C155" s="133"/>
      <c r="D155" s="133"/>
      <c r="E155" s="133"/>
      <c r="F155" s="133"/>
      <c r="G155" s="133"/>
      <c r="H155" s="25">
        <f>H150+H151+H152+H153+H154</f>
        <v>6.5530101225359613E-2</v>
      </c>
      <c r="I155" s="26">
        <f>SUM(I150:I154)</f>
        <v>383.83324236748001</v>
      </c>
    </row>
    <row r="156" spans="1:10" ht="11.25" customHeight="1" x14ac:dyDescent="0.25">
      <c r="A156" s="29" t="s">
        <v>155</v>
      </c>
      <c r="B156" s="136" t="s">
        <v>156</v>
      </c>
      <c r="C156" s="136"/>
      <c r="D156" s="136"/>
      <c r="E156" s="136"/>
      <c r="F156" s="136"/>
      <c r="G156" s="136"/>
      <c r="H156" s="136"/>
      <c r="I156" s="136"/>
    </row>
    <row r="157" spans="1:10" ht="20.25" customHeight="1" x14ac:dyDescent="0.25">
      <c r="A157" s="29" t="s">
        <v>157</v>
      </c>
      <c r="B157" s="148" t="s">
        <v>158</v>
      </c>
      <c r="C157" s="148"/>
      <c r="D157" s="148"/>
      <c r="E157" s="148"/>
      <c r="F157" s="148"/>
      <c r="G157" s="148"/>
      <c r="H157" s="148"/>
      <c r="I157" s="148"/>
    </row>
    <row r="158" spans="1:10" ht="13.5" customHeight="1" x14ac:dyDescent="0.25">
      <c r="A158" s="139" t="s">
        <v>159</v>
      </c>
      <c r="B158" s="139"/>
      <c r="C158" s="139"/>
      <c r="D158" s="139"/>
      <c r="E158" s="139"/>
      <c r="F158" s="139"/>
      <c r="G158" s="139"/>
      <c r="H158" s="139"/>
      <c r="I158" s="139"/>
    </row>
    <row r="159" spans="1:10" ht="13.5" customHeight="1" x14ac:dyDescent="0.25">
      <c r="A159" s="114" t="s">
        <v>160</v>
      </c>
      <c r="B159" s="114"/>
      <c r="C159" s="4" t="s">
        <v>161</v>
      </c>
      <c r="D159" s="130" t="s">
        <v>162</v>
      </c>
      <c r="E159" s="130"/>
      <c r="F159" s="4" t="s">
        <v>163</v>
      </c>
      <c r="G159" s="4" t="s">
        <v>164</v>
      </c>
      <c r="H159" s="149" t="s">
        <v>165</v>
      </c>
      <c r="I159" s="149"/>
    </row>
    <row r="160" spans="1:10" ht="13.5" customHeight="1" x14ac:dyDescent="0.25">
      <c r="A160" s="150">
        <f>I115</f>
        <v>5857.357690437073</v>
      </c>
      <c r="B160" s="150"/>
      <c r="C160" s="24">
        <f>I146</f>
        <v>0</v>
      </c>
      <c r="D160" s="151">
        <f>A160+C160</f>
        <v>5857.357690437073</v>
      </c>
      <c r="E160" s="151"/>
      <c r="F160" s="15" t="s">
        <v>150</v>
      </c>
      <c r="G160" s="43">
        <v>1.6500000000000001E-2</v>
      </c>
      <c r="H160" s="152">
        <v>6.4999999999999997E-3</v>
      </c>
      <c r="I160" s="152"/>
      <c r="J160" s="34"/>
    </row>
    <row r="161" spans="1:10" ht="13.5" customHeight="1" x14ac:dyDescent="0.25">
      <c r="A161" s="122" t="s">
        <v>166</v>
      </c>
      <c r="B161" s="122"/>
      <c r="C161" s="15">
        <v>1</v>
      </c>
      <c r="D161" s="63">
        <f>G165/1</f>
        <v>0.11749999999999999</v>
      </c>
      <c r="E161" s="64">
        <f>C161-D161</f>
        <v>0.88250000000000006</v>
      </c>
      <c r="F161" s="15" t="s">
        <v>151</v>
      </c>
      <c r="G161" s="43">
        <v>7.5999999999999998E-2</v>
      </c>
      <c r="H161" s="152">
        <v>0.03</v>
      </c>
      <c r="I161" s="152"/>
    </row>
    <row r="162" spans="1:10" ht="13.5" customHeight="1" x14ac:dyDescent="0.25">
      <c r="A162" s="154" t="s">
        <v>167</v>
      </c>
      <c r="B162" s="154"/>
      <c r="C162" s="15">
        <v>1</v>
      </c>
      <c r="D162" s="63">
        <f>H165</f>
        <v>6.1499999999999999E-2</v>
      </c>
      <c r="E162" s="65">
        <f>C162-D162</f>
        <v>0.9385</v>
      </c>
      <c r="F162" s="15" t="s">
        <v>20</v>
      </c>
      <c r="G162" s="43">
        <f>I11</f>
        <v>2.5000000000000001E-2</v>
      </c>
      <c r="H162" s="152">
        <f>I11</f>
        <v>2.5000000000000001E-2</v>
      </c>
      <c r="I162" s="152"/>
    </row>
    <row r="163" spans="1:10" ht="13.5" customHeight="1" x14ac:dyDescent="0.25">
      <c r="A163" s="154" t="s">
        <v>168</v>
      </c>
      <c r="B163" s="154"/>
      <c r="C163" s="15">
        <v>1</v>
      </c>
      <c r="D163" s="66">
        <v>0.09</v>
      </c>
      <c r="E163" s="67">
        <f>C163-D163</f>
        <v>0.91</v>
      </c>
      <c r="F163" s="15" t="s">
        <v>169</v>
      </c>
      <c r="G163" s="43">
        <v>0</v>
      </c>
      <c r="H163" s="152">
        <v>0</v>
      </c>
      <c r="I163" s="152"/>
    </row>
    <row r="164" spans="1:10" ht="13.5" customHeight="1" x14ac:dyDescent="0.25">
      <c r="A164" s="166" t="s">
        <v>170</v>
      </c>
      <c r="B164" s="166" t="s">
        <v>171</v>
      </c>
      <c r="C164" s="166"/>
      <c r="D164" s="166"/>
      <c r="E164" s="166"/>
      <c r="F164" s="13" t="s">
        <v>172</v>
      </c>
      <c r="G164" s="43">
        <v>0</v>
      </c>
      <c r="H164" s="152">
        <v>0</v>
      </c>
      <c r="I164" s="152"/>
    </row>
    <row r="165" spans="1:10" ht="18" customHeight="1" x14ac:dyDescent="0.25">
      <c r="A165" s="166"/>
      <c r="B165" s="166"/>
      <c r="C165" s="166"/>
      <c r="D165" s="166"/>
      <c r="E165" s="166"/>
      <c r="F165" s="4" t="s">
        <v>173</v>
      </c>
      <c r="G165" s="68">
        <f>SUM(G160:G164)</f>
        <v>0.11749999999999999</v>
      </c>
      <c r="H165" s="156">
        <f>SUM(H160:I164)</f>
        <v>6.1499999999999999E-2</v>
      </c>
      <c r="I165" s="156"/>
    </row>
    <row r="166" spans="1:10" ht="48.75" customHeight="1" x14ac:dyDescent="0.25">
      <c r="A166" s="167" t="s">
        <v>174</v>
      </c>
      <c r="B166" s="167"/>
      <c r="C166" s="167"/>
      <c r="D166" s="167"/>
      <c r="E166" s="167"/>
      <c r="F166" s="167"/>
      <c r="G166" s="167"/>
      <c r="H166" s="167"/>
      <c r="I166" s="167"/>
    </row>
    <row r="167" spans="1:10" ht="12" customHeight="1" x14ac:dyDescent="0.25">
      <c r="A167" s="29" t="s">
        <v>175</v>
      </c>
      <c r="B167" s="148" t="s">
        <v>176</v>
      </c>
      <c r="C167" s="148"/>
      <c r="D167" s="148"/>
      <c r="E167" s="148"/>
      <c r="F167" s="148"/>
      <c r="G167" s="148"/>
      <c r="H167" s="148"/>
      <c r="I167" s="148"/>
    </row>
    <row r="168" spans="1:10" ht="4.5" customHeight="1" x14ac:dyDescent="0.25">
      <c r="A168" s="69"/>
      <c r="B168" s="158"/>
      <c r="C168" s="158"/>
      <c r="D168" s="158"/>
      <c r="E168" s="158"/>
      <c r="F168" s="158"/>
      <c r="G168" s="158"/>
      <c r="H168" s="158"/>
      <c r="I168" s="158"/>
    </row>
    <row r="169" spans="1:10" ht="12" customHeight="1" x14ac:dyDescent="0.25">
      <c r="A169" s="142" t="s">
        <v>177</v>
      </c>
      <c r="B169" s="142"/>
      <c r="C169" s="142"/>
      <c r="D169" s="142"/>
      <c r="E169" s="142"/>
      <c r="F169" s="142"/>
      <c r="G169" s="142"/>
      <c r="H169" s="47">
        <f>H155</f>
        <v>6.5530101225359613E-2</v>
      </c>
      <c r="I169" s="48">
        <f>I155</f>
        <v>383.83324236748001</v>
      </c>
    </row>
    <row r="170" spans="1:10" ht="4.5" customHeight="1" x14ac:dyDescent="0.25"/>
    <row r="171" spans="1:10" ht="11.25" customHeight="1" x14ac:dyDescent="0.25">
      <c r="A171" s="159" t="s">
        <v>178</v>
      </c>
      <c r="B171" s="159"/>
      <c r="C171" s="159"/>
      <c r="D171" s="159"/>
      <c r="E171" s="159"/>
      <c r="F171" s="159"/>
      <c r="G171" s="159"/>
      <c r="H171" s="159"/>
      <c r="I171" s="159"/>
    </row>
    <row r="172" spans="1:10" ht="11.25" customHeight="1" x14ac:dyDescent="0.25">
      <c r="A172" s="131" t="s">
        <v>41</v>
      </c>
      <c r="B172" s="131"/>
      <c r="C172" s="131"/>
      <c r="D172" s="131"/>
      <c r="E172" s="131"/>
      <c r="F172" s="131"/>
      <c r="G172" s="131"/>
      <c r="H172" s="131"/>
      <c r="I172" s="131"/>
    </row>
    <row r="173" spans="1:10" ht="15" customHeight="1" x14ac:dyDescent="0.25">
      <c r="A173" s="15">
        <v>1</v>
      </c>
      <c r="B173" s="122" t="s">
        <v>179</v>
      </c>
      <c r="C173" s="122"/>
      <c r="D173" s="122"/>
      <c r="E173" s="122"/>
      <c r="F173" s="122"/>
      <c r="G173" s="122"/>
      <c r="H173" s="23">
        <f>I173/$G$196</f>
        <v>0.46679847913619049</v>
      </c>
      <c r="I173" s="70">
        <f>I48</f>
        <v>2913.3780000000006</v>
      </c>
    </row>
    <row r="174" spans="1:10" ht="15" customHeight="1" x14ac:dyDescent="0.25">
      <c r="A174" s="15">
        <v>2</v>
      </c>
      <c r="B174" s="122" t="s">
        <v>180</v>
      </c>
      <c r="C174" s="122"/>
      <c r="D174" s="122"/>
      <c r="E174" s="122"/>
      <c r="F174" s="122"/>
      <c r="G174" s="122"/>
      <c r="H174" s="23">
        <f>I174/$G$196</f>
        <v>0.36780080248110902</v>
      </c>
      <c r="I174" s="70">
        <f>I66+I78+I85+I89</f>
        <v>2295.5146904370727</v>
      </c>
    </row>
    <row r="175" spans="1:10" ht="15" customHeight="1" x14ac:dyDescent="0.25">
      <c r="A175" s="15">
        <v>3</v>
      </c>
      <c r="B175" s="122" t="s">
        <v>181</v>
      </c>
      <c r="C175" s="122"/>
      <c r="D175" s="122"/>
      <c r="E175" s="122"/>
      <c r="F175" s="122"/>
      <c r="G175" s="122"/>
      <c r="H175" s="23">
        <f>I175/$G$196</f>
        <v>0.10390085865035355</v>
      </c>
      <c r="I175" s="70">
        <f>I101</f>
        <v>648.46500000000003</v>
      </c>
    </row>
    <row r="176" spans="1:10" s="28" customFormat="1" ht="15" customHeight="1" x14ac:dyDescent="0.25">
      <c r="A176" s="142" t="s">
        <v>182</v>
      </c>
      <c r="B176" s="142"/>
      <c r="C176" s="142"/>
      <c r="D176" s="142"/>
      <c r="E176" s="142"/>
      <c r="F176" s="142"/>
      <c r="G176" s="142"/>
      <c r="H176" s="47">
        <f>H173+H174+H175</f>
        <v>0.93850014026765316</v>
      </c>
      <c r="I176" s="48">
        <f>SUM(I173:I175)</f>
        <v>5857.357690437073</v>
      </c>
      <c r="J176" s="35"/>
    </row>
    <row r="177" spans="1:11" ht="4.5" customHeight="1" x14ac:dyDescent="0.25"/>
    <row r="178" spans="1:11" ht="11.25" customHeight="1" x14ac:dyDescent="0.25">
      <c r="A178" s="131" t="s">
        <v>119</v>
      </c>
      <c r="B178" s="131"/>
      <c r="C178" s="131"/>
      <c r="D178" s="131"/>
      <c r="E178" s="131"/>
      <c r="F178" s="131"/>
      <c r="G178" s="131"/>
      <c r="H178" s="131"/>
      <c r="I178" s="131"/>
    </row>
    <row r="179" spans="1:11" ht="15" customHeight="1" x14ac:dyDescent="0.25">
      <c r="A179" s="15">
        <v>1</v>
      </c>
      <c r="B179" s="122" t="s">
        <v>183</v>
      </c>
      <c r="C179" s="122"/>
      <c r="D179" s="122"/>
      <c r="E179" s="122"/>
      <c r="F179" s="122"/>
      <c r="G179" s="122"/>
      <c r="H179" s="23">
        <f>I179/$G$196</f>
        <v>0</v>
      </c>
      <c r="I179" s="24">
        <f>I126</f>
        <v>0</v>
      </c>
    </row>
    <row r="180" spans="1:11" ht="15" customHeight="1" x14ac:dyDescent="0.25">
      <c r="A180" s="15">
        <v>2</v>
      </c>
      <c r="B180" s="122" t="s">
        <v>184</v>
      </c>
      <c r="C180" s="122"/>
      <c r="D180" s="122"/>
      <c r="E180" s="122"/>
      <c r="F180" s="122"/>
      <c r="G180" s="122"/>
      <c r="H180" s="23">
        <f>I180/$G$196</f>
        <v>0</v>
      </c>
      <c r="I180" s="24">
        <f>I136</f>
        <v>0</v>
      </c>
    </row>
    <row r="181" spans="1:11" ht="15" customHeight="1" x14ac:dyDescent="0.25">
      <c r="A181" s="15">
        <v>3</v>
      </c>
      <c r="B181" s="122" t="s">
        <v>185</v>
      </c>
      <c r="C181" s="122"/>
      <c r="D181" s="122"/>
      <c r="E181" s="122"/>
      <c r="F181" s="122"/>
      <c r="G181" s="122"/>
      <c r="H181" s="23">
        <f>I181/$G$196</f>
        <v>0</v>
      </c>
      <c r="I181" s="24">
        <f>I140</f>
        <v>0</v>
      </c>
    </row>
    <row r="182" spans="1:11" ht="15" customHeight="1" x14ac:dyDescent="0.25">
      <c r="A182" s="142" t="s">
        <v>186</v>
      </c>
      <c r="B182" s="142"/>
      <c r="C182" s="142"/>
      <c r="D182" s="142"/>
      <c r="E182" s="142"/>
      <c r="F182" s="142"/>
      <c r="G182" s="142"/>
      <c r="H182" s="47">
        <f>H179+H180+H181</f>
        <v>0</v>
      </c>
      <c r="I182" s="48">
        <f>I179+I180+I181</f>
        <v>0</v>
      </c>
    </row>
    <row r="183" spans="1:11" ht="4.5" customHeight="1" x14ac:dyDescent="0.25"/>
    <row r="184" spans="1:11" ht="11.25" customHeight="1" x14ac:dyDescent="0.25">
      <c r="A184" s="131" t="s">
        <v>148</v>
      </c>
      <c r="B184" s="131"/>
      <c r="C184" s="131"/>
      <c r="D184" s="131"/>
      <c r="E184" s="131"/>
      <c r="F184" s="131"/>
      <c r="G184" s="131"/>
      <c r="H184" s="131"/>
      <c r="I184" s="131"/>
    </row>
    <row r="185" spans="1:11" ht="15" customHeight="1" x14ac:dyDescent="0.25">
      <c r="A185" s="15">
        <v>1</v>
      </c>
      <c r="B185" s="122" t="s">
        <v>187</v>
      </c>
      <c r="C185" s="122"/>
      <c r="D185" s="122"/>
      <c r="E185" s="122"/>
      <c r="F185" s="122"/>
      <c r="G185" s="122"/>
      <c r="H185" s="23">
        <f>I185/$G$196</f>
        <v>6.1500009191753503E-2</v>
      </c>
      <c r="I185" s="24">
        <f>I155</f>
        <v>383.83324236748001</v>
      </c>
    </row>
    <row r="186" spans="1:11" ht="15" customHeight="1" x14ac:dyDescent="0.25">
      <c r="A186" s="142" t="s">
        <v>188</v>
      </c>
      <c r="B186" s="142"/>
      <c r="C186" s="142"/>
      <c r="D186" s="142"/>
      <c r="E186" s="142"/>
      <c r="F186" s="142"/>
      <c r="G186" s="142"/>
      <c r="H186" s="47">
        <f>H185</f>
        <v>6.1500009191753503E-2</v>
      </c>
      <c r="I186" s="48">
        <f>I155</f>
        <v>383.83324236748001</v>
      </c>
      <c r="K186" s="41"/>
    </row>
    <row r="187" spans="1:11" ht="4.5" customHeight="1" x14ac:dyDescent="0.25"/>
    <row r="188" spans="1:11" ht="11.25" customHeight="1" x14ac:dyDescent="0.25">
      <c r="A188" s="160" t="s">
        <v>189</v>
      </c>
      <c r="B188" s="160"/>
      <c r="C188" s="160"/>
      <c r="D188" s="160"/>
      <c r="E188" s="160"/>
      <c r="F188" s="160"/>
      <c r="G188" s="160"/>
      <c r="H188" s="160"/>
      <c r="I188" s="160"/>
    </row>
    <row r="189" spans="1:11" ht="4.5" customHeight="1" x14ac:dyDescent="0.25">
      <c r="A189" s="161"/>
      <c r="B189" s="161"/>
      <c r="C189" s="161"/>
      <c r="D189" s="161"/>
      <c r="E189" s="161"/>
      <c r="F189" s="161"/>
      <c r="G189" s="161"/>
      <c r="H189" s="161"/>
      <c r="I189" s="161"/>
    </row>
    <row r="190" spans="1:11" ht="22.5" customHeight="1" x14ac:dyDescent="0.25">
      <c r="A190" s="160" t="s">
        <v>190</v>
      </c>
      <c r="B190" s="160"/>
      <c r="C190" s="160"/>
      <c r="D190" s="160"/>
      <c r="E190" s="160"/>
      <c r="F190" s="160"/>
      <c r="G190" s="160"/>
      <c r="H190" s="160"/>
      <c r="I190" s="73">
        <f>I122*H196</f>
        <v>0</v>
      </c>
    </row>
    <row r="191" spans="1:11" ht="4.5" customHeight="1" x14ac:dyDescent="0.25">
      <c r="A191" s="72"/>
      <c r="B191" s="72"/>
      <c r="C191" s="72"/>
      <c r="D191" s="72"/>
      <c r="E191" s="72"/>
      <c r="F191" s="72"/>
      <c r="G191" s="74"/>
      <c r="H191" s="74"/>
      <c r="I191" s="74"/>
    </row>
    <row r="192" spans="1:11" ht="63.75" customHeight="1" x14ac:dyDescent="0.25">
      <c r="A192" s="160" t="s">
        <v>191</v>
      </c>
      <c r="B192" s="160"/>
      <c r="C192" s="160"/>
      <c r="D192" s="160"/>
      <c r="E192" s="160"/>
      <c r="F192" s="160"/>
      <c r="G192" s="162" t="s">
        <v>192</v>
      </c>
      <c r="H192" s="162"/>
      <c r="I192" s="162"/>
    </row>
    <row r="193" spans="1:9" ht="11.25" customHeight="1" x14ac:dyDescent="0.25">
      <c r="A193" s="160"/>
      <c r="B193" s="160"/>
      <c r="C193" s="160"/>
      <c r="D193" s="160"/>
      <c r="E193" s="160"/>
      <c r="F193" s="160"/>
      <c r="G193" s="75"/>
      <c r="H193" s="73"/>
      <c r="I193" s="73">
        <f>((H70+H76+H77+H82+H83+H84)+((H70+H76+H77+H82+H83+H84)*H66))*I48*H196</f>
        <v>2243.4306004393925</v>
      </c>
    </row>
    <row r="194" spans="1:9" ht="4.5" customHeight="1" x14ac:dyDescent="0.25">
      <c r="A194" s="161"/>
      <c r="B194" s="161"/>
      <c r="C194" s="161"/>
      <c r="D194" s="161"/>
      <c r="E194" s="161"/>
      <c r="F194" s="161"/>
      <c r="G194" s="161"/>
      <c r="H194" s="161"/>
      <c r="I194" s="161"/>
    </row>
    <row r="195" spans="1:9" ht="35.25" customHeight="1" x14ac:dyDescent="0.25">
      <c r="A195" s="160" t="s">
        <v>193</v>
      </c>
      <c r="B195" s="160"/>
      <c r="C195" s="160"/>
      <c r="D195" s="160"/>
      <c r="E195" s="160"/>
      <c r="F195" s="160"/>
      <c r="G195" s="76" t="s">
        <v>194</v>
      </c>
      <c r="H195" s="76" t="s">
        <v>195</v>
      </c>
      <c r="I195" s="76" t="s">
        <v>196</v>
      </c>
    </row>
    <row r="196" spans="1:9" ht="14.25" customHeight="1" x14ac:dyDescent="0.25">
      <c r="A196" s="160"/>
      <c r="B196" s="160"/>
      <c r="C196" s="160"/>
      <c r="D196" s="160"/>
      <c r="E196" s="160"/>
      <c r="F196" s="160"/>
      <c r="G196" s="77">
        <f>ROUND(I176+I182+I186,2)</f>
        <v>6241.19</v>
      </c>
      <c r="H196" s="71">
        <f>IF(D6="12x36",2,1)</f>
        <v>2</v>
      </c>
      <c r="I196" s="78">
        <f>G196*H196</f>
        <v>12482.38</v>
      </c>
    </row>
  </sheetData>
  <mergeCells count="183">
    <mergeCell ref="A188:I188"/>
    <mergeCell ref="A189:I189"/>
    <mergeCell ref="A190:H190"/>
    <mergeCell ref="A192:F193"/>
    <mergeCell ref="G192:I192"/>
    <mergeCell ref="A194:I194"/>
    <mergeCell ref="A195:F196"/>
    <mergeCell ref="A176:G176"/>
    <mergeCell ref="A178:I178"/>
    <mergeCell ref="B179:G179"/>
    <mergeCell ref="B180:G180"/>
    <mergeCell ref="B181:G181"/>
    <mergeCell ref="A182:G182"/>
    <mergeCell ref="A184:I184"/>
    <mergeCell ref="B185:G185"/>
    <mergeCell ref="A186:G186"/>
    <mergeCell ref="A166:I166"/>
    <mergeCell ref="B167:I167"/>
    <mergeCell ref="B168:I168"/>
    <mergeCell ref="A169:G169"/>
    <mergeCell ref="A171:I171"/>
    <mergeCell ref="A172:I172"/>
    <mergeCell ref="B173:G173"/>
    <mergeCell ref="B174:G174"/>
    <mergeCell ref="B175:G175"/>
    <mergeCell ref="A161:B161"/>
    <mergeCell ref="H161:I161"/>
    <mergeCell ref="A162:B162"/>
    <mergeCell ref="H162:I162"/>
    <mergeCell ref="A163:B163"/>
    <mergeCell ref="H163:I163"/>
    <mergeCell ref="A164:A165"/>
    <mergeCell ref="B164:E165"/>
    <mergeCell ref="H164:I164"/>
    <mergeCell ref="H165:I165"/>
    <mergeCell ref="A155:G155"/>
    <mergeCell ref="B156:I156"/>
    <mergeCell ref="B157:I157"/>
    <mergeCell ref="A158:I158"/>
    <mergeCell ref="A159:B159"/>
    <mergeCell ref="D159:E159"/>
    <mergeCell ref="H159:I159"/>
    <mergeCell ref="A160:B160"/>
    <mergeCell ref="D160:E160"/>
    <mergeCell ref="H160:I160"/>
    <mergeCell ref="A144:B144"/>
    <mergeCell ref="A146:G146"/>
    <mergeCell ref="A148:I148"/>
    <mergeCell ref="B149:G149"/>
    <mergeCell ref="B150:G150"/>
    <mergeCell ref="B151:G151"/>
    <mergeCell ref="B152:G152"/>
    <mergeCell ref="B153:G153"/>
    <mergeCell ref="B154:G154"/>
    <mergeCell ref="B133:G133"/>
    <mergeCell ref="B134:G134"/>
    <mergeCell ref="B135:G135"/>
    <mergeCell ref="A136:G136"/>
    <mergeCell ref="B138:G138"/>
    <mergeCell ref="B139:G139"/>
    <mergeCell ref="A140:G140"/>
    <mergeCell ref="A142:E142"/>
    <mergeCell ref="A143:B143"/>
    <mergeCell ref="B123:G123"/>
    <mergeCell ref="B124:G124"/>
    <mergeCell ref="B125:G125"/>
    <mergeCell ref="A126:G126"/>
    <mergeCell ref="B127:I127"/>
    <mergeCell ref="A129:E129"/>
    <mergeCell ref="A130:B130"/>
    <mergeCell ref="A131:B131"/>
    <mergeCell ref="B132:I132"/>
    <mergeCell ref="A112:B112"/>
    <mergeCell ref="A113:B113"/>
    <mergeCell ref="A115:G115"/>
    <mergeCell ref="A117:I117"/>
    <mergeCell ref="B118:G118"/>
    <mergeCell ref="B119:G119"/>
    <mergeCell ref="B120:G120"/>
    <mergeCell ref="B121:G121"/>
    <mergeCell ref="B122:G122"/>
    <mergeCell ref="A101:G101"/>
    <mergeCell ref="B102:G102"/>
    <mergeCell ref="A103:I103"/>
    <mergeCell ref="A104:B104"/>
    <mergeCell ref="A105:B105"/>
    <mergeCell ref="A107:I107"/>
    <mergeCell ref="A108:B108"/>
    <mergeCell ref="A109:B109"/>
    <mergeCell ref="A111:I111"/>
    <mergeCell ref="A91:G91"/>
    <mergeCell ref="B93:G93"/>
    <mergeCell ref="B94:G94"/>
    <mergeCell ref="B95:G95"/>
    <mergeCell ref="B96:G96"/>
    <mergeCell ref="B97:G97"/>
    <mergeCell ref="B98:G98"/>
    <mergeCell ref="B99:G99"/>
    <mergeCell ref="B100:G100"/>
    <mergeCell ref="B80:I80"/>
    <mergeCell ref="B81:G81"/>
    <mergeCell ref="B82:G82"/>
    <mergeCell ref="B83:G83"/>
    <mergeCell ref="B84:G84"/>
    <mergeCell ref="A85:G85"/>
    <mergeCell ref="B87:G87"/>
    <mergeCell ref="B88:G88"/>
    <mergeCell ref="A89:G89"/>
    <mergeCell ref="B71:G71"/>
    <mergeCell ref="B72:G72"/>
    <mergeCell ref="B73:G73"/>
    <mergeCell ref="B74:G74"/>
    <mergeCell ref="B75:G75"/>
    <mergeCell ref="B76:G76"/>
    <mergeCell ref="B77:G77"/>
    <mergeCell ref="A78:G78"/>
    <mergeCell ref="B79:I79"/>
    <mergeCell ref="B62:G62"/>
    <mergeCell ref="B63:G63"/>
    <mergeCell ref="B64:G64"/>
    <mergeCell ref="B65:G65"/>
    <mergeCell ref="A66:G66"/>
    <mergeCell ref="A67:I67"/>
    <mergeCell ref="A68:I68"/>
    <mergeCell ref="B69:G69"/>
    <mergeCell ref="B70:G70"/>
    <mergeCell ref="B46:G46"/>
    <mergeCell ref="B47:G47"/>
    <mergeCell ref="A48:G48"/>
    <mergeCell ref="A49:I56"/>
    <mergeCell ref="B57:G57"/>
    <mergeCell ref="B58:G58"/>
    <mergeCell ref="B59:G59"/>
    <mergeCell ref="B60:G60"/>
    <mergeCell ref="B61:G61"/>
    <mergeCell ref="B37:G37"/>
    <mergeCell ref="B38:G38"/>
    <mergeCell ref="B39:G39"/>
    <mergeCell ref="B40:G40"/>
    <mergeCell ref="B41:G41"/>
    <mergeCell ref="B42:G42"/>
    <mergeCell ref="B43:G43"/>
    <mergeCell ref="B44:G44"/>
    <mergeCell ref="B45:G45"/>
    <mergeCell ref="A23:F23"/>
    <mergeCell ref="A24:F24"/>
    <mergeCell ref="A25:F25"/>
    <mergeCell ref="A26:F27"/>
    <mergeCell ref="A28:F28"/>
    <mergeCell ref="A29:F29"/>
    <mergeCell ref="A30:I34"/>
    <mergeCell ref="A35:I35"/>
    <mergeCell ref="B36:G36"/>
    <mergeCell ref="A10:F10"/>
    <mergeCell ref="A11:F11"/>
    <mergeCell ref="A12:F12"/>
    <mergeCell ref="A13:F13"/>
    <mergeCell ref="A14:F16"/>
    <mergeCell ref="G14:G16"/>
    <mergeCell ref="A17:F19"/>
    <mergeCell ref="G17:G19"/>
    <mergeCell ref="A20:F22"/>
    <mergeCell ref="G20:G22"/>
    <mergeCell ref="A7:C7"/>
    <mergeCell ref="D7:F7"/>
    <mergeCell ref="G7:H8"/>
    <mergeCell ref="I7:I8"/>
    <mergeCell ref="A8:C8"/>
    <mergeCell ref="D8:F8"/>
    <mergeCell ref="A9:C9"/>
    <mergeCell ref="D9:F9"/>
    <mergeCell ref="G9:H9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196"/>
  <sheetViews>
    <sheetView view="pageBreakPreview" zoomScale="130" zoomScaleNormal="130" zoomScalePageLayoutView="130" workbookViewId="0">
      <selection activeCell="I140" sqref="I140"/>
    </sheetView>
  </sheetViews>
  <sheetFormatPr defaultColWidth="9.28515625" defaultRowHeight="11.25" x14ac:dyDescent="0.25"/>
  <cols>
    <col min="1" max="1" width="2.7109375" style="5" customWidth="1"/>
    <col min="2" max="4" width="11.28515625" style="5" customWidth="1"/>
    <col min="5" max="5" width="12.28515625" style="5" customWidth="1"/>
    <col min="6" max="7" width="11.28515625" style="5" customWidth="1"/>
    <col min="8" max="8" width="9.28515625" style="5"/>
    <col min="9" max="9" width="11.7109375" style="5" customWidth="1"/>
    <col min="10" max="10" width="11.28515625" style="6" customWidth="1"/>
    <col min="11" max="11" width="10" style="5" customWidth="1"/>
    <col min="12" max="12" width="9.28515625" style="5"/>
    <col min="13" max="15" width="22.28515625" style="5" customWidth="1"/>
    <col min="16" max="16384" width="9.28515625" style="5"/>
  </cols>
  <sheetData>
    <row r="1" spans="1:11" ht="27.75" customHeight="1" x14ac:dyDescent="0.25">
      <c r="A1" s="114" t="s">
        <v>0</v>
      </c>
      <c r="B1" s="114"/>
      <c r="C1" s="114"/>
      <c r="D1" s="114"/>
      <c r="E1" s="114"/>
      <c r="F1" s="114"/>
      <c r="G1" s="114"/>
      <c r="H1" s="114"/>
      <c r="I1" s="114"/>
      <c r="K1" s="7"/>
    </row>
    <row r="2" spans="1:11" ht="22.5" customHeight="1" x14ac:dyDescent="0.25">
      <c r="A2" s="114" t="s">
        <v>1</v>
      </c>
      <c r="B2" s="114"/>
      <c r="C2" s="115" t="s">
        <v>2</v>
      </c>
      <c r="D2" s="115"/>
      <c r="E2" s="116" t="s">
        <v>3</v>
      </c>
      <c r="F2" s="116"/>
      <c r="G2" s="116"/>
      <c r="H2" s="116"/>
      <c r="I2" s="116"/>
    </row>
    <row r="3" spans="1:11" ht="11.25" customHeight="1" x14ac:dyDescent="0.25">
      <c r="A3" s="114" t="s">
        <v>4</v>
      </c>
      <c r="B3" s="114"/>
      <c r="C3" s="8"/>
      <c r="D3" s="9"/>
      <c r="E3" s="10" t="s">
        <v>5</v>
      </c>
      <c r="F3" s="8"/>
      <c r="G3" s="9"/>
      <c r="H3" s="9"/>
      <c r="I3" s="9"/>
    </row>
    <row r="4" spans="1:11" ht="4.5" customHeight="1" x14ac:dyDescent="0.25"/>
    <row r="5" spans="1:11" ht="18.75" customHeight="1" x14ac:dyDescent="0.25">
      <c r="A5" s="117" t="s">
        <v>6</v>
      </c>
      <c r="B5" s="117"/>
      <c r="C5" s="117"/>
      <c r="D5" s="118" t="s">
        <v>242</v>
      </c>
      <c r="E5" s="118"/>
      <c r="F5" s="118"/>
      <c r="G5" s="119" t="str">
        <f>IF(D6="12x36","Regime de trabalho:","Quantidade de HORAS/MÊS")</f>
        <v>Regime de trabalho:</v>
      </c>
      <c r="H5" s="119"/>
      <c r="I5" s="120" t="str">
        <f>IF(D6="12x36",D6,5*D6)</f>
        <v>12x36</v>
      </c>
    </row>
    <row r="6" spans="1:11" ht="18.75" customHeight="1" x14ac:dyDescent="0.25">
      <c r="A6" s="117" t="str">
        <f>IF(D6="12x36","Regime de trabalho:","Regime de trabalho (horas semanais):")</f>
        <v>Regime de trabalho:</v>
      </c>
      <c r="B6" s="117"/>
      <c r="C6" s="117"/>
      <c r="D6" s="117" t="s">
        <v>8</v>
      </c>
      <c r="E6" s="117"/>
      <c r="F6" s="117"/>
      <c r="G6" s="119"/>
      <c r="H6" s="119"/>
      <c r="I6" s="120"/>
    </row>
    <row r="7" spans="1:11" ht="22.5" customHeight="1" x14ac:dyDescent="0.25">
      <c r="A7" s="117" t="s">
        <v>9</v>
      </c>
      <c r="B7" s="117"/>
      <c r="C7" s="117"/>
      <c r="D7" s="122" t="s">
        <v>10</v>
      </c>
      <c r="E7" s="122"/>
      <c r="F7" s="122"/>
      <c r="G7" s="123" t="s">
        <v>11</v>
      </c>
      <c r="H7" s="123"/>
      <c r="I7" s="124" t="s">
        <v>12</v>
      </c>
    </row>
    <row r="8" spans="1:11" ht="22.5" customHeight="1" x14ac:dyDescent="0.25">
      <c r="A8" s="117" t="s">
        <v>13</v>
      </c>
      <c r="B8" s="117"/>
      <c r="C8" s="117"/>
      <c r="D8" s="122" t="s">
        <v>14</v>
      </c>
      <c r="E8" s="122"/>
      <c r="F8" s="122"/>
      <c r="G8" s="123"/>
      <c r="H8" s="123"/>
      <c r="I8" s="124"/>
    </row>
    <row r="9" spans="1:11" ht="24.75" customHeight="1" x14ac:dyDescent="0.25">
      <c r="A9" s="117" t="s">
        <v>15</v>
      </c>
      <c r="B9" s="117"/>
      <c r="C9" s="117"/>
      <c r="D9" s="117" t="s">
        <v>16</v>
      </c>
      <c r="E9" s="117"/>
      <c r="F9" s="117"/>
      <c r="G9" s="123" t="s">
        <v>17</v>
      </c>
      <c r="H9" s="123"/>
      <c r="I9" s="1">
        <v>0.3</v>
      </c>
    </row>
    <row r="10" spans="1:11" ht="32.25" customHeight="1" x14ac:dyDescent="0.25">
      <c r="A10" s="125" t="s">
        <v>18</v>
      </c>
      <c r="B10" s="125"/>
      <c r="C10" s="125"/>
      <c r="D10" s="125"/>
      <c r="E10" s="125"/>
      <c r="F10" s="125"/>
      <c r="G10" s="2" t="s">
        <v>19</v>
      </c>
      <c r="H10" s="11">
        <v>220</v>
      </c>
      <c r="I10" s="12">
        <v>2211</v>
      </c>
    </row>
    <row r="11" spans="1:11" ht="15" customHeight="1" x14ac:dyDescent="0.25">
      <c r="A11" s="126" t="s">
        <v>20</v>
      </c>
      <c r="B11" s="126"/>
      <c r="C11" s="126"/>
      <c r="D11" s="126"/>
      <c r="E11" s="126"/>
      <c r="F11" s="126"/>
      <c r="G11" s="11" t="str">
        <f>D9</f>
        <v>Porto Alegre</v>
      </c>
      <c r="H11" s="11" t="s">
        <v>21</v>
      </c>
      <c r="I11" s="14">
        <v>2.5000000000000001E-2</v>
      </c>
    </row>
    <row r="12" spans="1:11" ht="26.25" customHeight="1" x14ac:dyDescent="0.25">
      <c r="A12" s="127" t="s">
        <v>22</v>
      </c>
      <c r="B12" s="127"/>
      <c r="C12" s="127"/>
      <c r="D12" s="127"/>
      <c r="E12" s="127"/>
      <c r="F12" s="127"/>
      <c r="G12" s="11" t="s">
        <v>14</v>
      </c>
      <c r="H12" s="11" t="s">
        <v>23</v>
      </c>
      <c r="I12" s="12">
        <v>1.67</v>
      </c>
    </row>
    <row r="13" spans="1:11" ht="16.5" customHeight="1" x14ac:dyDescent="0.25">
      <c r="A13" s="127" t="s">
        <v>24</v>
      </c>
      <c r="B13" s="127"/>
      <c r="C13" s="127"/>
      <c r="D13" s="127"/>
      <c r="E13" s="127"/>
      <c r="F13" s="127"/>
      <c r="G13" s="11"/>
      <c r="H13" s="11"/>
      <c r="I13" s="16">
        <v>15</v>
      </c>
    </row>
    <row r="14" spans="1:11" ht="15" customHeight="1" x14ac:dyDescent="0.25">
      <c r="A14" s="126" t="s">
        <v>25</v>
      </c>
      <c r="B14" s="126"/>
      <c r="C14" s="126"/>
      <c r="D14" s="126"/>
      <c r="E14" s="126"/>
      <c r="F14" s="126"/>
      <c r="G14" s="128" t="s">
        <v>14</v>
      </c>
      <c r="H14" s="11" t="s">
        <v>26</v>
      </c>
      <c r="I14" s="12">
        <v>5.3</v>
      </c>
    </row>
    <row r="15" spans="1:11" x14ac:dyDescent="0.25">
      <c r="A15" s="126"/>
      <c r="B15" s="126"/>
      <c r="C15" s="126"/>
      <c r="D15" s="126"/>
      <c r="E15" s="126"/>
      <c r="F15" s="126"/>
      <c r="G15" s="128"/>
      <c r="H15" s="11" t="s">
        <v>27</v>
      </c>
      <c r="I15" s="16">
        <f>I13</f>
        <v>15</v>
      </c>
    </row>
    <row r="16" spans="1:11" x14ac:dyDescent="0.25">
      <c r="A16" s="126"/>
      <c r="B16" s="126"/>
      <c r="C16" s="126"/>
      <c r="D16" s="126"/>
      <c r="E16" s="126"/>
      <c r="F16" s="126"/>
      <c r="G16" s="128"/>
      <c r="H16" s="11" t="s">
        <v>28</v>
      </c>
      <c r="I16" s="1">
        <v>0.06</v>
      </c>
    </row>
    <row r="17" spans="1:10" ht="11.25" customHeight="1" x14ac:dyDescent="0.25">
      <c r="A17" s="126" t="s">
        <v>197</v>
      </c>
      <c r="B17" s="126"/>
      <c r="C17" s="126"/>
      <c r="D17" s="126"/>
      <c r="E17" s="126"/>
      <c r="F17" s="126"/>
      <c r="G17" s="128" t="s">
        <v>14</v>
      </c>
      <c r="H17" s="11" t="s">
        <v>26</v>
      </c>
      <c r="I17" s="12">
        <v>33</v>
      </c>
    </row>
    <row r="18" spans="1:10" ht="11.25" customHeight="1" x14ac:dyDescent="0.25">
      <c r="A18" s="126"/>
      <c r="B18" s="126"/>
      <c r="C18" s="126"/>
      <c r="D18" s="126"/>
      <c r="E18" s="126"/>
      <c r="F18" s="126"/>
      <c r="G18" s="128"/>
      <c r="H18" s="11" t="s">
        <v>27</v>
      </c>
      <c r="I18" s="16">
        <v>15</v>
      </c>
    </row>
    <row r="19" spans="1:10" x14ac:dyDescent="0.25">
      <c r="A19" s="126"/>
      <c r="B19" s="126"/>
      <c r="C19" s="126"/>
      <c r="D19" s="126"/>
      <c r="E19" s="126"/>
      <c r="F19" s="126"/>
      <c r="G19" s="128"/>
      <c r="H19" s="11" t="s">
        <v>28</v>
      </c>
      <c r="I19" s="1">
        <v>0.2</v>
      </c>
    </row>
    <row r="20" spans="1:10" ht="11.25" customHeight="1" x14ac:dyDescent="0.25">
      <c r="A20" s="126" t="s">
        <v>30</v>
      </c>
      <c r="B20" s="126"/>
      <c r="C20" s="126"/>
      <c r="D20" s="126"/>
      <c r="E20" s="126"/>
      <c r="F20" s="126"/>
      <c r="G20" s="128" t="s">
        <v>14</v>
      </c>
      <c r="H20" s="11" t="s">
        <v>26</v>
      </c>
      <c r="I20" s="12" t="s">
        <v>12</v>
      </c>
    </row>
    <row r="21" spans="1:10" x14ac:dyDescent="0.25">
      <c r="A21" s="126"/>
      <c r="B21" s="126"/>
      <c r="C21" s="126"/>
      <c r="D21" s="126"/>
      <c r="E21" s="126"/>
      <c r="F21" s="126"/>
      <c r="G21" s="128"/>
      <c r="H21" s="11" t="s">
        <v>27</v>
      </c>
      <c r="I21" s="16" t="s">
        <v>12</v>
      </c>
    </row>
    <row r="22" spans="1:10" x14ac:dyDescent="0.25">
      <c r="A22" s="126"/>
      <c r="B22" s="126"/>
      <c r="C22" s="126"/>
      <c r="D22" s="126"/>
      <c r="E22" s="126"/>
      <c r="F22" s="126"/>
      <c r="G22" s="128"/>
      <c r="H22" s="11" t="s">
        <v>28</v>
      </c>
      <c r="I22" s="1" t="s">
        <v>12</v>
      </c>
    </row>
    <row r="23" spans="1:10" ht="36" customHeight="1" x14ac:dyDescent="0.25">
      <c r="A23" s="129" t="s">
        <v>31</v>
      </c>
      <c r="B23" s="129"/>
      <c r="C23" s="129"/>
      <c r="D23" s="129"/>
      <c r="E23" s="129"/>
      <c r="F23" s="129"/>
      <c r="G23" s="3" t="s">
        <v>14</v>
      </c>
      <c r="H23" s="3" t="s">
        <v>32</v>
      </c>
      <c r="I23" s="17" t="s">
        <v>12</v>
      </c>
    </row>
    <row r="24" spans="1:10" ht="22.5" customHeight="1" x14ac:dyDescent="0.25">
      <c r="A24" s="127" t="s">
        <v>33</v>
      </c>
      <c r="B24" s="127"/>
      <c r="C24" s="127"/>
      <c r="D24" s="127"/>
      <c r="E24" s="127"/>
      <c r="F24" s="127"/>
      <c r="G24" s="3"/>
      <c r="H24" s="3" t="s">
        <v>34</v>
      </c>
      <c r="I24" s="18" t="s">
        <v>12</v>
      </c>
    </row>
    <row r="25" spans="1:10" ht="36" customHeight="1" x14ac:dyDescent="0.25">
      <c r="A25" s="127" t="s">
        <v>35</v>
      </c>
      <c r="B25" s="127"/>
      <c r="C25" s="127"/>
      <c r="D25" s="127"/>
      <c r="E25" s="127"/>
      <c r="F25" s="127"/>
      <c r="G25" s="11"/>
      <c r="H25" s="11" t="s">
        <v>23</v>
      </c>
      <c r="I25" s="12" t="s">
        <v>12</v>
      </c>
    </row>
    <row r="26" spans="1:10" ht="15" customHeight="1" x14ac:dyDescent="0.25">
      <c r="A26" s="127" t="s">
        <v>36</v>
      </c>
      <c r="B26" s="127"/>
      <c r="C26" s="127"/>
      <c r="D26" s="127"/>
      <c r="E26" s="127"/>
      <c r="F26" s="127"/>
      <c r="G26" s="3"/>
      <c r="H26" s="19" t="s">
        <v>37</v>
      </c>
      <c r="I26" s="20" t="s">
        <v>12</v>
      </c>
    </row>
    <row r="27" spans="1:10" ht="15" customHeight="1" x14ac:dyDescent="0.25">
      <c r="A27" s="127"/>
      <c r="B27" s="127"/>
      <c r="C27" s="127"/>
      <c r="D27" s="127"/>
      <c r="E27" s="127"/>
      <c r="F27" s="127"/>
      <c r="G27" s="3"/>
      <c r="H27" s="21" t="s">
        <v>38</v>
      </c>
      <c r="I27" s="1" t="s">
        <v>12</v>
      </c>
    </row>
    <row r="28" spans="1:10" ht="26.25" customHeight="1" x14ac:dyDescent="0.25">
      <c r="A28" s="127" t="s">
        <v>198</v>
      </c>
      <c r="B28" s="127"/>
      <c r="C28" s="127"/>
      <c r="D28" s="127"/>
      <c r="E28" s="127"/>
      <c r="F28" s="127"/>
      <c r="G28" s="3"/>
      <c r="H28" s="11" t="s">
        <v>37</v>
      </c>
      <c r="I28" s="20">
        <v>15</v>
      </c>
    </row>
    <row r="29" spans="1:10" ht="36.75" customHeight="1" x14ac:dyDescent="0.25">
      <c r="A29" s="127" t="s">
        <v>40</v>
      </c>
      <c r="B29" s="127"/>
      <c r="C29" s="127"/>
      <c r="D29" s="127"/>
      <c r="E29" s="127"/>
      <c r="F29" s="127"/>
      <c r="G29" s="11"/>
      <c r="H29" s="2" t="s">
        <v>34</v>
      </c>
      <c r="I29" s="1">
        <v>0.2</v>
      </c>
    </row>
    <row r="30" spans="1:10" ht="24.75" customHeight="1" x14ac:dyDescent="0.25">
      <c r="A30" s="114" t="s">
        <v>199</v>
      </c>
      <c r="B30" s="114"/>
      <c r="C30" s="114"/>
      <c r="D30" s="114"/>
      <c r="E30" s="114"/>
      <c r="F30" s="114"/>
      <c r="G30" s="128" t="s">
        <v>14</v>
      </c>
      <c r="H30" s="3" t="s">
        <v>200</v>
      </c>
      <c r="I30" s="79">
        <f>((60/52.5)*7)*15</f>
        <v>120</v>
      </c>
    </row>
    <row r="31" spans="1:10" ht="24.75" customHeight="1" x14ac:dyDescent="0.25">
      <c r="A31" s="114"/>
      <c r="B31" s="114"/>
      <c r="C31" s="114"/>
      <c r="D31" s="114"/>
      <c r="E31" s="114"/>
      <c r="F31" s="114"/>
      <c r="G31" s="128"/>
      <c r="H31" s="3" t="s">
        <v>201</v>
      </c>
      <c r="I31" s="3">
        <f>I10/H10*20%</f>
        <v>2.0100000000000002</v>
      </c>
    </row>
    <row r="32" spans="1:10" ht="29.25" customHeight="1" x14ac:dyDescent="0.25">
      <c r="A32" s="130" t="s">
        <v>202</v>
      </c>
      <c r="B32" s="130"/>
      <c r="C32" s="130"/>
      <c r="D32" s="130"/>
      <c r="E32" s="130"/>
      <c r="F32" s="130"/>
      <c r="G32" s="128" t="s">
        <v>14</v>
      </c>
      <c r="H32" s="11" t="s">
        <v>200</v>
      </c>
      <c r="I32" s="20">
        <f>((5+7+1)*15)-190.67</f>
        <v>4.3300000000000125</v>
      </c>
      <c r="J32" s="80"/>
    </row>
    <row r="33" spans="1:10" ht="30.75" customHeight="1" x14ac:dyDescent="0.25">
      <c r="A33" s="130"/>
      <c r="B33" s="130"/>
      <c r="C33" s="130"/>
      <c r="D33" s="130"/>
      <c r="E33" s="130"/>
      <c r="F33" s="130"/>
      <c r="G33" s="128"/>
      <c r="H33" s="11" t="s">
        <v>201</v>
      </c>
      <c r="I33" s="81">
        <f>(I10/H10)*1.5</f>
        <v>15.075000000000001</v>
      </c>
    </row>
    <row r="34" spans="1:10" ht="4.5" customHeight="1" x14ac:dyDescent="0.25"/>
    <row r="35" spans="1:10" ht="17.25" customHeight="1" x14ac:dyDescent="0.25">
      <c r="A35" s="131" t="s">
        <v>41</v>
      </c>
      <c r="B35" s="131"/>
      <c r="C35" s="131"/>
      <c r="D35" s="131"/>
      <c r="E35" s="131"/>
      <c r="F35" s="131"/>
      <c r="G35" s="131"/>
      <c r="H35" s="131"/>
      <c r="I35" s="131"/>
    </row>
    <row r="36" spans="1:10" ht="33.75" customHeight="1" x14ac:dyDescent="0.25">
      <c r="A36" s="22" t="s">
        <v>42</v>
      </c>
      <c r="B36" s="132" t="s">
        <v>43</v>
      </c>
      <c r="C36" s="132"/>
      <c r="D36" s="132"/>
      <c r="E36" s="132"/>
      <c r="F36" s="132"/>
      <c r="G36" s="132"/>
      <c r="H36" s="22" t="s">
        <v>44</v>
      </c>
      <c r="I36" s="22" t="s">
        <v>45</v>
      </c>
    </row>
    <row r="37" spans="1:10" ht="15" customHeight="1" x14ac:dyDescent="0.25">
      <c r="A37" s="15">
        <v>1</v>
      </c>
      <c r="B37" s="122" t="s">
        <v>46</v>
      </c>
      <c r="C37" s="122"/>
      <c r="D37" s="122"/>
      <c r="E37" s="122"/>
      <c r="F37" s="122"/>
      <c r="G37" s="122"/>
      <c r="H37" s="23">
        <f t="shared" ref="H37:H54" si="0">I37/$I$55</f>
        <v>0.63472086141318251</v>
      </c>
      <c r="I37" s="24">
        <f>IF(D6="12x36",I10,I10/H10*I5)</f>
        <v>2211</v>
      </c>
    </row>
    <row r="38" spans="1:10" ht="15" customHeight="1" x14ac:dyDescent="0.25">
      <c r="A38" s="15">
        <f t="shared" ref="A38:A54" si="1">A37+1</f>
        <v>2</v>
      </c>
      <c r="B38" s="122" t="s">
        <v>203</v>
      </c>
      <c r="C38" s="122"/>
      <c r="D38" s="122"/>
      <c r="E38" s="122"/>
      <c r="F38" s="122"/>
      <c r="G38" s="122"/>
      <c r="H38" s="23">
        <f t="shared" si="0"/>
        <v>0</v>
      </c>
      <c r="I38" s="62">
        <v>0</v>
      </c>
      <c r="J38" s="34"/>
    </row>
    <row r="39" spans="1:10" ht="15" customHeight="1" x14ac:dyDescent="0.25">
      <c r="A39" s="15">
        <f t="shared" si="1"/>
        <v>3</v>
      </c>
      <c r="B39" s="122" t="s">
        <v>47</v>
      </c>
      <c r="C39" s="122"/>
      <c r="D39" s="122"/>
      <c r="E39" s="122"/>
      <c r="F39" s="122"/>
      <c r="G39" s="122"/>
      <c r="H39" s="23">
        <f t="shared" si="0"/>
        <v>0.22467824076856099</v>
      </c>
      <c r="I39" s="24">
        <f>IF(I9=30%,(I37+I53+I46+I49+I52+I54)*I9,0)</f>
        <v>782.64891</v>
      </c>
    </row>
    <row r="40" spans="1:10" ht="15" customHeight="1" x14ac:dyDescent="0.25">
      <c r="A40" s="15">
        <f t="shared" si="1"/>
        <v>4</v>
      </c>
      <c r="B40" s="122" t="s">
        <v>48</v>
      </c>
      <c r="C40" s="122"/>
      <c r="D40" s="122"/>
      <c r="E40" s="122"/>
      <c r="F40" s="122"/>
      <c r="G40" s="122"/>
      <c r="H40" s="23">
        <f t="shared" si="0"/>
        <v>0</v>
      </c>
      <c r="I40" s="24">
        <f>IF(I7=10%,I25*I7,0)</f>
        <v>0</v>
      </c>
    </row>
    <row r="41" spans="1:10" ht="15" customHeight="1" x14ac:dyDescent="0.25">
      <c r="A41" s="15">
        <f t="shared" si="1"/>
        <v>5</v>
      </c>
      <c r="B41" s="122" t="s">
        <v>49</v>
      </c>
      <c r="C41" s="122"/>
      <c r="D41" s="122"/>
      <c r="E41" s="122"/>
      <c r="F41" s="122"/>
      <c r="G41" s="122"/>
      <c r="H41" s="23">
        <f t="shared" si="0"/>
        <v>0</v>
      </c>
      <c r="I41" s="24">
        <f>IF(I7=20%,I25*I7,0)</f>
        <v>0</v>
      </c>
    </row>
    <row r="42" spans="1:10" ht="15" customHeight="1" x14ac:dyDescent="0.25">
      <c r="A42" s="15">
        <f t="shared" si="1"/>
        <v>6</v>
      </c>
      <c r="B42" s="122" t="s">
        <v>50</v>
      </c>
      <c r="C42" s="122"/>
      <c r="D42" s="122"/>
      <c r="E42" s="122"/>
      <c r="F42" s="122"/>
      <c r="G42" s="122"/>
      <c r="H42" s="23">
        <f t="shared" si="0"/>
        <v>0</v>
      </c>
      <c r="I42" s="24">
        <f>IF(I7=40%,I25*I7,0)</f>
        <v>0</v>
      </c>
    </row>
    <row r="43" spans="1:10" ht="15" customHeight="1" x14ac:dyDescent="0.25">
      <c r="A43" s="15">
        <f t="shared" si="1"/>
        <v>7</v>
      </c>
      <c r="B43" s="122" t="s">
        <v>51</v>
      </c>
      <c r="C43" s="122"/>
      <c r="D43" s="122"/>
      <c r="E43" s="122"/>
      <c r="F43" s="122"/>
      <c r="G43" s="122"/>
      <c r="H43" s="23">
        <f t="shared" si="0"/>
        <v>0</v>
      </c>
      <c r="I43" s="24">
        <f>IF(I24="Não aplicável",0,I37*I24)</f>
        <v>0</v>
      </c>
    </row>
    <row r="44" spans="1:10" ht="15" customHeight="1" x14ac:dyDescent="0.25">
      <c r="A44" s="15">
        <f t="shared" si="1"/>
        <v>8</v>
      </c>
      <c r="B44" s="122" t="s">
        <v>52</v>
      </c>
      <c r="C44" s="122"/>
      <c r="D44" s="122"/>
      <c r="E44" s="122"/>
      <c r="F44" s="122"/>
      <c r="G44" s="122"/>
      <c r="H44" s="23">
        <f t="shared" si="0"/>
        <v>0</v>
      </c>
      <c r="I44" s="24">
        <f>IF(I26="Não aplicável",0,(I37+I38+I39+I40+I41+I42+I43+#REF!)/I5*I26*(1+I27))</f>
        <v>0</v>
      </c>
    </row>
    <row r="45" spans="1:10" ht="21" customHeight="1" x14ac:dyDescent="0.25">
      <c r="A45" s="15">
        <f t="shared" si="1"/>
        <v>9</v>
      </c>
      <c r="B45" s="122" t="s">
        <v>53</v>
      </c>
      <c r="C45" s="122"/>
      <c r="D45" s="122"/>
      <c r="E45" s="122"/>
      <c r="F45" s="122"/>
      <c r="G45" s="122"/>
      <c r="H45" s="23">
        <f t="shared" si="0"/>
        <v>0</v>
      </c>
      <c r="I45" s="24">
        <f>IF(I26="Não aplicável",0,I26/I13*5*(I10/H10*(1+I27)))</f>
        <v>0</v>
      </c>
    </row>
    <row r="46" spans="1:10" ht="15" customHeight="1" x14ac:dyDescent="0.25">
      <c r="A46" s="15">
        <f t="shared" si="1"/>
        <v>10</v>
      </c>
      <c r="B46" s="122" t="s">
        <v>204</v>
      </c>
      <c r="C46" s="122"/>
      <c r="D46" s="122"/>
      <c r="E46" s="122"/>
      <c r="F46" s="122"/>
      <c r="G46" s="122"/>
      <c r="H46" s="23">
        <f t="shared" si="0"/>
        <v>1.8738690885811968E-2</v>
      </c>
      <c r="I46" s="24">
        <f>I32*I33</f>
        <v>65.274750000000196</v>
      </c>
    </row>
    <row r="47" spans="1:10" ht="15" customHeight="1" x14ac:dyDescent="0.25">
      <c r="A47" s="15">
        <f t="shared" si="1"/>
        <v>11</v>
      </c>
      <c r="B47" s="122" t="s">
        <v>205</v>
      </c>
      <c r="C47" s="122"/>
      <c r="D47" s="122"/>
      <c r="E47" s="122"/>
      <c r="F47" s="122"/>
      <c r="G47" s="122"/>
      <c r="H47" s="23">
        <f t="shared" si="0"/>
        <v>0</v>
      </c>
      <c r="I47" s="24">
        <f>IF(OR(I7=10%,I7=20%,I7=40%),I46*I7,0)</f>
        <v>0</v>
      </c>
    </row>
    <row r="48" spans="1:10" ht="15" customHeight="1" x14ac:dyDescent="0.25">
      <c r="A48" s="15">
        <f t="shared" si="1"/>
        <v>12</v>
      </c>
      <c r="B48" s="122" t="s">
        <v>206</v>
      </c>
      <c r="C48" s="122"/>
      <c r="D48" s="122"/>
      <c r="E48" s="122"/>
      <c r="F48" s="122"/>
      <c r="G48" s="122"/>
      <c r="H48" s="23">
        <f t="shared" si="0"/>
        <v>5.6216072657435901E-3</v>
      </c>
      <c r="I48" s="24">
        <f>IF(I9=30%,I46*I9,0)</f>
        <v>19.582425000000057</v>
      </c>
    </row>
    <row r="49" spans="1:10" ht="15" customHeight="1" x14ac:dyDescent="0.25">
      <c r="A49" s="15">
        <f t="shared" si="1"/>
        <v>13</v>
      </c>
      <c r="B49" s="122" t="s">
        <v>207</v>
      </c>
      <c r="C49" s="122"/>
      <c r="D49" s="122"/>
      <c r="E49" s="122"/>
      <c r="F49" s="122"/>
      <c r="G49" s="122"/>
      <c r="H49" s="23">
        <f t="shared" si="0"/>
        <v>6.9242275790529009E-2</v>
      </c>
      <c r="I49" s="24">
        <f>I30*I31</f>
        <v>241.20000000000002</v>
      </c>
    </row>
    <row r="50" spans="1:10" ht="15" customHeight="1" x14ac:dyDescent="0.25">
      <c r="A50" s="15">
        <f t="shared" si="1"/>
        <v>14</v>
      </c>
      <c r="B50" s="122" t="s">
        <v>208</v>
      </c>
      <c r="C50" s="122"/>
      <c r="D50" s="122"/>
      <c r="E50" s="122"/>
      <c r="F50" s="122"/>
      <c r="G50" s="122"/>
      <c r="H50" s="23">
        <f t="shared" si="0"/>
        <v>0</v>
      </c>
      <c r="I50" s="24">
        <f>IF(OR(I7=10%,I7=20%,I7=40%),I49*I7,0)</f>
        <v>0</v>
      </c>
    </row>
    <row r="51" spans="1:10" ht="15" customHeight="1" x14ac:dyDescent="0.25">
      <c r="A51" s="15">
        <f t="shared" si="1"/>
        <v>15</v>
      </c>
      <c r="B51" s="122" t="s">
        <v>209</v>
      </c>
      <c r="C51" s="122"/>
      <c r="D51" s="122"/>
      <c r="E51" s="122"/>
      <c r="F51" s="122"/>
      <c r="G51" s="122"/>
      <c r="H51" s="23">
        <f t="shared" si="0"/>
        <v>2.0772682737158699E-2</v>
      </c>
      <c r="I51" s="24">
        <f>IF(I9=30%,I49*I9,0)</f>
        <v>72.36</v>
      </c>
    </row>
    <row r="52" spans="1:10" ht="24" customHeight="1" x14ac:dyDescent="0.25">
      <c r="A52" s="15">
        <f t="shared" si="1"/>
        <v>16</v>
      </c>
      <c r="B52" s="122" t="s">
        <v>210</v>
      </c>
      <c r="C52" s="122"/>
      <c r="D52" s="122"/>
      <c r="E52" s="122"/>
      <c r="F52" s="122"/>
      <c r="G52" s="122"/>
      <c r="H52" s="23">
        <f t="shared" si="0"/>
        <v>1.7596193335268195E-2</v>
      </c>
      <c r="I52" s="24">
        <f>(I46+I49)*0.2</f>
        <v>61.294950000000043</v>
      </c>
    </row>
    <row r="53" spans="1:10" ht="12.75" customHeight="1" x14ac:dyDescent="0.25">
      <c r="A53" s="15">
        <f t="shared" si="1"/>
        <v>17</v>
      </c>
      <c r="B53" s="122" t="s">
        <v>211</v>
      </c>
      <c r="C53" s="122"/>
      <c r="D53" s="122"/>
      <c r="E53" s="122"/>
      <c r="F53" s="122"/>
      <c r="G53" s="122"/>
      <c r="H53" s="23">
        <f t="shared" si="0"/>
        <v>7.1912065031208595E-3</v>
      </c>
      <c r="I53" s="24">
        <f>I12*I13</f>
        <v>25.049999999999997</v>
      </c>
    </row>
    <row r="54" spans="1:10" ht="12.75" customHeight="1" x14ac:dyDescent="0.25">
      <c r="A54" s="15">
        <f t="shared" si="1"/>
        <v>18</v>
      </c>
      <c r="B54" s="122" t="s">
        <v>212</v>
      </c>
      <c r="C54" s="122"/>
      <c r="D54" s="122"/>
      <c r="E54" s="122"/>
      <c r="F54" s="122"/>
      <c r="G54" s="122"/>
      <c r="H54" s="23">
        <f t="shared" si="0"/>
        <v>1.4382413006241721E-3</v>
      </c>
      <c r="I54" s="24">
        <f>I53*20%</f>
        <v>5.01</v>
      </c>
    </row>
    <row r="55" spans="1:10" s="28" customFormat="1" ht="15" customHeight="1" x14ac:dyDescent="0.25">
      <c r="A55" s="133" t="s">
        <v>56</v>
      </c>
      <c r="B55" s="133"/>
      <c r="C55" s="133"/>
      <c r="D55" s="133"/>
      <c r="E55" s="133"/>
      <c r="F55" s="133"/>
      <c r="G55" s="133"/>
      <c r="H55" s="25">
        <f>SUM(H37:H54)</f>
        <v>1</v>
      </c>
      <c r="I55" s="26">
        <f>SUM(I37:I54)</f>
        <v>3483.4210350000003</v>
      </c>
      <c r="J55" s="27"/>
    </row>
    <row r="56" spans="1:10" ht="4.5" customHeight="1" x14ac:dyDescent="0.25"/>
    <row r="57" spans="1:10" ht="33.75" customHeight="1" x14ac:dyDescent="0.25">
      <c r="A57" s="22" t="s">
        <v>57</v>
      </c>
      <c r="B57" s="132" t="s">
        <v>58</v>
      </c>
      <c r="C57" s="132"/>
      <c r="D57" s="132"/>
      <c r="E57" s="132"/>
      <c r="F57" s="132"/>
      <c r="G57" s="132"/>
      <c r="H57" s="22" t="s">
        <v>44</v>
      </c>
      <c r="I57" s="22" t="s">
        <v>45</v>
      </c>
    </row>
    <row r="58" spans="1:10" ht="15" customHeight="1" x14ac:dyDescent="0.25">
      <c r="A58" s="15">
        <v>1</v>
      </c>
      <c r="B58" s="122" t="s">
        <v>59</v>
      </c>
      <c r="C58" s="122"/>
      <c r="D58" s="122"/>
      <c r="E58" s="122"/>
      <c r="F58" s="122"/>
      <c r="G58" s="122"/>
      <c r="H58" s="23">
        <v>0.2</v>
      </c>
      <c r="I58" s="24">
        <f t="shared" ref="I58:I65" si="2">$I$55*H58</f>
        <v>696.68420700000013</v>
      </c>
    </row>
    <row r="59" spans="1:10" ht="15" customHeight="1" x14ac:dyDescent="0.25">
      <c r="A59" s="15">
        <v>2</v>
      </c>
      <c r="B59" s="122" t="s">
        <v>60</v>
      </c>
      <c r="C59" s="122"/>
      <c r="D59" s="122"/>
      <c r="E59" s="122"/>
      <c r="F59" s="122"/>
      <c r="G59" s="122"/>
      <c r="H59" s="23">
        <v>1.4999999999999999E-2</v>
      </c>
      <c r="I59" s="24">
        <f t="shared" si="2"/>
        <v>52.251315525000003</v>
      </c>
    </row>
    <row r="60" spans="1:10" ht="15" customHeight="1" x14ac:dyDescent="0.25">
      <c r="A60" s="15">
        <v>3</v>
      </c>
      <c r="B60" s="122" t="s">
        <v>61</v>
      </c>
      <c r="C60" s="122"/>
      <c r="D60" s="122"/>
      <c r="E60" s="122"/>
      <c r="F60" s="122"/>
      <c r="G60" s="122"/>
      <c r="H60" s="23">
        <v>0.01</v>
      </c>
      <c r="I60" s="24">
        <f t="shared" si="2"/>
        <v>34.834210350000006</v>
      </c>
    </row>
    <row r="61" spans="1:10" ht="15" customHeight="1" x14ac:dyDescent="0.25">
      <c r="A61" s="15">
        <v>4</v>
      </c>
      <c r="B61" s="122" t="s">
        <v>62</v>
      </c>
      <c r="C61" s="122"/>
      <c r="D61" s="122"/>
      <c r="E61" s="122"/>
      <c r="F61" s="122"/>
      <c r="G61" s="122"/>
      <c r="H61" s="23">
        <v>2E-3</v>
      </c>
      <c r="I61" s="24">
        <f t="shared" si="2"/>
        <v>6.9668420700000011</v>
      </c>
    </row>
    <row r="62" spans="1:10" ht="15" customHeight="1" x14ac:dyDescent="0.25">
      <c r="A62" s="15">
        <v>5</v>
      </c>
      <c r="B62" s="122" t="s">
        <v>63</v>
      </c>
      <c r="C62" s="122"/>
      <c r="D62" s="122"/>
      <c r="E62" s="122"/>
      <c r="F62" s="122"/>
      <c r="G62" s="122"/>
      <c r="H62" s="23">
        <v>2.5000000000000001E-2</v>
      </c>
      <c r="I62" s="24">
        <f t="shared" si="2"/>
        <v>87.085525875000016</v>
      </c>
    </row>
    <row r="63" spans="1:10" ht="15" customHeight="1" x14ac:dyDescent="0.25">
      <c r="A63" s="15">
        <v>6</v>
      </c>
      <c r="B63" s="122" t="s">
        <v>64</v>
      </c>
      <c r="C63" s="122"/>
      <c r="D63" s="122"/>
      <c r="E63" s="122"/>
      <c r="F63" s="122"/>
      <c r="G63" s="122"/>
      <c r="H63" s="23">
        <v>0.08</v>
      </c>
      <c r="I63" s="24">
        <f t="shared" si="2"/>
        <v>278.67368280000005</v>
      </c>
    </row>
    <row r="64" spans="1:10" ht="15" customHeight="1" x14ac:dyDescent="0.25">
      <c r="A64" s="15">
        <v>7</v>
      </c>
      <c r="B64" s="122" t="s">
        <v>65</v>
      </c>
      <c r="C64" s="122"/>
      <c r="D64" s="122"/>
      <c r="E64" s="122"/>
      <c r="F64" s="122"/>
      <c r="G64" s="122"/>
      <c r="H64" s="23">
        <v>0.03</v>
      </c>
      <c r="I64" s="24">
        <f t="shared" si="2"/>
        <v>104.50263105000001</v>
      </c>
    </row>
    <row r="65" spans="1:10" ht="15" customHeight="1" x14ac:dyDescent="0.25">
      <c r="A65" s="15">
        <v>8</v>
      </c>
      <c r="B65" s="122" t="s">
        <v>66</v>
      </c>
      <c r="C65" s="122"/>
      <c r="D65" s="122"/>
      <c r="E65" s="122"/>
      <c r="F65" s="122"/>
      <c r="G65" s="122"/>
      <c r="H65" s="23">
        <v>6.0000000000000001E-3</v>
      </c>
      <c r="I65" s="24">
        <f t="shared" si="2"/>
        <v>20.900526210000002</v>
      </c>
    </row>
    <row r="66" spans="1:10" s="28" customFormat="1" ht="15" customHeight="1" x14ac:dyDescent="0.25">
      <c r="A66" s="133" t="s">
        <v>67</v>
      </c>
      <c r="B66" s="133"/>
      <c r="C66" s="133"/>
      <c r="D66" s="133"/>
      <c r="E66" s="133"/>
      <c r="F66" s="133"/>
      <c r="G66" s="133"/>
      <c r="H66" s="25">
        <f>SUM(H58:H65)</f>
        <v>0.3680000000000001</v>
      </c>
      <c r="I66" s="26">
        <f>SUM(I58:I65)</f>
        <v>1281.8989408800001</v>
      </c>
      <c r="J66" s="27"/>
    </row>
    <row r="67" spans="1:10" ht="15" customHeight="1" x14ac:dyDescent="0.25">
      <c r="A67" s="134" t="s">
        <v>68</v>
      </c>
      <c r="B67" s="134"/>
      <c r="C67" s="134"/>
      <c r="D67" s="134"/>
      <c r="E67" s="134"/>
      <c r="F67" s="134"/>
      <c r="G67" s="134"/>
      <c r="H67" s="134"/>
      <c r="I67" s="134"/>
    </row>
    <row r="68" spans="1:10" ht="30.75" customHeight="1" x14ac:dyDescent="0.25">
      <c r="A68" s="135" t="s">
        <v>69</v>
      </c>
      <c r="B68" s="135"/>
      <c r="C68" s="135"/>
      <c r="D68" s="135"/>
      <c r="E68" s="135"/>
      <c r="F68" s="135"/>
      <c r="G68" s="135"/>
      <c r="H68" s="135"/>
      <c r="I68" s="135"/>
    </row>
    <row r="69" spans="1:10" ht="33.75" customHeight="1" x14ac:dyDescent="0.25">
      <c r="A69" s="22" t="s">
        <v>70</v>
      </c>
      <c r="B69" s="132" t="s">
        <v>71</v>
      </c>
      <c r="C69" s="132"/>
      <c r="D69" s="132"/>
      <c r="E69" s="132"/>
      <c r="F69" s="132"/>
      <c r="G69" s="132"/>
      <c r="H69" s="22" t="s">
        <v>44</v>
      </c>
      <c r="I69" s="22" t="s">
        <v>45</v>
      </c>
    </row>
    <row r="70" spans="1:10" ht="15" customHeight="1" x14ac:dyDescent="0.25">
      <c r="A70" s="15">
        <v>1</v>
      </c>
      <c r="B70" s="122" t="s">
        <v>72</v>
      </c>
      <c r="C70" s="122"/>
      <c r="D70" s="122"/>
      <c r="E70" s="122"/>
      <c r="F70" s="122"/>
      <c r="G70" s="122"/>
      <c r="H70" s="23">
        <v>0.119314</v>
      </c>
      <c r="I70" s="24">
        <f t="shared" ref="I70:I77" si="3">$I$55*H70</f>
        <v>415.62089736999008</v>
      </c>
    </row>
    <row r="71" spans="1:10" ht="15" customHeight="1" x14ac:dyDescent="0.25">
      <c r="A71" s="15">
        <v>2</v>
      </c>
      <c r="B71" s="122" t="s">
        <v>73</v>
      </c>
      <c r="C71" s="122"/>
      <c r="D71" s="122"/>
      <c r="E71" s="122"/>
      <c r="F71" s="122"/>
      <c r="G71" s="122"/>
      <c r="H71" s="23">
        <v>2.0479000000000001E-2</v>
      </c>
      <c r="I71" s="24">
        <f t="shared" si="3"/>
        <v>71.336979375765011</v>
      </c>
    </row>
    <row r="72" spans="1:10" ht="15" customHeight="1" x14ac:dyDescent="0.25">
      <c r="A72" s="15">
        <v>3</v>
      </c>
      <c r="B72" s="122" t="s">
        <v>74</v>
      </c>
      <c r="C72" s="122"/>
      <c r="D72" s="122"/>
      <c r="E72" s="122"/>
      <c r="F72" s="122"/>
      <c r="G72" s="122"/>
      <c r="H72" s="23">
        <v>1.2123E-2</v>
      </c>
      <c r="I72" s="24">
        <f t="shared" si="3"/>
        <v>42.229513207305004</v>
      </c>
    </row>
    <row r="73" spans="1:10" ht="15" customHeight="1" x14ac:dyDescent="0.25">
      <c r="A73" s="15">
        <v>4</v>
      </c>
      <c r="B73" s="122" t="s">
        <v>75</v>
      </c>
      <c r="C73" s="122"/>
      <c r="D73" s="122"/>
      <c r="E73" s="122"/>
      <c r="F73" s="122"/>
      <c r="G73" s="122"/>
      <c r="H73" s="23">
        <v>1.1436E-2</v>
      </c>
      <c r="I73" s="24">
        <f t="shared" si="3"/>
        <v>39.836402956260002</v>
      </c>
    </row>
    <row r="74" spans="1:10" ht="15" customHeight="1" x14ac:dyDescent="0.25">
      <c r="A74" s="15">
        <v>5</v>
      </c>
      <c r="B74" s="122" t="s">
        <v>76</v>
      </c>
      <c r="C74" s="122"/>
      <c r="D74" s="122"/>
      <c r="E74" s="122"/>
      <c r="F74" s="122"/>
      <c r="G74" s="122"/>
      <c r="H74" s="23">
        <v>1.74E-4</v>
      </c>
      <c r="I74" s="24">
        <f t="shared" si="3"/>
        <v>0.60611526009000005</v>
      </c>
    </row>
    <row r="75" spans="1:10" ht="15" customHeight="1" x14ac:dyDescent="0.25">
      <c r="A75" s="15">
        <v>6</v>
      </c>
      <c r="B75" s="122" t="s">
        <v>77</v>
      </c>
      <c r="C75" s="122"/>
      <c r="D75" s="122"/>
      <c r="E75" s="122"/>
      <c r="F75" s="122"/>
      <c r="G75" s="122"/>
      <c r="H75" s="23">
        <v>4.4200000000000001E-4</v>
      </c>
      <c r="I75" s="24">
        <f t="shared" si="3"/>
        <v>1.5396720974700002</v>
      </c>
    </row>
    <row r="76" spans="1:10" ht="15" customHeight="1" x14ac:dyDescent="0.25">
      <c r="A76" s="15">
        <v>7</v>
      </c>
      <c r="B76" s="122" t="s">
        <v>78</v>
      </c>
      <c r="C76" s="122"/>
      <c r="D76" s="122"/>
      <c r="E76" s="122"/>
      <c r="F76" s="122"/>
      <c r="G76" s="122"/>
      <c r="H76" s="23">
        <v>1.85E-4</v>
      </c>
      <c r="I76" s="24">
        <f t="shared" si="3"/>
        <v>0.64443289147500005</v>
      </c>
    </row>
    <row r="77" spans="1:10" ht="15" customHeight="1" x14ac:dyDescent="0.25">
      <c r="A77" s="15">
        <v>8</v>
      </c>
      <c r="B77" s="122" t="s">
        <v>79</v>
      </c>
      <c r="C77" s="122"/>
      <c r="D77" s="122"/>
      <c r="E77" s="122"/>
      <c r="F77" s="122"/>
      <c r="G77" s="122"/>
      <c r="H77" s="23">
        <v>9.0789999999999996E-2</v>
      </c>
      <c r="I77" s="24">
        <f t="shared" si="3"/>
        <v>316.25979576765002</v>
      </c>
    </row>
    <row r="78" spans="1:10" s="28" customFormat="1" ht="15" customHeight="1" x14ac:dyDescent="0.25">
      <c r="A78" s="133" t="s">
        <v>80</v>
      </c>
      <c r="B78" s="133"/>
      <c r="C78" s="133"/>
      <c r="D78" s="133"/>
      <c r="E78" s="133"/>
      <c r="F78" s="133"/>
      <c r="G78" s="133"/>
      <c r="H78" s="25">
        <f>SUM(H70:H77)</f>
        <v>0.25494299999999998</v>
      </c>
      <c r="I78" s="26">
        <f>SUM(I70:I77)</f>
        <v>888.07380892600509</v>
      </c>
      <c r="J78" s="27"/>
    </row>
    <row r="79" spans="1:10" ht="11.25" customHeight="1" x14ac:dyDescent="0.25">
      <c r="A79" s="29" t="s">
        <v>81</v>
      </c>
      <c r="B79" s="136" t="s">
        <v>82</v>
      </c>
      <c r="C79" s="136"/>
      <c r="D79" s="136"/>
      <c r="E79" s="136"/>
      <c r="F79" s="136"/>
      <c r="G79" s="136"/>
      <c r="H79" s="136"/>
      <c r="I79" s="136"/>
    </row>
    <row r="80" spans="1:10" ht="15" customHeight="1" x14ac:dyDescent="0.25">
      <c r="A80" s="29" t="s">
        <v>83</v>
      </c>
      <c r="B80" s="137" t="s">
        <v>84</v>
      </c>
      <c r="C80" s="137"/>
      <c r="D80" s="137"/>
      <c r="E80" s="137"/>
      <c r="F80" s="137"/>
      <c r="G80" s="137"/>
      <c r="H80" s="137"/>
      <c r="I80" s="137"/>
    </row>
    <row r="81" spans="1:11" ht="33.75" customHeight="1" x14ac:dyDescent="0.25">
      <c r="A81" s="22" t="s">
        <v>85</v>
      </c>
      <c r="B81" s="132" t="s">
        <v>86</v>
      </c>
      <c r="C81" s="132"/>
      <c r="D81" s="132"/>
      <c r="E81" s="132"/>
      <c r="F81" s="132"/>
      <c r="G81" s="132"/>
      <c r="H81" s="22" t="s">
        <v>44</v>
      </c>
      <c r="I81" s="22" t="s">
        <v>45</v>
      </c>
    </row>
    <row r="82" spans="1:11" ht="15" customHeight="1" x14ac:dyDescent="0.25">
      <c r="A82" s="15">
        <v>1</v>
      </c>
      <c r="B82" s="122" t="s">
        <v>87</v>
      </c>
      <c r="C82" s="122"/>
      <c r="D82" s="122"/>
      <c r="E82" s="122"/>
      <c r="F82" s="122"/>
      <c r="G82" s="122"/>
      <c r="H82" s="23">
        <v>4.8321000000000003E-2</v>
      </c>
      <c r="I82" s="24">
        <f>$I$55*H82</f>
        <v>168.32238783223502</v>
      </c>
    </row>
    <row r="83" spans="1:11" ht="15" customHeight="1" x14ac:dyDescent="0.25">
      <c r="A83" s="15">
        <v>2</v>
      </c>
      <c r="B83" s="122" t="s">
        <v>88</v>
      </c>
      <c r="C83" s="122"/>
      <c r="D83" s="122"/>
      <c r="E83" s="122"/>
      <c r="F83" s="122"/>
      <c r="G83" s="122"/>
      <c r="H83" s="23">
        <v>3.5109999999999998E-3</v>
      </c>
      <c r="I83" s="24">
        <f>$I$55*H83</f>
        <v>12.230291253884999</v>
      </c>
    </row>
    <row r="84" spans="1:11" ht="15" customHeight="1" x14ac:dyDescent="0.25">
      <c r="A84" s="15">
        <v>3</v>
      </c>
      <c r="B84" s="122" t="s">
        <v>89</v>
      </c>
      <c r="C84" s="122"/>
      <c r="D84" s="122"/>
      <c r="E84" s="122"/>
      <c r="F84" s="122"/>
      <c r="G84" s="122"/>
      <c r="H84" s="23">
        <v>1.9328000000000001E-2</v>
      </c>
      <c r="I84" s="24">
        <f>$I$55*H84</f>
        <v>67.327561764480009</v>
      </c>
    </row>
    <row r="85" spans="1:11" s="28" customFormat="1" ht="15" customHeight="1" x14ac:dyDescent="0.25">
      <c r="A85" s="133" t="s">
        <v>90</v>
      </c>
      <c r="B85" s="133"/>
      <c r="C85" s="133"/>
      <c r="D85" s="133"/>
      <c r="E85" s="133"/>
      <c r="F85" s="133"/>
      <c r="G85" s="133"/>
      <c r="H85" s="25">
        <f>SUM(H82:H84)</f>
        <v>7.1160000000000001E-2</v>
      </c>
      <c r="I85" s="26">
        <f>SUM(I82:I84)</f>
        <v>247.88024085060002</v>
      </c>
      <c r="J85" s="27"/>
    </row>
    <row r="86" spans="1:11" ht="4.5" customHeight="1" x14ac:dyDescent="0.25"/>
    <row r="87" spans="1:11" ht="33.75" customHeight="1" x14ac:dyDescent="0.25">
      <c r="A87" s="22" t="s">
        <v>91</v>
      </c>
      <c r="B87" s="132" t="s">
        <v>92</v>
      </c>
      <c r="C87" s="132"/>
      <c r="D87" s="132"/>
      <c r="E87" s="132"/>
      <c r="F87" s="132"/>
      <c r="G87" s="132"/>
      <c r="H87" s="22" t="s">
        <v>44</v>
      </c>
      <c r="I87" s="22" t="s">
        <v>45</v>
      </c>
    </row>
    <row r="88" spans="1:11" ht="15" customHeight="1" x14ac:dyDescent="0.25">
      <c r="A88" s="15">
        <v>1</v>
      </c>
      <c r="B88" s="122" t="s">
        <v>93</v>
      </c>
      <c r="C88" s="122"/>
      <c r="D88" s="122"/>
      <c r="E88" s="122"/>
      <c r="F88" s="122"/>
      <c r="G88" s="122"/>
      <c r="H88" s="23">
        <f>(H66*H78)</f>
        <v>9.3819024000000015E-2</v>
      </c>
      <c r="I88" s="24">
        <f>$I$55*H88</f>
        <v>326.8111616847699</v>
      </c>
    </row>
    <row r="89" spans="1:11" s="28" customFormat="1" ht="15" customHeight="1" x14ac:dyDescent="0.25">
      <c r="A89" s="133" t="s">
        <v>94</v>
      </c>
      <c r="B89" s="133"/>
      <c r="C89" s="133"/>
      <c r="D89" s="133"/>
      <c r="E89" s="133"/>
      <c r="F89" s="133"/>
      <c r="G89" s="133"/>
      <c r="H89" s="25">
        <f>SUM(H88)</f>
        <v>9.3819024000000015E-2</v>
      </c>
      <c r="I89" s="26">
        <f>I88</f>
        <v>326.8111616847699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38" t="s">
        <v>95</v>
      </c>
      <c r="B91" s="138"/>
      <c r="C91" s="138"/>
      <c r="D91" s="138"/>
      <c r="E91" s="138"/>
      <c r="F91" s="138"/>
      <c r="G91" s="138"/>
      <c r="H91" s="32">
        <f>H66+H78+H85+H89</f>
        <v>0.787922024</v>
      </c>
      <c r="I91" s="33">
        <f>I66+I78+I85+I89</f>
        <v>2744.664152341375</v>
      </c>
      <c r="J91" s="27"/>
    </row>
    <row r="92" spans="1:11" ht="4.5" customHeight="1" x14ac:dyDescent="0.25"/>
    <row r="93" spans="1:11" ht="33.75" customHeight="1" x14ac:dyDescent="0.25">
      <c r="A93" s="22" t="s">
        <v>96</v>
      </c>
      <c r="B93" s="132" t="s">
        <v>97</v>
      </c>
      <c r="C93" s="132"/>
      <c r="D93" s="132"/>
      <c r="E93" s="132"/>
      <c r="F93" s="132"/>
      <c r="G93" s="132"/>
      <c r="H93" s="22" t="s">
        <v>44</v>
      </c>
      <c r="I93" s="22" t="s">
        <v>45</v>
      </c>
    </row>
    <row r="94" spans="1:11" ht="15" customHeight="1" x14ac:dyDescent="0.25">
      <c r="A94" s="15">
        <v>1</v>
      </c>
      <c r="B94" s="122" t="s">
        <v>29</v>
      </c>
      <c r="C94" s="122"/>
      <c r="D94" s="122"/>
      <c r="E94" s="122"/>
      <c r="F94" s="122"/>
      <c r="G94" s="122"/>
      <c r="H94" s="23">
        <f t="shared" ref="H94:H100" si="4">I94/$I$55</f>
        <v>0.11368134831280881</v>
      </c>
      <c r="I94" s="24">
        <f>I113</f>
        <v>396</v>
      </c>
    </row>
    <row r="95" spans="1:11" ht="15" customHeight="1" x14ac:dyDescent="0.25">
      <c r="A95" s="15">
        <v>2</v>
      </c>
      <c r="B95" s="122" t="s">
        <v>30</v>
      </c>
      <c r="C95" s="122"/>
      <c r="D95" s="122"/>
      <c r="E95" s="122"/>
      <c r="F95" s="122"/>
      <c r="G95" s="122"/>
      <c r="H95" s="23">
        <f t="shared" si="4"/>
        <v>0</v>
      </c>
      <c r="I95" s="24">
        <f>I109</f>
        <v>0</v>
      </c>
    </row>
    <row r="96" spans="1:11" ht="15" customHeight="1" x14ac:dyDescent="0.25">
      <c r="A96" s="15">
        <v>3</v>
      </c>
      <c r="B96" s="122" t="s">
        <v>98</v>
      </c>
      <c r="C96" s="122"/>
      <c r="D96" s="122"/>
      <c r="E96" s="122"/>
      <c r="F96" s="122"/>
      <c r="G96" s="122"/>
      <c r="H96" s="23">
        <f t="shared" si="4"/>
        <v>7.5615321074731928E-3</v>
      </c>
      <c r="I96" s="24">
        <f>I105</f>
        <v>26.340000000000003</v>
      </c>
    </row>
    <row r="97" spans="1:10" ht="15" customHeight="1" x14ac:dyDescent="0.25">
      <c r="A97" s="15">
        <v>4</v>
      </c>
      <c r="B97" s="122" t="s">
        <v>99</v>
      </c>
      <c r="C97" s="122"/>
      <c r="D97" s="122"/>
      <c r="E97" s="122"/>
      <c r="F97" s="122"/>
      <c r="G97" s="122"/>
      <c r="H97" s="23">
        <f t="shared" si="4"/>
        <v>6.4914633553620954E-2</v>
      </c>
      <c r="I97" s="24">
        <f>IF(I28="Não aplicável",0,((I10/H10)*1.5*I28))</f>
        <v>226.12500000000003</v>
      </c>
    </row>
    <row r="98" spans="1:10" ht="15" customHeight="1" x14ac:dyDescent="0.25">
      <c r="A98" s="15">
        <v>5</v>
      </c>
      <c r="B98" s="122" t="s">
        <v>100</v>
      </c>
      <c r="C98" s="122"/>
      <c r="D98" s="122"/>
      <c r="E98" s="122"/>
      <c r="F98" s="122"/>
      <c r="G98" s="122"/>
      <c r="H98" s="23">
        <f t="shared" si="4"/>
        <v>0</v>
      </c>
      <c r="I98" s="24">
        <v>0</v>
      </c>
    </row>
    <row r="99" spans="1:10" ht="15" customHeight="1" x14ac:dyDescent="0.25">
      <c r="A99" s="15">
        <v>6</v>
      </c>
      <c r="B99" s="122" t="s">
        <v>101</v>
      </c>
      <c r="C99" s="122"/>
      <c r="D99" s="122"/>
      <c r="E99" s="122"/>
      <c r="F99" s="122"/>
      <c r="G99" s="122"/>
      <c r="H99" s="23">
        <f t="shared" si="4"/>
        <v>0</v>
      </c>
      <c r="I99" s="24">
        <v>0</v>
      </c>
    </row>
    <row r="100" spans="1:10" ht="15" customHeight="1" x14ac:dyDescent="0.25">
      <c r="A100" s="15">
        <v>7</v>
      </c>
      <c r="B100" s="122" t="s">
        <v>102</v>
      </c>
      <c r="C100" s="122"/>
      <c r="D100" s="122"/>
      <c r="E100" s="122"/>
      <c r="F100" s="122"/>
      <c r="G100" s="122"/>
      <c r="H100" s="23">
        <f t="shared" si="4"/>
        <v>0</v>
      </c>
      <c r="I100" s="24">
        <f>IF(I23="Não aplicável",0,I23)</f>
        <v>0</v>
      </c>
    </row>
    <row r="101" spans="1:10" ht="13.5" customHeight="1" x14ac:dyDescent="0.25">
      <c r="A101" s="133" t="s">
        <v>103</v>
      </c>
      <c r="B101" s="133"/>
      <c r="C101" s="133"/>
      <c r="D101" s="133"/>
      <c r="E101" s="133"/>
      <c r="F101" s="133"/>
      <c r="G101" s="133"/>
      <c r="H101" s="25">
        <f>SUM(H94:H100)</f>
        <v>0.18615751397390295</v>
      </c>
      <c r="I101" s="26">
        <f>SUM(I94:I100)</f>
        <v>648.46500000000003</v>
      </c>
      <c r="J101" s="34"/>
    </row>
    <row r="102" spans="1:10" ht="5.25" customHeight="1" x14ac:dyDescent="0.25">
      <c r="A102" s="29"/>
      <c r="B102" s="134"/>
      <c r="C102" s="134"/>
      <c r="D102" s="134"/>
      <c r="E102" s="134"/>
      <c r="F102" s="134"/>
      <c r="G102" s="134"/>
      <c r="H102" s="35"/>
      <c r="I102" s="36"/>
    </row>
    <row r="103" spans="1:10" ht="15" customHeight="1" x14ac:dyDescent="0.25">
      <c r="A103" s="139" t="s">
        <v>106</v>
      </c>
      <c r="B103" s="139"/>
      <c r="C103" s="139"/>
      <c r="D103" s="139"/>
      <c r="E103" s="139"/>
      <c r="F103" s="139"/>
      <c r="G103" s="139"/>
      <c r="H103" s="139"/>
      <c r="I103" s="139"/>
    </row>
    <row r="104" spans="1:10" ht="24" customHeight="1" x14ac:dyDescent="0.25">
      <c r="A104" s="127" t="s">
        <v>107</v>
      </c>
      <c r="B104" s="127"/>
      <c r="C104" s="15" t="s">
        <v>108</v>
      </c>
      <c r="D104" s="15" t="s">
        <v>109</v>
      </c>
      <c r="E104" s="15" t="s">
        <v>110</v>
      </c>
      <c r="F104" s="15" t="s">
        <v>111</v>
      </c>
      <c r="G104" s="15" t="s">
        <v>112</v>
      </c>
      <c r="H104" s="23" t="s">
        <v>113</v>
      </c>
      <c r="I104" s="24" t="s">
        <v>114</v>
      </c>
    </row>
    <row r="105" spans="1:10" ht="15" customHeight="1" x14ac:dyDescent="0.25">
      <c r="A105" s="140">
        <f>IF(I14="Não aplicável",0,I14)</f>
        <v>5.3</v>
      </c>
      <c r="B105" s="140"/>
      <c r="C105" s="15">
        <f>IF(I15="Não aplicável",0,I15)</f>
        <v>15</v>
      </c>
      <c r="D105" s="15">
        <v>2</v>
      </c>
      <c r="E105" s="37">
        <f>A105*C105*D105</f>
        <v>159</v>
      </c>
      <c r="F105" s="37">
        <f>I37</f>
        <v>2211</v>
      </c>
      <c r="G105" s="38">
        <f>IF(I16="Não aplicável",0,I16)</f>
        <v>0.06</v>
      </c>
      <c r="H105" s="37">
        <f>F105*G105</f>
        <v>132.66</v>
      </c>
      <c r="I105" s="24">
        <f>IF((E105-H105)&gt;0,E105-H105,0)</f>
        <v>26.340000000000003</v>
      </c>
    </row>
    <row r="106" spans="1:10" ht="4.5" customHeight="1" x14ac:dyDescent="0.25">
      <c r="A106" s="39"/>
      <c r="E106" s="34"/>
      <c r="F106" s="34"/>
      <c r="G106" s="40"/>
      <c r="H106" s="34"/>
      <c r="I106" s="41"/>
    </row>
    <row r="107" spans="1:10" ht="15" customHeight="1" x14ac:dyDescent="0.25">
      <c r="A107" s="139" t="s">
        <v>115</v>
      </c>
      <c r="B107" s="139"/>
      <c r="C107" s="139"/>
      <c r="D107" s="139"/>
      <c r="E107" s="139"/>
      <c r="F107" s="139"/>
      <c r="G107" s="139"/>
      <c r="H107" s="139"/>
      <c r="I107" s="139"/>
    </row>
    <row r="108" spans="1:10" ht="24" customHeight="1" x14ac:dyDescent="0.25">
      <c r="A108" s="127" t="s">
        <v>107</v>
      </c>
      <c r="B108" s="127"/>
      <c r="C108" s="15" t="s">
        <v>116</v>
      </c>
      <c r="D108" s="15" t="s">
        <v>109</v>
      </c>
      <c r="E108" s="15" t="s">
        <v>110</v>
      </c>
      <c r="F108" s="15" t="s">
        <v>111</v>
      </c>
      <c r="G108" s="15" t="s">
        <v>112</v>
      </c>
      <c r="H108" s="23" t="s">
        <v>113</v>
      </c>
      <c r="I108" s="24" t="s">
        <v>114</v>
      </c>
    </row>
    <row r="109" spans="1:10" ht="15" customHeight="1" x14ac:dyDescent="0.25">
      <c r="A109" s="141">
        <f>IF(I20="Não aplicável",0,I20)</f>
        <v>0</v>
      </c>
      <c r="B109" s="141"/>
      <c r="C109" s="42">
        <f>IF(I21="Não aplicável",0,I21)</f>
        <v>0</v>
      </c>
      <c r="D109" s="15">
        <v>1</v>
      </c>
      <c r="E109" s="37">
        <f>A109*C109*D109</f>
        <v>0</v>
      </c>
      <c r="F109" s="37">
        <f>E109</f>
        <v>0</v>
      </c>
      <c r="G109" s="43">
        <f>IF(I22="Não aplicável",0,I22)</f>
        <v>0</v>
      </c>
      <c r="H109" s="37">
        <f>F109*G109</f>
        <v>0</v>
      </c>
      <c r="I109" s="24">
        <f>E109-H109</f>
        <v>0</v>
      </c>
    </row>
    <row r="110" spans="1:10" ht="4.5" customHeight="1" x14ac:dyDescent="0.25">
      <c r="A110" s="44"/>
      <c r="B110" s="44"/>
      <c r="C110" s="44"/>
      <c r="D110" s="44"/>
      <c r="E110" s="27"/>
      <c r="F110" s="27"/>
      <c r="G110" s="45"/>
      <c r="H110" s="27"/>
      <c r="I110" s="46"/>
    </row>
    <row r="111" spans="1:10" ht="15" customHeight="1" x14ac:dyDescent="0.25">
      <c r="A111" s="139" t="s">
        <v>117</v>
      </c>
      <c r="B111" s="139"/>
      <c r="C111" s="139"/>
      <c r="D111" s="139"/>
      <c r="E111" s="139"/>
      <c r="F111" s="139"/>
      <c r="G111" s="139"/>
      <c r="H111" s="139"/>
      <c r="I111" s="139"/>
    </row>
    <row r="112" spans="1:10" ht="23.25" customHeight="1" x14ac:dyDescent="0.25">
      <c r="A112" s="127" t="s">
        <v>107</v>
      </c>
      <c r="B112" s="127"/>
      <c r="C112" s="15" t="s">
        <v>116</v>
      </c>
      <c r="D112" s="15" t="s">
        <v>109</v>
      </c>
      <c r="E112" s="15" t="s">
        <v>110</v>
      </c>
      <c r="F112" s="15" t="s">
        <v>111</v>
      </c>
      <c r="G112" s="15" t="s">
        <v>112</v>
      </c>
      <c r="H112" s="23" t="str">
        <f>H104</f>
        <v>Valor desconto</v>
      </c>
      <c r="I112" s="24" t="s">
        <v>114</v>
      </c>
    </row>
    <row r="113" spans="1:12" ht="15" customHeight="1" x14ac:dyDescent="0.25">
      <c r="A113" s="141">
        <f>IF(I17="Não aplicável",0,I17)</f>
        <v>33</v>
      </c>
      <c r="B113" s="141"/>
      <c r="C113" s="42">
        <f>IF(I18="Não aplicável",0,I18)</f>
        <v>15</v>
      </c>
      <c r="D113" s="15">
        <v>1</v>
      </c>
      <c r="E113" s="37">
        <f>A113*C113*D113</f>
        <v>495</v>
      </c>
      <c r="F113" s="37">
        <f>E113</f>
        <v>495</v>
      </c>
      <c r="G113" s="43">
        <f>IF(I19="Não aplicável",0,I19)</f>
        <v>0.2</v>
      </c>
      <c r="H113" s="37">
        <f>F113*G113</f>
        <v>99</v>
      </c>
      <c r="I113" s="24">
        <f>E113-H113</f>
        <v>396</v>
      </c>
    </row>
    <row r="114" spans="1:12" ht="4.5" customHeight="1" x14ac:dyDescent="0.25"/>
    <row r="115" spans="1:12" ht="12" customHeight="1" x14ac:dyDescent="0.25">
      <c r="A115" s="142" t="s">
        <v>118</v>
      </c>
      <c r="B115" s="142"/>
      <c r="C115" s="142"/>
      <c r="D115" s="142"/>
      <c r="E115" s="142"/>
      <c r="F115" s="142"/>
      <c r="G115" s="142"/>
      <c r="H115" s="47">
        <f>H55+H91+H101</f>
        <v>1.9740795379739029</v>
      </c>
      <c r="I115" s="48">
        <f>I55+I91+I101</f>
        <v>6876.5501873413759</v>
      </c>
      <c r="J115" s="34"/>
      <c r="L115" s="34"/>
    </row>
    <row r="116" spans="1:12" s="53" customFormat="1" ht="4.5" customHeight="1" x14ac:dyDescent="0.25">
      <c r="A116" s="49"/>
      <c r="B116" s="49"/>
      <c r="C116" s="49"/>
      <c r="D116" s="49"/>
      <c r="E116" s="49"/>
      <c r="F116" s="49"/>
      <c r="G116" s="49"/>
      <c r="H116" s="50"/>
      <c r="I116" s="51"/>
      <c r="J116" s="52"/>
      <c r="L116" s="52"/>
    </row>
    <row r="117" spans="1:12" ht="11.25" customHeight="1" x14ac:dyDescent="0.25">
      <c r="A117" s="131" t="s">
        <v>119</v>
      </c>
      <c r="B117" s="131"/>
      <c r="C117" s="131"/>
      <c r="D117" s="131"/>
      <c r="E117" s="131"/>
      <c r="F117" s="131"/>
      <c r="G117" s="131"/>
      <c r="H117" s="131"/>
      <c r="I117" s="131"/>
    </row>
    <row r="118" spans="1:12" ht="33.75" customHeight="1" x14ac:dyDescent="0.25">
      <c r="A118" s="22" t="s">
        <v>42</v>
      </c>
      <c r="B118" s="132" t="s">
        <v>120</v>
      </c>
      <c r="C118" s="132"/>
      <c r="D118" s="132"/>
      <c r="E118" s="132"/>
      <c r="F118" s="132"/>
      <c r="G118" s="132"/>
      <c r="H118" s="22" t="s">
        <v>44</v>
      </c>
      <c r="I118" s="22" t="s">
        <v>45</v>
      </c>
    </row>
    <row r="119" spans="1:12" ht="15" customHeight="1" x14ac:dyDescent="0.25">
      <c r="A119" s="15">
        <v>1</v>
      </c>
      <c r="B119" s="122" t="s">
        <v>121</v>
      </c>
      <c r="C119" s="122"/>
      <c r="D119" s="122"/>
      <c r="E119" s="122"/>
      <c r="F119" s="122"/>
      <c r="G119" s="122"/>
      <c r="H119" s="23">
        <f t="shared" ref="H119:H125" si="5">I119/$I$131</f>
        <v>0</v>
      </c>
      <c r="I119" s="24">
        <v>0</v>
      </c>
    </row>
    <row r="120" spans="1:12" ht="15" customHeight="1" x14ac:dyDescent="0.25">
      <c r="A120" s="15">
        <v>2</v>
      </c>
      <c r="B120" s="117" t="s">
        <v>122</v>
      </c>
      <c r="C120" s="117"/>
      <c r="D120" s="117"/>
      <c r="E120" s="117"/>
      <c r="F120" s="117"/>
      <c r="G120" s="117"/>
      <c r="H120" s="23">
        <f t="shared" si="5"/>
        <v>0</v>
      </c>
      <c r="I120" s="24">
        <f>IF(F129=10%,G129,0)</f>
        <v>0</v>
      </c>
    </row>
    <row r="121" spans="1:12" ht="15" customHeight="1" x14ac:dyDescent="0.25">
      <c r="A121" s="15">
        <v>3</v>
      </c>
      <c r="B121" s="122" t="s">
        <v>123</v>
      </c>
      <c r="C121" s="122"/>
      <c r="D121" s="122"/>
      <c r="E121" s="122"/>
      <c r="F121" s="122"/>
      <c r="G121" s="122"/>
      <c r="H121" s="23">
        <f t="shared" si="5"/>
        <v>0</v>
      </c>
      <c r="I121" s="24">
        <v>0</v>
      </c>
    </row>
    <row r="122" spans="1:12" ht="15" customHeight="1" x14ac:dyDescent="0.25">
      <c r="A122" s="15">
        <v>4</v>
      </c>
      <c r="B122" s="122" t="s">
        <v>124</v>
      </c>
      <c r="C122" s="122"/>
      <c r="D122" s="122"/>
      <c r="E122" s="122"/>
      <c r="F122" s="122"/>
      <c r="G122" s="122"/>
      <c r="H122" s="23">
        <f t="shared" si="5"/>
        <v>0</v>
      </c>
      <c r="I122" s="24">
        <v>0</v>
      </c>
    </row>
    <row r="123" spans="1:12" ht="15" customHeight="1" x14ac:dyDescent="0.25">
      <c r="A123" s="15">
        <v>5</v>
      </c>
      <c r="B123" s="122" t="s">
        <v>125</v>
      </c>
      <c r="C123" s="122"/>
      <c r="D123" s="122"/>
      <c r="E123" s="122"/>
      <c r="F123" s="122"/>
      <c r="G123" s="122"/>
      <c r="H123" s="23">
        <f t="shared" si="5"/>
        <v>0</v>
      </c>
      <c r="I123" s="24">
        <v>0</v>
      </c>
    </row>
    <row r="124" spans="1:12" ht="15" customHeight="1" x14ac:dyDescent="0.25">
      <c r="A124" s="15">
        <v>6</v>
      </c>
      <c r="B124" s="122" t="s">
        <v>126</v>
      </c>
      <c r="C124" s="122"/>
      <c r="D124" s="122"/>
      <c r="E124" s="122"/>
      <c r="F124" s="122"/>
      <c r="G124" s="122"/>
      <c r="H124" s="23">
        <f t="shared" si="5"/>
        <v>0</v>
      </c>
      <c r="I124" s="24">
        <v>0</v>
      </c>
    </row>
    <row r="125" spans="1:12" ht="15" customHeight="1" x14ac:dyDescent="0.25">
      <c r="A125" s="15">
        <v>7</v>
      </c>
      <c r="B125" s="122" t="s">
        <v>127</v>
      </c>
      <c r="C125" s="122"/>
      <c r="D125" s="122"/>
      <c r="E125" s="122"/>
      <c r="F125" s="122"/>
      <c r="G125" s="122"/>
      <c r="H125" s="23">
        <f t="shared" si="5"/>
        <v>0</v>
      </c>
      <c r="I125" s="24">
        <v>0</v>
      </c>
    </row>
    <row r="126" spans="1:12" ht="15" customHeight="1" x14ac:dyDescent="0.25">
      <c r="A126" s="133" t="s">
        <v>128</v>
      </c>
      <c r="B126" s="133"/>
      <c r="C126" s="133"/>
      <c r="D126" s="133"/>
      <c r="E126" s="133"/>
      <c r="F126" s="133"/>
      <c r="G126" s="133"/>
      <c r="H126" s="25">
        <f>H119+H120+H121+H122+H124+H125</f>
        <v>0</v>
      </c>
      <c r="I126" s="54">
        <f>SUM(I119:I125)</f>
        <v>0</v>
      </c>
      <c r="J126" s="34"/>
    </row>
    <row r="127" spans="1:12" ht="48" customHeight="1" x14ac:dyDescent="0.25">
      <c r="B127" s="136" t="s">
        <v>129</v>
      </c>
      <c r="C127" s="136"/>
      <c r="D127" s="136"/>
      <c r="E127" s="136"/>
      <c r="F127" s="136"/>
      <c r="G127" s="136"/>
      <c r="H127" s="136"/>
      <c r="I127" s="136"/>
    </row>
    <row r="128" spans="1:12" ht="5.25" customHeight="1" x14ac:dyDescent="0.25"/>
    <row r="129" spans="1:12" ht="48.75" customHeight="1" x14ac:dyDescent="0.25">
      <c r="A129" s="143" t="s">
        <v>130</v>
      </c>
      <c r="B129" s="143"/>
      <c r="C129" s="143"/>
      <c r="D129" s="143"/>
      <c r="E129" s="143"/>
      <c r="F129" s="55">
        <f>I29</f>
        <v>0.2</v>
      </c>
      <c r="G129" s="56">
        <f>I131*F129</f>
        <v>1370.0420374682751</v>
      </c>
      <c r="H129" s="57" t="s">
        <v>131</v>
      </c>
      <c r="I129" s="58">
        <f>I96</f>
        <v>26.340000000000003</v>
      </c>
    </row>
    <row r="130" spans="1:12" s="61" customFormat="1" ht="16.5" customHeight="1" x14ac:dyDescent="0.25">
      <c r="A130" s="144" t="s">
        <v>132</v>
      </c>
      <c r="B130" s="144"/>
      <c r="C130" s="57" t="s">
        <v>133</v>
      </c>
      <c r="D130" s="57" t="s">
        <v>134</v>
      </c>
      <c r="E130" s="57" t="s">
        <v>135</v>
      </c>
      <c r="F130" s="57" t="s">
        <v>136</v>
      </c>
      <c r="G130" s="57" t="s">
        <v>137</v>
      </c>
      <c r="H130" s="57" t="s">
        <v>138</v>
      </c>
      <c r="I130" s="59" t="s">
        <v>139</v>
      </c>
      <c r="J130" s="60"/>
    </row>
    <row r="131" spans="1:12" ht="16.5" customHeight="1" x14ac:dyDescent="0.25">
      <c r="A131" s="145">
        <f>I55</f>
        <v>3483.4210350000003</v>
      </c>
      <c r="B131" s="145"/>
      <c r="C131" s="62">
        <f>I66</f>
        <v>1281.8989408800001</v>
      </c>
      <c r="D131" s="62">
        <f>I78</f>
        <v>888.07380892600509</v>
      </c>
      <c r="E131" s="62">
        <f>I85</f>
        <v>247.88024085060002</v>
      </c>
      <c r="F131" s="62">
        <f>I89</f>
        <v>326.8111616847699</v>
      </c>
      <c r="G131" s="62">
        <f>I101</f>
        <v>648.46500000000003</v>
      </c>
      <c r="H131" s="62">
        <f>A131+C131+D131+E131+F131+G131</f>
        <v>6876.550187341375</v>
      </c>
      <c r="I131" s="62">
        <f>H131-I129</f>
        <v>6850.2101873413749</v>
      </c>
      <c r="J131" s="34"/>
    </row>
    <row r="132" spans="1:12" ht="4.5" customHeight="1" x14ac:dyDescent="0.25">
      <c r="A132" s="29"/>
      <c r="B132" s="146"/>
      <c r="C132" s="146"/>
      <c r="D132" s="146"/>
      <c r="E132" s="146"/>
      <c r="F132" s="146"/>
      <c r="G132" s="146"/>
      <c r="H132" s="146"/>
      <c r="I132" s="146"/>
    </row>
    <row r="133" spans="1:12" ht="33.75" customHeight="1" x14ac:dyDescent="0.25">
      <c r="A133" s="22" t="s">
        <v>57</v>
      </c>
      <c r="B133" s="132" t="s">
        <v>140</v>
      </c>
      <c r="C133" s="132"/>
      <c r="D133" s="132"/>
      <c r="E133" s="132"/>
      <c r="F133" s="132"/>
      <c r="G133" s="132"/>
      <c r="H133" s="22" t="s">
        <v>44</v>
      </c>
      <c r="I133" s="22" t="s">
        <v>45</v>
      </c>
    </row>
    <row r="134" spans="1:12" ht="15" customHeight="1" x14ac:dyDescent="0.25">
      <c r="A134" s="15">
        <v>1</v>
      </c>
      <c r="B134" s="122" t="s">
        <v>141</v>
      </c>
      <c r="C134" s="122"/>
      <c r="D134" s="122"/>
      <c r="E134" s="122"/>
      <c r="F134" s="122"/>
      <c r="G134" s="122"/>
      <c r="H134" s="23">
        <f>I134/$I$144</f>
        <v>0</v>
      </c>
      <c r="I134" s="24">
        <v>0</v>
      </c>
    </row>
    <row r="135" spans="1:12" ht="15" customHeight="1" x14ac:dyDescent="0.25">
      <c r="A135" s="15">
        <v>2</v>
      </c>
      <c r="B135" s="122" t="s">
        <v>142</v>
      </c>
      <c r="C135" s="122"/>
      <c r="D135" s="122"/>
      <c r="E135" s="122"/>
      <c r="F135" s="122"/>
      <c r="G135" s="122"/>
      <c r="H135" s="23">
        <f>I135/$I$144</f>
        <v>0</v>
      </c>
      <c r="I135" s="24">
        <v>0</v>
      </c>
    </row>
    <row r="136" spans="1:12" ht="33" customHeight="1" x14ac:dyDescent="0.25">
      <c r="A136" s="133" t="s">
        <v>213</v>
      </c>
      <c r="B136" s="133"/>
      <c r="C136" s="133"/>
      <c r="D136" s="133"/>
      <c r="E136" s="133"/>
      <c r="F136" s="133"/>
      <c r="G136" s="133"/>
      <c r="H136" s="25">
        <f>H134+H135</f>
        <v>0</v>
      </c>
      <c r="I136" s="26">
        <f>SUM(I134:I135)</f>
        <v>0</v>
      </c>
    </row>
    <row r="137" spans="1:12" ht="4.5" customHeight="1" x14ac:dyDescent="0.25"/>
    <row r="138" spans="1:12" ht="33.75" customHeight="1" x14ac:dyDescent="0.25">
      <c r="A138" s="22" t="s">
        <v>70</v>
      </c>
      <c r="B138" s="132" t="s">
        <v>144</v>
      </c>
      <c r="C138" s="132"/>
      <c r="D138" s="132"/>
      <c r="E138" s="132"/>
      <c r="F138" s="132"/>
      <c r="G138" s="132"/>
      <c r="H138" s="22" t="s">
        <v>44</v>
      </c>
      <c r="I138" s="22" t="s">
        <v>45</v>
      </c>
    </row>
    <row r="139" spans="1:12" ht="15" customHeight="1" x14ac:dyDescent="0.25">
      <c r="A139" s="15">
        <v>1</v>
      </c>
      <c r="B139" s="122" t="s">
        <v>144</v>
      </c>
      <c r="C139" s="122"/>
      <c r="D139" s="122"/>
      <c r="E139" s="122"/>
      <c r="F139" s="122"/>
      <c r="G139" s="122"/>
      <c r="H139" s="23">
        <f>I139/I144</f>
        <v>0</v>
      </c>
      <c r="I139" s="24">
        <v>0</v>
      </c>
    </row>
    <row r="140" spans="1:12" ht="33.75" customHeight="1" x14ac:dyDescent="0.25">
      <c r="A140" s="133" t="s">
        <v>214</v>
      </c>
      <c r="B140" s="133"/>
      <c r="C140" s="133"/>
      <c r="D140" s="133"/>
      <c r="E140" s="133"/>
      <c r="F140" s="133"/>
      <c r="G140" s="133"/>
      <c r="H140" s="25">
        <f>H139</f>
        <v>0</v>
      </c>
      <c r="I140" s="26">
        <f>I139</f>
        <v>0</v>
      </c>
      <c r="J140" s="34"/>
      <c r="K140" s="34"/>
      <c r="L140" s="6"/>
    </row>
    <row r="141" spans="1:12" ht="4.5" customHeight="1" x14ac:dyDescent="0.25">
      <c r="A141" s="28"/>
      <c r="B141" s="28"/>
      <c r="C141" s="28"/>
      <c r="D141" s="28"/>
      <c r="E141" s="28"/>
      <c r="F141" s="28"/>
      <c r="G141" s="28"/>
      <c r="H141" s="35"/>
      <c r="I141" s="36"/>
    </row>
    <row r="142" spans="1:12" ht="39" customHeight="1" x14ac:dyDescent="0.25">
      <c r="A142" s="147" t="s">
        <v>146</v>
      </c>
      <c r="B142" s="147"/>
      <c r="C142" s="147"/>
      <c r="D142" s="147"/>
      <c r="E142" s="147"/>
      <c r="F142" s="55">
        <v>0.18</v>
      </c>
      <c r="G142" s="56">
        <f>I144*F142</f>
        <v>1233.0378337214474</v>
      </c>
      <c r="H142" s="57" t="s">
        <v>131</v>
      </c>
      <c r="I142" s="58">
        <f>I96</f>
        <v>26.340000000000003</v>
      </c>
      <c r="L142" s="6"/>
    </row>
    <row r="143" spans="1:12" s="61" customFormat="1" ht="16.5" customHeight="1" x14ac:dyDescent="0.25">
      <c r="A143" s="144" t="s">
        <v>132</v>
      </c>
      <c r="B143" s="144"/>
      <c r="C143" s="57" t="s">
        <v>133</v>
      </c>
      <c r="D143" s="57" t="s">
        <v>134</v>
      </c>
      <c r="E143" s="57" t="s">
        <v>135</v>
      </c>
      <c r="F143" s="57" t="s">
        <v>136</v>
      </c>
      <c r="G143" s="57" t="s">
        <v>137</v>
      </c>
      <c r="H143" s="57" t="s">
        <v>138</v>
      </c>
      <c r="I143" s="59" t="s">
        <v>139</v>
      </c>
      <c r="J143" s="60"/>
      <c r="L143" s="60"/>
    </row>
    <row r="144" spans="1:12" ht="16.5" customHeight="1" x14ac:dyDescent="0.25">
      <c r="A144" s="145">
        <f>I55</f>
        <v>3483.4210350000003</v>
      </c>
      <c r="B144" s="145"/>
      <c r="C144" s="62">
        <f>I66</f>
        <v>1281.8989408800001</v>
      </c>
      <c r="D144" s="62">
        <f>I78</f>
        <v>888.07380892600509</v>
      </c>
      <c r="E144" s="62">
        <f>I85</f>
        <v>247.88024085060002</v>
      </c>
      <c r="F144" s="62">
        <f>I89</f>
        <v>326.8111616847699</v>
      </c>
      <c r="G144" s="62">
        <f>I101</f>
        <v>648.46500000000003</v>
      </c>
      <c r="H144" s="62">
        <f>A144+C144+D144+E144+F144+G144</f>
        <v>6876.550187341375</v>
      </c>
      <c r="I144" s="62">
        <f>H144-I142</f>
        <v>6850.2101873413749</v>
      </c>
      <c r="J144" s="34"/>
      <c r="L144" s="6"/>
    </row>
    <row r="145" spans="1:10" ht="4.5" customHeight="1" x14ac:dyDescent="0.25"/>
    <row r="146" spans="1:10" ht="12" customHeight="1" x14ac:dyDescent="0.25">
      <c r="A146" s="142" t="s">
        <v>147</v>
      </c>
      <c r="B146" s="142"/>
      <c r="C146" s="142"/>
      <c r="D146" s="142"/>
      <c r="E146" s="142"/>
      <c r="F146" s="142"/>
      <c r="G146" s="142"/>
      <c r="H146" s="47">
        <f>H126+H136+H140</f>
        <v>0</v>
      </c>
      <c r="I146" s="48">
        <f>I126+I136+I140</f>
        <v>0</v>
      </c>
    </row>
    <row r="147" spans="1:10" ht="4.5" customHeight="1" x14ac:dyDescent="0.25"/>
    <row r="148" spans="1:10" ht="11.25" customHeight="1" x14ac:dyDescent="0.25">
      <c r="A148" s="131" t="s">
        <v>148</v>
      </c>
      <c r="B148" s="131"/>
      <c r="C148" s="131"/>
      <c r="D148" s="131"/>
      <c r="E148" s="131"/>
      <c r="F148" s="131"/>
      <c r="G148" s="131"/>
      <c r="H148" s="131"/>
      <c r="I148" s="131"/>
    </row>
    <row r="149" spans="1:10" ht="33.75" customHeight="1" x14ac:dyDescent="0.25">
      <c r="A149" s="22" t="s">
        <v>42</v>
      </c>
      <c r="B149" s="132" t="s">
        <v>149</v>
      </c>
      <c r="C149" s="132"/>
      <c r="D149" s="132"/>
      <c r="E149" s="132"/>
      <c r="F149" s="132"/>
      <c r="G149" s="132"/>
      <c r="H149" s="22" t="s">
        <v>44</v>
      </c>
      <c r="I149" s="22" t="s">
        <v>45</v>
      </c>
    </row>
    <row r="150" spans="1:10" ht="15" customHeight="1" x14ac:dyDescent="0.25">
      <c r="A150" s="15">
        <v>1</v>
      </c>
      <c r="B150" s="122" t="s">
        <v>150</v>
      </c>
      <c r="C150" s="122"/>
      <c r="D150" s="122"/>
      <c r="E150" s="122"/>
      <c r="F150" s="122"/>
      <c r="G150" s="122"/>
      <c r="H150" s="23">
        <f>I150/$I$115</f>
        <v>6.9259456579648373E-3</v>
      </c>
      <c r="I150" s="24">
        <f>($D$160/$E$162)*H160</f>
        <v>47.62661291179429</v>
      </c>
    </row>
    <row r="151" spans="1:10" ht="15" customHeight="1" x14ac:dyDescent="0.25">
      <c r="A151" s="15">
        <v>2</v>
      </c>
      <c r="B151" s="122" t="s">
        <v>151</v>
      </c>
      <c r="C151" s="122"/>
      <c r="D151" s="122"/>
      <c r="E151" s="122"/>
      <c r="F151" s="122"/>
      <c r="G151" s="122"/>
      <c r="H151" s="23">
        <f>I151/$I$115</f>
        <v>3.1965903036760786E-2</v>
      </c>
      <c r="I151" s="24">
        <f>($D$160/$E$162)*H161</f>
        <v>219.81513651597365</v>
      </c>
    </row>
    <row r="152" spans="1:10" ht="15" customHeight="1" x14ac:dyDescent="0.25">
      <c r="A152" s="15">
        <v>3</v>
      </c>
      <c r="B152" s="122" t="s">
        <v>20</v>
      </c>
      <c r="C152" s="122"/>
      <c r="D152" s="122"/>
      <c r="E152" s="122"/>
      <c r="F152" s="122"/>
      <c r="G152" s="122"/>
      <c r="H152" s="23">
        <f>I152/$I$115</f>
        <v>2.6638252530633993E-2</v>
      </c>
      <c r="I152" s="24">
        <f>($D$160/$E$162)*H162</f>
        <v>183.17928042997806</v>
      </c>
    </row>
    <row r="153" spans="1:10" ht="15" customHeight="1" x14ac:dyDescent="0.25">
      <c r="A153" s="15">
        <v>4</v>
      </c>
      <c r="B153" s="122" t="s">
        <v>152</v>
      </c>
      <c r="C153" s="122"/>
      <c r="D153" s="122"/>
      <c r="E153" s="122"/>
      <c r="F153" s="122"/>
      <c r="G153" s="122"/>
      <c r="H153" s="23">
        <f>I153/$I$115</f>
        <v>0</v>
      </c>
      <c r="I153" s="24">
        <f>($D$160/$E$162)*H163</f>
        <v>0</v>
      </c>
    </row>
    <row r="154" spans="1:10" ht="15" customHeight="1" x14ac:dyDescent="0.25">
      <c r="A154" s="15">
        <v>5</v>
      </c>
      <c r="B154" s="122" t="s">
        <v>153</v>
      </c>
      <c r="C154" s="122"/>
      <c r="D154" s="122"/>
      <c r="E154" s="122"/>
      <c r="F154" s="122"/>
      <c r="G154" s="122"/>
      <c r="H154" s="23">
        <f>I154/$I$115</f>
        <v>0</v>
      </c>
      <c r="I154" s="24">
        <f>($D$160/$E$162)*H164</f>
        <v>0</v>
      </c>
    </row>
    <row r="155" spans="1:10" ht="15" customHeight="1" x14ac:dyDescent="0.25">
      <c r="A155" s="133" t="s">
        <v>154</v>
      </c>
      <c r="B155" s="133"/>
      <c r="C155" s="133"/>
      <c r="D155" s="133"/>
      <c r="E155" s="133"/>
      <c r="F155" s="133"/>
      <c r="G155" s="133"/>
      <c r="H155" s="25">
        <f>H150+H151+H152+H153+H154</f>
        <v>6.5530101225359613E-2</v>
      </c>
      <c r="I155" s="26">
        <f>SUM(I150:I154)</f>
        <v>450.62102985774601</v>
      </c>
    </row>
    <row r="156" spans="1:10" ht="11.25" customHeight="1" x14ac:dyDescent="0.25">
      <c r="A156" s="29" t="s">
        <v>155</v>
      </c>
      <c r="B156" s="136" t="s">
        <v>156</v>
      </c>
      <c r="C156" s="136"/>
      <c r="D156" s="136"/>
      <c r="E156" s="136"/>
      <c r="F156" s="136"/>
      <c r="G156" s="136"/>
      <c r="H156" s="136"/>
      <c r="I156" s="136"/>
    </row>
    <row r="157" spans="1:10" ht="20.25" customHeight="1" x14ac:dyDescent="0.25">
      <c r="A157" s="29" t="s">
        <v>157</v>
      </c>
      <c r="B157" s="148" t="s">
        <v>158</v>
      </c>
      <c r="C157" s="148"/>
      <c r="D157" s="148"/>
      <c r="E157" s="148"/>
      <c r="F157" s="148"/>
      <c r="G157" s="148"/>
      <c r="H157" s="148"/>
      <c r="I157" s="148"/>
    </row>
    <row r="158" spans="1:10" ht="13.5" customHeight="1" x14ac:dyDescent="0.25">
      <c r="A158" s="139" t="s">
        <v>159</v>
      </c>
      <c r="B158" s="139"/>
      <c r="C158" s="139"/>
      <c r="D158" s="139"/>
      <c r="E158" s="139"/>
      <c r="F158" s="139"/>
      <c r="G158" s="139"/>
      <c r="H158" s="139"/>
      <c r="I158" s="139"/>
    </row>
    <row r="159" spans="1:10" ht="13.5" customHeight="1" x14ac:dyDescent="0.25">
      <c r="A159" s="114" t="s">
        <v>160</v>
      </c>
      <c r="B159" s="114"/>
      <c r="C159" s="4" t="s">
        <v>161</v>
      </c>
      <c r="D159" s="130" t="s">
        <v>162</v>
      </c>
      <c r="E159" s="130"/>
      <c r="F159" s="4" t="s">
        <v>163</v>
      </c>
      <c r="G159" s="4" t="s">
        <v>164</v>
      </c>
      <c r="H159" s="149" t="s">
        <v>165</v>
      </c>
      <c r="I159" s="149"/>
    </row>
    <row r="160" spans="1:10" ht="13.5" customHeight="1" x14ac:dyDescent="0.25">
      <c r="A160" s="150">
        <f>I115</f>
        <v>6876.5501873413759</v>
      </c>
      <c r="B160" s="150"/>
      <c r="C160" s="24">
        <f>I146</f>
        <v>0</v>
      </c>
      <c r="D160" s="151">
        <f>A160+C160</f>
        <v>6876.5501873413759</v>
      </c>
      <c r="E160" s="151"/>
      <c r="F160" s="15" t="s">
        <v>150</v>
      </c>
      <c r="G160" s="43">
        <v>1.6500000000000001E-2</v>
      </c>
      <c r="H160" s="152">
        <v>6.4999999999999997E-3</v>
      </c>
      <c r="I160" s="152"/>
      <c r="J160" s="34"/>
    </row>
    <row r="161" spans="1:10" ht="13.5" customHeight="1" x14ac:dyDescent="0.25">
      <c r="A161" s="153" t="s">
        <v>166</v>
      </c>
      <c r="B161" s="153"/>
      <c r="C161" s="15">
        <v>1</v>
      </c>
      <c r="D161" s="63">
        <f>G165/1</f>
        <v>0.11749999999999999</v>
      </c>
      <c r="E161" s="64">
        <f>C161-D161</f>
        <v>0.88250000000000006</v>
      </c>
      <c r="F161" s="15" t="s">
        <v>151</v>
      </c>
      <c r="G161" s="43">
        <v>7.5999999999999998E-2</v>
      </c>
      <c r="H161" s="152">
        <v>0.03</v>
      </c>
      <c r="I161" s="152"/>
    </row>
    <row r="162" spans="1:10" ht="13.5" customHeight="1" x14ac:dyDescent="0.25">
      <c r="A162" s="154" t="s">
        <v>167</v>
      </c>
      <c r="B162" s="154"/>
      <c r="C162" s="15">
        <v>1</v>
      </c>
      <c r="D162" s="63">
        <f>H165</f>
        <v>6.1499999999999999E-2</v>
      </c>
      <c r="E162" s="65">
        <f>C162-D162</f>
        <v>0.9385</v>
      </c>
      <c r="F162" s="15" t="s">
        <v>20</v>
      </c>
      <c r="G162" s="43">
        <f>I11</f>
        <v>2.5000000000000001E-2</v>
      </c>
      <c r="H162" s="152">
        <f>I11</f>
        <v>2.5000000000000001E-2</v>
      </c>
      <c r="I162" s="152"/>
    </row>
    <row r="163" spans="1:10" ht="13.5" customHeight="1" x14ac:dyDescent="0.25">
      <c r="A163" s="154" t="s">
        <v>168</v>
      </c>
      <c r="B163" s="154"/>
      <c r="C163" s="15">
        <v>1</v>
      </c>
      <c r="D163" s="66">
        <v>0.09</v>
      </c>
      <c r="E163" s="67">
        <f>C163-D163</f>
        <v>0.91</v>
      </c>
      <c r="F163" s="15" t="s">
        <v>169</v>
      </c>
      <c r="G163" s="43">
        <v>0</v>
      </c>
      <c r="H163" s="152">
        <v>0</v>
      </c>
      <c r="I163" s="152"/>
    </row>
    <row r="164" spans="1:10" ht="13.5" customHeight="1" x14ac:dyDescent="0.25">
      <c r="A164" s="155" t="s">
        <v>170</v>
      </c>
      <c r="B164" s="155" t="s">
        <v>171</v>
      </c>
      <c r="C164" s="155"/>
      <c r="D164" s="155"/>
      <c r="E164" s="155"/>
      <c r="F164" s="13" t="s">
        <v>172</v>
      </c>
      <c r="G164" s="43">
        <v>0</v>
      </c>
      <c r="H164" s="152">
        <v>0</v>
      </c>
      <c r="I164" s="152"/>
    </row>
    <row r="165" spans="1:10" ht="18" customHeight="1" x14ac:dyDescent="0.25">
      <c r="A165" s="155"/>
      <c r="B165" s="155"/>
      <c r="C165" s="155"/>
      <c r="D165" s="155"/>
      <c r="E165" s="155"/>
      <c r="F165" s="4" t="s">
        <v>173</v>
      </c>
      <c r="G165" s="68">
        <f>SUM(G160:G164)</f>
        <v>0.11749999999999999</v>
      </c>
      <c r="H165" s="156">
        <f>SUM(H160:I164)</f>
        <v>6.1499999999999999E-2</v>
      </c>
      <c r="I165" s="156"/>
    </row>
    <row r="166" spans="1:10" ht="59.25" customHeight="1" x14ac:dyDescent="0.25">
      <c r="A166" s="157" t="s">
        <v>174</v>
      </c>
      <c r="B166" s="157"/>
      <c r="C166" s="157"/>
      <c r="D166" s="157"/>
      <c r="E166" s="157"/>
      <c r="F166" s="157"/>
      <c r="G166" s="157"/>
      <c r="H166" s="157"/>
      <c r="I166" s="157"/>
    </row>
    <row r="167" spans="1:10" ht="13.5" customHeight="1" x14ac:dyDescent="0.25">
      <c r="A167" s="29" t="s">
        <v>175</v>
      </c>
      <c r="B167" s="148" t="s">
        <v>176</v>
      </c>
      <c r="C167" s="148"/>
      <c r="D167" s="148"/>
      <c r="E167" s="148"/>
      <c r="F167" s="148"/>
      <c r="G167" s="148"/>
      <c r="H167" s="148"/>
      <c r="I167" s="148"/>
    </row>
    <row r="168" spans="1:10" ht="4.5" customHeight="1" x14ac:dyDescent="0.25">
      <c r="A168" s="69"/>
      <c r="B168" s="158"/>
      <c r="C168" s="158"/>
      <c r="D168" s="158"/>
      <c r="E168" s="158"/>
      <c r="F168" s="158"/>
      <c r="G168" s="158"/>
      <c r="H168" s="158"/>
      <c r="I168" s="158"/>
    </row>
    <row r="169" spans="1:10" ht="12" customHeight="1" x14ac:dyDescent="0.25">
      <c r="A169" s="142" t="s">
        <v>177</v>
      </c>
      <c r="B169" s="142"/>
      <c r="C169" s="142"/>
      <c r="D169" s="142"/>
      <c r="E169" s="142"/>
      <c r="F169" s="142"/>
      <c r="G169" s="142"/>
      <c r="H169" s="47">
        <f>H155</f>
        <v>6.5530101225359613E-2</v>
      </c>
      <c r="I169" s="48">
        <f>I155</f>
        <v>450.62102985774601</v>
      </c>
    </row>
    <row r="170" spans="1:10" ht="4.5" customHeight="1" x14ac:dyDescent="0.25"/>
    <row r="171" spans="1:10" ht="11.25" customHeight="1" x14ac:dyDescent="0.25">
      <c r="A171" s="159" t="s">
        <v>178</v>
      </c>
      <c r="B171" s="159"/>
      <c r="C171" s="159"/>
      <c r="D171" s="159"/>
      <c r="E171" s="159"/>
      <c r="F171" s="159"/>
      <c r="G171" s="159"/>
      <c r="H171" s="159"/>
      <c r="I171" s="159"/>
    </row>
    <row r="172" spans="1:10" ht="11.25" customHeight="1" x14ac:dyDescent="0.25">
      <c r="A172" s="131" t="s">
        <v>41</v>
      </c>
      <c r="B172" s="131"/>
      <c r="C172" s="131"/>
      <c r="D172" s="131"/>
      <c r="E172" s="131"/>
      <c r="F172" s="131"/>
      <c r="G172" s="131"/>
      <c r="H172" s="131"/>
      <c r="I172" s="131"/>
    </row>
    <row r="173" spans="1:10" ht="15" customHeight="1" x14ac:dyDescent="0.25">
      <c r="A173" s="15">
        <v>1</v>
      </c>
      <c r="B173" s="122" t="s">
        <v>179</v>
      </c>
      <c r="C173" s="122"/>
      <c r="D173" s="122"/>
      <c r="E173" s="122"/>
      <c r="F173" s="122"/>
      <c r="G173" s="122"/>
      <c r="H173" s="23">
        <f>I173/$G$196</f>
        <v>0.4754115210920451</v>
      </c>
      <c r="I173" s="70">
        <f>I55</f>
        <v>3483.4210350000003</v>
      </c>
    </row>
    <row r="174" spans="1:10" ht="15" customHeight="1" x14ac:dyDescent="0.25">
      <c r="A174" s="15">
        <v>2</v>
      </c>
      <c r="B174" s="122" t="s">
        <v>180</v>
      </c>
      <c r="C174" s="122"/>
      <c r="D174" s="122"/>
      <c r="E174" s="122"/>
      <c r="F174" s="122"/>
      <c r="G174" s="122"/>
      <c r="H174" s="23">
        <f>I174/$G$196</f>
        <v>0.37458720793176287</v>
      </c>
      <c r="I174" s="70">
        <f>I66+I78+I85+I89</f>
        <v>2744.664152341375</v>
      </c>
    </row>
    <row r="175" spans="1:10" ht="15" customHeight="1" x14ac:dyDescent="0.25">
      <c r="A175" s="15">
        <v>3</v>
      </c>
      <c r="B175" s="122" t="s">
        <v>181</v>
      </c>
      <c r="C175" s="122"/>
      <c r="D175" s="122"/>
      <c r="E175" s="122"/>
      <c r="F175" s="122"/>
      <c r="G175" s="122"/>
      <c r="H175" s="23">
        <f>I175/$G$196</f>
        <v>8.8501426881046841E-2</v>
      </c>
      <c r="I175" s="70">
        <f>I101</f>
        <v>648.46500000000003</v>
      </c>
    </row>
    <row r="176" spans="1:10" s="28" customFormat="1" ht="15" customHeight="1" x14ac:dyDescent="0.25">
      <c r="A176" s="142" t="s">
        <v>182</v>
      </c>
      <c r="B176" s="142"/>
      <c r="C176" s="142"/>
      <c r="D176" s="142"/>
      <c r="E176" s="142"/>
      <c r="F176" s="142"/>
      <c r="G176" s="142"/>
      <c r="H176" s="47">
        <f>H173+H174+H175</f>
        <v>0.93850015590485492</v>
      </c>
      <c r="I176" s="48">
        <f>SUM(I173:I175)</f>
        <v>6876.5501873413759</v>
      </c>
      <c r="J176" s="35"/>
    </row>
    <row r="177" spans="1:11" ht="4.5" customHeight="1" x14ac:dyDescent="0.25"/>
    <row r="178" spans="1:11" ht="11.25" customHeight="1" x14ac:dyDescent="0.25">
      <c r="A178" s="131" t="s">
        <v>119</v>
      </c>
      <c r="B178" s="131"/>
      <c r="C178" s="131"/>
      <c r="D178" s="131"/>
      <c r="E178" s="131"/>
      <c r="F178" s="131"/>
      <c r="G178" s="131"/>
      <c r="H178" s="131"/>
      <c r="I178" s="131"/>
    </row>
    <row r="179" spans="1:11" ht="15" customHeight="1" x14ac:dyDescent="0.25">
      <c r="A179" s="15">
        <v>1</v>
      </c>
      <c r="B179" s="122" t="s">
        <v>183</v>
      </c>
      <c r="C179" s="122"/>
      <c r="D179" s="122"/>
      <c r="E179" s="122"/>
      <c r="F179" s="122"/>
      <c r="G179" s="122"/>
      <c r="H179" s="23">
        <f>I179/$G$196</f>
        <v>0</v>
      </c>
      <c r="I179" s="24">
        <f>I126</f>
        <v>0</v>
      </c>
    </row>
    <row r="180" spans="1:11" ht="15" customHeight="1" x14ac:dyDescent="0.25">
      <c r="A180" s="15">
        <v>2</v>
      </c>
      <c r="B180" s="122" t="s">
        <v>184</v>
      </c>
      <c r="C180" s="122"/>
      <c r="D180" s="122"/>
      <c r="E180" s="122"/>
      <c r="F180" s="122"/>
      <c r="G180" s="122"/>
      <c r="H180" s="23">
        <f>I180/$G$196</f>
        <v>0</v>
      </c>
      <c r="I180" s="24">
        <f>I136</f>
        <v>0</v>
      </c>
    </row>
    <row r="181" spans="1:11" ht="15" customHeight="1" x14ac:dyDescent="0.25">
      <c r="A181" s="15">
        <v>3</v>
      </c>
      <c r="B181" s="122" t="s">
        <v>185</v>
      </c>
      <c r="C181" s="122"/>
      <c r="D181" s="122"/>
      <c r="E181" s="122"/>
      <c r="F181" s="122"/>
      <c r="G181" s="122"/>
      <c r="H181" s="23">
        <f>I181/$G$196</f>
        <v>0</v>
      </c>
      <c r="I181" s="24">
        <f>I140</f>
        <v>0</v>
      </c>
    </row>
    <row r="182" spans="1:11" ht="15" customHeight="1" x14ac:dyDescent="0.25">
      <c r="A182" s="142" t="s">
        <v>186</v>
      </c>
      <c r="B182" s="142"/>
      <c r="C182" s="142"/>
      <c r="D182" s="142"/>
      <c r="E182" s="142"/>
      <c r="F182" s="142"/>
      <c r="G182" s="142"/>
      <c r="H182" s="47">
        <f>H179+H180+H181</f>
        <v>0</v>
      </c>
      <c r="I182" s="48">
        <f>I179+I180+I181</f>
        <v>0</v>
      </c>
    </row>
    <row r="183" spans="1:11" ht="4.5" customHeight="1" x14ac:dyDescent="0.25"/>
    <row r="184" spans="1:11" ht="11.25" customHeight="1" x14ac:dyDescent="0.25">
      <c r="A184" s="131" t="s">
        <v>148</v>
      </c>
      <c r="B184" s="131"/>
      <c r="C184" s="131"/>
      <c r="D184" s="131"/>
      <c r="E184" s="131"/>
      <c r="F184" s="131"/>
      <c r="G184" s="131"/>
      <c r="H184" s="131"/>
      <c r="I184" s="131"/>
    </row>
    <row r="185" spans="1:11" ht="15" customHeight="1" x14ac:dyDescent="0.25">
      <c r="A185" s="15">
        <v>1</v>
      </c>
      <c r="B185" s="122" t="s">
        <v>187</v>
      </c>
      <c r="C185" s="122"/>
      <c r="D185" s="122"/>
      <c r="E185" s="122"/>
      <c r="F185" s="122"/>
      <c r="G185" s="122"/>
      <c r="H185" s="23">
        <f>I185/$G$196</f>
        <v>6.1500010216460926E-2</v>
      </c>
      <c r="I185" s="24">
        <f>I155</f>
        <v>450.62102985774601</v>
      </c>
    </row>
    <row r="186" spans="1:11" ht="15" customHeight="1" x14ac:dyDescent="0.25">
      <c r="A186" s="142" t="s">
        <v>188</v>
      </c>
      <c r="B186" s="142"/>
      <c r="C186" s="142"/>
      <c r="D186" s="142"/>
      <c r="E186" s="142"/>
      <c r="F186" s="142"/>
      <c r="G186" s="142"/>
      <c r="H186" s="47">
        <f>H185</f>
        <v>6.1500010216460926E-2</v>
      </c>
      <c r="I186" s="48">
        <f>I155</f>
        <v>450.62102985774601</v>
      </c>
      <c r="K186" s="41"/>
    </row>
    <row r="187" spans="1:11" ht="4.5" customHeight="1" x14ac:dyDescent="0.25"/>
    <row r="188" spans="1:11" ht="11.25" customHeight="1" x14ac:dyDescent="0.25">
      <c r="A188" s="160" t="s">
        <v>189</v>
      </c>
      <c r="B188" s="160"/>
      <c r="C188" s="160"/>
      <c r="D188" s="160"/>
      <c r="E188" s="160"/>
      <c r="F188" s="160"/>
      <c r="G188" s="160"/>
      <c r="H188" s="160"/>
      <c r="I188" s="160"/>
    </row>
    <row r="189" spans="1:11" ht="4.5" customHeight="1" x14ac:dyDescent="0.25">
      <c r="A189" s="161"/>
      <c r="B189" s="161"/>
      <c r="C189" s="161"/>
      <c r="D189" s="161"/>
      <c r="E189" s="161"/>
      <c r="F189" s="161"/>
      <c r="G189" s="161"/>
      <c r="H189" s="161"/>
      <c r="I189" s="161"/>
    </row>
    <row r="190" spans="1:11" ht="22.5" customHeight="1" x14ac:dyDescent="0.25">
      <c r="A190" s="160" t="s">
        <v>190</v>
      </c>
      <c r="B190" s="160"/>
      <c r="C190" s="160"/>
      <c r="D190" s="160"/>
      <c r="E190" s="160"/>
      <c r="F190" s="160"/>
      <c r="G190" s="160"/>
      <c r="H190" s="160"/>
      <c r="I190" s="73">
        <f>I122*H196</f>
        <v>0</v>
      </c>
    </row>
    <row r="191" spans="1:11" ht="4.5" customHeight="1" x14ac:dyDescent="0.25">
      <c r="A191" s="72"/>
      <c r="B191" s="72"/>
      <c r="C191" s="72"/>
      <c r="D191" s="72"/>
      <c r="E191" s="72"/>
      <c r="F191" s="72"/>
      <c r="G191" s="74"/>
      <c r="H191" s="74"/>
      <c r="I191" s="74"/>
    </row>
    <row r="192" spans="1:11" ht="63.75" customHeight="1" x14ac:dyDescent="0.25">
      <c r="A192" s="160" t="s">
        <v>191</v>
      </c>
      <c r="B192" s="160"/>
      <c r="C192" s="160"/>
      <c r="D192" s="160"/>
      <c r="E192" s="160"/>
      <c r="F192" s="160"/>
      <c r="G192" s="162" t="s">
        <v>192</v>
      </c>
      <c r="H192" s="162"/>
      <c r="I192" s="162"/>
    </row>
    <row r="193" spans="1:9" ht="11.25" customHeight="1" x14ac:dyDescent="0.25">
      <c r="A193" s="160"/>
      <c r="B193" s="160"/>
      <c r="C193" s="160"/>
      <c r="D193" s="160"/>
      <c r="E193" s="160"/>
      <c r="F193" s="160"/>
      <c r="G193" s="75"/>
      <c r="H193" s="73"/>
      <c r="I193" s="73">
        <f>((H70+H76+H77+H82+H83+H84)+((H70+H76+H77+H82+H83+H84)*H66))*I55*H196</f>
        <v>2682.3890837829008</v>
      </c>
    </row>
    <row r="194" spans="1:9" ht="4.5" customHeight="1" x14ac:dyDescent="0.25">
      <c r="A194" s="161"/>
      <c r="B194" s="161"/>
      <c r="C194" s="161"/>
      <c r="D194" s="161"/>
      <c r="E194" s="161"/>
      <c r="F194" s="161"/>
      <c r="G194" s="161"/>
      <c r="H194" s="161"/>
      <c r="I194" s="161"/>
    </row>
    <row r="195" spans="1:9" ht="35.25" customHeight="1" x14ac:dyDescent="0.25">
      <c r="A195" s="160" t="s">
        <v>193</v>
      </c>
      <c r="B195" s="160"/>
      <c r="C195" s="160"/>
      <c r="D195" s="160"/>
      <c r="E195" s="160"/>
      <c r="F195" s="160"/>
      <c r="G195" s="76" t="s">
        <v>194</v>
      </c>
      <c r="H195" s="76" t="s">
        <v>195</v>
      </c>
      <c r="I195" s="76" t="s">
        <v>196</v>
      </c>
    </row>
    <row r="196" spans="1:9" ht="14.25" customHeight="1" x14ac:dyDescent="0.25">
      <c r="A196" s="160"/>
      <c r="B196" s="160"/>
      <c r="C196" s="160"/>
      <c r="D196" s="160"/>
      <c r="E196" s="160"/>
      <c r="F196" s="160"/>
      <c r="G196" s="77">
        <f>ROUND(I176+I182+I186,2)</f>
        <v>7327.17</v>
      </c>
      <c r="H196" s="71">
        <f>IF(D6="12x36",2,1)</f>
        <v>2</v>
      </c>
      <c r="I196" s="78">
        <f>G196*H196</f>
        <v>14654.34</v>
      </c>
    </row>
  </sheetData>
  <mergeCells count="192">
    <mergeCell ref="A188:I188"/>
    <mergeCell ref="A189:I189"/>
    <mergeCell ref="A190:H190"/>
    <mergeCell ref="A192:F193"/>
    <mergeCell ref="G192:I192"/>
    <mergeCell ref="A194:I194"/>
    <mergeCell ref="A195:F196"/>
    <mergeCell ref="A176:G176"/>
    <mergeCell ref="A178:I178"/>
    <mergeCell ref="B179:G179"/>
    <mergeCell ref="B180:G180"/>
    <mergeCell ref="B181:G181"/>
    <mergeCell ref="A182:G182"/>
    <mergeCell ref="A184:I184"/>
    <mergeCell ref="B185:G185"/>
    <mergeCell ref="A186:G186"/>
    <mergeCell ref="A166:I166"/>
    <mergeCell ref="B167:I167"/>
    <mergeCell ref="B168:I168"/>
    <mergeCell ref="A169:G169"/>
    <mergeCell ref="A171:I171"/>
    <mergeCell ref="A172:I172"/>
    <mergeCell ref="B173:G173"/>
    <mergeCell ref="B174:G174"/>
    <mergeCell ref="B175:G175"/>
    <mergeCell ref="A161:B161"/>
    <mergeCell ref="H161:I161"/>
    <mergeCell ref="A162:B162"/>
    <mergeCell ref="H162:I162"/>
    <mergeCell ref="A163:B163"/>
    <mergeCell ref="H163:I163"/>
    <mergeCell ref="A164:A165"/>
    <mergeCell ref="B164:E165"/>
    <mergeCell ref="H164:I164"/>
    <mergeCell ref="H165:I165"/>
    <mergeCell ref="B156:I156"/>
    <mergeCell ref="B157:I157"/>
    <mergeCell ref="A158:I158"/>
    <mergeCell ref="A159:B159"/>
    <mergeCell ref="D159:E159"/>
    <mergeCell ref="H159:I159"/>
    <mergeCell ref="A160:B160"/>
    <mergeCell ref="D160:E160"/>
    <mergeCell ref="H160:I160"/>
    <mergeCell ref="A146:G146"/>
    <mergeCell ref="A148:I148"/>
    <mergeCell ref="B149:G149"/>
    <mergeCell ref="B150:G150"/>
    <mergeCell ref="B151:G151"/>
    <mergeCell ref="B152:G152"/>
    <mergeCell ref="B153:G153"/>
    <mergeCell ref="B154:G154"/>
    <mergeCell ref="A155:G155"/>
    <mergeCell ref="B134:G134"/>
    <mergeCell ref="B135:G135"/>
    <mergeCell ref="A136:G136"/>
    <mergeCell ref="B138:G138"/>
    <mergeCell ref="B139:G139"/>
    <mergeCell ref="A140:G140"/>
    <mergeCell ref="A142:E142"/>
    <mergeCell ref="A143:B143"/>
    <mergeCell ref="A144:B144"/>
    <mergeCell ref="B124:G124"/>
    <mergeCell ref="B125:G125"/>
    <mergeCell ref="A126:G126"/>
    <mergeCell ref="B127:I127"/>
    <mergeCell ref="A129:E129"/>
    <mergeCell ref="A130:B130"/>
    <mergeCell ref="A131:B131"/>
    <mergeCell ref="B132:I132"/>
    <mergeCell ref="B133:G133"/>
    <mergeCell ref="A113:B113"/>
    <mergeCell ref="A115:G115"/>
    <mergeCell ref="A117:I117"/>
    <mergeCell ref="B118:G118"/>
    <mergeCell ref="B119:G119"/>
    <mergeCell ref="B120:G120"/>
    <mergeCell ref="B121:G121"/>
    <mergeCell ref="B122:G122"/>
    <mergeCell ref="B123:G123"/>
    <mergeCell ref="B102:G102"/>
    <mergeCell ref="A103:I103"/>
    <mergeCell ref="A104:B104"/>
    <mergeCell ref="A105:B105"/>
    <mergeCell ref="A107:I107"/>
    <mergeCell ref="A108:B108"/>
    <mergeCell ref="A109:B109"/>
    <mergeCell ref="A111:I111"/>
    <mergeCell ref="A112:B112"/>
    <mergeCell ref="B93:G93"/>
    <mergeCell ref="B94:G94"/>
    <mergeCell ref="B95:G95"/>
    <mergeCell ref="B96:G96"/>
    <mergeCell ref="B97:G97"/>
    <mergeCell ref="B98:G98"/>
    <mergeCell ref="B99:G99"/>
    <mergeCell ref="B100:G100"/>
    <mergeCell ref="A101:G101"/>
    <mergeCell ref="B81:G81"/>
    <mergeCell ref="B82:G82"/>
    <mergeCell ref="B83:G83"/>
    <mergeCell ref="B84:G84"/>
    <mergeCell ref="A85:G85"/>
    <mergeCell ref="B87:G87"/>
    <mergeCell ref="B88:G88"/>
    <mergeCell ref="A89:G89"/>
    <mergeCell ref="A91:G91"/>
    <mergeCell ref="B72:G72"/>
    <mergeCell ref="B73:G73"/>
    <mergeCell ref="B74:G74"/>
    <mergeCell ref="B75:G75"/>
    <mergeCell ref="B76:G76"/>
    <mergeCell ref="B77:G77"/>
    <mergeCell ref="A78:G78"/>
    <mergeCell ref="B79:I79"/>
    <mergeCell ref="B80:I80"/>
    <mergeCell ref="B63:G63"/>
    <mergeCell ref="B64:G64"/>
    <mergeCell ref="B65:G65"/>
    <mergeCell ref="A66:G66"/>
    <mergeCell ref="A67:I67"/>
    <mergeCell ref="A68:I68"/>
    <mergeCell ref="B69:G69"/>
    <mergeCell ref="B70:G70"/>
    <mergeCell ref="B71:G71"/>
    <mergeCell ref="B53:G53"/>
    <mergeCell ref="B54:G54"/>
    <mergeCell ref="A55:G55"/>
    <mergeCell ref="B57:G57"/>
    <mergeCell ref="B58:G58"/>
    <mergeCell ref="B59:G59"/>
    <mergeCell ref="B60:G60"/>
    <mergeCell ref="B61:G61"/>
    <mergeCell ref="B62:G62"/>
    <mergeCell ref="B44:G44"/>
    <mergeCell ref="B45:G45"/>
    <mergeCell ref="B46:G46"/>
    <mergeCell ref="B47:G47"/>
    <mergeCell ref="B48:G48"/>
    <mergeCell ref="B49:G49"/>
    <mergeCell ref="B50:G50"/>
    <mergeCell ref="B51:G51"/>
    <mergeCell ref="B52:G52"/>
    <mergeCell ref="A35:I35"/>
    <mergeCell ref="B36:G36"/>
    <mergeCell ref="B37:G37"/>
    <mergeCell ref="B38:G38"/>
    <mergeCell ref="B39:G39"/>
    <mergeCell ref="B40:G40"/>
    <mergeCell ref="B41:G41"/>
    <mergeCell ref="B42:G42"/>
    <mergeCell ref="B43:G43"/>
    <mergeCell ref="A23:F23"/>
    <mergeCell ref="A24:F24"/>
    <mergeCell ref="A25:F25"/>
    <mergeCell ref="A26:F27"/>
    <mergeCell ref="A28:F28"/>
    <mergeCell ref="A29:F29"/>
    <mergeCell ref="A30:F31"/>
    <mergeCell ref="G30:G31"/>
    <mergeCell ref="A32:F33"/>
    <mergeCell ref="G32:G33"/>
    <mergeCell ref="A10:F10"/>
    <mergeCell ref="A11:F11"/>
    <mergeCell ref="A12:F12"/>
    <mergeCell ref="A13:F13"/>
    <mergeCell ref="A14:F16"/>
    <mergeCell ref="G14:G16"/>
    <mergeCell ref="A17:F19"/>
    <mergeCell ref="G17:G19"/>
    <mergeCell ref="A20:F22"/>
    <mergeCell ref="G20:G22"/>
    <mergeCell ref="A7:C7"/>
    <mergeCell ref="D7:F7"/>
    <mergeCell ref="G7:H8"/>
    <mergeCell ref="I7:I8"/>
    <mergeCell ref="A8:C8"/>
    <mergeCell ref="D8:F8"/>
    <mergeCell ref="A9:C9"/>
    <mergeCell ref="D9:F9"/>
    <mergeCell ref="G9:H9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196"/>
  <sheetViews>
    <sheetView view="pageBreakPreview" zoomScale="130" zoomScaleNormal="130" zoomScalePageLayoutView="130" workbookViewId="0">
      <selection activeCell="I140" sqref="I140"/>
    </sheetView>
  </sheetViews>
  <sheetFormatPr defaultColWidth="9.28515625" defaultRowHeight="11.25" x14ac:dyDescent="0.25"/>
  <cols>
    <col min="1" max="1" width="2.7109375" style="5" customWidth="1"/>
    <col min="2" max="2" width="14.28515625" style="5" customWidth="1"/>
    <col min="3" max="3" width="14.42578125" style="5" customWidth="1"/>
    <col min="4" max="4" width="11.28515625" style="5" customWidth="1"/>
    <col min="5" max="5" width="12.28515625" style="5" customWidth="1"/>
    <col min="6" max="7" width="11.28515625" style="5" customWidth="1"/>
    <col min="8" max="8" width="9.28515625" style="5"/>
    <col min="9" max="9" width="11.7109375" style="5" customWidth="1"/>
    <col min="10" max="10" width="11.28515625" style="6" customWidth="1"/>
    <col min="11" max="11" width="10" style="5" customWidth="1"/>
    <col min="12" max="12" width="9.28515625" style="5"/>
    <col min="13" max="15" width="22.28515625" style="5" customWidth="1"/>
    <col min="16" max="16384" width="9.28515625" style="5"/>
  </cols>
  <sheetData>
    <row r="1" spans="1:11" ht="27.75" customHeight="1" x14ac:dyDescent="0.25">
      <c r="A1" s="114" t="s">
        <v>0</v>
      </c>
      <c r="B1" s="114"/>
      <c r="C1" s="114"/>
      <c r="D1" s="114"/>
      <c r="E1" s="114"/>
      <c r="F1" s="114"/>
      <c r="G1" s="114"/>
      <c r="H1" s="114"/>
      <c r="I1" s="114"/>
      <c r="K1" s="7"/>
    </row>
    <row r="2" spans="1:11" ht="22.5" customHeight="1" x14ac:dyDescent="0.25">
      <c r="A2" s="114" t="s">
        <v>1</v>
      </c>
      <c r="B2" s="114"/>
      <c r="C2" s="115" t="s">
        <v>2</v>
      </c>
      <c r="D2" s="115"/>
      <c r="E2" s="116" t="s">
        <v>3</v>
      </c>
      <c r="F2" s="116"/>
      <c r="G2" s="116"/>
      <c r="H2" s="116"/>
      <c r="I2" s="116"/>
    </row>
    <row r="3" spans="1:11" ht="11.25" customHeight="1" x14ac:dyDescent="0.25">
      <c r="A3" s="114" t="s">
        <v>4</v>
      </c>
      <c r="B3" s="114"/>
      <c r="C3" s="8"/>
      <c r="D3" s="9"/>
      <c r="E3" s="10" t="s">
        <v>5</v>
      </c>
      <c r="F3" s="8"/>
      <c r="G3" s="9"/>
      <c r="H3" s="9"/>
      <c r="I3" s="9"/>
    </row>
    <row r="4" spans="1:11" ht="4.5" customHeight="1" x14ac:dyDescent="0.25"/>
    <row r="5" spans="1:11" ht="18.75" customHeight="1" x14ac:dyDescent="0.25">
      <c r="A5" s="122" t="s">
        <v>6</v>
      </c>
      <c r="B5" s="122"/>
      <c r="C5" s="122"/>
      <c r="D5" s="118" t="s">
        <v>241</v>
      </c>
      <c r="E5" s="118"/>
      <c r="F5" s="118"/>
      <c r="G5" s="119" t="str">
        <f>IF(D6="12x36","Regime de trabalho:","Quantidade de HORAS/MÊS")</f>
        <v>Regime de trabalho:</v>
      </c>
      <c r="H5" s="119"/>
      <c r="I5" s="120" t="str">
        <f>IF(D6="12x36",D6,5*D6)</f>
        <v>12x36</v>
      </c>
    </row>
    <row r="6" spans="1:11" ht="18.75" customHeight="1" x14ac:dyDescent="0.25">
      <c r="A6" s="117" t="str">
        <f>IF(D6="12x36","Regime de trabalho:","Regime de trabalho (horas semanais):")</f>
        <v>Regime de trabalho:</v>
      </c>
      <c r="B6" s="117"/>
      <c r="C6" s="117"/>
      <c r="D6" s="117" t="s">
        <v>8</v>
      </c>
      <c r="E6" s="117"/>
      <c r="F6" s="117"/>
      <c r="G6" s="119"/>
      <c r="H6" s="119"/>
      <c r="I6" s="120"/>
    </row>
    <row r="7" spans="1:11" ht="22.5" customHeight="1" x14ac:dyDescent="0.25">
      <c r="A7" s="117" t="s">
        <v>9</v>
      </c>
      <c r="B7" s="117"/>
      <c r="C7" s="117"/>
      <c r="D7" s="122" t="s">
        <v>10</v>
      </c>
      <c r="E7" s="122"/>
      <c r="F7" s="122"/>
      <c r="G7" s="123" t="s">
        <v>11</v>
      </c>
      <c r="H7" s="123"/>
      <c r="I7" s="124" t="s">
        <v>12</v>
      </c>
    </row>
    <row r="8" spans="1:11" ht="22.5" customHeight="1" x14ac:dyDescent="0.25">
      <c r="A8" s="117" t="s">
        <v>13</v>
      </c>
      <c r="B8" s="117"/>
      <c r="C8" s="117"/>
      <c r="D8" s="122" t="s">
        <v>14</v>
      </c>
      <c r="E8" s="122"/>
      <c r="F8" s="122"/>
      <c r="G8" s="123"/>
      <c r="H8" s="123"/>
      <c r="I8" s="124"/>
    </row>
    <row r="9" spans="1:11" ht="18.75" customHeight="1" x14ac:dyDescent="0.25">
      <c r="A9" s="117" t="s">
        <v>15</v>
      </c>
      <c r="B9" s="117"/>
      <c r="C9" s="117"/>
      <c r="D9" s="117" t="s">
        <v>16</v>
      </c>
      <c r="E9" s="117"/>
      <c r="F9" s="117"/>
      <c r="G9" s="123" t="s">
        <v>17</v>
      </c>
      <c r="H9" s="123"/>
      <c r="I9" s="1">
        <v>0.3</v>
      </c>
    </row>
    <row r="10" spans="1:11" ht="32.25" customHeight="1" x14ac:dyDescent="0.25">
      <c r="A10" s="125" t="s">
        <v>18</v>
      </c>
      <c r="B10" s="125"/>
      <c r="C10" s="125"/>
      <c r="D10" s="125"/>
      <c r="E10" s="125"/>
      <c r="F10" s="125"/>
      <c r="G10" s="2" t="s">
        <v>19</v>
      </c>
      <c r="H10" s="11">
        <v>220</v>
      </c>
      <c r="I10" s="12">
        <v>2211</v>
      </c>
    </row>
    <row r="11" spans="1:11" ht="15" customHeight="1" x14ac:dyDescent="0.25">
      <c r="A11" s="126" t="s">
        <v>20</v>
      </c>
      <c r="B11" s="126"/>
      <c r="C11" s="126"/>
      <c r="D11" s="126"/>
      <c r="E11" s="126"/>
      <c r="F11" s="126"/>
      <c r="G11" s="11"/>
      <c r="H11" s="11" t="s">
        <v>21</v>
      </c>
      <c r="I11" s="14">
        <v>2.5000000000000001E-2</v>
      </c>
    </row>
    <row r="12" spans="1:11" ht="24.75" customHeight="1" x14ac:dyDescent="0.25">
      <c r="A12" s="127" t="s">
        <v>22</v>
      </c>
      <c r="B12" s="127"/>
      <c r="C12" s="127"/>
      <c r="D12" s="127"/>
      <c r="E12" s="127"/>
      <c r="F12" s="127"/>
      <c r="G12" s="11" t="s">
        <v>14</v>
      </c>
      <c r="H12" s="11" t="s">
        <v>23</v>
      </c>
      <c r="I12" s="12">
        <v>1.67</v>
      </c>
    </row>
    <row r="13" spans="1:11" ht="15.75" customHeight="1" x14ac:dyDescent="0.25">
      <c r="A13" s="127" t="s">
        <v>24</v>
      </c>
      <c r="B13" s="127"/>
      <c r="C13" s="127"/>
      <c r="D13" s="127"/>
      <c r="E13" s="127"/>
      <c r="F13" s="127"/>
      <c r="G13" s="11"/>
      <c r="H13" s="11"/>
      <c r="I13" s="16">
        <v>15</v>
      </c>
    </row>
    <row r="14" spans="1:11" ht="15" customHeight="1" x14ac:dyDescent="0.25">
      <c r="A14" s="126" t="s">
        <v>25</v>
      </c>
      <c r="B14" s="126"/>
      <c r="C14" s="126"/>
      <c r="D14" s="126"/>
      <c r="E14" s="126"/>
      <c r="F14" s="126"/>
      <c r="G14" s="128" t="s">
        <v>14</v>
      </c>
      <c r="H14" s="11" t="s">
        <v>26</v>
      </c>
      <c r="I14" s="12">
        <v>5.3</v>
      </c>
    </row>
    <row r="15" spans="1:11" x14ac:dyDescent="0.25">
      <c r="A15" s="126"/>
      <c r="B15" s="126"/>
      <c r="C15" s="126"/>
      <c r="D15" s="126"/>
      <c r="E15" s="126"/>
      <c r="F15" s="126"/>
      <c r="G15" s="128"/>
      <c r="H15" s="11" t="s">
        <v>27</v>
      </c>
      <c r="I15" s="16">
        <f>I13</f>
        <v>15</v>
      </c>
    </row>
    <row r="16" spans="1:11" x14ac:dyDescent="0.25">
      <c r="A16" s="126"/>
      <c r="B16" s="126"/>
      <c r="C16" s="126"/>
      <c r="D16" s="126"/>
      <c r="E16" s="126"/>
      <c r="F16" s="126"/>
      <c r="G16" s="128"/>
      <c r="H16" s="11" t="s">
        <v>28</v>
      </c>
      <c r="I16" s="1">
        <v>0.06</v>
      </c>
    </row>
    <row r="17" spans="1:9" ht="11.25" customHeight="1" x14ac:dyDescent="0.25">
      <c r="A17" s="126" t="s">
        <v>29</v>
      </c>
      <c r="B17" s="126"/>
      <c r="C17" s="126"/>
      <c r="D17" s="126"/>
      <c r="E17" s="126"/>
      <c r="F17" s="126"/>
      <c r="G17" s="128" t="s">
        <v>14</v>
      </c>
      <c r="H17" s="11" t="s">
        <v>26</v>
      </c>
      <c r="I17" s="12">
        <v>33</v>
      </c>
    </row>
    <row r="18" spans="1:9" ht="11.25" customHeight="1" x14ac:dyDescent="0.25">
      <c r="A18" s="126"/>
      <c r="B18" s="126"/>
      <c r="C18" s="126"/>
      <c r="D18" s="126"/>
      <c r="E18" s="126"/>
      <c r="F18" s="126"/>
      <c r="G18" s="128"/>
      <c r="H18" s="11" t="s">
        <v>27</v>
      </c>
      <c r="I18" s="16">
        <v>15</v>
      </c>
    </row>
    <row r="19" spans="1:9" x14ac:dyDescent="0.25">
      <c r="A19" s="126"/>
      <c r="B19" s="126"/>
      <c r="C19" s="126"/>
      <c r="D19" s="126"/>
      <c r="E19" s="126"/>
      <c r="F19" s="126"/>
      <c r="G19" s="128"/>
      <c r="H19" s="11" t="s">
        <v>28</v>
      </c>
      <c r="I19" s="1">
        <v>0.2</v>
      </c>
    </row>
    <row r="20" spans="1:9" ht="11.25" customHeight="1" x14ac:dyDescent="0.25">
      <c r="A20" s="126" t="s">
        <v>30</v>
      </c>
      <c r="B20" s="126"/>
      <c r="C20" s="126"/>
      <c r="D20" s="126"/>
      <c r="E20" s="126"/>
      <c r="F20" s="126"/>
      <c r="G20" s="128" t="s">
        <v>14</v>
      </c>
      <c r="H20" s="11" t="s">
        <v>26</v>
      </c>
      <c r="I20" s="12" t="s">
        <v>12</v>
      </c>
    </row>
    <row r="21" spans="1:9" x14ac:dyDescent="0.25">
      <c r="A21" s="126"/>
      <c r="B21" s="126"/>
      <c r="C21" s="126"/>
      <c r="D21" s="126"/>
      <c r="E21" s="126"/>
      <c r="F21" s="126"/>
      <c r="G21" s="128"/>
      <c r="H21" s="11" t="s">
        <v>27</v>
      </c>
      <c r="I21" s="16" t="s">
        <v>12</v>
      </c>
    </row>
    <row r="22" spans="1:9" x14ac:dyDescent="0.25">
      <c r="A22" s="126"/>
      <c r="B22" s="126"/>
      <c r="C22" s="126"/>
      <c r="D22" s="126"/>
      <c r="E22" s="126"/>
      <c r="F22" s="126"/>
      <c r="G22" s="128"/>
      <c r="H22" s="11" t="s">
        <v>28</v>
      </c>
      <c r="I22" s="1" t="s">
        <v>12</v>
      </c>
    </row>
    <row r="23" spans="1:9" ht="36" customHeight="1" x14ac:dyDescent="0.25">
      <c r="A23" s="129" t="s">
        <v>31</v>
      </c>
      <c r="B23" s="129"/>
      <c r="C23" s="129"/>
      <c r="D23" s="129"/>
      <c r="E23" s="129"/>
      <c r="F23" s="129"/>
      <c r="G23" s="3" t="s">
        <v>14</v>
      </c>
      <c r="H23" s="3" t="s">
        <v>32</v>
      </c>
      <c r="I23" s="17" t="s">
        <v>12</v>
      </c>
    </row>
    <row r="24" spans="1:9" ht="22.5" customHeight="1" x14ac:dyDescent="0.25">
      <c r="A24" s="127" t="s">
        <v>33</v>
      </c>
      <c r="B24" s="127"/>
      <c r="C24" s="127"/>
      <c r="D24" s="127"/>
      <c r="E24" s="127"/>
      <c r="F24" s="127"/>
      <c r="G24" s="3"/>
      <c r="H24" s="3" t="s">
        <v>34</v>
      </c>
      <c r="I24" s="18">
        <v>0.37</v>
      </c>
    </row>
    <row r="25" spans="1:9" ht="34.5" customHeight="1" x14ac:dyDescent="0.25">
      <c r="A25" s="127" t="s">
        <v>35</v>
      </c>
      <c r="B25" s="127"/>
      <c r="C25" s="127"/>
      <c r="D25" s="127"/>
      <c r="E25" s="127"/>
      <c r="F25" s="127"/>
      <c r="G25" s="11"/>
      <c r="H25" s="11" t="s">
        <v>23</v>
      </c>
      <c r="I25" s="12" t="s">
        <v>12</v>
      </c>
    </row>
    <row r="26" spans="1:9" ht="15" customHeight="1" x14ac:dyDescent="0.25">
      <c r="A26" s="127" t="s">
        <v>36</v>
      </c>
      <c r="B26" s="127"/>
      <c r="C26" s="127"/>
      <c r="D26" s="127"/>
      <c r="E26" s="127"/>
      <c r="F26" s="127"/>
      <c r="G26" s="3"/>
      <c r="H26" s="19" t="s">
        <v>37</v>
      </c>
      <c r="I26" s="20" t="s">
        <v>12</v>
      </c>
    </row>
    <row r="27" spans="1:9" ht="15" customHeight="1" x14ac:dyDescent="0.25">
      <c r="A27" s="127"/>
      <c r="B27" s="127"/>
      <c r="C27" s="127"/>
      <c r="D27" s="127"/>
      <c r="E27" s="127"/>
      <c r="F27" s="127"/>
      <c r="G27" s="3"/>
      <c r="H27" s="21" t="s">
        <v>38</v>
      </c>
      <c r="I27" s="1" t="s">
        <v>12</v>
      </c>
    </row>
    <row r="28" spans="1:9" ht="26.25" customHeight="1" x14ac:dyDescent="0.25">
      <c r="A28" s="127" t="s">
        <v>39</v>
      </c>
      <c r="B28" s="127"/>
      <c r="C28" s="127"/>
      <c r="D28" s="127"/>
      <c r="E28" s="127"/>
      <c r="F28" s="127"/>
      <c r="G28" s="3"/>
      <c r="H28" s="11" t="s">
        <v>37</v>
      </c>
      <c r="I28" s="20">
        <v>15</v>
      </c>
    </row>
    <row r="29" spans="1:9" ht="35.25" customHeight="1" x14ac:dyDescent="0.25">
      <c r="A29" s="127" t="s">
        <v>40</v>
      </c>
      <c r="B29" s="127"/>
      <c r="C29" s="127"/>
      <c r="D29" s="127"/>
      <c r="E29" s="127"/>
      <c r="F29" s="127"/>
      <c r="G29" s="11"/>
      <c r="H29" s="2" t="s">
        <v>34</v>
      </c>
      <c r="I29" s="1">
        <v>0.2</v>
      </c>
    </row>
    <row r="30" spans="1:9" ht="0.75" customHeight="1" x14ac:dyDescent="0.25">
      <c r="A30" s="163"/>
      <c r="B30" s="163"/>
      <c r="C30" s="163"/>
      <c r="D30" s="163"/>
      <c r="E30" s="163"/>
      <c r="F30" s="163"/>
      <c r="G30" s="163"/>
      <c r="H30" s="163"/>
      <c r="I30" s="163"/>
    </row>
    <row r="31" spans="1:9" ht="0.75" customHeight="1" x14ac:dyDescent="0.25">
      <c r="A31" s="163"/>
      <c r="B31" s="163"/>
      <c r="C31" s="163"/>
      <c r="D31" s="163"/>
      <c r="E31" s="163"/>
      <c r="F31" s="163"/>
      <c r="G31" s="163"/>
      <c r="H31" s="163"/>
      <c r="I31" s="163"/>
    </row>
    <row r="32" spans="1:9" ht="0.75" customHeight="1" x14ac:dyDescent="0.25">
      <c r="A32" s="163"/>
      <c r="B32" s="163"/>
      <c r="C32" s="163"/>
      <c r="D32" s="163"/>
      <c r="E32" s="163"/>
      <c r="F32" s="163"/>
      <c r="G32" s="163"/>
      <c r="H32" s="163"/>
      <c r="I32" s="163"/>
    </row>
    <row r="33" spans="1:10" ht="0.75" customHeight="1" x14ac:dyDescent="0.25">
      <c r="A33" s="163"/>
      <c r="B33" s="163"/>
      <c r="C33" s="163"/>
      <c r="D33" s="163"/>
      <c r="E33" s="163"/>
      <c r="F33" s="163"/>
      <c r="G33" s="163"/>
      <c r="H33" s="163"/>
      <c r="I33" s="163"/>
    </row>
    <row r="34" spans="1:10" ht="3" customHeight="1" x14ac:dyDescent="0.25">
      <c r="A34" s="163"/>
      <c r="B34" s="163"/>
      <c r="C34" s="163"/>
      <c r="D34" s="163"/>
      <c r="E34" s="163"/>
      <c r="F34" s="163"/>
      <c r="G34" s="163"/>
      <c r="H34" s="163"/>
      <c r="I34" s="163"/>
    </row>
    <row r="35" spans="1:10" ht="17.25" customHeight="1" x14ac:dyDescent="0.25">
      <c r="A35" s="131" t="s">
        <v>41</v>
      </c>
      <c r="B35" s="131"/>
      <c r="C35" s="131"/>
      <c r="D35" s="131"/>
      <c r="E35" s="131"/>
      <c r="F35" s="131"/>
      <c r="G35" s="131"/>
      <c r="H35" s="131"/>
      <c r="I35" s="131"/>
    </row>
    <row r="36" spans="1:10" ht="33.75" customHeight="1" x14ac:dyDescent="0.25">
      <c r="A36" s="22" t="s">
        <v>42</v>
      </c>
      <c r="B36" s="132" t="s">
        <v>43</v>
      </c>
      <c r="C36" s="132"/>
      <c r="D36" s="132"/>
      <c r="E36" s="132"/>
      <c r="F36" s="132"/>
      <c r="G36" s="132"/>
      <c r="H36" s="22" t="s">
        <v>44</v>
      </c>
      <c r="I36" s="22" t="s">
        <v>45</v>
      </c>
    </row>
    <row r="37" spans="1:10" ht="15" customHeight="1" x14ac:dyDescent="0.25">
      <c r="A37" s="15">
        <v>1</v>
      </c>
      <c r="B37" s="122" t="s">
        <v>46</v>
      </c>
      <c r="C37" s="122"/>
      <c r="D37" s="122"/>
      <c r="E37" s="122"/>
      <c r="F37" s="122"/>
      <c r="G37" s="122"/>
      <c r="H37" s="23">
        <f t="shared" ref="H37:H47" si="0">I37/$I$48</f>
        <v>0.59253137119959864</v>
      </c>
      <c r="I37" s="24">
        <f>IF(D6="12x36",I10,I10/H10*I5)</f>
        <v>2211</v>
      </c>
    </row>
    <row r="38" spans="1:10" ht="15" customHeight="1" x14ac:dyDescent="0.25">
      <c r="A38" s="15">
        <f t="shared" ref="A38:A47" si="1">A37+1</f>
        <v>2</v>
      </c>
      <c r="B38" s="122" t="s">
        <v>47</v>
      </c>
      <c r="C38" s="122"/>
      <c r="D38" s="122"/>
      <c r="E38" s="122"/>
      <c r="F38" s="122"/>
      <c r="G38" s="122"/>
      <c r="H38" s="23">
        <f t="shared" si="0"/>
        <v>0.18017616753603427</v>
      </c>
      <c r="I38" s="24">
        <f>IF(I9=30%,(I37+I45+I46)*I9,0)</f>
        <v>672.3180000000001</v>
      </c>
    </row>
    <row r="39" spans="1:10" ht="15" customHeight="1" x14ac:dyDescent="0.25">
      <c r="A39" s="15">
        <f t="shared" si="1"/>
        <v>3</v>
      </c>
      <c r="B39" s="122" t="s">
        <v>48</v>
      </c>
      <c r="C39" s="122"/>
      <c r="D39" s="122"/>
      <c r="E39" s="122"/>
      <c r="F39" s="122"/>
      <c r="G39" s="122"/>
      <c r="H39" s="23">
        <f t="shared" si="0"/>
        <v>0</v>
      </c>
      <c r="I39" s="24">
        <f>IF(I7=10%,I25*I7,0)</f>
        <v>0</v>
      </c>
    </row>
    <row r="40" spans="1:10" ht="15" customHeight="1" x14ac:dyDescent="0.25">
      <c r="A40" s="15">
        <f t="shared" si="1"/>
        <v>4</v>
      </c>
      <c r="B40" s="122" t="s">
        <v>49</v>
      </c>
      <c r="C40" s="122"/>
      <c r="D40" s="122"/>
      <c r="E40" s="122"/>
      <c r="F40" s="122"/>
      <c r="G40" s="122"/>
      <c r="H40" s="23">
        <f t="shared" si="0"/>
        <v>0</v>
      </c>
      <c r="I40" s="24">
        <f>IF(I7=20%,I25*I7,0)</f>
        <v>0</v>
      </c>
    </row>
    <row r="41" spans="1:10" ht="15" customHeight="1" x14ac:dyDescent="0.25">
      <c r="A41" s="15">
        <f t="shared" si="1"/>
        <v>5</v>
      </c>
      <c r="B41" s="122" t="s">
        <v>50</v>
      </c>
      <c r="C41" s="122"/>
      <c r="D41" s="122"/>
      <c r="E41" s="122"/>
      <c r="F41" s="122"/>
      <c r="G41" s="122"/>
      <c r="H41" s="23">
        <f t="shared" si="0"/>
        <v>0</v>
      </c>
      <c r="I41" s="24">
        <f>IF(I7=40%,I25*I7,0)</f>
        <v>0</v>
      </c>
    </row>
    <row r="42" spans="1:10" ht="15" customHeight="1" x14ac:dyDescent="0.25">
      <c r="A42" s="15">
        <f t="shared" si="1"/>
        <v>6</v>
      </c>
      <c r="B42" s="122" t="s">
        <v>51</v>
      </c>
      <c r="C42" s="122"/>
      <c r="D42" s="122"/>
      <c r="E42" s="122"/>
      <c r="F42" s="122"/>
      <c r="G42" s="122"/>
      <c r="H42" s="23">
        <f t="shared" si="0"/>
        <v>0.21923660734385148</v>
      </c>
      <c r="I42" s="24">
        <f>IF(I24="Não aplicável",0,I37*I24)</f>
        <v>818.06999999999994</v>
      </c>
    </row>
    <row r="43" spans="1:10" ht="15" customHeight="1" x14ac:dyDescent="0.25">
      <c r="A43" s="15">
        <f t="shared" si="1"/>
        <v>7</v>
      </c>
      <c r="B43" s="122" t="s">
        <v>52</v>
      </c>
      <c r="C43" s="122"/>
      <c r="D43" s="122"/>
      <c r="E43" s="122"/>
      <c r="F43" s="122"/>
      <c r="G43" s="122"/>
      <c r="H43" s="23">
        <f t="shared" si="0"/>
        <v>0</v>
      </c>
      <c r="I43" s="24">
        <f>IF(I26="Não aplicável",0,(I37+I38+I39+I40+I41+I42+I47)/I5*I26*(1+I27))</f>
        <v>0</v>
      </c>
    </row>
    <row r="44" spans="1:10" ht="23.25" customHeight="1" x14ac:dyDescent="0.25">
      <c r="A44" s="15">
        <f t="shared" si="1"/>
        <v>8</v>
      </c>
      <c r="B44" s="122" t="s">
        <v>53</v>
      </c>
      <c r="C44" s="122"/>
      <c r="D44" s="122"/>
      <c r="E44" s="122"/>
      <c r="F44" s="122"/>
      <c r="G44" s="122"/>
      <c r="H44" s="23">
        <f t="shared" si="0"/>
        <v>0</v>
      </c>
      <c r="I44" s="24">
        <f>IF(I26="Não aplicável",0,I26/I13*5*(I10/H10*(1+I27)))</f>
        <v>0</v>
      </c>
    </row>
    <row r="45" spans="1:10" ht="15" customHeight="1" x14ac:dyDescent="0.25">
      <c r="A45" s="15">
        <f t="shared" si="1"/>
        <v>9</v>
      </c>
      <c r="B45" s="122" t="s">
        <v>54</v>
      </c>
      <c r="C45" s="122"/>
      <c r="D45" s="122"/>
      <c r="E45" s="122"/>
      <c r="F45" s="122"/>
      <c r="G45" s="122"/>
      <c r="H45" s="23">
        <f t="shared" si="0"/>
        <v>6.7132116004296446E-3</v>
      </c>
      <c r="I45" s="24">
        <f>I12*I13</f>
        <v>25.049999999999997</v>
      </c>
    </row>
    <row r="46" spans="1:10" ht="15" customHeight="1" x14ac:dyDescent="0.25">
      <c r="A46" s="15">
        <f t="shared" si="1"/>
        <v>10</v>
      </c>
      <c r="B46" s="122" t="s">
        <v>55</v>
      </c>
      <c r="C46" s="122"/>
      <c r="D46" s="122"/>
      <c r="E46" s="122"/>
      <c r="F46" s="122"/>
      <c r="G46" s="122"/>
      <c r="H46" s="23">
        <f t="shared" si="0"/>
        <v>1.3426423200859289E-3</v>
      </c>
      <c r="I46" s="24">
        <f>I45*20%</f>
        <v>5.01</v>
      </c>
    </row>
    <row r="47" spans="1:10" ht="15" customHeight="1" x14ac:dyDescent="0.25">
      <c r="A47" s="15">
        <f t="shared" si="1"/>
        <v>11</v>
      </c>
      <c r="B47" s="164" t="str">
        <f>IF(D6="12x36","Para postos 12x36 os feriados são considerados compensados, conforme parágrafo único, Art. 59-A da CLT","Outros")</f>
        <v>Para postos 12x36 os feriados são considerados compensados, conforme parágrafo único, Art. 59-A da CLT</v>
      </c>
      <c r="C47" s="164"/>
      <c r="D47" s="164"/>
      <c r="E47" s="164"/>
      <c r="F47" s="164"/>
      <c r="G47" s="164"/>
      <c r="H47" s="23">
        <f t="shared" si="0"/>
        <v>0</v>
      </c>
      <c r="I47" s="24">
        <v>0</v>
      </c>
    </row>
    <row r="48" spans="1:10" s="28" customFormat="1" ht="15" customHeight="1" x14ac:dyDescent="0.25">
      <c r="A48" s="133" t="s">
        <v>56</v>
      </c>
      <c r="B48" s="133"/>
      <c r="C48" s="133"/>
      <c r="D48" s="133"/>
      <c r="E48" s="133"/>
      <c r="F48" s="133"/>
      <c r="G48" s="133"/>
      <c r="H48" s="25">
        <f>SUM(H37:H47)</f>
        <v>1</v>
      </c>
      <c r="I48" s="26">
        <f>SUM(I37:I47)</f>
        <v>3731.4480000000003</v>
      </c>
      <c r="J48" s="27"/>
    </row>
    <row r="49" spans="1:10" s="28" customFormat="1" ht="0.75" customHeight="1" x14ac:dyDescent="0.25">
      <c r="A49" s="165"/>
      <c r="B49" s="165"/>
      <c r="C49" s="165"/>
      <c r="D49" s="165"/>
      <c r="E49" s="165"/>
      <c r="F49" s="165"/>
      <c r="G49" s="165"/>
      <c r="H49" s="165"/>
      <c r="I49" s="165"/>
      <c r="J49" s="27"/>
    </row>
    <row r="50" spans="1:10" s="28" customFormat="1" ht="0.75" customHeight="1" x14ac:dyDescent="0.25">
      <c r="A50" s="165"/>
      <c r="B50" s="165"/>
      <c r="C50" s="165"/>
      <c r="D50" s="165"/>
      <c r="E50" s="165"/>
      <c r="F50" s="165"/>
      <c r="G50" s="165"/>
      <c r="H50" s="165"/>
      <c r="I50" s="165"/>
      <c r="J50" s="27"/>
    </row>
    <row r="51" spans="1:10" s="28" customFormat="1" ht="0.75" customHeight="1" x14ac:dyDescent="0.25">
      <c r="A51" s="165"/>
      <c r="B51" s="165"/>
      <c r="C51" s="165"/>
      <c r="D51" s="165"/>
      <c r="E51" s="165"/>
      <c r="F51" s="165"/>
      <c r="G51" s="165"/>
      <c r="H51" s="165"/>
      <c r="I51" s="165"/>
      <c r="J51" s="27"/>
    </row>
    <row r="52" spans="1:10" s="28" customFormat="1" ht="0.75" customHeight="1" x14ac:dyDescent="0.25">
      <c r="A52" s="165"/>
      <c r="B52" s="165"/>
      <c r="C52" s="165"/>
      <c r="D52" s="165"/>
      <c r="E52" s="165"/>
      <c r="F52" s="165"/>
      <c r="G52" s="165"/>
      <c r="H52" s="165"/>
      <c r="I52" s="165"/>
      <c r="J52" s="27"/>
    </row>
    <row r="53" spans="1:10" s="28" customFormat="1" ht="0.75" customHeight="1" x14ac:dyDescent="0.25">
      <c r="A53" s="165"/>
      <c r="B53" s="165"/>
      <c r="C53" s="165"/>
      <c r="D53" s="165"/>
      <c r="E53" s="165"/>
      <c r="F53" s="165"/>
      <c r="G53" s="165"/>
      <c r="H53" s="165"/>
      <c r="I53" s="165"/>
      <c r="J53" s="27"/>
    </row>
    <row r="54" spans="1:10" s="28" customFormat="1" ht="0.75" customHeight="1" x14ac:dyDescent="0.25">
      <c r="A54" s="165"/>
      <c r="B54" s="165"/>
      <c r="C54" s="165"/>
      <c r="D54" s="165"/>
      <c r="E54" s="165"/>
      <c r="F54" s="165"/>
      <c r="G54" s="165"/>
      <c r="H54" s="165"/>
      <c r="I54" s="165"/>
      <c r="J54" s="27"/>
    </row>
    <row r="55" spans="1:10" s="28" customFormat="1" ht="0.75" customHeight="1" x14ac:dyDescent="0.25">
      <c r="A55" s="165"/>
      <c r="B55" s="165"/>
      <c r="C55" s="165"/>
      <c r="D55" s="165"/>
      <c r="E55" s="165"/>
      <c r="F55" s="165"/>
      <c r="G55" s="165"/>
      <c r="H55" s="165"/>
      <c r="I55" s="165"/>
      <c r="J55" s="27"/>
    </row>
    <row r="56" spans="1:10" ht="0.75" customHeight="1" x14ac:dyDescent="0.25">
      <c r="A56" s="165"/>
      <c r="B56" s="165"/>
      <c r="C56" s="165"/>
      <c r="D56" s="165"/>
      <c r="E56" s="165"/>
      <c r="F56" s="165"/>
      <c r="G56" s="165"/>
      <c r="H56" s="165"/>
      <c r="I56" s="165"/>
    </row>
    <row r="57" spans="1:10" ht="33.75" customHeight="1" x14ac:dyDescent="0.25">
      <c r="A57" s="22" t="s">
        <v>57</v>
      </c>
      <c r="B57" s="132" t="s">
        <v>58</v>
      </c>
      <c r="C57" s="132"/>
      <c r="D57" s="132"/>
      <c r="E57" s="132"/>
      <c r="F57" s="132"/>
      <c r="G57" s="132"/>
      <c r="H57" s="22" t="s">
        <v>44</v>
      </c>
      <c r="I57" s="22" t="s">
        <v>45</v>
      </c>
    </row>
    <row r="58" spans="1:10" ht="15" customHeight="1" x14ac:dyDescent="0.25">
      <c r="A58" s="15">
        <v>1</v>
      </c>
      <c r="B58" s="122" t="s">
        <v>59</v>
      </c>
      <c r="C58" s="122"/>
      <c r="D58" s="122"/>
      <c r="E58" s="122"/>
      <c r="F58" s="122"/>
      <c r="G58" s="122"/>
      <c r="H58" s="23">
        <v>0.2</v>
      </c>
      <c r="I58" s="24">
        <f t="shared" ref="I58:I65" si="2">$I$48*H58</f>
        <v>746.28960000000006</v>
      </c>
    </row>
    <row r="59" spans="1:10" ht="15" customHeight="1" x14ac:dyDescent="0.25">
      <c r="A59" s="15">
        <v>2</v>
      </c>
      <c r="B59" s="122" t="s">
        <v>60</v>
      </c>
      <c r="C59" s="122"/>
      <c r="D59" s="122"/>
      <c r="E59" s="122"/>
      <c r="F59" s="122"/>
      <c r="G59" s="122"/>
      <c r="H59" s="23">
        <v>1.4999999999999999E-2</v>
      </c>
      <c r="I59" s="24">
        <f t="shared" si="2"/>
        <v>55.971720000000005</v>
      </c>
    </row>
    <row r="60" spans="1:10" ht="15" customHeight="1" x14ac:dyDescent="0.25">
      <c r="A60" s="15">
        <v>3</v>
      </c>
      <c r="B60" s="122" t="s">
        <v>61</v>
      </c>
      <c r="C60" s="122"/>
      <c r="D60" s="122"/>
      <c r="E60" s="122"/>
      <c r="F60" s="122"/>
      <c r="G60" s="122"/>
      <c r="H60" s="23">
        <v>0.01</v>
      </c>
      <c r="I60" s="24">
        <f t="shared" si="2"/>
        <v>37.314480000000003</v>
      </c>
    </row>
    <row r="61" spans="1:10" ht="15" customHeight="1" x14ac:dyDescent="0.25">
      <c r="A61" s="15">
        <v>4</v>
      </c>
      <c r="B61" s="122" t="s">
        <v>62</v>
      </c>
      <c r="C61" s="122"/>
      <c r="D61" s="122"/>
      <c r="E61" s="122"/>
      <c r="F61" s="122"/>
      <c r="G61" s="122"/>
      <c r="H61" s="23">
        <v>2E-3</v>
      </c>
      <c r="I61" s="24">
        <f t="shared" si="2"/>
        <v>7.4628960000000006</v>
      </c>
    </row>
    <row r="62" spans="1:10" ht="15" customHeight="1" x14ac:dyDescent="0.25">
      <c r="A62" s="15">
        <v>5</v>
      </c>
      <c r="B62" s="122" t="s">
        <v>63</v>
      </c>
      <c r="C62" s="122"/>
      <c r="D62" s="122"/>
      <c r="E62" s="122"/>
      <c r="F62" s="122"/>
      <c r="G62" s="122"/>
      <c r="H62" s="23">
        <v>2.5000000000000001E-2</v>
      </c>
      <c r="I62" s="24">
        <f t="shared" si="2"/>
        <v>93.286200000000008</v>
      </c>
    </row>
    <row r="63" spans="1:10" ht="15" customHeight="1" x14ac:dyDescent="0.25">
      <c r="A63" s="15">
        <v>6</v>
      </c>
      <c r="B63" s="122" t="s">
        <v>64</v>
      </c>
      <c r="C63" s="122"/>
      <c r="D63" s="122"/>
      <c r="E63" s="122"/>
      <c r="F63" s="122"/>
      <c r="G63" s="122"/>
      <c r="H63" s="23">
        <v>0.08</v>
      </c>
      <c r="I63" s="24">
        <f t="shared" si="2"/>
        <v>298.51584000000003</v>
      </c>
    </row>
    <row r="64" spans="1:10" ht="15" customHeight="1" x14ac:dyDescent="0.25">
      <c r="A64" s="15">
        <v>7</v>
      </c>
      <c r="B64" s="122" t="s">
        <v>65</v>
      </c>
      <c r="C64" s="122"/>
      <c r="D64" s="122"/>
      <c r="E64" s="122"/>
      <c r="F64" s="122"/>
      <c r="G64" s="122"/>
      <c r="H64" s="23">
        <v>0.03</v>
      </c>
      <c r="I64" s="24">
        <f t="shared" si="2"/>
        <v>111.94344000000001</v>
      </c>
    </row>
    <row r="65" spans="1:10" ht="15" customHeight="1" x14ac:dyDescent="0.25">
      <c r="A65" s="15">
        <v>8</v>
      </c>
      <c r="B65" s="122" t="s">
        <v>66</v>
      </c>
      <c r="C65" s="122"/>
      <c r="D65" s="122"/>
      <c r="E65" s="122"/>
      <c r="F65" s="122"/>
      <c r="G65" s="122"/>
      <c r="H65" s="23">
        <v>6.0000000000000001E-3</v>
      </c>
      <c r="I65" s="24">
        <f t="shared" si="2"/>
        <v>22.388688000000002</v>
      </c>
    </row>
    <row r="66" spans="1:10" s="28" customFormat="1" ht="15" customHeight="1" x14ac:dyDescent="0.25">
      <c r="A66" s="133" t="s">
        <v>67</v>
      </c>
      <c r="B66" s="133"/>
      <c r="C66" s="133"/>
      <c r="D66" s="133"/>
      <c r="E66" s="133"/>
      <c r="F66" s="133"/>
      <c r="G66" s="133"/>
      <c r="H66" s="25">
        <f>SUM(H58:H65)</f>
        <v>0.3680000000000001</v>
      </c>
      <c r="I66" s="26">
        <f>SUM(I58:I65)</f>
        <v>1373.1728640000001</v>
      </c>
      <c r="J66" s="27"/>
    </row>
    <row r="67" spans="1:10" ht="15" customHeight="1" x14ac:dyDescent="0.25">
      <c r="A67" s="134" t="s">
        <v>68</v>
      </c>
      <c r="B67" s="134"/>
      <c r="C67" s="134"/>
      <c r="D67" s="134"/>
      <c r="E67" s="134"/>
      <c r="F67" s="134"/>
      <c r="G67" s="134"/>
      <c r="H67" s="134"/>
      <c r="I67" s="134"/>
    </row>
    <row r="68" spans="1:10" ht="30.75" customHeight="1" x14ac:dyDescent="0.25">
      <c r="A68" s="135" t="s">
        <v>69</v>
      </c>
      <c r="B68" s="135"/>
      <c r="C68" s="135"/>
      <c r="D68" s="135"/>
      <c r="E68" s="135"/>
      <c r="F68" s="135"/>
      <c r="G68" s="135"/>
      <c r="H68" s="135"/>
      <c r="I68" s="135"/>
    </row>
    <row r="69" spans="1:10" ht="33.75" customHeight="1" x14ac:dyDescent="0.25">
      <c r="A69" s="22" t="s">
        <v>70</v>
      </c>
      <c r="B69" s="132" t="s">
        <v>71</v>
      </c>
      <c r="C69" s="132"/>
      <c r="D69" s="132"/>
      <c r="E69" s="132"/>
      <c r="F69" s="132"/>
      <c r="G69" s="132"/>
      <c r="H69" s="22" t="s">
        <v>44</v>
      </c>
      <c r="I69" s="22" t="s">
        <v>45</v>
      </c>
    </row>
    <row r="70" spans="1:10" ht="15" customHeight="1" x14ac:dyDescent="0.25">
      <c r="A70" s="15">
        <v>1</v>
      </c>
      <c r="B70" s="122" t="s">
        <v>72</v>
      </c>
      <c r="C70" s="122"/>
      <c r="D70" s="122"/>
      <c r="E70" s="122"/>
      <c r="F70" s="122"/>
      <c r="G70" s="122"/>
      <c r="H70" s="23">
        <v>0.119314</v>
      </c>
      <c r="I70" s="24">
        <f t="shared" ref="I70:I77" si="3">$I$48*H70</f>
        <v>445.21398667200003</v>
      </c>
    </row>
    <row r="71" spans="1:10" ht="15" customHeight="1" x14ac:dyDescent="0.25">
      <c r="A71" s="15">
        <v>2</v>
      </c>
      <c r="B71" s="122" t="s">
        <v>73</v>
      </c>
      <c r="C71" s="122"/>
      <c r="D71" s="122"/>
      <c r="E71" s="122"/>
      <c r="F71" s="122"/>
      <c r="G71" s="122"/>
      <c r="H71" s="23">
        <v>2.0479000000000001E-2</v>
      </c>
      <c r="I71" s="24">
        <f t="shared" si="3"/>
        <v>76.416323592000012</v>
      </c>
    </row>
    <row r="72" spans="1:10" ht="15" customHeight="1" x14ac:dyDescent="0.25">
      <c r="A72" s="15">
        <v>3</v>
      </c>
      <c r="B72" s="122" t="s">
        <v>74</v>
      </c>
      <c r="C72" s="122"/>
      <c r="D72" s="122"/>
      <c r="E72" s="122"/>
      <c r="F72" s="122"/>
      <c r="G72" s="122"/>
      <c r="H72" s="23">
        <v>1.2123E-2</v>
      </c>
      <c r="I72" s="24">
        <f t="shared" si="3"/>
        <v>45.236344104000004</v>
      </c>
    </row>
    <row r="73" spans="1:10" ht="15" customHeight="1" x14ac:dyDescent="0.25">
      <c r="A73" s="15">
        <v>4</v>
      </c>
      <c r="B73" s="122" t="s">
        <v>75</v>
      </c>
      <c r="C73" s="122"/>
      <c r="D73" s="122"/>
      <c r="E73" s="122"/>
      <c r="F73" s="122"/>
      <c r="G73" s="122"/>
      <c r="H73" s="23">
        <v>1.1436E-2</v>
      </c>
      <c r="I73" s="24">
        <f t="shared" si="3"/>
        <v>42.672839328000002</v>
      </c>
    </row>
    <row r="74" spans="1:10" ht="15" customHeight="1" x14ac:dyDescent="0.25">
      <c r="A74" s="15">
        <v>5</v>
      </c>
      <c r="B74" s="122" t="s">
        <v>76</v>
      </c>
      <c r="C74" s="122"/>
      <c r="D74" s="122"/>
      <c r="E74" s="122"/>
      <c r="F74" s="122"/>
      <c r="G74" s="122"/>
      <c r="H74" s="23">
        <v>1.74E-4</v>
      </c>
      <c r="I74" s="24">
        <f t="shared" si="3"/>
        <v>0.6492719520000001</v>
      </c>
    </row>
    <row r="75" spans="1:10" ht="15" customHeight="1" x14ac:dyDescent="0.25">
      <c r="A75" s="15">
        <v>6</v>
      </c>
      <c r="B75" s="122" t="s">
        <v>77</v>
      </c>
      <c r="C75" s="122"/>
      <c r="D75" s="122"/>
      <c r="E75" s="122"/>
      <c r="F75" s="122"/>
      <c r="G75" s="122"/>
      <c r="H75" s="23">
        <v>4.4200000000000001E-4</v>
      </c>
      <c r="I75" s="24">
        <f t="shared" si="3"/>
        <v>1.6493000160000002</v>
      </c>
    </row>
    <row r="76" spans="1:10" ht="15" customHeight="1" x14ac:dyDescent="0.25">
      <c r="A76" s="15">
        <v>7</v>
      </c>
      <c r="B76" s="122" t="s">
        <v>78</v>
      </c>
      <c r="C76" s="122"/>
      <c r="D76" s="122"/>
      <c r="E76" s="122"/>
      <c r="F76" s="122"/>
      <c r="G76" s="122"/>
      <c r="H76" s="23">
        <v>1.85E-4</v>
      </c>
      <c r="I76" s="24">
        <f t="shared" si="3"/>
        <v>0.69031788000000005</v>
      </c>
    </row>
    <row r="77" spans="1:10" ht="15" customHeight="1" x14ac:dyDescent="0.25">
      <c r="A77" s="15">
        <v>8</v>
      </c>
      <c r="B77" s="122" t="s">
        <v>79</v>
      </c>
      <c r="C77" s="122"/>
      <c r="D77" s="122"/>
      <c r="E77" s="122"/>
      <c r="F77" s="122"/>
      <c r="G77" s="122"/>
      <c r="H77" s="23">
        <v>9.0789999999999996E-2</v>
      </c>
      <c r="I77" s="24">
        <f t="shared" si="3"/>
        <v>338.77816392</v>
      </c>
    </row>
    <row r="78" spans="1:10" s="28" customFormat="1" ht="15" customHeight="1" x14ac:dyDescent="0.25">
      <c r="A78" s="133" t="s">
        <v>80</v>
      </c>
      <c r="B78" s="133"/>
      <c r="C78" s="133"/>
      <c r="D78" s="133"/>
      <c r="E78" s="133"/>
      <c r="F78" s="133"/>
      <c r="G78" s="133"/>
      <c r="H78" s="25">
        <f>SUM(H70:H77)</f>
        <v>0.25494299999999998</v>
      </c>
      <c r="I78" s="26">
        <f>SUM(I70:I77)</f>
        <v>951.306547464</v>
      </c>
      <c r="J78" s="27"/>
    </row>
    <row r="79" spans="1:10" ht="11.25" customHeight="1" x14ac:dyDescent="0.25">
      <c r="A79" s="29" t="s">
        <v>81</v>
      </c>
      <c r="B79" s="136" t="s">
        <v>82</v>
      </c>
      <c r="C79" s="136"/>
      <c r="D79" s="136"/>
      <c r="E79" s="136"/>
      <c r="F79" s="136"/>
      <c r="G79" s="136"/>
      <c r="H79" s="136"/>
      <c r="I79" s="136"/>
    </row>
    <row r="80" spans="1:10" ht="15" customHeight="1" x14ac:dyDescent="0.25">
      <c r="A80" s="29" t="s">
        <v>83</v>
      </c>
      <c r="B80" s="137" t="s">
        <v>84</v>
      </c>
      <c r="C80" s="137"/>
      <c r="D80" s="137"/>
      <c r="E80" s="137"/>
      <c r="F80" s="137"/>
      <c r="G80" s="137"/>
      <c r="H80" s="137"/>
      <c r="I80" s="137"/>
    </row>
    <row r="81" spans="1:11" ht="33.75" customHeight="1" x14ac:dyDescent="0.25">
      <c r="A81" s="22" t="s">
        <v>85</v>
      </c>
      <c r="B81" s="132" t="s">
        <v>86</v>
      </c>
      <c r="C81" s="132"/>
      <c r="D81" s="132"/>
      <c r="E81" s="132"/>
      <c r="F81" s="132"/>
      <c r="G81" s="132"/>
      <c r="H81" s="22" t="s">
        <v>44</v>
      </c>
      <c r="I81" s="22" t="s">
        <v>45</v>
      </c>
    </row>
    <row r="82" spans="1:11" ht="15" customHeight="1" x14ac:dyDescent="0.25">
      <c r="A82" s="15">
        <v>1</v>
      </c>
      <c r="B82" s="122" t="s">
        <v>87</v>
      </c>
      <c r="C82" s="122"/>
      <c r="D82" s="122"/>
      <c r="E82" s="122"/>
      <c r="F82" s="122"/>
      <c r="G82" s="122"/>
      <c r="H82" s="23">
        <v>4.8321000000000003E-2</v>
      </c>
      <c r="I82" s="24">
        <f>$I$48*H82</f>
        <v>180.30729880800001</v>
      </c>
    </row>
    <row r="83" spans="1:11" ht="15" customHeight="1" x14ac:dyDescent="0.25">
      <c r="A83" s="15">
        <v>2</v>
      </c>
      <c r="B83" s="122" t="s">
        <v>88</v>
      </c>
      <c r="C83" s="122"/>
      <c r="D83" s="122"/>
      <c r="E83" s="122"/>
      <c r="F83" s="122"/>
      <c r="G83" s="122"/>
      <c r="H83" s="23">
        <v>3.5109999999999998E-3</v>
      </c>
      <c r="I83" s="24">
        <f>$I$48*H83</f>
        <v>13.101113928</v>
      </c>
    </row>
    <row r="84" spans="1:11" ht="15" customHeight="1" x14ac:dyDescent="0.25">
      <c r="A84" s="15">
        <v>3</v>
      </c>
      <c r="B84" s="122" t="s">
        <v>89</v>
      </c>
      <c r="C84" s="122"/>
      <c r="D84" s="122"/>
      <c r="E84" s="122"/>
      <c r="F84" s="122"/>
      <c r="G84" s="122"/>
      <c r="H84" s="23">
        <v>1.9328000000000001E-2</v>
      </c>
      <c r="I84" s="24">
        <f>$I$48*H84</f>
        <v>72.121426944000007</v>
      </c>
    </row>
    <row r="85" spans="1:11" s="28" customFormat="1" ht="15" customHeight="1" x14ac:dyDescent="0.25">
      <c r="A85" s="133" t="s">
        <v>90</v>
      </c>
      <c r="B85" s="133"/>
      <c r="C85" s="133"/>
      <c r="D85" s="133"/>
      <c r="E85" s="133"/>
      <c r="F85" s="133"/>
      <c r="G85" s="133"/>
      <c r="H85" s="25">
        <f>SUM(H82:H84)</f>
        <v>7.1160000000000001E-2</v>
      </c>
      <c r="I85" s="26">
        <f>SUM(I82:I84)</f>
        <v>265.52983968000001</v>
      </c>
      <c r="J85" s="27"/>
    </row>
    <row r="86" spans="1:11" ht="4.5" customHeight="1" x14ac:dyDescent="0.25"/>
    <row r="87" spans="1:11" ht="33.75" customHeight="1" x14ac:dyDescent="0.25">
      <c r="A87" s="22" t="s">
        <v>91</v>
      </c>
      <c r="B87" s="132" t="s">
        <v>92</v>
      </c>
      <c r="C87" s="132"/>
      <c r="D87" s="132"/>
      <c r="E87" s="132"/>
      <c r="F87" s="132"/>
      <c r="G87" s="132"/>
      <c r="H87" s="22" t="s">
        <v>44</v>
      </c>
      <c r="I87" s="22" t="s">
        <v>45</v>
      </c>
    </row>
    <row r="88" spans="1:11" ht="15" customHeight="1" x14ac:dyDescent="0.25">
      <c r="A88" s="15">
        <v>1</v>
      </c>
      <c r="B88" s="122" t="s">
        <v>93</v>
      </c>
      <c r="C88" s="122"/>
      <c r="D88" s="122"/>
      <c r="E88" s="122"/>
      <c r="F88" s="122"/>
      <c r="G88" s="122"/>
      <c r="H88" s="23">
        <f>(H66*H78)</f>
        <v>9.3819024000000015E-2</v>
      </c>
      <c r="I88" s="24">
        <f>$I$48*H88</f>
        <v>350.0808094667521</v>
      </c>
    </row>
    <row r="89" spans="1:11" s="28" customFormat="1" ht="15" customHeight="1" x14ac:dyDescent="0.25">
      <c r="A89" s="133" t="s">
        <v>94</v>
      </c>
      <c r="B89" s="133"/>
      <c r="C89" s="133"/>
      <c r="D89" s="133"/>
      <c r="E89" s="133"/>
      <c r="F89" s="133"/>
      <c r="G89" s="133"/>
      <c r="H89" s="25">
        <f>SUM(H88)</f>
        <v>9.3819024000000015E-2</v>
      </c>
      <c r="I89" s="26">
        <f>I88</f>
        <v>350.0808094667521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38" t="s">
        <v>95</v>
      </c>
      <c r="B91" s="138"/>
      <c r="C91" s="138"/>
      <c r="D91" s="138"/>
      <c r="E91" s="138"/>
      <c r="F91" s="138"/>
      <c r="G91" s="138"/>
      <c r="H91" s="32">
        <f>H66+H78+H85+H89</f>
        <v>0.787922024</v>
      </c>
      <c r="I91" s="33">
        <f>I66+I78+I85+I89</f>
        <v>2940.0900606107521</v>
      </c>
      <c r="J91" s="27"/>
    </row>
    <row r="92" spans="1:11" ht="4.5" customHeight="1" x14ac:dyDescent="0.25"/>
    <row r="93" spans="1:11" ht="33.75" customHeight="1" x14ac:dyDescent="0.25">
      <c r="A93" s="22" t="s">
        <v>96</v>
      </c>
      <c r="B93" s="132" t="s">
        <v>97</v>
      </c>
      <c r="C93" s="132"/>
      <c r="D93" s="132"/>
      <c r="E93" s="132"/>
      <c r="F93" s="132"/>
      <c r="G93" s="132"/>
      <c r="H93" s="22" t="s">
        <v>44</v>
      </c>
      <c r="I93" s="22" t="s">
        <v>45</v>
      </c>
    </row>
    <row r="94" spans="1:11" ht="15" customHeight="1" x14ac:dyDescent="0.25">
      <c r="A94" s="15">
        <v>1</v>
      </c>
      <c r="B94" s="122" t="s">
        <v>29</v>
      </c>
      <c r="C94" s="122"/>
      <c r="D94" s="122"/>
      <c r="E94" s="122"/>
      <c r="F94" s="122"/>
      <c r="G94" s="122"/>
      <c r="H94" s="23">
        <f t="shared" ref="H94:H100" si="4">I94/$I$48</f>
        <v>0.1061250217073908</v>
      </c>
      <c r="I94" s="24">
        <f>I113</f>
        <v>396</v>
      </c>
    </row>
    <row r="95" spans="1:11" ht="15" customHeight="1" x14ac:dyDescent="0.25">
      <c r="A95" s="15">
        <v>2</v>
      </c>
      <c r="B95" s="122" t="s">
        <v>30</v>
      </c>
      <c r="C95" s="122"/>
      <c r="D95" s="122"/>
      <c r="E95" s="122"/>
      <c r="F95" s="122"/>
      <c r="G95" s="122"/>
      <c r="H95" s="23">
        <f t="shared" si="4"/>
        <v>0</v>
      </c>
      <c r="I95" s="24">
        <f>I109</f>
        <v>0</v>
      </c>
    </row>
    <row r="96" spans="1:11" ht="15" customHeight="1" x14ac:dyDescent="0.25">
      <c r="A96" s="15">
        <v>3</v>
      </c>
      <c r="B96" s="122" t="s">
        <v>98</v>
      </c>
      <c r="C96" s="122"/>
      <c r="D96" s="122"/>
      <c r="E96" s="122"/>
      <c r="F96" s="122"/>
      <c r="G96" s="122"/>
      <c r="H96" s="23">
        <f t="shared" si="4"/>
        <v>7.0589218984158436E-3</v>
      </c>
      <c r="I96" s="24">
        <f>I105</f>
        <v>26.340000000000003</v>
      </c>
    </row>
    <row r="97" spans="1:10" ht="15" customHeight="1" x14ac:dyDescent="0.25">
      <c r="A97" s="15">
        <v>4</v>
      </c>
      <c r="B97" s="122" t="s">
        <v>99</v>
      </c>
      <c r="C97" s="122"/>
      <c r="D97" s="122"/>
      <c r="E97" s="122"/>
      <c r="F97" s="122"/>
      <c r="G97" s="122"/>
      <c r="H97" s="23">
        <f t="shared" si="4"/>
        <v>6.0599799327231682E-2</v>
      </c>
      <c r="I97" s="24">
        <f>IF(I28="Não aplicável",0,((I10/H10)*1.5*I28))</f>
        <v>226.12500000000003</v>
      </c>
    </row>
    <row r="98" spans="1:10" ht="15" customHeight="1" x14ac:dyDescent="0.25">
      <c r="A98" s="15">
        <v>5</v>
      </c>
      <c r="B98" s="122" t="s">
        <v>100</v>
      </c>
      <c r="C98" s="122"/>
      <c r="D98" s="122"/>
      <c r="E98" s="122"/>
      <c r="F98" s="122"/>
      <c r="G98" s="122"/>
      <c r="H98" s="23">
        <f t="shared" si="4"/>
        <v>0</v>
      </c>
      <c r="I98" s="24">
        <v>0</v>
      </c>
    </row>
    <row r="99" spans="1:10" ht="15" customHeight="1" x14ac:dyDescent="0.25">
      <c r="A99" s="15">
        <v>6</v>
      </c>
      <c r="B99" s="122" t="s">
        <v>101</v>
      </c>
      <c r="C99" s="122"/>
      <c r="D99" s="122"/>
      <c r="E99" s="122"/>
      <c r="F99" s="122"/>
      <c r="G99" s="122"/>
      <c r="H99" s="23">
        <f t="shared" si="4"/>
        <v>0</v>
      </c>
      <c r="I99" s="24">
        <v>0</v>
      </c>
    </row>
    <row r="100" spans="1:10" ht="15" customHeight="1" x14ac:dyDescent="0.25">
      <c r="A100" s="15">
        <v>7</v>
      </c>
      <c r="B100" s="122" t="s">
        <v>102</v>
      </c>
      <c r="C100" s="122"/>
      <c r="D100" s="122"/>
      <c r="E100" s="122"/>
      <c r="F100" s="122"/>
      <c r="G100" s="122"/>
      <c r="H100" s="23">
        <f t="shared" si="4"/>
        <v>0</v>
      </c>
      <c r="I100" s="24">
        <f>IF(I23="Não aplicável",0,I23)</f>
        <v>0</v>
      </c>
    </row>
    <row r="101" spans="1:10" ht="15" customHeight="1" x14ac:dyDescent="0.25">
      <c r="A101" s="133" t="s">
        <v>103</v>
      </c>
      <c r="B101" s="133"/>
      <c r="C101" s="133"/>
      <c r="D101" s="133"/>
      <c r="E101" s="133"/>
      <c r="F101" s="133"/>
      <c r="G101" s="133"/>
      <c r="H101" s="25">
        <f>SUM(H94:H100)</f>
        <v>0.17378374293303833</v>
      </c>
      <c r="I101" s="26">
        <f>SUM(I94:I100)</f>
        <v>648.46500000000003</v>
      </c>
      <c r="J101" s="34"/>
    </row>
    <row r="102" spans="1:10" ht="18" customHeight="1" x14ac:dyDescent="0.25">
      <c r="A102" s="29" t="s">
        <v>104</v>
      </c>
      <c r="B102" s="134" t="s">
        <v>105</v>
      </c>
      <c r="C102" s="134"/>
      <c r="D102" s="134"/>
      <c r="E102" s="134"/>
      <c r="F102" s="134"/>
      <c r="G102" s="134"/>
      <c r="H102" s="35"/>
      <c r="I102" s="36"/>
    </row>
    <row r="103" spans="1:10" ht="15" customHeight="1" x14ac:dyDescent="0.25">
      <c r="A103" s="139" t="s">
        <v>106</v>
      </c>
      <c r="B103" s="139"/>
      <c r="C103" s="139"/>
      <c r="D103" s="139"/>
      <c r="E103" s="139"/>
      <c r="F103" s="139"/>
      <c r="G103" s="139"/>
      <c r="H103" s="139"/>
      <c r="I103" s="139"/>
    </row>
    <row r="104" spans="1:10" ht="24" customHeight="1" x14ac:dyDescent="0.25">
      <c r="A104" s="127" t="s">
        <v>107</v>
      </c>
      <c r="B104" s="127"/>
      <c r="C104" s="15" t="s">
        <v>108</v>
      </c>
      <c r="D104" s="15" t="s">
        <v>109</v>
      </c>
      <c r="E104" s="15" t="s">
        <v>110</v>
      </c>
      <c r="F104" s="15" t="s">
        <v>111</v>
      </c>
      <c r="G104" s="15" t="s">
        <v>112</v>
      </c>
      <c r="H104" s="23" t="s">
        <v>113</v>
      </c>
      <c r="I104" s="24" t="s">
        <v>114</v>
      </c>
    </row>
    <row r="105" spans="1:10" ht="15" customHeight="1" x14ac:dyDescent="0.25">
      <c r="A105" s="140">
        <f>IF(I14="Não aplicável",0,I14)</f>
        <v>5.3</v>
      </c>
      <c r="B105" s="140"/>
      <c r="C105" s="15">
        <f>IF(I15="Não aplicável",0,I15)</f>
        <v>15</v>
      </c>
      <c r="D105" s="15">
        <v>2</v>
      </c>
      <c r="E105" s="37">
        <f>A105*C105*D105</f>
        <v>159</v>
      </c>
      <c r="F105" s="37">
        <f>I37</f>
        <v>2211</v>
      </c>
      <c r="G105" s="38">
        <f>IF(I16="Não aplicável",0,I16)</f>
        <v>0.06</v>
      </c>
      <c r="H105" s="37">
        <f>F105*G105</f>
        <v>132.66</v>
      </c>
      <c r="I105" s="24">
        <f>IF((E105-H105)&gt;0,E105-H105,0)</f>
        <v>26.340000000000003</v>
      </c>
    </row>
    <row r="106" spans="1:10" ht="3.75" customHeight="1" x14ac:dyDescent="0.25">
      <c r="A106" s="39"/>
      <c r="E106" s="34"/>
      <c r="F106" s="34"/>
      <c r="G106" s="40"/>
      <c r="H106" s="34"/>
      <c r="I106" s="41"/>
    </row>
    <row r="107" spans="1:10" ht="15" customHeight="1" x14ac:dyDescent="0.25">
      <c r="A107" s="139" t="s">
        <v>115</v>
      </c>
      <c r="B107" s="139"/>
      <c r="C107" s="139"/>
      <c r="D107" s="139"/>
      <c r="E107" s="139"/>
      <c r="F107" s="139"/>
      <c r="G107" s="139"/>
      <c r="H107" s="139"/>
      <c r="I107" s="139"/>
    </row>
    <row r="108" spans="1:10" ht="23.25" customHeight="1" x14ac:dyDescent="0.25">
      <c r="A108" s="127" t="s">
        <v>107</v>
      </c>
      <c r="B108" s="127"/>
      <c r="C108" s="15" t="s">
        <v>116</v>
      </c>
      <c r="D108" s="15" t="s">
        <v>109</v>
      </c>
      <c r="E108" s="15" t="s">
        <v>110</v>
      </c>
      <c r="F108" s="15" t="s">
        <v>111</v>
      </c>
      <c r="G108" s="15" t="s">
        <v>112</v>
      </c>
      <c r="H108" s="23" t="s">
        <v>113</v>
      </c>
      <c r="I108" s="24" t="s">
        <v>114</v>
      </c>
    </row>
    <row r="109" spans="1:10" ht="15" customHeight="1" x14ac:dyDescent="0.25">
      <c r="A109" s="141">
        <f>IF(I20="Não aplicável",0,I20)</f>
        <v>0</v>
      </c>
      <c r="B109" s="141"/>
      <c r="C109" s="42">
        <f>IF(I21="Não aplicável",0,I21)</f>
        <v>0</v>
      </c>
      <c r="D109" s="15">
        <v>1</v>
      </c>
      <c r="E109" s="37">
        <f>A109*C109*D109</f>
        <v>0</v>
      </c>
      <c r="F109" s="37">
        <f>E109</f>
        <v>0</v>
      </c>
      <c r="G109" s="43">
        <f>IF(I22="Não aplicável",0,I22)</f>
        <v>0</v>
      </c>
      <c r="H109" s="37">
        <f>F109*G109</f>
        <v>0</v>
      </c>
      <c r="I109" s="24">
        <f>E109-H109</f>
        <v>0</v>
      </c>
    </row>
    <row r="110" spans="1:10" ht="4.5" customHeight="1" x14ac:dyDescent="0.25">
      <c r="A110" s="44"/>
      <c r="B110" s="44"/>
      <c r="C110" s="44"/>
      <c r="D110" s="44"/>
      <c r="E110" s="27"/>
      <c r="F110" s="27"/>
      <c r="G110" s="45"/>
      <c r="H110" s="27"/>
      <c r="I110" s="46"/>
    </row>
    <row r="111" spans="1:10" ht="15" customHeight="1" x14ac:dyDescent="0.25">
      <c r="A111" s="139" t="s">
        <v>117</v>
      </c>
      <c r="B111" s="139"/>
      <c r="C111" s="139"/>
      <c r="D111" s="139"/>
      <c r="E111" s="139"/>
      <c r="F111" s="139"/>
      <c r="G111" s="139"/>
      <c r="H111" s="139"/>
      <c r="I111" s="139"/>
    </row>
    <row r="112" spans="1:10" ht="23.25" customHeight="1" x14ac:dyDescent="0.25">
      <c r="A112" s="127" t="s">
        <v>107</v>
      </c>
      <c r="B112" s="127"/>
      <c r="C112" s="15" t="s">
        <v>116</v>
      </c>
      <c r="D112" s="15" t="s">
        <v>109</v>
      </c>
      <c r="E112" s="15" t="s">
        <v>110</v>
      </c>
      <c r="F112" s="15" t="s">
        <v>111</v>
      </c>
      <c r="G112" s="15" t="s">
        <v>112</v>
      </c>
      <c r="H112" s="23" t="str">
        <f>H104</f>
        <v>Valor desconto</v>
      </c>
      <c r="I112" s="24" t="s">
        <v>114</v>
      </c>
    </row>
    <row r="113" spans="1:12" ht="15" customHeight="1" x14ac:dyDescent="0.25">
      <c r="A113" s="141">
        <f>IF(I17="Não aplicável",0,I17)</f>
        <v>33</v>
      </c>
      <c r="B113" s="141"/>
      <c r="C113" s="42">
        <f>IF(I18="Não aplicável",0,I18)</f>
        <v>15</v>
      </c>
      <c r="D113" s="15">
        <v>1</v>
      </c>
      <c r="E113" s="37">
        <f>A113*C113*D113</f>
        <v>495</v>
      </c>
      <c r="F113" s="37">
        <f>E113</f>
        <v>495</v>
      </c>
      <c r="G113" s="43">
        <f>IF(I19="Não aplicável",0,I19)</f>
        <v>0.2</v>
      </c>
      <c r="H113" s="37">
        <f>F113*G113</f>
        <v>99</v>
      </c>
      <c r="I113" s="24">
        <f>E113-H113</f>
        <v>396</v>
      </c>
    </row>
    <row r="114" spans="1:12" ht="4.5" customHeight="1" x14ac:dyDescent="0.25"/>
    <row r="115" spans="1:12" ht="12" customHeight="1" x14ac:dyDescent="0.25">
      <c r="A115" s="142" t="s">
        <v>118</v>
      </c>
      <c r="B115" s="142"/>
      <c r="C115" s="142"/>
      <c r="D115" s="142"/>
      <c r="E115" s="142"/>
      <c r="F115" s="142"/>
      <c r="G115" s="142"/>
      <c r="H115" s="47">
        <f>H48+H91+H101</f>
        <v>1.9617057669330382</v>
      </c>
      <c r="I115" s="48">
        <f>I48+I91+I101</f>
        <v>7320.0030606107521</v>
      </c>
      <c r="J115" s="34"/>
      <c r="L115" s="34"/>
    </row>
    <row r="116" spans="1:12" s="53" customFormat="1" ht="4.5" customHeight="1" x14ac:dyDescent="0.25">
      <c r="A116" s="49"/>
      <c r="B116" s="49"/>
      <c r="C116" s="49"/>
      <c r="D116" s="49"/>
      <c r="E116" s="49"/>
      <c r="F116" s="49"/>
      <c r="G116" s="49"/>
      <c r="H116" s="50"/>
      <c r="I116" s="51"/>
      <c r="J116" s="52"/>
      <c r="L116" s="52"/>
    </row>
    <row r="117" spans="1:12" ht="11.25" customHeight="1" x14ac:dyDescent="0.25">
      <c r="A117" s="131" t="s">
        <v>119</v>
      </c>
      <c r="B117" s="131"/>
      <c r="C117" s="131"/>
      <c r="D117" s="131"/>
      <c r="E117" s="131"/>
      <c r="F117" s="131"/>
      <c r="G117" s="131"/>
      <c r="H117" s="131"/>
      <c r="I117" s="131"/>
    </row>
    <row r="118" spans="1:12" ht="33.75" customHeight="1" x14ac:dyDescent="0.25">
      <c r="A118" s="22" t="s">
        <v>42</v>
      </c>
      <c r="B118" s="132" t="s">
        <v>120</v>
      </c>
      <c r="C118" s="132"/>
      <c r="D118" s="132"/>
      <c r="E118" s="132"/>
      <c r="F118" s="132"/>
      <c r="G118" s="132"/>
      <c r="H118" s="22" t="s">
        <v>44</v>
      </c>
      <c r="I118" s="22" t="s">
        <v>45</v>
      </c>
    </row>
    <row r="119" spans="1:12" ht="15" customHeight="1" x14ac:dyDescent="0.25">
      <c r="A119" s="15">
        <v>1</v>
      </c>
      <c r="B119" s="122" t="s">
        <v>121</v>
      </c>
      <c r="C119" s="122"/>
      <c r="D119" s="122"/>
      <c r="E119" s="122"/>
      <c r="F119" s="122"/>
      <c r="G119" s="122"/>
      <c r="H119" s="23">
        <f t="shared" ref="H119:H125" si="5">I119/$I$131</f>
        <v>0</v>
      </c>
      <c r="I119" s="24">
        <v>0</v>
      </c>
    </row>
    <row r="120" spans="1:12" ht="15" customHeight="1" x14ac:dyDescent="0.25">
      <c r="A120" s="15">
        <v>2</v>
      </c>
      <c r="B120" s="117" t="s">
        <v>122</v>
      </c>
      <c r="C120" s="117"/>
      <c r="D120" s="117"/>
      <c r="E120" s="117"/>
      <c r="F120" s="117"/>
      <c r="G120" s="117"/>
      <c r="H120" s="23">
        <f t="shared" si="5"/>
        <v>0</v>
      </c>
      <c r="I120" s="24">
        <f>IF(F129=10%,G129,0)</f>
        <v>0</v>
      </c>
    </row>
    <row r="121" spans="1:12" ht="15" customHeight="1" x14ac:dyDescent="0.25">
      <c r="A121" s="15">
        <v>3</v>
      </c>
      <c r="B121" s="122" t="s">
        <v>123</v>
      </c>
      <c r="C121" s="122"/>
      <c r="D121" s="122"/>
      <c r="E121" s="122"/>
      <c r="F121" s="122"/>
      <c r="G121" s="122"/>
      <c r="H121" s="23">
        <f t="shared" si="5"/>
        <v>0</v>
      </c>
      <c r="I121" s="24">
        <v>0</v>
      </c>
    </row>
    <row r="122" spans="1:12" ht="15" customHeight="1" x14ac:dyDescent="0.25">
      <c r="A122" s="15">
        <v>4</v>
      </c>
      <c r="B122" s="122" t="s">
        <v>124</v>
      </c>
      <c r="C122" s="122"/>
      <c r="D122" s="122"/>
      <c r="E122" s="122"/>
      <c r="F122" s="122"/>
      <c r="G122" s="122"/>
      <c r="H122" s="23">
        <f t="shared" si="5"/>
        <v>0</v>
      </c>
      <c r="I122" s="24">
        <v>0</v>
      </c>
    </row>
    <row r="123" spans="1:12" ht="15" customHeight="1" x14ac:dyDescent="0.25">
      <c r="A123" s="15">
        <v>5</v>
      </c>
      <c r="B123" s="122" t="s">
        <v>125</v>
      </c>
      <c r="C123" s="122"/>
      <c r="D123" s="122"/>
      <c r="E123" s="122"/>
      <c r="F123" s="122"/>
      <c r="G123" s="122"/>
      <c r="H123" s="23">
        <f t="shared" si="5"/>
        <v>0</v>
      </c>
      <c r="I123" s="24">
        <v>0</v>
      </c>
    </row>
    <row r="124" spans="1:12" ht="15" customHeight="1" x14ac:dyDescent="0.25">
      <c r="A124" s="15">
        <v>6</v>
      </c>
      <c r="B124" s="122" t="s">
        <v>126</v>
      </c>
      <c r="C124" s="122"/>
      <c r="D124" s="122"/>
      <c r="E124" s="122"/>
      <c r="F124" s="122"/>
      <c r="G124" s="122"/>
      <c r="H124" s="23">
        <f t="shared" si="5"/>
        <v>0</v>
      </c>
      <c r="I124" s="24">
        <v>0</v>
      </c>
    </row>
    <row r="125" spans="1:12" ht="15" customHeight="1" x14ac:dyDescent="0.25">
      <c r="A125" s="15">
        <v>7</v>
      </c>
      <c r="B125" s="122" t="s">
        <v>127</v>
      </c>
      <c r="C125" s="122"/>
      <c r="D125" s="122"/>
      <c r="E125" s="122"/>
      <c r="F125" s="122"/>
      <c r="G125" s="122"/>
      <c r="H125" s="23">
        <f t="shared" si="5"/>
        <v>0</v>
      </c>
      <c r="I125" s="24">
        <v>0</v>
      </c>
    </row>
    <row r="126" spans="1:12" ht="15" customHeight="1" x14ac:dyDescent="0.25">
      <c r="A126" s="133" t="s">
        <v>128</v>
      </c>
      <c r="B126" s="133"/>
      <c r="C126" s="133"/>
      <c r="D126" s="133"/>
      <c r="E126" s="133"/>
      <c r="F126" s="133"/>
      <c r="G126" s="133"/>
      <c r="H126" s="25">
        <f>H119+H120+H121+H122+H124+H125</f>
        <v>0</v>
      </c>
      <c r="I126" s="54">
        <f>SUM(I119:I125)</f>
        <v>0</v>
      </c>
      <c r="J126" s="34"/>
    </row>
    <row r="127" spans="1:12" ht="42.75" customHeight="1" x14ac:dyDescent="0.25">
      <c r="B127" s="136" t="s">
        <v>129</v>
      </c>
      <c r="C127" s="136"/>
      <c r="D127" s="136"/>
      <c r="E127" s="136"/>
      <c r="F127" s="136"/>
      <c r="G127" s="136"/>
      <c r="H127" s="136"/>
      <c r="I127" s="136"/>
    </row>
    <row r="128" spans="1:12" ht="5.25" customHeight="1" x14ac:dyDescent="0.25"/>
    <row r="129" spans="1:12" ht="48.75" customHeight="1" x14ac:dyDescent="0.25">
      <c r="A129" s="143" t="s">
        <v>130</v>
      </c>
      <c r="B129" s="143"/>
      <c r="C129" s="143"/>
      <c r="D129" s="143"/>
      <c r="E129" s="143"/>
      <c r="F129" s="55">
        <f>I29</f>
        <v>0.2</v>
      </c>
      <c r="G129" s="56">
        <f>I131*F129</f>
        <v>1458.7326121221504</v>
      </c>
      <c r="H129" s="57" t="s">
        <v>131</v>
      </c>
      <c r="I129" s="58">
        <f>I96</f>
        <v>26.340000000000003</v>
      </c>
    </row>
    <row r="130" spans="1:12" s="61" customFormat="1" ht="16.5" customHeight="1" x14ac:dyDescent="0.25">
      <c r="A130" s="144" t="s">
        <v>132</v>
      </c>
      <c r="B130" s="144"/>
      <c r="C130" s="57" t="s">
        <v>133</v>
      </c>
      <c r="D130" s="57" t="s">
        <v>134</v>
      </c>
      <c r="E130" s="57" t="s">
        <v>135</v>
      </c>
      <c r="F130" s="57" t="s">
        <v>136</v>
      </c>
      <c r="G130" s="57" t="s">
        <v>137</v>
      </c>
      <c r="H130" s="57" t="s">
        <v>138</v>
      </c>
      <c r="I130" s="59" t="s">
        <v>139</v>
      </c>
      <c r="J130" s="60"/>
    </row>
    <row r="131" spans="1:12" ht="16.5" customHeight="1" x14ac:dyDescent="0.25">
      <c r="A131" s="145">
        <f>I48</f>
        <v>3731.4480000000003</v>
      </c>
      <c r="B131" s="145"/>
      <c r="C131" s="62">
        <f>I66</f>
        <v>1373.1728640000001</v>
      </c>
      <c r="D131" s="62">
        <f>I78</f>
        <v>951.306547464</v>
      </c>
      <c r="E131" s="62">
        <f>I85</f>
        <v>265.52983968000001</v>
      </c>
      <c r="F131" s="62">
        <f>I89</f>
        <v>350.0808094667521</v>
      </c>
      <c r="G131" s="62">
        <f>I101</f>
        <v>648.46500000000003</v>
      </c>
      <c r="H131" s="62">
        <f>A131+C131+D131+E131+F131+G131</f>
        <v>7320.0030606107521</v>
      </c>
      <c r="I131" s="62">
        <f>H131-I129</f>
        <v>7293.6630606107519</v>
      </c>
      <c r="J131" s="34"/>
    </row>
    <row r="132" spans="1:12" ht="4.5" customHeight="1" x14ac:dyDescent="0.25">
      <c r="A132" s="29"/>
      <c r="B132" s="146"/>
      <c r="C132" s="146"/>
      <c r="D132" s="146"/>
      <c r="E132" s="146"/>
      <c r="F132" s="146"/>
      <c r="G132" s="146"/>
      <c r="H132" s="146"/>
      <c r="I132" s="146"/>
    </row>
    <row r="133" spans="1:12" ht="33.75" customHeight="1" x14ac:dyDescent="0.25">
      <c r="A133" s="22" t="s">
        <v>57</v>
      </c>
      <c r="B133" s="132" t="s">
        <v>140</v>
      </c>
      <c r="C133" s="132"/>
      <c r="D133" s="132"/>
      <c r="E133" s="132"/>
      <c r="F133" s="132"/>
      <c r="G133" s="132"/>
      <c r="H133" s="22" t="s">
        <v>44</v>
      </c>
      <c r="I133" s="22" t="s">
        <v>45</v>
      </c>
    </row>
    <row r="134" spans="1:12" ht="15" customHeight="1" x14ac:dyDescent="0.25">
      <c r="A134" s="15">
        <v>1</v>
      </c>
      <c r="B134" s="122" t="s">
        <v>141</v>
      </c>
      <c r="C134" s="122"/>
      <c r="D134" s="122"/>
      <c r="E134" s="122"/>
      <c r="F134" s="122"/>
      <c r="G134" s="122"/>
      <c r="H134" s="23">
        <f>I134/$I$144</f>
        <v>0</v>
      </c>
      <c r="I134" s="24">
        <v>0</v>
      </c>
    </row>
    <row r="135" spans="1:12" ht="15" customHeight="1" x14ac:dyDescent="0.25">
      <c r="A135" s="15">
        <v>2</v>
      </c>
      <c r="B135" s="122" t="s">
        <v>142</v>
      </c>
      <c r="C135" s="122"/>
      <c r="D135" s="122"/>
      <c r="E135" s="122"/>
      <c r="F135" s="122"/>
      <c r="G135" s="122"/>
      <c r="H135" s="23">
        <f>I135/$I$144</f>
        <v>0</v>
      </c>
      <c r="I135" s="24">
        <v>0</v>
      </c>
    </row>
    <row r="136" spans="1:12" ht="34.5" customHeight="1" x14ac:dyDescent="0.25">
      <c r="A136" s="133" t="s">
        <v>143</v>
      </c>
      <c r="B136" s="133"/>
      <c r="C136" s="133"/>
      <c r="D136" s="133"/>
      <c r="E136" s="133"/>
      <c r="F136" s="133"/>
      <c r="G136" s="133"/>
      <c r="H136" s="25">
        <f>H134+H135</f>
        <v>0</v>
      </c>
      <c r="I136" s="26">
        <f>SUM(I134:I135)</f>
        <v>0</v>
      </c>
    </row>
    <row r="137" spans="1:12" ht="4.5" customHeight="1" x14ac:dyDescent="0.25"/>
    <row r="138" spans="1:12" ht="33.75" customHeight="1" x14ac:dyDescent="0.25">
      <c r="A138" s="22" t="s">
        <v>70</v>
      </c>
      <c r="B138" s="132" t="s">
        <v>144</v>
      </c>
      <c r="C138" s="132"/>
      <c r="D138" s="132"/>
      <c r="E138" s="132"/>
      <c r="F138" s="132"/>
      <c r="G138" s="132"/>
      <c r="H138" s="22" t="s">
        <v>44</v>
      </c>
      <c r="I138" s="22" t="s">
        <v>45</v>
      </c>
    </row>
    <row r="139" spans="1:12" ht="15" customHeight="1" x14ac:dyDescent="0.25">
      <c r="A139" s="15">
        <v>1</v>
      </c>
      <c r="B139" s="122" t="s">
        <v>144</v>
      </c>
      <c r="C139" s="122"/>
      <c r="D139" s="122"/>
      <c r="E139" s="122"/>
      <c r="F139" s="122"/>
      <c r="G139" s="122"/>
      <c r="H139" s="23">
        <f>I139/I144</f>
        <v>0</v>
      </c>
      <c r="I139" s="24">
        <v>0</v>
      </c>
    </row>
    <row r="140" spans="1:12" ht="34.5" customHeight="1" x14ac:dyDescent="0.25">
      <c r="A140" s="133" t="s">
        <v>145</v>
      </c>
      <c r="B140" s="133"/>
      <c r="C140" s="133"/>
      <c r="D140" s="133"/>
      <c r="E140" s="133"/>
      <c r="F140" s="133"/>
      <c r="G140" s="133"/>
      <c r="H140" s="25">
        <f>H139</f>
        <v>0</v>
      </c>
      <c r="I140" s="26">
        <f>I139</f>
        <v>0</v>
      </c>
      <c r="J140" s="34"/>
      <c r="K140" s="34"/>
      <c r="L140" s="6"/>
    </row>
    <row r="141" spans="1:12" ht="4.5" customHeight="1" x14ac:dyDescent="0.25">
      <c r="A141" s="28"/>
      <c r="B141" s="28"/>
      <c r="C141" s="28"/>
      <c r="D141" s="28"/>
      <c r="E141" s="28"/>
      <c r="F141" s="28"/>
      <c r="G141" s="28"/>
      <c r="H141" s="35"/>
      <c r="I141" s="36"/>
    </row>
    <row r="142" spans="1:12" ht="39" customHeight="1" x14ac:dyDescent="0.25">
      <c r="A142" s="147" t="s">
        <v>146</v>
      </c>
      <c r="B142" s="147"/>
      <c r="C142" s="147"/>
      <c r="D142" s="147"/>
      <c r="E142" s="147"/>
      <c r="F142" s="55">
        <v>0.18</v>
      </c>
      <c r="G142" s="56">
        <f>I144*F142</f>
        <v>1312.8593509099353</v>
      </c>
      <c r="H142" s="57" t="s">
        <v>131</v>
      </c>
      <c r="I142" s="58">
        <f>I96</f>
        <v>26.340000000000003</v>
      </c>
      <c r="L142" s="6"/>
    </row>
    <row r="143" spans="1:12" s="61" customFormat="1" ht="16.5" customHeight="1" x14ac:dyDescent="0.25">
      <c r="A143" s="144" t="s">
        <v>132</v>
      </c>
      <c r="B143" s="144"/>
      <c r="C143" s="57" t="s">
        <v>133</v>
      </c>
      <c r="D143" s="57" t="s">
        <v>134</v>
      </c>
      <c r="E143" s="57" t="s">
        <v>135</v>
      </c>
      <c r="F143" s="57" t="s">
        <v>136</v>
      </c>
      <c r="G143" s="57" t="s">
        <v>137</v>
      </c>
      <c r="H143" s="57" t="s">
        <v>138</v>
      </c>
      <c r="I143" s="59" t="s">
        <v>139</v>
      </c>
      <c r="J143" s="60"/>
      <c r="L143" s="60"/>
    </row>
    <row r="144" spans="1:12" ht="16.5" customHeight="1" x14ac:dyDescent="0.25">
      <c r="A144" s="145">
        <f>I48</f>
        <v>3731.4480000000003</v>
      </c>
      <c r="B144" s="145"/>
      <c r="C144" s="62">
        <f>I66</f>
        <v>1373.1728640000001</v>
      </c>
      <c r="D144" s="62">
        <f>I78</f>
        <v>951.306547464</v>
      </c>
      <c r="E144" s="62">
        <f>I85</f>
        <v>265.52983968000001</v>
      </c>
      <c r="F144" s="62">
        <f>I89</f>
        <v>350.0808094667521</v>
      </c>
      <c r="G144" s="62">
        <f>I101</f>
        <v>648.46500000000003</v>
      </c>
      <c r="H144" s="62">
        <f>A144+C144+D144+E144+F144+G144</f>
        <v>7320.0030606107521</v>
      </c>
      <c r="I144" s="62">
        <f>H144-I142</f>
        <v>7293.6630606107519</v>
      </c>
      <c r="J144" s="34"/>
      <c r="L144" s="6"/>
    </row>
    <row r="145" spans="1:10" ht="4.5" customHeight="1" x14ac:dyDescent="0.25"/>
    <row r="146" spans="1:10" ht="12" customHeight="1" x14ac:dyDescent="0.25">
      <c r="A146" s="142" t="s">
        <v>147</v>
      </c>
      <c r="B146" s="142"/>
      <c r="C146" s="142"/>
      <c r="D146" s="142"/>
      <c r="E146" s="142"/>
      <c r="F146" s="142"/>
      <c r="G146" s="142"/>
      <c r="H146" s="47">
        <f>H126+H136+H140</f>
        <v>0</v>
      </c>
      <c r="I146" s="48">
        <f>I126+I136+I140</f>
        <v>0</v>
      </c>
    </row>
    <row r="147" spans="1:10" ht="4.5" customHeight="1" x14ac:dyDescent="0.25"/>
    <row r="148" spans="1:10" ht="11.25" customHeight="1" x14ac:dyDescent="0.25">
      <c r="A148" s="131" t="s">
        <v>148</v>
      </c>
      <c r="B148" s="131"/>
      <c r="C148" s="131"/>
      <c r="D148" s="131"/>
      <c r="E148" s="131"/>
      <c r="F148" s="131"/>
      <c r="G148" s="131"/>
      <c r="H148" s="131"/>
      <c r="I148" s="131"/>
    </row>
    <row r="149" spans="1:10" ht="33.75" customHeight="1" x14ac:dyDescent="0.25">
      <c r="A149" s="22" t="s">
        <v>42</v>
      </c>
      <c r="B149" s="132" t="s">
        <v>149</v>
      </c>
      <c r="C149" s="132"/>
      <c r="D149" s="132"/>
      <c r="E149" s="132"/>
      <c r="F149" s="132"/>
      <c r="G149" s="132"/>
      <c r="H149" s="22" t="s">
        <v>44</v>
      </c>
      <c r="I149" s="22" t="s">
        <v>45</v>
      </c>
    </row>
    <row r="150" spans="1:10" ht="15" customHeight="1" x14ac:dyDescent="0.25">
      <c r="A150" s="15">
        <v>1</v>
      </c>
      <c r="B150" s="122" t="s">
        <v>150</v>
      </c>
      <c r="C150" s="122"/>
      <c r="D150" s="122"/>
      <c r="E150" s="122"/>
      <c r="F150" s="122"/>
      <c r="G150" s="122"/>
      <c r="H150" s="23">
        <f>I150/$I$115</f>
        <v>6.9259456579648373E-3</v>
      </c>
      <c r="I150" s="24">
        <f>($D$160/$E$162)*H160</f>
        <v>50.69794341392636</v>
      </c>
    </row>
    <row r="151" spans="1:10" ht="15" customHeight="1" x14ac:dyDescent="0.25">
      <c r="A151" s="15">
        <v>2</v>
      </c>
      <c r="B151" s="122" t="s">
        <v>151</v>
      </c>
      <c r="C151" s="122"/>
      <c r="D151" s="122"/>
      <c r="E151" s="122"/>
      <c r="F151" s="122"/>
      <c r="G151" s="122"/>
      <c r="H151" s="23">
        <f>I151/$I$115</f>
        <v>3.1965903036760786E-2</v>
      </c>
      <c r="I151" s="24">
        <f>($D$160/$E$162)*H161</f>
        <v>233.9905080642755</v>
      </c>
    </row>
    <row r="152" spans="1:10" ht="15" customHeight="1" x14ac:dyDescent="0.25">
      <c r="A152" s="15">
        <v>3</v>
      </c>
      <c r="B152" s="122" t="s">
        <v>20</v>
      </c>
      <c r="C152" s="122"/>
      <c r="D152" s="122"/>
      <c r="E152" s="122"/>
      <c r="F152" s="122"/>
      <c r="G152" s="122"/>
      <c r="H152" s="23">
        <f>I152/$I$115</f>
        <v>2.6638252530633993E-2</v>
      </c>
      <c r="I152" s="24">
        <f>($D$160/$E$162)*H162</f>
        <v>194.99209005356295</v>
      </c>
    </row>
    <row r="153" spans="1:10" ht="15" customHeight="1" x14ac:dyDescent="0.25">
      <c r="A153" s="15">
        <v>4</v>
      </c>
      <c r="B153" s="122" t="s">
        <v>152</v>
      </c>
      <c r="C153" s="122"/>
      <c r="D153" s="122"/>
      <c r="E153" s="122"/>
      <c r="F153" s="122"/>
      <c r="G153" s="122"/>
      <c r="H153" s="23">
        <f>I153/$I$115</f>
        <v>0</v>
      </c>
      <c r="I153" s="24">
        <f>($D$160/$E$162)*H163</f>
        <v>0</v>
      </c>
    </row>
    <row r="154" spans="1:10" ht="15" customHeight="1" x14ac:dyDescent="0.25">
      <c r="A154" s="15">
        <v>5</v>
      </c>
      <c r="B154" s="122" t="s">
        <v>153</v>
      </c>
      <c r="C154" s="122"/>
      <c r="D154" s="122"/>
      <c r="E154" s="122"/>
      <c r="F154" s="122"/>
      <c r="G154" s="122"/>
      <c r="H154" s="23">
        <f>I154/$I$115</f>
        <v>0</v>
      </c>
      <c r="I154" s="24">
        <f>($D$160/$E$162)*H164</f>
        <v>0</v>
      </c>
    </row>
    <row r="155" spans="1:10" ht="15" customHeight="1" x14ac:dyDescent="0.25">
      <c r="A155" s="133" t="s">
        <v>154</v>
      </c>
      <c r="B155" s="133"/>
      <c r="C155" s="133"/>
      <c r="D155" s="133"/>
      <c r="E155" s="133"/>
      <c r="F155" s="133"/>
      <c r="G155" s="133"/>
      <c r="H155" s="25">
        <f>H150+H151+H152+H153+H154</f>
        <v>6.5530101225359613E-2</v>
      </c>
      <c r="I155" s="26">
        <f>SUM(I150:I154)</f>
        <v>479.68054153176479</v>
      </c>
    </row>
    <row r="156" spans="1:10" ht="11.25" customHeight="1" x14ac:dyDescent="0.25">
      <c r="A156" s="29" t="s">
        <v>155</v>
      </c>
      <c r="B156" s="136" t="s">
        <v>156</v>
      </c>
      <c r="C156" s="136"/>
      <c r="D156" s="136"/>
      <c r="E156" s="136"/>
      <c r="F156" s="136"/>
      <c r="G156" s="136"/>
      <c r="H156" s="136"/>
      <c r="I156" s="136"/>
    </row>
    <row r="157" spans="1:10" ht="20.25" customHeight="1" x14ac:dyDescent="0.25">
      <c r="A157" s="29" t="s">
        <v>157</v>
      </c>
      <c r="B157" s="148" t="s">
        <v>158</v>
      </c>
      <c r="C157" s="148"/>
      <c r="D157" s="148"/>
      <c r="E157" s="148"/>
      <c r="F157" s="148"/>
      <c r="G157" s="148"/>
      <c r="H157" s="148"/>
      <c r="I157" s="148"/>
    </row>
    <row r="158" spans="1:10" ht="13.5" customHeight="1" x14ac:dyDescent="0.25">
      <c r="A158" s="139" t="s">
        <v>159</v>
      </c>
      <c r="B158" s="139"/>
      <c r="C158" s="139"/>
      <c r="D158" s="139"/>
      <c r="E158" s="139"/>
      <c r="F158" s="139"/>
      <c r="G158" s="139"/>
      <c r="H158" s="139"/>
      <c r="I158" s="139"/>
    </row>
    <row r="159" spans="1:10" ht="13.5" customHeight="1" x14ac:dyDescent="0.25">
      <c r="A159" s="114" t="s">
        <v>160</v>
      </c>
      <c r="B159" s="114"/>
      <c r="C159" s="4" t="s">
        <v>161</v>
      </c>
      <c r="D159" s="130" t="s">
        <v>162</v>
      </c>
      <c r="E159" s="130"/>
      <c r="F159" s="4" t="s">
        <v>163</v>
      </c>
      <c r="G159" s="4" t="s">
        <v>164</v>
      </c>
      <c r="H159" s="149" t="s">
        <v>165</v>
      </c>
      <c r="I159" s="149"/>
    </row>
    <row r="160" spans="1:10" ht="13.5" customHeight="1" x14ac:dyDescent="0.25">
      <c r="A160" s="150">
        <f>I115</f>
        <v>7320.0030606107521</v>
      </c>
      <c r="B160" s="150"/>
      <c r="C160" s="24">
        <f>I146</f>
        <v>0</v>
      </c>
      <c r="D160" s="151">
        <f>A160+C160</f>
        <v>7320.0030606107521</v>
      </c>
      <c r="E160" s="151"/>
      <c r="F160" s="15" t="s">
        <v>150</v>
      </c>
      <c r="G160" s="43">
        <v>1.6500000000000001E-2</v>
      </c>
      <c r="H160" s="152">
        <v>6.4999999999999997E-3</v>
      </c>
      <c r="I160" s="152"/>
      <c r="J160" s="34"/>
    </row>
    <row r="161" spans="1:10" ht="13.5" customHeight="1" x14ac:dyDescent="0.25">
      <c r="A161" s="122" t="s">
        <v>166</v>
      </c>
      <c r="B161" s="122"/>
      <c r="C161" s="15">
        <v>1</v>
      </c>
      <c r="D161" s="63">
        <f>G165/1</f>
        <v>0.11749999999999999</v>
      </c>
      <c r="E161" s="64">
        <f>C161-D161</f>
        <v>0.88250000000000006</v>
      </c>
      <c r="F161" s="15" t="s">
        <v>151</v>
      </c>
      <c r="G161" s="43">
        <v>7.5999999999999998E-2</v>
      </c>
      <c r="H161" s="152">
        <v>0.03</v>
      </c>
      <c r="I161" s="152"/>
    </row>
    <row r="162" spans="1:10" ht="13.5" customHeight="1" x14ac:dyDescent="0.25">
      <c r="A162" s="154" t="s">
        <v>167</v>
      </c>
      <c r="B162" s="154"/>
      <c r="C162" s="15">
        <v>1</v>
      </c>
      <c r="D162" s="63">
        <f>H165</f>
        <v>6.1499999999999999E-2</v>
      </c>
      <c r="E162" s="65">
        <f>C162-D162</f>
        <v>0.9385</v>
      </c>
      <c r="F162" s="15" t="s">
        <v>20</v>
      </c>
      <c r="G162" s="43">
        <f>I11</f>
        <v>2.5000000000000001E-2</v>
      </c>
      <c r="H162" s="152">
        <f>I11</f>
        <v>2.5000000000000001E-2</v>
      </c>
      <c r="I162" s="152"/>
    </row>
    <row r="163" spans="1:10" ht="13.5" customHeight="1" x14ac:dyDescent="0.25">
      <c r="A163" s="154" t="s">
        <v>168</v>
      </c>
      <c r="B163" s="154"/>
      <c r="C163" s="15">
        <v>1</v>
      </c>
      <c r="D163" s="66">
        <v>0.09</v>
      </c>
      <c r="E163" s="67">
        <f>C163-D163</f>
        <v>0.91</v>
      </c>
      <c r="F163" s="15" t="s">
        <v>169</v>
      </c>
      <c r="G163" s="43">
        <v>0</v>
      </c>
      <c r="H163" s="152">
        <v>0</v>
      </c>
      <c r="I163" s="152"/>
    </row>
    <row r="164" spans="1:10" ht="13.5" customHeight="1" x14ac:dyDescent="0.25">
      <c r="A164" s="166" t="s">
        <v>170</v>
      </c>
      <c r="B164" s="166" t="s">
        <v>171</v>
      </c>
      <c r="C164" s="166"/>
      <c r="D164" s="166"/>
      <c r="E164" s="166"/>
      <c r="F164" s="13" t="s">
        <v>172</v>
      </c>
      <c r="G164" s="43">
        <v>0</v>
      </c>
      <c r="H164" s="152">
        <v>0</v>
      </c>
      <c r="I164" s="152"/>
    </row>
    <row r="165" spans="1:10" ht="18" customHeight="1" x14ac:dyDescent="0.25">
      <c r="A165" s="166"/>
      <c r="B165" s="166"/>
      <c r="C165" s="166"/>
      <c r="D165" s="166"/>
      <c r="E165" s="166"/>
      <c r="F165" s="4" t="s">
        <v>173</v>
      </c>
      <c r="G165" s="68">
        <f>SUM(G160:G164)</f>
        <v>0.11749999999999999</v>
      </c>
      <c r="H165" s="156">
        <f>SUM(H160:I164)</f>
        <v>6.1499999999999999E-2</v>
      </c>
      <c r="I165" s="156"/>
    </row>
    <row r="166" spans="1:10" ht="48.75" customHeight="1" x14ac:dyDescent="0.25">
      <c r="A166" s="167" t="s">
        <v>174</v>
      </c>
      <c r="B166" s="167"/>
      <c r="C166" s="167"/>
      <c r="D166" s="167"/>
      <c r="E166" s="167"/>
      <c r="F166" s="167"/>
      <c r="G166" s="167"/>
      <c r="H166" s="167"/>
      <c r="I166" s="167"/>
    </row>
    <row r="167" spans="1:10" ht="12" customHeight="1" x14ac:dyDescent="0.25">
      <c r="A167" s="29" t="s">
        <v>175</v>
      </c>
      <c r="B167" s="148" t="s">
        <v>176</v>
      </c>
      <c r="C167" s="148"/>
      <c r="D167" s="148"/>
      <c r="E167" s="148"/>
      <c r="F167" s="148"/>
      <c r="G167" s="148"/>
      <c r="H167" s="148"/>
      <c r="I167" s="148"/>
    </row>
    <row r="168" spans="1:10" ht="4.5" customHeight="1" x14ac:dyDescent="0.25">
      <c r="A168" s="69"/>
      <c r="B168" s="158"/>
      <c r="C168" s="158"/>
      <c r="D168" s="158"/>
      <c r="E168" s="158"/>
      <c r="F168" s="158"/>
      <c r="G168" s="158"/>
      <c r="H168" s="158"/>
      <c r="I168" s="158"/>
    </row>
    <row r="169" spans="1:10" ht="12" customHeight="1" x14ac:dyDescent="0.25">
      <c r="A169" s="142" t="s">
        <v>177</v>
      </c>
      <c r="B169" s="142"/>
      <c r="C169" s="142"/>
      <c r="D169" s="142"/>
      <c r="E169" s="142"/>
      <c r="F169" s="142"/>
      <c r="G169" s="142"/>
      <c r="H169" s="47">
        <f>H155</f>
        <v>6.5530101225359613E-2</v>
      </c>
      <c r="I169" s="48">
        <f>I155</f>
        <v>479.68054153176479</v>
      </c>
    </row>
    <row r="170" spans="1:10" ht="4.5" customHeight="1" x14ac:dyDescent="0.25"/>
    <row r="171" spans="1:10" ht="11.25" customHeight="1" x14ac:dyDescent="0.25">
      <c r="A171" s="159" t="s">
        <v>178</v>
      </c>
      <c r="B171" s="159"/>
      <c r="C171" s="159"/>
      <c r="D171" s="159"/>
      <c r="E171" s="159"/>
      <c r="F171" s="159"/>
      <c r="G171" s="159"/>
      <c r="H171" s="159"/>
      <c r="I171" s="159"/>
    </row>
    <row r="172" spans="1:10" ht="11.25" customHeight="1" x14ac:dyDescent="0.25">
      <c r="A172" s="131" t="s">
        <v>41</v>
      </c>
      <c r="B172" s="131"/>
      <c r="C172" s="131"/>
      <c r="D172" s="131"/>
      <c r="E172" s="131"/>
      <c r="F172" s="131"/>
      <c r="G172" s="131"/>
      <c r="H172" s="131"/>
      <c r="I172" s="131"/>
    </row>
    <row r="173" spans="1:10" ht="15" customHeight="1" x14ac:dyDescent="0.25">
      <c r="A173" s="15">
        <v>1</v>
      </c>
      <c r="B173" s="122" t="s">
        <v>179</v>
      </c>
      <c r="C173" s="122"/>
      <c r="D173" s="122"/>
      <c r="E173" s="122"/>
      <c r="F173" s="122"/>
      <c r="G173" s="122"/>
      <c r="H173" s="23">
        <f>I173/$G$196</f>
        <v>0.47841039632395177</v>
      </c>
      <c r="I173" s="70">
        <f>I48</f>
        <v>3731.4480000000003</v>
      </c>
    </row>
    <row r="174" spans="1:10" ht="15" customHeight="1" x14ac:dyDescent="0.25">
      <c r="A174" s="15">
        <v>2</v>
      </c>
      <c r="B174" s="122" t="s">
        <v>180</v>
      </c>
      <c r="C174" s="122"/>
      <c r="D174" s="122"/>
      <c r="E174" s="122"/>
      <c r="F174" s="122"/>
      <c r="G174" s="122"/>
      <c r="H174" s="23">
        <f>I174/$G$196</f>
        <v>0.37695008777421024</v>
      </c>
      <c r="I174" s="70">
        <f>I66+I78+I85+I89</f>
        <v>2940.0900606107521</v>
      </c>
    </row>
    <row r="175" spans="1:10" ht="15" customHeight="1" x14ac:dyDescent="0.25">
      <c r="A175" s="15">
        <v>3</v>
      </c>
      <c r="B175" s="122" t="s">
        <v>181</v>
      </c>
      <c r="C175" s="122"/>
      <c r="D175" s="122"/>
      <c r="E175" s="122"/>
      <c r="F175" s="122"/>
      <c r="G175" s="122"/>
      <c r="H175" s="23">
        <f>I175/$G$196</f>
        <v>8.3139949331254612E-2</v>
      </c>
      <c r="I175" s="70">
        <f>I101</f>
        <v>648.46500000000003</v>
      </c>
    </row>
    <row r="176" spans="1:10" s="28" customFormat="1" ht="15" customHeight="1" x14ac:dyDescent="0.25">
      <c r="A176" s="142" t="s">
        <v>182</v>
      </c>
      <c r="B176" s="142"/>
      <c r="C176" s="142"/>
      <c r="D176" s="142"/>
      <c r="E176" s="142"/>
      <c r="F176" s="142"/>
      <c r="G176" s="142"/>
      <c r="H176" s="47">
        <f>H173+H174+H175</f>
        <v>0.93850043342941658</v>
      </c>
      <c r="I176" s="48">
        <f>SUM(I173:I175)</f>
        <v>7320.0030606107521</v>
      </c>
      <c r="J176" s="35"/>
    </row>
    <row r="177" spans="1:11" ht="4.5" customHeight="1" x14ac:dyDescent="0.25"/>
    <row r="178" spans="1:11" ht="11.25" customHeight="1" x14ac:dyDescent="0.25">
      <c r="A178" s="131" t="s">
        <v>119</v>
      </c>
      <c r="B178" s="131"/>
      <c r="C178" s="131"/>
      <c r="D178" s="131"/>
      <c r="E178" s="131"/>
      <c r="F178" s="131"/>
      <c r="G178" s="131"/>
      <c r="H178" s="131"/>
      <c r="I178" s="131"/>
    </row>
    <row r="179" spans="1:11" ht="15" customHeight="1" x14ac:dyDescent="0.25">
      <c r="A179" s="15">
        <v>1</v>
      </c>
      <c r="B179" s="122" t="s">
        <v>183</v>
      </c>
      <c r="C179" s="122"/>
      <c r="D179" s="122"/>
      <c r="E179" s="122"/>
      <c r="F179" s="122"/>
      <c r="G179" s="122"/>
      <c r="H179" s="23">
        <f>I179/$G$196</f>
        <v>0</v>
      </c>
      <c r="I179" s="24">
        <f>I126</f>
        <v>0</v>
      </c>
    </row>
    <row r="180" spans="1:11" ht="15" customHeight="1" x14ac:dyDescent="0.25">
      <c r="A180" s="15">
        <v>2</v>
      </c>
      <c r="B180" s="122" t="s">
        <v>184</v>
      </c>
      <c r="C180" s="122"/>
      <c r="D180" s="122"/>
      <c r="E180" s="122"/>
      <c r="F180" s="122"/>
      <c r="G180" s="122"/>
      <c r="H180" s="23">
        <f>I180/$G$196</f>
        <v>0</v>
      </c>
      <c r="I180" s="24">
        <f>I136</f>
        <v>0</v>
      </c>
    </row>
    <row r="181" spans="1:11" ht="15" customHeight="1" x14ac:dyDescent="0.25">
      <c r="A181" s="15">
        <v>3</v>
      </c>
      <c r="B181" s="122" t="s">
        <v>185</v>
      </c>
      <c r="C181" s="122"/>
      <c r="D181" s="122"/>
      <c r="E181" s="122"/>
      <c r="F181" s="122"/>
      <c r="G181" s="122"/>
      <c r="H181" s="23">
        <f>I181/$G$196</f>
        <v>0</v>
      </c>
      <c r="I181" s="24">
        <f>I140</f>
        <v>0</v>
      </c>
    </row>
    <row r="182" spans="1:11" ht="15" customHeight="1" x14ac:dyDescent="0.25">
      <c r="A182" s="142" t="s">
        <v>186</v>
      </c>
      <c r="B182" s="142"/>
      <c r="C182" s="142"/>
      <c r="D182" s="142"/>
      <c r="E182" s="142"/>
      <c r="F182" s="142"/>
      <c r="G182" s="142"/>
      <c r="H182" s="47">
        <f>H179+H180+H181</f>
        <v>0</v>
      </c>
      <c r="I182" s="48">
        <f>I179+I180+I181</f>
        <v>0</v>
      </c>
    </row>
    <row r="183" spans="1:11" ht="4.5" customHeight="1" x14ac:dyDescent="0.25"/>
    <row r="184" spans="1:11" ht="11.25" customHeight="1" x14ac:dyDescent="0.25">
      <c r="A184" s="131" t="s">
        <v>148</v>
      </c>
      <c r="B184" s="131"/>
      <c r="C184" s="131"/>
      <c r="D184" s="131"/>
      <c r="E184" s="131"/>
      <c r="F184" s="131"/>
      <c r="G184" s="131"/>
      <c r="H184" s="131"/>
      <c r="I184" s="131"/>
    </row>
    <row r="185" spans="1:11" ht="15" customHeight="1" x14ac:dyDescent="0.25">
      <c r="A185" s="15">
        <v>1</v>
      </c>
      <c r="B185" s="122" t="s">
        <v>187</v>
      </c>
      <c r="C185" s="122"/>
      <c r="D185" s="122"/>
      <c r="E185" s="122"/>
      <c r="F185" s="122"/>
      <c r="G185" s="122"/>
      <c r="H185" s="23">
        <f>I185/$G$196</f>
        <v>6.1500028402673539E-2</v>
      </c>
      <c r="I185" s="24">
        <f>I155</f>
        <v>479.68054153176479</v>
      </c>
    </row>
    <row r="186" spans="1:11" ht="15" customHeight="1" x14ac:dyDescent="0.25">
      <c r="A186" s="142" t="s">
        <v>188</v>
      </c>
      <c r="B186" s="142"/>
      <c r="C186" s="142"/>
      <c r="D186" s="142"/>
      <c r="E186" s="142"/>
      <c r="F186" s="142"/>
      <c r="G186" s="142"/>
      <c r="H186" s="47">
        <f>H185</f>
        <v>6.1500028402673539E-2</v>
      </c>
      <c r="I186" s="48">
        <f>I155</f>
        <v>479.68054153176479</v>
      </c>
      <c r="K186" s="41"/>
    </row>
    <row r="187" spans="1:11" ht="4.5" customHeight="1" x14ac:dyDescent="0.25"/>
    <row r="188" spans="1:11" ht="11.25" customHeight="1" x14ac:dyDescent="0.25">
      <c r="A188" s="160" t="s">
        <v>189</v>
      </c>
      <c r="B188" s="160"/>
      <c r="C188" s="160"/>
      <c r="D188" s="160"/>
      <c r="E188" s="160"/>
      <c r="F188" s="160"/>
      <c r="G188" s="160"/>
      <c r="H188" s="160"/>
      <c r="I188" s="160"/>
    </row>
    <row r="189" spans="1:11" ht="4.5" customHeight="1" x14ac:dyDescent="0.25">
      <c r="A189" s="161"/>
      <c r="B189" s="161"/>
      <c r="C189" s="161"/>
      <c r="D189" s="161"/>
      <c r="E189" s="161"/>
      <c r="F189" s="161"/>
      <c r="G189" s="161"/>
      <c r="H189" s="161"/>
      <c r="I189" s="161"/>
    </row>
    <row r="190" spans="1:11" ht="22.5" customHeight="1" x14ac:dyDescent="0.25">
      <c r="A190" s="160" t="s">
        <v>190</v>
      </c>
      <c r="B190" s="160"/>
      <c r="C190" s="160"/>
      <c r="D190" s="160"/>
      <c r="E190" s="160"/>
      <c r="F190" s="160"/>
      <c r="G190" s="160"/>
      <c r="H190" s="160"/>
      <c r="I190" s="73">
        <f>I122*H196</f>
        <v>0</v>
      </c>
    </row>
    <row r="191" spans="1:11" ht="4.5" customHeight="1" x14ac:dyDescent="0.25">
      <c r="A191" s="72"/>
      <c r="B191" s="72"/>
      <c r="C191" s="72"/>
      <c r="D191" s="72"/>
      <c r="E191" s="72"/>
      <c r="F191" s="72"/>
      <c r="G191" s="74"/>
      <c r="H191" s="74"/>
      <c r="I191" s="74"/>
    </row>
    <row r="192" spans="1:11" ht="63.75" customHeight="1" x14ac:dyDescent="0.25">
      <c r="A192" s="160" t="s">
        <v>191</v>
      </c>
      <c r="B192" s="160"/>
      <c r="C192" s="160"/>
      <c r="D192" s="160"/>
      <c r="E192" s="160"/>
      <c r="F192" s="160"/>
      <c r="G192" s="162" t="s">
        <v>192</v>
      </c>
      <c r="H192" s="162"/>
      <c r="I192" s="162"/>
    </row>
    <row r="193" spans="1:9" ht="11.25" customHeight="1" x14ac:dyDescent="0.25">
      <c r="A193" s="160"/>
      <c r="B193" s="160"/>
      <c r="C193" s="160"/>
      <c r="D193" s="160"/>
      <c r="E193" s="160"/>
      <c r="F193" s="160"/>
      <c r="G193" s="75"/>
      <c r="H193" s="73"/>
      <c r="I193" s="73">
        <f>((H70+H76+H77+H82+H83+H84)+((H70+H76+H77+H82+H83+H84)*H66))*I48*H196</f>
        <v>2873.3808751038723</v>
      </c>
    </row>
    <row r="194" spans="1:9" ht="4.5" customHeight="1" x14ac:dyDescent="0.25">
      <c r="A194" s="161"/>
      <c r="B194" s="161"/>
      <c r="C194" s="161"/>
      <c r="D194" s="161"/>
      <c r="E194" s="161"/>
      <c r="F194" s="161"/>
      <c r="G194" s="161"/>
      <c r="H194" s="161"/>
      <c r="I194" s="161"/>
    </row>
    <row r="195" spans="1:9" ht="35.25" customHeight="1" x14ac:dyDescent="0.25">
      <c r="A195" s="160" t="s">
        <v>193</v>
      </c>
      <c r="B195" s="160"/>
      <c r="C195" s="160"/>
      <c r="D195" s="160"/>
      <c r="E195" s="160"/>
      <c r="F195" s="160"/>
      <c r="G195" s="76" t="s">
        <v>194</v>
      </c>
      <c r="H195" s="76" t="s">
        <v>195</v>
      </c>
      <c r="I195" s="76" t="s">
        <v>196</v>
      </c>
    </row>
    <row r="196" spans="1:9" ht="14.25" customHeight="1" x14ac:dyDescent="0.25">
      <c r="A196" s="160"/>
      <c r="B196" s="160"/>
      <c r="C196" s="160"/>
      <c r="D196" s="160"/>
      <c r="E196" s="160"/>
      <c r="F196" s="160"/>
      <c r="G196" s="77">
        <f>ROUND(I176+I182+I186,2)</f>
        <v>7799.68</v>
      </c>
      <c r="H196" s="71">
        <f>IF(D6="12x36",2,1)</f>
        <v>2</v>
      </c>
      <c r="I196" s="78">
        <f>G196*H196</f>
        <v>15599.36</v>
      </c>
    </row>
  </sheetData>
  <mergeCells count="183">
    <mergeCell ref="A188:I188"/>
    <mergeCell ref="A189:I189"/>
    <mergeCell ref="A190:H190"/>
    <mergeCell ref="A192:F193"/>
    <mergeCell ref="G192:I192"/>
    <mergeCell ref="A194:I194"/>
    <mergeCell ref="A195:F196"/>
    <mergeCell ref="A176:G176"/>
    <mergeCell ref="A178:I178"/>
    <mergeCell ref="B179:G179"/>
    <mergeCell ref="B180:G180"/>
    <mergeCell ref="B181:G181"/>
    <mergeCell ref="A182:G182"/>
    <mergeCell ref="A184:I184"/>
    <mergeCell ref="B185:G185"/>
    <mergeCell ref="A186:G186"/>
    <mergeCell ref="A166:I166"/>
    <mergeCell ref="B167:I167"/>
    <mergeCell ref="B168:I168"/>
    <mergeCell ref="A169:G169"/>
    <mergeCell ref="A171:I171"/>
    <mergeCell ref="A172:I172"/>
    <mergeCell ref="B173:G173"/>
    <mergeCell ref="B174:G174"/>
    <mergeCell ref="B175:G175"/>
    <mergeCell ref="A161:B161"/>
    <mergeCell ref="H161:I161"/>
    <mergeCell ref="A162:B162"/>
    <mergeCell ref="H162:I162"/>
    <mergeCell ref="A163:B163"/>
    <mergeCell ref="H163:I163"/>
    <mergeCell ref="A164:A165"/>
    <mergeCell ref="B164:E165"/>
    <mergeCell ref="H164:I164"/>
    <mergeCell ref="H165:I165"/>
    <mergeCell ref="A155:G155"/>
    <mergeCell ref="B156:I156"/>
    <mergeCell ref="B157:I157"/>
    <mergeCell ref="A158:I158"/>
    <mergeCell ref="A159:B159"/>
    <mergeCell ref="D159:E159"/>
    <mergeCell ref="H159:I159"/>
    <mergeCell ref="A160:B160"/>
    <mergeCell ref="D160:E160"/>
    <mergeCell ref="H160:I160"/>
    <mergeCell ref="A144:B144"/>
    <mergeCell ref="A146:G146"/>
    <mergeCell ref="A148:I148"/>
    <mergeCell ref="B149:G149"/>
    <mergeCell ref="B150:G150"/>
    <mergeCell ref="B151:G151"/>
    <mergeCell ref="B152:G152"/>
    <mergeCell ref="B153:G153"/>
    <mergeCell ref="B154:G154"/>
    <mergeCell ref="B133:G133"/>
    <mergeCell ref="B134:G134"/>
    <mergeCell ref="B135:G135"/>
    <mergeCell ref="A136:G136"/>
    <mergeCell ref="B138:G138"/>
    <mergeCell ref="B139:G139"/>
    <mergeCell ref="A140:G140"/>
    <mergeCell ref="A142:E142"/>
    <mergeCell ref="A143:B143"/>
    <mergeCell ref="B123:G123"/>
    <mergeCell ref="B124:G124"/>
    <mergeCell ref="B125:G125"/>
    <mergeCell ref="A126:G126"/>
    <mergeCell ref="B127:I127"/>
    <mergeCell ref="A129:E129"/>
    <mergeCell ref="A130:B130"/>
    <mergeCell ref="A131:B131"/>
    <mergeCell ref="B132:I132"/>
    <mergeCell ref="A112:B112"/>
    <mergeCell ref="A113:B113"/>
    <mergeCell ref="A115:G115"/>
    <mergeCell ref="A117:I117"/>
    <mergeCell ref="B118:G118"/>
    <mergeCell ref="B119:G119"/>
    <mergeCell ref="B120:G120"/>
    <mergeCell ref="B121:G121"/>
    <mergeCell ref="B122:G122"/>
    <mergeCell ref="A101:G101"/>
    <mergeCell ref="B102:G102"/>
    <mergeCell ref="A103:I103"/>
    <mergeCell ref="A104:B104"/>
    <mergeCell ref="A105:B105"/>
    <mergeCell ref="A107:I107"/>
    <mergeCell ref="A108:B108"/>
    <mergeCell ref="A109:B109"/>
    <mergeCell ref="A111:I111"/>
    <mergeCell ref="A91:G91"/>
    <mergeCell ref="B93:G93"/>
    <mergeCell ref="B94:G94"/>
    <mergeCell ref="B95:G95"/>
    <mergeCell ref="B96:G96"/>
    <mergeCell ref="B97:G97"/>
    <mergeCell ref="B98:G98"/>
    <mergeCell ref="B99:G99"/>
    <mergeCell ref="B100:G100"/>
    <mergeCell ref="B80:I80"/>
    <mergeCell ref="B81:G81"/>
    <mergeCell ref="B82:G82"/>
    <mergeCell ref="B83:G83"/>
    <mergeCell ref="B84:G84"/>
    <mergeCell ref="A85:G85"/>
    <mergeCell ref="B87:G87"/>
    <mergeCell ref="B88:G88"/>
    <mergeCell ref="A89:G89"/>
    <mergeCell ref="B71:G71"/>
    <mergeCell ref="B72:G72"/>
    <mergeCell ref="B73:G73"/>
    <mergeCell ref="B74:G74"/>
    <mergeCell ref="B75:G75"/>
    <mergeCell ref="B76:G76"/>
    <mergeCell ref="B77:G77"/>
    <mergeCell ref="A78:G78"/>
    <mergeCell ref="B79:I79"/>
    <mergeCell ref="B62:G62"/>
    <mergeCell ref="B63:G63"/>
    <mergeCell ref="B64:G64"/>
    <mergeCell ref="B65:G65"/>
    <mergeCell ref="A66:G66"/>
    <mergeCell ref="A67:I67"/>
    <mergeCell ref="A68:I68"/>
    <mergeCell ref="B69:G69"/>
    <mergeCell ref="B70:G70"/>
    <mergeCell ref="B46:G46"/>
    <mergeCell ref="B47:G47"/>
    <mergeCell ref="A48:G48"/>
    <mergeCell ref="A49:I56"/>
    <mergeCell ref="B57:G57"/>
    <mergeCell ref="B58:G58"/>
    <mergeCell ref="B59:G59"/>
    <mergeCell ref="B60:G60"/>
    <mergeCell ref="B61:G61"/>
    <mergeCell ref="B37:G37"/>
    <mergeCell ref="B38:G38"/>
    <mergeCell ref="B39:G39"/>
    <mergeCell ref="B40:G40"/>
    <mergeCell ref="B41:G41"/>
    <mergeCell ref="B42:G42"/>
    <mergeCell ref="B43:G43"/>
    <mergeCell ref="B44:G44"/>
    <mergeCell ref="B45:G45"/>
    <mergeCell ref="A23:F23"/>
    <mergeCell ref="A24:F24"/>
    <mergeCell ref="A25:F25"/>
    <mergeCell ref="A26:F27"/>
    <mergeCell ref="A28:F28"/>
    <mergeCell ref="A29:F29"/>
    <mergeCell ref="A30:I34"/>
    <mergeCell ref="A35:I35"/>
    <mergeCell ref="B36:G36"/>
    <mergeCell ref="A10:F10"/>
    <mergeCell ref="A11:F11"/>
    <mergeCell ref="A12:F12"/>
    <mergeCell ref="A13:F13"/>
    <mergeCell ref="A14:F16"/>
    <mergeCell ref="G14:G16"/>
    <mergeCell ref="A17:F19"/>
    <mergeCell ref="G17:G19"/>
    <mergeCell ref="A20:F22"/>
    <mergeCell ref="G20:G22"/>
    <mergeCell ref="A7:C7"/>
    <mergeCell ref="D7:F7"/>
    <mergeCell ref="G7:H8"/>
    <mergeCell ref="I7:I8"/>
    <mergeCell ref="A8:C8"/>
    <mergeCell ref="D8:F8"/>
    <mergeCell ref="A9:C9"/>
    <mergeCell ref="D9:F9"/>
    <mergeCell ref="G9:H9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L196"/>
  <sheetViews>
    <sheetView view="pageBreakPreview" topLeftCell="A82" zoomScale="130" zoomScaleNormal="130" zoomScalePageLayoutView="130" workbookViewId="0">
      <selection activeCell="I140" sqref="I140"/>
    </sheetView>
  </sheetViews>
  <sheetFormatPr defaultColWidth="9.28515625" defaultRowHeight="11.25" x14ac:dyDescent="0.25"/>
  <cols>
    <col min="1" max="1" width="2.7109375" style="5" customWidth="1"/>
    <col min="2" max="4" width="11.28515625" style="5" customWidth="1"/>
    <col min="5" max="5" width="12.28515625" style="5" customWidth="1"/>
    <col min="6" max="7" width="11.28515625" style="5" customWidth="1"/>
    <col min="8" max="8" width="9.28515625" style="5"/>
    <col min="9" max="9" width="11.7109375" style="5" customWidth="1"/>
    <col min="10" max="10" width="11.28515625" style="6" customWidth="1"/>
    <col min="11" max="11" width="10" style="5" customWidth="1"/>
    <col min="12" max="12" width="9.28515625" style="5"/>
    <col min="13" max="15" width="22.28515625" style="5" customWidth="1"/>
    <col min="16" max="16384" width="9.28515625" style="5"/>
  </cols>
  <sheetData>
    <row r="1" spans="1:11" ht="27.75" customHeight="1" x14ac:dyDescent="0.25">
      <c r="A1" s="114" t="s">
        <v>0</v>
      </c>
      <c r="B1" s="114"/>
      <c r="C1" s="114"/>
      <c r="D1" s="114"/>
      <c r="E1" s="114"/>
      <c r="F1" s="114"/>
      <c r="G1" s="114"/>
      <c r="H1" s="114"/>
      <c r="I1" s="114"/>
      <c r="K1" s="7"/>
    </row>
    <row r="2" spans="1:11" ht="22.5" customHeight="1" x14ac:dyDescent="0.25">
      <c r="A2" s="114" t="s">
        <v>1</v>
      </c>
      <c r="B2" s="114"/>
      <c r="C2" s="115" t="s">
        <v>2</v>
      </c>
      <c r="D2" s="115"/>
      <c r="E2" s="116" t="s">
        <v>3</v>
      </c>
      <c r="F2" s="116"/>
      <c r="G2" s="116"/>
      <c r="H2" s="116"/>
      <c r="I2" s="116"/>
    </row>
    <row r="3" spans="1:11" ht="11.25" customHeight="1" x14ac:dyDescent="0.25">
      <c r="A3" s="114" t="s">
        <v>4</v>
      </c>
      <c r="B3" s="114"/>
      <c r="C3" s="8"/>
      <c r="D3" s="9"/>
      <c r="E3" s="10" t="s">
        <v>5</v>
      </c>
      <c r="F3" s="8"/>
      <c r="G3" s="9"/>
      <c r="H3" s="9"/>
      <c r="I3" s="9"/>
    </row>
    <row r="4" spans="1:11" ht="4.5" customHeight="1" x14ac:dyDescent="0.25"/>
    <row r="5" spans="1:11" ht="18.75" customHeight="1" x14ac:dyDescent="0.25">
      <c r="A5" s="117" t="s">
        <v>6</v>
      </c>
      <c r="B5" s="117"/>
      <c r="C5" s="117"/>
      <c r="D5" s="118" t="s">
        <v>240</v>
      </c>
      <c r="E5" s="118"/>
      <c r="F5" s="118"/>
      <c r="G5" s="119" t="str">
        <f>IF(D6="12x36","Regime de trabalho:","Quantidade de HORAS/MÊS")</f>
        <v>Regime de trabalho:</v>
      </c>
      <c r="H5" s="119"/>
      <c r="I5" s="120" t="str">
        <f>IF(D6="12x36",D6,5*D6)</f>
        <v>12x36</v>
      </c>
    </row>
    <row r="6" spans="1:11" ht="18.75" customHeight="1" x14ac:dyDescent="0.25">
      <c r="A6" s="117" t="str">
        <f>IF(D6="12x36","Regime de trabalho:","Regime de trabalho (horas semanais):")</f>
        <v>Regime de trabalho:</v>
      </c>
      <c r="B6" s="117"/>
      <c r="C6" s="117"/>
      <c r="D6" s="117" t="s">
        <v>8</v>
      </c>
      <c r="E6" s="117"/>
      <c r="F6" s="117"/>
      <c r="G6" s="119"/>
      <c r="H6" s="119"/>
      <c r="I6" s="120"/>
    </row>
    <row r="7" spans="1:11" ht="22.5" customHeight="1" x14ac:dyDescent="0.25">
      <c r="A7" s="117" t="s">
        <v>9</v>
      </c>
      <c r="B7" s="117"/>
      <c r="C7" s="117"/>
      <c r="D7" s="121" t="s">
        <v>10</v>
      </c>
      <c r="E7" s="122"/>
      <c r="F7" s="122"/>
      <c r="G7" s="123" t="s">
        <v>11</v>
      </c>
      <c r="H7" s="123"/>
      <c r="I7" s="124" t="s">
        <v>12</v>
      </c>
    </row>
    <row r="8" spans="1:11" ht="22.5" customHeight="1" x14ac:dyDescent="0.25">
      <c r="A8" s="117" t="s">
        <v>13</v>
      </c>
      <c r="B8" s="117"/>
      <c r="C8" s="117"/>
      <c r="D8" s="122" t="s">
        <v>14</v>
      </c>
      <c r="E8" s="122"/>
      <c r="F8" s="122"/>
      <c r="G8" s="123"/>
      <c r="H8" s="123"/>
      <c r="I8" s="124"/>
    </row>
    <row r="9" spans="1:11" ht="24.75" customHeight="1" x14ac:dyDescent="0.25">
      <c r="A9" s="117" t="s">
        <v>15</v>
      </c>
      <c r="B9" s="117"/>
      <c r="C9" s="117"/>
      <c r="D9" s="117" t="s">
        <v>16</v>
      </c>
      <c r="E9" s="117"/>
      <c r="F9" s="117"/>
      <c r="G9" s="123" t="s">
        <v>17</v>
      </c>
      <c r="H9" s="123"/>
      <c r="I9" s="1">
        <v>0.3</v>
      </c>
    </row>
    <row r="10" spans="1:11" ht="32.25" customHeight="1" x14ac:dyDescent="0.25">
      <c r="A10" s="125" t="s">
        <v>18</v>
      </c>
      <c r="B10" s="125"/>
      <c r="C10" s="125"/>
      <c r="D10" s="125"/>
      <c r="E10" s="125"/>
      <c r="F10" s="125"/>
      <c r="G10" s="2" t="s">
        <v>19</v>
      </c>
      <c r="H10" s="11">
        <v>220</v>
      </c>
      <c r="I10" s="12">
        <v>2211</v>
      </c>
    </row>
    <row r="11" spans="1:11" ht="15" customHeight="1" x14ac:dyDescent="0.25">
      <c r="A11" s="126" t="s">
        <v>20</v>
      </c>
      <c r="B11" s="126"/>
      <c r="C11" s="126"/>
      <c r="D11" s="126"/>
      <c r="E11" s="126"/>
      <c r="F11" s="126"/>
      <c r="G11" s="11" t="str">
        <f>D9</f>
        <v>Porto Alegre</v>
      </c>
      <c r="H11" s="11" t="s">
        <v>21</v>
      </c>
      <c r="I11" s="14">
        <v>2.5000000000000001E-2</v>
      </c>
    </row>
    <row r="12" spans="1:11" ht="26.25" customHeight="1" x14ac:dyDescent="0.25">
      <c r="A12" s="127" t="s">
        <v>22</v>
      </c>
      <c r="B12" s="127"/>
      <c r="C12" s="127"/>
      <c r="D12" s="127"/>
      <c r="E12" s="127"/>
      <c r="F12" s="127"/>
      <c r="G12" s="11" t="s">
        <v>14</v>
      </c>
      <c r="H12" s="11" t="s">
        <v>23</v>
      </c>
      <c r="I12" s="12">
        <v>1.67</v>
      </c>
    </row>
    <row r="13" spans="1:11" ht="16.5" customHeight="1" x14ac:dyDescent="0.25">
      <c r="A13" s="127" t="s">
        <v>24</v>
      </c>
      <c r="B13" s="127"/>
      <c r="C13" s="127"/>
      <c r="D13" s="127"/>
      <c r="E13" s="127"/>
      <c r="F13" s="127"/>
      <c r="G13" s="11"/>
      <c r="H13" s="11"/>
      <c r="I13" s="16">
        <v>15</v>
      </c>
    </row>
    <row r="14" spans="1:11" ht="15" customHeight="1" x14ac:dyDescent="0.25">
      <c r="A14" s="126" t="s">
        <v>25</v>
      </c>
      <c r="B14" s="126"/>
      <c r="C14" s="126"/>
      <c r="D14" s="126"/>
      <c r="E14" s="126"/>
      <c r="F14" s="126"/>
      <c r="G14" s="128" t="s">
        <v>14</v>
      </c>
      <c r="H14" s="11" t="s">
        <v>26</v>
      </c>
      <c r="I14" s="12">
        <v>5.3</v>
      </c>
    </row>
    <row r="15" spans="1:11" x14ac:dyDescent="0.25">
      <c r="A15" s="126"/>
      <c r="B15" s="126"/>
      <c r="C15" s="126"/>
      <c r="D15" s="126"/>
      <c r="E15" s="126"/>
      <c r="F15" s="126"/>
      <c r="G15" s="128"/>
      <c r="H15" s="11" t="s">
        <v>27</v>
      </c>
      <c r="I15" s="16">
        <f>I13</f>
        <v>15</v>
      </c>
    </row>
    <row r="16" spans="1:11" x14ac:dyDescent="0.25">
      <c r="A16" s="126"/>
      <c r="B16" s="126"/>
      <c r="C16" s="126"/>
      <c r="D16" s="126"/>
      <c r="E16" s="126"/>
      <c r="F16" s="126"/>
      <c r="G16" s="128"/>
      <c r="H16" s="11" t="s">
        <v>28</v>
      </c>
      <c r="I16" s="1">
        <v>0.06</v>
      </c>
    </row>
    <row r="17" spans="1:10" ht="11.25" customHeight="1" x14ac:dyDescent="0.25">
      <c r="A17" s="126" t="s">
        <v>197</v>
      </c>
      <c r="B17" s="126"/>
      <c r="C17" s="126"/>
      <c r="D17" s="126"/>
      <c r="E17" s="126"/>
      <c r="F17" s="126"/>
      <c r="G17" s="128" t="s">
        <v>14</v>
      </c>
      <c r="H17" s="11" t="s">
        <v>26</v>
      </c>
      <c r="I17" s="12">
        <v>33</v>
      </c>
    </row>
    <row r="18" spans="1:10" ht="11.25" customHeight="1" x14ac:dyDescent="0.25">
      <c r="A18" s="126"/>
      <c r="B18" s="126"/>
      <c r="C18" s="126"/>
      <c r="D18" s="126"/>
      <c r="E18" s="126"/>
      <c r="F18" s="126"/>
      <c r="G18" s="128"/>
      <c r="H18" s="11" t="s">
        <v>27</v>
      </c>
      <c r="I18" s="16">
        <v>15</v>
      </c>
    </row>
    <row r="19" spans="1:10" x14ac:dyDescent="0.25">
      <c r="A19" s="126"/>
      <c r="B19" s="126"/>
      <c r="C19" s="126"/>
      <c r="D19" s="126"/>
      <c r="E19" s="126"/>
      <c r="F19" s="126"/>
      <c r="G19" s="128"/>
      <c r="H19" s="11" t="s">
        <v>28</v>
      </c>
      <c r="I19" s="1">
        <v>0.2</v>
      </c>
    </row>
    <row r="20" spans="1:10" ht="11.25" customHeight="1" x14ac:dyDescent="0.25">
      <c r="A20" s="126" t="s">
        <v>30</v>
      </c>
      <c r="B20" s="126"/>
      <c r="C20" s="126"/>
      <c r="D20" s="126"/>
      <c r="E20" s="126"/>
      <c r="F20" s="126"/>
      <c r="G20" s="128" t="s">
        <v>14</v>
      </c>
      <c r="H20" s="11" t="s">
        <v>26</v>
      </c>
      <c r="I20" s="12" t="s">
        <v>12</v>
      </c>
    </row>
    <row r="21" spans="1:10" x14ac:dyDescent="0.25">
      <c r="A21" s="126"/>
      <c r="B21" s="126"/>
      <c r="C21" s="126"/>
      <c r="D21" s="126"/>
      <c r="E21" s="126"/>
      <c r="F21" s="126"/>
      <c r="G21" s="128"/>
      <c r="H21" s="11" t="s">
        <v>27</v>
      </c>
      <c r="I21" s="16" t="s">
        <v>12</v>
      </c>
    </row>
    <row r="22" spans="1:10" x14ac:dyDescent="0.25">
      <c r="A22" s="126"/>
      <c r="B22" s="126"/>
      <c r="C22" s="126"/>
      <c r="D22" s="126"/>
      <c r="E22" s="126"/>
      <c r="F22" s="126"/>
      <c r="G22" s="128"/>
      <c r="H22" s="11" t="s">
        <v>28</v>
      </c>
      <c r="I22" s="1" t="s">
        <v>12</v>
      </c>
    </row>
    <row r="23" spans="1:10" ht="36" customHeight="1" x14ac:dyDescent="0.25">
      <c r="A23" s="129" t="s">
        <v>31</v>
      </c>
      <c r="B23" s="129"/>
      <c r="C23" s="129"/>
      <c r="D23" s="129"/>
      <c r="E23" s="129"/>
      <c r="F23" s="129"/>
      <c r="G23" s="3" t="s">
        <v>14</v>
      </c>
      <c r="H23" s="3" t="s">
        <v>32</v>
      </c>
      <c r="I23" s="17" t="s">
        <v>12</v>
      </c>
    </row>
    <row r="24" spans="1:10" ht="22.5" customHeight="1" x14ac:dyDescent="0.25">
      <c r="A24" s="127" t="s">
        <v>33</v>
      </c>
      <c r="B24" s="127"/>
      <c r="C24" s="127"/>
      <c r="D24" s="127"/>
      <c r="E24" s="127"/>
      <c r="F24" s="127"/>
      <c r="G24" s="3"/>
      <c r="H24" s="3" t="s">
        <v>34</v>
      </c>
      <c r="I24" s="18">
        <v>0.37</v>
      </c>
    </row>
    <row r="25" spans="1:10" ht="36" customHeight="1" x14ac:dyDescent="0.25">
      <c r="A25" s="127" t="s">
        <v>35</v>
      </c>
      <c r="B25" s="127"/>
      <c r="C25" s="127"/>
      <c r="D25" s="127"/>
      <c r="E25" s="127"/>
      <c r="F25" s="127"/>
      <c r="G25" s="11"/>
      <c r="H25" s="11" t="s">
        <v>23</v>
      </c>
      <c r="I25" s="12" t="s">
        <v>12</v>
      </c>
    </row>
    <row r="26" spans="1:10" ht="15" customHeight="1" x14ac:dyDescent="0.25">
      <c r="A26" s="127" t="s">
        <v>36</v>
      </c>
      <c r="B26" s="127"/>
      <c r="C26" s="127"/>
      <c r="D26" s="127"/>
      <c r="E26" s="127"/>
      <c r="F26" s="127"/>
      <c r="G26" s="3"/>
      <c r="H26" s="19" t="s">
        <v>37</v>
      </c>
      <c r="I26" s="20" t="s">
        <v>12</v>
      </c>
    </row>
    <row r="27" spans="1:10" ht="15" customHeight="1" x14ac:dyDescent="0.25">
      <c r="A27" s="127"/>
      <c r="B27" s="127"/>
      <c r="C27" s="127"/>
      <c r="D27" s="127"/>
      <c r="E27" s="127"/>
      <c r="F27" s="127"/>
      <c r="G27" s="3"/>
      <c r="H27" s="21" t="s">
        <v>38</v>
      </c>
      <c r="I27" s="1" t="s">
        <v>12</v>
      </c>
    </row>
    <row r="28" spans="1:10" ht="26.25" customHeight="1" x14ac:dyDescent="0.25">
      <c r="A28" s="127" t="s">
        <v>198</v>
      </c>
      <c r="B28" s="127"/>
      <c r="C28" s="127"/>
      <c r="D28" s="127"/>
      <c r="E28" s="127"/>
      <c r="F28" s="127"/>
      <c r="G28" s="3"/>
      <c r="H28" s="11" t="s">
        <v>37</v>
      </c>
      <c r="I28" s="20">
        <v>15</v>
      </c>
    </row>
    <row r="29" spans="1:10" ht="36.75" customHeight="1" x14ac:dyDescent="0.25">
      <c r="A29" s="127" t="s">
        <v>40</v>
      </c>
      <c r="B29" s="127"/>
      <c r="C29" s="127"/>
      <c r="D29" s="127"/>
      <c r="E29" s="127"/>
      <c r="F29" s="127"/>
      <c r="G29" s="11"/>
      <c r="H29" s="2" t="s">
        <v>34</v>
      </c>
      <c r="I29" s="1">
        <v>0.2</v>
      </c>
    </row>
    <row r="30" spans="1:10" ht="24.75" customHeight="1" x14ac:dyDescent="0.25">
      <c r="A30" s="114" t="s">
        <v>199</v>
      </c>
      <c r="B30" s="114"/>
      <c r="C30" s="114"/>
      <c r="D30" s="114"/>
      <c r="E30" s="114"/>
      <c r="F30" s="114"/>
      <c r="G30" s="128" t="s">
        <v>14</v>
      </c>
      <c r="H30" s="3" t="s">
        <v>200</v>
      </c>
      <c r="I30" s="79">
        <f>((60/52.5)*7)*15</f>
        <v>120</v>
      </c>
    </row>
    <row r="31" spans="1:10" ht="24.75" customHeight="1" x14ac:dyDescent="0.25">
      <c r="A31" s="114"/>
      <c r="B31" s="114"/>
      <c r="C31" s="114"/>
      <c r="D31" s="114"/>
      <c r="E31" s="114"/>
      <c r="F31" s="114"/>
      <c r="G31" s="128"/>
      <c r="H31" s="3" t="s">
        <v>201</v>
      </c>
      <c r="I31" s="3">
        <f>I10/H10*20%</f>
        <v>2.0100000000000002</v>
      </c>
    </row>
    <row r="32" spans="1:10" ht="29.25" customHeight="1" x14ac:dyDescent="0.25">
      <c r="A32" s="130" t="s">
        <v>202</v>
      </c>
      <c r="B32" s="130"/>
      <c r="C32" s="130"/>
      <c r="D32" s="130"/>
      <c r="E32" s="130"/>
      <c r="F32" s="130"/>
      <c r="G32" s="128" t="s">
        <v>14</v>
      </c>
      <c r="H32" s="11" t="s">
        <v>200</v>
      </c>
      <c r="I32" s="20">
        <f>((5+7+1)*15)-190.67</f>
        <v>4.3300000000000125</v>
      </c>
      <c r="J32" s="80"/>
    </row>
    <row r="33" spans="1:10" ht="30.75" customHeight="1" x14ac:dyDescent="0.25">
      <c r="A33" s="130"/>
      <c r="B33" s="130"/>
      <c r="C33" s="130"/>
      <c r="D33" s="130"/>
      <c r="E33" s="130"/>
      <c r="F33" s="130"/>
      <c r="G33" s="128"/>
      <c r="H33" s="11" t="s">
        <v>201</v>
      </c>
      <c r="I33" s="81">
        <f>(I10/H10)*1.5</f>
        <v>15.075000000000001</v>
      </c>
    </row>
    <row r="34" spans="1:10" ht="4.5" customHeight="1" x14ac:dyDescent="0.25"/>
    <row r="35" spans="1:10" ht="17.25" customHeight="1" x14ac:dyDescent="0.25">
      <c r="A35" s="131" t="s">
        <v>41</v>
      </c>
      <c r="B35" s="131"/>
      <c r="C35" s="131"/>
      <c r="D35" s="131"/>
      <c r="E35" s="131"/>
      <c r="F35" s="131"/>
      <c r="G35" s="131"/>
      <c r="H35" s="131"/>
      <c r="I35" s="131"/>
    </row>
    <row r="36" spans="1:10" ht="33.75" customHeight="1" x14ac:dyDescent="0.25">
      <c r="A36" s="22" t="s">
        <v>42</v>
      </c>
      <c r="B36" s="132" t="s">
        <v>43</v>
      </c>
      <c r="C36" s="132"/>
      <c r="D36" s="132"/>
      <c r="E36" s="132"/>
      <c r="F36" s="132"/>
      <c r="G36" s="132"/>
      <c r="H36" s="22" t="s">
        <v>44</v>
      </c>
      <c r="I36" s="22" t="s">
        <v>45</v>
      </c>
    </row>
    <row r="37" spans="1:10" ht="15" customHeight="1" x14ac:dyDescent="0.25">
      <c r="A37" s="15">
        <v>1</v>
      </c>
      <c r="B37" s="122" t="s">
        <v>46</v>
      </c>
      <c r="C37" s="122"/>
      <c r="D37" s="122"/>
      <c r="E37" s="122"/>
      <c r="F37" s="122"/>
      <c r="G37" s="122"/>
      <c r="H37" s="23">
        <f t="shared" ref="H37:H54" si="0">I37/$I$55</f>
        <v>0.514007813107066</v>
      </c>
      <c r="I37" s="24">
        <f>IF(D6="12x36",I10,I10/H10*I5)</f>
        <v>2211</v>
      </c>
    </row>
    <row r="38" spans="1:10" ht="15" customHeight="1" x14ac:dyDescent="0.25">
      <c r="A38" s="15">
        <f t="shared" ref="A38:A54" si="1">A37+1</f>
        <v>2</v>
      </c>
      <c r="B38" s="122" t="s">
        <v>203</v>
      </c>
      <c r="C38" s="122"/>
      <c r="D38" s="122"/>
      <c r="E38" s="122"/>
      <c r="F38" s="122"/>
      <c r="G38" s="122"/>
      <c r="H38" s="23">
        <f t="shared" si="0"/>
        <v>0</v>
      </c>
      <c r="I38" s="62">
        <v>0</v>
      </c>
      <c r="J38" s="34"/>
    </row>
    <row r="39" spans="1:10" ht="15" customHeight="1" x14ac:dyDescent="0.25">
      <c r="A39" s="15">
        <f t="shared" si="1"/>
        <v>3</v>
      </c>
      <c r="B39" s="122" t="s">
        <v>47</v>
      </c>
      <c r="C39" s="122"/>
      <c r="D39" s="122"/>
      <c r="E39" s="122"/>
      <c r="F39" s="122"/>
      <c r="G39" s="122"/>
      <c r="H39" s="23">
        <f t="shared" si="0"/>
        <v>0.18194828342819039</v>
      </c>
      <c r="I39" s="24">
        <f>IF(I9=30%,(I37+I53+I46+I49+I52+I54)*I9,0)</f>
        <v>782.64891</v>
      </c>
    </row>
    <row r="40" spans="1:10" ht="15" customHeight="1" x14ac:dyDescent="0.25">
      <c r="A40" s="15">
        <f t="shared" si="1"/>
        <v>4</v>
      </c>
      <c r="B40" s="122" t="s">
        <v>48</v>
      </c>
      <c r="C40" s="122"/>
      <c r="D40" s="122"/>
      <c r="E40" s="122"/>
      <c r="F40" s="122"/>
      <c r="G40" s="122"/>
      <c r="H40" s="23">
        <f t="shared" si="0"/>
        <v>0</v>
      </c>
      <c r="I40" s="24">
        <f>IF(I7=10%,I25*I7,0)</f>
        <v>0</v>
      </c>
    </row>
    <row r="41" spans="1:10" ht="15" customHeight="1" x14ac:dyDescent="0.25">
      <c r="A41" s="15">
        <f t="shared" si="1"/>
        <v>5</v>
      </c>
      <c r="B41" s="122" t="s">
        <v>49</v>
      </c>
      <c r="C41" s="122"/>
      <c r="D41" s="122"/>
      <c r="E41" s="122"/>
      <c r="F41" s="122"/>
      <c r="G41" s="122"/>
      <c r="H41" s="23">
        <f t="shared" si="0"/>
        <v>0</v>
      </c>
      <c r="I41" s="24">
        <f>IF(I7=20%,I25*I7,0)</f>
        <v>0</v>
      </c>
    </row>
    <row r="42" spans="1:10" ht="15" customHeight="1" x14ac:dyDescent="0.25">
      <c r="A42" s="15">
        <f t="shared" si="1"/>
        <v>6</v>
      </c>
      <c r="B42" s="122" t="s">
        <v>50</v>
      </c>
      <c r="C42" s="122"/>
      <c r="D42" s="122"/>
      <c r="E42" s="122"/>
      <c r="F42" s="122"/>
      <c r="G42" s="122"/>
      <c r="H42" s="23">
        <f t="shared" si="0"/>
        <v>0</v>
      </c>
      <c r="I42" s="24">
        <f>IF(I7=40%,I25*I7,0)</f>
        <v>0</v>
      </c>
    </row>
    <row r="43" spans="1:10" ht="15" customHeight="1" x14ac:dyDescent="0.25">
      <c r="A43" s="15">
        <f t="shared" si="1"/>
        <v>7</v>
      </c>
      <c r="B43" s="122" t="s">
        <v>51</v>
      </c>
      <c r="C43" s="122"/>
      <c r="D43" s="122"/>
      <c r="E43" s="122"/>
      <c r="F43" s="122"/>
      <c r="G43" s="122"/>
      <c r="H43" s="23">
        <f t="shared" si="0"/>
        <v>0.19018289084961443</v>
      </c>
      <c r="I43" s="24">
        <f>IF(I24="Não aplicável",0,I37*I24)</f>
        <v>818.06999999999994</v>
      </c>
    </row>
    <row r="44" spans="1:10" ht="15" customHeight="1" x14ac:dyDescent="0.25">
      <c r="A44" s="15">
        <f t="shared" si="1"/>
        <v>8</v>
      </c>
      <c r="B44" s="122" t="s">
        <v>52</v>
      </c>
      <c r="C44" s="122"/>
      <c r="D44" s="122"/>
      <c r="E44" s="122"/>
      <c r="F44" s="122"/>
      <c r="G44" s="122"/>
      <c r="H44" s="23">
        <f t="shared" si="0"/>
        <v>0</v>
      </c>
      <c r="I44" s="24">
        <f>IF(I26="Não aplicável",0,(I37+I38+I39+I40+I41+I42+I43+#REF!)/I5*I26*(1+I27))</f>
        <v>0</v>
      </c>
    </row>
    <row r="45" spans="1:10" ht="21" customHeight="1" x14ac:dyDescent="0.25">
      <c r="A45" s="15">
        <f t="shared" si="1"/>
        <v>9</v>
      </c>
      <c r="B45" s="122" t="s">
        <v>53</v>
      </c>
      <c r="C45" s="122"/>
      <c r="D45" s="122"/>
      <c r="E45" s="122"/>
      <c r="F45" s="122"/>
      <c r="G45" s="122"/>
      <c r="H45" s="23">
        <f t="shared" si="0"/>
        <v>0</v>
      </c>
      <c r="I45" s="24">
        <f>IF(I26="Não aplicável",0,I26/I13*5*(I10/H10*(1+I27)))</f>
        <v>0</v>
      </c>
    </row>
    <row r="46" spans="1:10" ht="15" customHeight="1" x14ac:dyDescent="0.25">
      <c r="A46" s="15">
        <f t="shared" si="1"/>
        <v>10</v>
      </c>
      <c r="B46" s="122" t="s">
        <v>204</v>
      </c>
      <c r="C46" s="122"/>
      <c r="D46" s="122"/>
      <c r="E46" s="122"/>
      <c r="F46" s="122"/>
      <c r="G46" s="122"/>
      <c r="H46" s="23">
        <f t="shared" si="0"/>
        <v>1.5174912482410926E-2</v>
      </c>
      <c r="I46" s="24">
        <f>I32*I33</f>
        <v>65.274750000000196</v>
      </c>
    </row>
    <row r="47" spans="1:10" ht="15" customHeight="1" x14ac:dyDescent="0.25">
      <c r="A47" s="15">
        <f t="shared" si="1"/>
        <v>11</v>
      </c>
      <c r="B47" s="122" t="s">
        <v>205</v>
      </c>
      <c r="C47" s="122"/>
      <c r="D47" s="122"/>
      <c r="E47" s="122"/>
      <c r="F47" s="122"/>
      <c r="G47" s="122"/>
      <c r="H47" s="23">
        <f t="shared" si="0"/>
        <v>0</v>
      </c>
      <c r="I47" s="24">
        <f>IF(OR(I7=10%,I7=20%,I7=40%),I46*I7,0)</f>
        <v>0</v>
      </c>
    </row>
    <row r="48" spans="1:10" ht="15" customHeight="1" x14ac:dyDescent="0.25">
      <c r="A48" s="15">
        <f t="shared" si="1"/>
        <v>12</v>
      </c>
      <c r="B48" s="122" t="s">
        <v>206</v>
      </c>
      <c r="C48" s="122"/>
      <c r="D48" s="122"/>
      <c r="E48" s="122"/>
      <c r="F48" s="122"/>
      <c r="G48" s="122"/>
      <c r="H48" s="23">
        <f t="shared" si="0"/>
        <v>4.5524737447232774E-3</v>
      </c>
      <c r="I48" s="24">
        <f>IF(I9=30%,I46*I9,0)</f>
        <v>19.582425000000057</v>
      </c>
    </row>
    <row r="49" spans="1:10" ht="15" customHeight="1" x14ac:dyDescent="0.25">
      <c r="A49" s="15">
        <f t="shared" si="1"/>
        <v>13</v>
      </c>
      <c r="B49" s="122" t="s">
        <v>207</v>
      </c>
      <c r="C49" s="122"/>
      <c r="D49" s="122"/>
      <c r="E49" s="122"/>
      <c r="F49" s="122"/>
      <c r="G49" s="122"/>
      <c r="H49" s="23">
        <f t="shared" si="0"/>
        <v>5.6073579611679934E-2</v>
      </c>
      <c r="I49" s="24">
        <f>I30*I31</f>
        <v>241.20000000000002</v>
      </c>
    </row>
    <row r="50" spans="1:10" ht="15" customHeight="1" x14ac:dyDescent="0.25">
      <c r="A50" s="15">
        <f t="shared" si="1"/>
        <v>14</v>
      </c>
      <c r="B50" s="122" t="s">
        <v>208</v>
      </c>
      <c r="C50" s="122"/>
      <c r="D50" s="122"/>
      <c r="E50" s="122"/>
      <c r="F50" s="122"/>
      <c r="G50" s="122"/>
      <c r="H50" s="23">
        <f t="shared" si="0"/>
        <v>0</v>
      </c>
      <c r="I50" s="24">
        <f>IF(OR(I7=10%,I7=20%,I7=40%),I49*I7,0)</f>
        <v>0</v>
      </c>
    </row>
    <row r="51" spans="1:10" ht="15" customHeight="1" x14ac:dyDescent="0.25">
      <c r="A51" s="15">
        <f t="shared" si="1"/>
        <v>15</v>
      </c>
      <c r="B51" s="122" t="s">
        <v>209</v>
      </c>
      <c r="C51" s="122"/>
      <c r="D51" s="122"/>
      <c r="E51" s="122"/>
      <c r="F51" s="122"/>
      <c r="G51" s="122"/>
      <c r="H51" s="23">
        <f t="shared" si="0"/>
        <v>1.6822073883503978E-2</v>
      </c>
      <c r="I51" s="24">
        <f>IF(I9=30%,I49*I9,0)</f>
        <v>72.36</v>
      </c>
    </row>
    <row r="52" spans="1:10" ht="24" customHeight="1" x14ac:dyDescent="0.25">
      <c r="A52" s="15">
        <f t="shared" si="1"/>
        <v>16</v>
      </c>
      <c r="B52" s="122" t="s">
        <v>210</v>
      </c>
      <c r="C52" s="122"/>
      <c r="D52" s="122"/>
      <c r="E52" s="122"/>
      <c r="F52" s="122"/>
      <c r="G52" s="122"/>
      <c r="H52" s="23">
        <f t="shared" si="0"/>
        <v>1.4249698418818173E-2</v>
      </c>
      <c r="I52" s="24">
        <f>(I46+I49)*0.2</f>
        <v>61.294950000000043</v>
      </c>
    </row>
    <row r="53" spans="1:10" ht="12.75" customHeight="1" x14ac:dyDescent="0.25">
      <c r="A53" s="15">
        <f t="shared" si="1"/>
        <v>17</v>
      </c>
      <c r="B53" s="122" t="s">
        <v>211</v>
      </c>
      <c r="C53" s="122"/>
      <c r="D53" s="122"/>
      <c r="E53" s="122"/>
      <c r="F53" s="122"/>
      <c r="G53" s="122"/>
      <c r="H53" s="23">
        <f t="shared" si="0"/>
        <v>5.8235620616607885E-3</v>
      </c>
      <c r="I53" s="24">
        <f>I12*I13</f>
        <v>25.049999999999997</v>
      </c>
    </row>
    <row r="54" spans="1:10" ht="12.75" customHeight="1" x14ac:dyDescent="0.25">
      <c r="A54" s="15">
        <f t="shared" si="1"/>
        <v>18</v>
      </c>
      <c r="B54" s="122" t="s">
        <v>212</v>
      </c>
      <c r="C54" s="122"/>
      <c r="D54" s="122"/>
      <c r="E54" s="122"/>
      <c r="F54" s="122"/>
      <c r="G54" s="122"/>
      <c r="H54" s="23">
        <f t="shared" si="0"/>
        <v>1.1647124123321576E-3</v>
      </c>
      <c r="I54" s="24">
        <f>I53*20%</f>
        <v>5.01</v>
      </c>
    </row>
    <row r="55" spans="1:10" s="28" customFormat="1" ht="15" customHeight="1" x14ac:dyDescent="0.25">
      <c r="A55" s="133" t="s">
        <v>56</v>
      </c>
      <c r="B55" s="133"/>
      <c r="C55" s="133"/>
      <c r="D55" s="133"/>
      <c r="E55" s="133"/>
      <c r="F55" s="133"/>
      <c r="G55" s="133"/>
      <c r="H55" s="25">
        <f>SUM(H37:H54)</f>
        <v>1</v>
      </c>
      <c r="I55" s="26">
        <f>SUM(I37:I54)</f>
        <v>4301.491035</v>
      </c>
      <c r="J55" s="27"/>
    </row>
    <row r="56" spans="1:10" ht="4.5" customHeight="1" x14ac:dyDescent="0.25"/>
    <row r="57" spans="1:10" ht="33.75" customHeight="1" x14ac:dyDescent="0.25">
      <c r="A57" s="22" t="s">
        <v>57</v>
      </c>
      <c r="B57" s="132" t="s">
        <v>58</v>
      </c>
      <c r="C57" s="132"/>
      <c r="D57" s="132"/>
      <c r="E57" s="132"/>
      <c r="F57" s="132"/>
      <c r="G57" s="132"/>
      <c r="H57" s="22" t="s">
        <v>44</v>
      </c>
      <c r="I57" s="22" t="s">
        <v>45</v>
      </c>
    </row>
    <row r="58" spans="1:10" ht="15" customHeight="1" x14ac:dyDescent="0.25">
      <c r="A58" s="15">
        <v>1</v>
      </c>
      <c r="B58" s="122" t="s">
        <v>59</v>
      </c>
      <c r="C58" s="122"/>
      <c r="D58" s="122"/>
      <c r="E58" s="122"/>
      <c r="F58" s="122"/>
      <c r="G58" s="122"/>
      <c r="H58" s="23">
        <v>0.2</v>
      </c>
      <c r="I58" s="24">
        <f t="shared" ref="I58:I65" si="2">$I$55*H58</f>
        <v>860.29820700000005</v>
      </c>
    </row>
    <row r="59" spans="1:10" ht="15" customHeight="1" x14ac:dyDescent="0.25">
      <c r="A59" s="15">
        <v>2</v>
      </c>
      <c r="B59" s="122" t="s">
        <v>60</v>
      </c>
      <c r="C59" s="122"/>
      <c r="D59" s="122"/>
      <c r="E59" s="122"/>
      <c r="F59" s="122"/>
      <c r="G59" s="122"/>
      <c r="H59" s="23">
        <v>1.4999999999999999E-2</v>
      </c>
      <c r="I59" s="24">
        <f t="shared" si="2"/>
        <v>64.522365524999998</v>
      </c>
    </row>
    <row r="60" spans="1:10" ht="15" customHeight="1" x14ac:dyDescent="0.25">
      <c r="A60" s="15">
        <v>3</v>
      </c>
      <c r="B60" s="122" t="s">
        <v>61</v>
      </c>
      <c r="C60" s="122"/>
      <c r="D60" s="122"/>
      <c r="E60" s="122"/>
      <c r="F60" s="122"/>
      <c r="G60" s="122"/>
      <c r="H60" s="23">
        <v>0.01</v>
      </c>
      <c r="I60" s="24">
        <f t="shared" si="2"/>
        <v>43.014910350000001</v>
      </c>
    </row>
    <row r="61" spans="1:10" ht="15" customHeight="1" x14ac:dyDescent="0.25">
      <c r="A61" s="15">
        <v>4</v>
      </c>
      <c r="B61" s="122" t="s">
        <v>62</v>
      </c>
      <c r="C61" s="122"/>
      <c r="D61" s="122"/>
      <c r="E61" s="122"/>
      <c r="F61" s="122"/>
      <c r="G61" s="122"/>
      <c r="H61" s="23">
        <v>2E-3</v>
      </c>
      <c r="I61" s="24">
        <f t="shared" si="2"/>
        <v>8.6029820699999995</v>
      </c>
    </row>
    <row r="62" spans="1:10" ht="15" customHeight="1" x14ac:dyDescent="0.25">
      <c r="A62" s="15">
        <v>5</v>
      </c>
      <c r="B62" s="122" t="s">
        <v>63</v>
      </c>
      <c r="C62" s="122"/>
      <c r="D62" s="122"/>
      <c r="E62" s="122"/>
      <c r="F62" s="122"/>
      <c r="G62" s="122"/>
      <c r="H62" s="23">
        <v>2.5000000000000001E-2</v>
      </c>
      <c r="I62" s="24">
        <f t="shared" si="2"/>
        <v>107.53727587500001</v>
      </c>
    </row>
    <row r="63" spans="1:10" ht="15" customHeight="1" x14ac:dyDescent="0.25">
      <c r="A63" s="15">
        <v>6</v>
      </c>
      <c r="B63" s="122" t="s">
        <v>64</v>
      </c>
      <c r="C63" s="122"/>
      <c r="D63" s="122"/>
      <c r="E63" s="122"/>
      <c r="F63" s="122"/>
      <c r="G63" s="122"/>
      <c r="H63" s="23">
        <v>0.08</v>
      </c>
      <c r="I63" s="24">
        <f t="shared" si="2"/>
        <v>344.11928280000001</v>
      </c>
    </row>
    <row r="64" spans="1:10" ht="15" customHeight="1" x14ac:dyDescent="0.25">
      <c r="A64" s="15">
        <v>7</v>
      </c>
      <c r="B64" s="122" t="s">
        <v>65</v>
      </c>
      <c r="C64" s="122"/>
      <c r="D64" s="122"/>
      <c r="E64" s="122"/>
      <c r="F64" s="122"/>
      <c r="G64" s="122"/>
      <c r="H64" s="23">
        <v>0.03</v>
      </c>
      <c r="I64" s="24">
        <f t="shared" si="2"/>
        <v>129.04473105</v>
      </c>
    </row>
    <row r="65" spans="1:10" ht="15" customHeight="1" x14ac:dyDescent="0.25">
      <c r="A65" s="15">
        <v>8</v>
      </c>
      <c r="B65" s="122" t="s">
        <v>66</v>
      </c>
      <c r="C65" s="122"/>
      <c r="D65" s="122"/>
      <c r="E65" s="122"/>
      <c r="F65" s="122"/>
      <c r="G65" s="122"/>
      <c r="H65" s="23">
        <v>6.0000000000000001E-3</v>
      </c>
      <c r="I65" s="24">
        <f t="shared" si="2"/>
        <v>25.808946210000002</v>
      </c>
    </row>
    <row r="66" spans="1:10" s="28" customFormat="1" ht="15" customHeight="1" x14ac:dyDescent="0.25">
      <c r="A66" s="133" t="s">
        <v>67</v>
      </c>
      <c r="B66" s="133"/>
      <c r="C66" s="133"/>
      <c r="D66" s="133"/>
      <c r="E66" s="133"/>
      <c r="F66" s="133"/>
      <c r="G66" s="133"/>
      <c r="H66" s="25">
        <f>SUM(H58:H65)</f>
        <v>0.3680000000000001</v>
      </c>
      <c r="I66" s="26">
        <f>SUM(I58:I65)</f>
        <v>1582.9487008799999</v>
      </c>
      <c r="J66" s="27"/>
    </row>
    <row r="67" spans="1:10" ht="15" customHeight="1" x14ac:dyDescent="0.25">
      <c r="A67" s="134" t="s">
        <v>68</v>
      </c>
      <c r="B67" s="134"/>
      <c r="C67" s="134"/>
      <c r="D67" s="134"/>
      <c r="E67" s="134"/>
      <c r="F67" s="134"/>
      <c r="G67" s="134"/>
      <c r="H67" s="134"/>
      <c r="I67" s="134"/>
    </row>
    <row r="68" spans="1:10" ht="30.75" customHeight="1" x14ac:dyDescent="0.25">
      <c r="A68" s="135" t="s">
        <v>69</v>
      </c>
      <c r="B68" s="135"/>
      <c r="C68" s="135"/>
      <c r="D68" s="135"/>
      <c r="E68" s="135"/>
      <c r="F68" s="135"/>
      <c r="G68" s="135"/>
      <c r="H68" s="135"/>
      <c r="I68" s="135"/>
    </row>
    <row r="69" spans="1:10" ht="33.75" customHeight="1" x14ac:dyDescent="0.25">
      <c r="A69" s="22" t="s">
        <v>70</v>
      </c>
      <c r="B69" s="132" t="s">
        <v>71</v>
      </c>
      <c r="C69" s="132"/>
      <c r="D69" s="132"/>
      <c r="E69" s="132"/>
      <c r="F69" s="132"/>
      <c r="G69" s="132"/>
      <c r="H69" s="22" t="s">
        <v>44</v>
      </c>
      <c r="I69" s="22" t="s">
        <v>45</v>
      </c>
    </row>
    <row r="70" spans="1:10" ht="15" customHeight="1" x14ac:dyDescent="0.25">
      <c r="A70" s="15">
        <v>1</v>
      </c>
      <c r="B70" s="122" t="s">
        <v>72</v>
      </c>
      <c r="C70" s="122"/>
      <c r="D70" s="122"/>
      <c r="E70" s="122"/>
      <c r="F70" s="122"/>
      <c r="G70" s="122"/>
      <c r="H70" s="23">
        <v>0.119314</v>
      </c>
      <c r="I70" s="24">
        <f t="shared" ref="I70:I77" si="3">$I$55*H70</f>
        <v>513.22810134998997</v>
      </c>
    </row>
    <row r="71" spans="1:10" ht="15" customHeight="1" x14ac:dyDescent="0.25">
      <c r="A71" s="15">
        <v>2</v>
      </c>
      <c r="B71" s="122" t="s">
        <v>73</v>
      </c>
      <c r="C71" s="122"/>
      <c r="D71" s="122"/>
      <c r="E71" s="122"/>
      <c r="F71" s="122"/>
      <c r="G71" s="122"/>
      <c r="H71" s="23">
        <v>2.0479000000000001E-2</v>
      </c>
      <c r="I71" s="24">
        <f t="shared" si="3"/>
        <v>88.090234905765001</v>
      </c>
    </row>
    <row r="72" spans="1:10" ht="15" customHeight="1" x14ac:dyDescent="0.25">
      <c r="A72" s="15">
        <v>3</v>
      </c>
      <c r="B72" s="122" t="s">
        <v>74</v>
      </c>
      <c r="C72" s="122"/>
      <c r="D72" s="122"/>
      <c r="E72" s="122"/>
      <c r="F72" s="122"/>
      <c r="G72" s="122"/>
      <c r="H72" s="23">
        <v>1.2123E-2</v>
      </c>
      <c r="I72" s="24">
        <f t="shared" si="3"/>
        <v>52.146975817304998</v>
      </c>
    </row>
    <row r="73" spans="1:10" ht="15" customHeight="1" x14ac:dyDescent="0.25">
      <c r="A73" s="15">
        <v>4</v>
      </c>
      <c r="B73" s="122" t="s">
        <v>75</v>
      </c>
      <c r="C73" s="122"/>
      <c r="D73" s="122"/>
      <c r="E73" s="122"/>
      <c r="F73" s="122"/>
      <c r="G73" s="122"/>
      <c r="H73" s="23">
        <v>1.1436E-2</v>
      </c>
      <c r="I73" s="24">
        <f t="shared" si="3"/>
        <v>49.191851476259998</v>
      </c>
    </row>
    <row r="74" spans="1:10" ht="15" customHeight="1" x14ac:dyDescent="0.25">
      <c r="A74" s="15">
        <v>5</v>
      </c>
      <c r="B74" s="122" t="s">
        <v>76</v>
      </c>
      <c r="C74" s="122"/>
      <c r="D74" s="122"/>
      <c r="E74" s="122"/>
      <c r="F74" s="122"/>
      <c r="G74" s="122"/>
      <c r="H74" s="23">
        <v>1.74E-4</v>
      </c>
      <c r="I74" s="24">
        <f t="shared" si="3"/>
        <v>0.74845944008999998</v>
      </c>
    </row>
    <row r="75" spans="1:10" ht="15" customHeight="1" x14ac:dyDescent="0.25">
      <c r="A75" s="15">
        <v>6</v>
      </c>
      <c r="B75" s="122" t="s">
        <v>77</v>
      </c>
      <c r="C75" s="122"/>
      <c r="D75" s="122"/>
      <c r="E75" s="122"/>
      <c r="F75" s="122"/>
      <c r="G75" s="122"/>
      <c r="H75" s="23">
        <v>4.4200000000000001E-4</v>
      </c>
      <c r="I75" s="24">
        <f t="shared" si="3"/>
        <v>1.90125903747</v>
      </c>
    </row>
    <row r="76" spans="1:10" ht="15" customHeight="1" x14ac:dyDescent="0.25">
      <c r="A76" s="15">
        <v>7</v>
      </c>
      <c r="B76" s="122" t="s">
        <v>78</v>
      </c>
      <c r="C76" s="122"/>
      <c r="D76" s="122"/>
      <c r="E76" s="122"/>
      <c r="F76" s="122"/>
      <c r="G76" s="122"/>
      <c r="H76" s="23">
        <v>1.85E-4</v>
      </c>
      <c r="I76" s="24">
        <f t="shared" si="3"/>
        <v>0.79577584147500002</v>
      </c>
    </row>
    <row r="77" spans="1:10" ht="15" customHeight="1" x14ac:dyDescent="0.25">
      <c r="A77" s="15">
        <v>8</v>
      </c>
      <c r="B77" s="122" t="s">
        <v>79</v>
      </c>
      <c r="C77" s="122"/>
      <c r="D77" s="122"/>
      <c r="E77" s="122"/>
      <c r="F77" s="122"/>
      <c r="G77" s="122"/>
      <c r="H77" s="23">
        <v>9.0789999999999996E-2</v>
      </c>
      <c r="I77" s="24">
        <f t="shared" si="3"/>
        <v>390.53237106764999</v>
      </c>
    </row>
    <row r="78" spans="1:10" s="28" customFormat="1" ht="15" customHeight="1" x14ac:dyDescent="0.25">
      <c r="A78" s="133" t="s">
        <v>80</v>
      </c>
      <c r="B78" s="133"/>
      <c r="C78" s="133"/>
      <c r="D78" s="133"/>
      <c r="E78" s="133"/>
      <c r="F78" s="133"/>
      <c r="G78" s="133"/>
      <c r="H78" s="25">
        <f>SUM(H70:H77)</f>
        <v>0.25494299999999998</v>
      </c>
      <c r="I78" s="26">
        <f>SUM(I70:I77)</f>
        <v>1096.635028936005</v>
      </c>
      <c r="J78" s="27"/>
    </row>
    <row r="79" spans="1:10" ht="11.25" customHeight="1" x14ac:dyDescent="0.25">
      <c r="A79" s="29" t="s">
        <v>81</v>
      </c>
      <c r="B79" s="136" t="s">
        <v>82</v>
      </c>
      <c r="C79" s="136"/>
      <c r="D79" s="136"/>
      <c r="E79" s="136"/>
      <c r="F79" s="136"/>
      <c r="G79" s="136"/>
      <c r="H79" s="136"/>
      <c r="I79" s="136"/>
    </row>
    <row r="80" spans="1:10" ht="15" customHeight="1" x14ac:dyDescent="0.25">
      <c r="A80" s="29" t="s">
        <v>83</v>
      </c>
      <c r="B80" s="137" t="s">
        <v>84</v>
      </c>
      <c r="C80" s="137"/>
      <c r="D80" s="137"/>
      <c r="E80" s="137"/>
      <c r="F80" s="137"/>
      <c r="G80" s="137"/>
      <c r="H80" s="137"/>
      <c r="I80" s="137"/>
    </row>
    <row r="81" spans="1:11" ht="33.75" customHeight="1" x14ac:dyDescent="0.25">
      <c r="A81" s="22" t="s">
        <v>85</v>
      </c>
      <c r="B81" s="132" t="s">
        <v>86</v>
      </c>
      <c r="C81" s="132"/>
      <c r="D81" s="132"/>
      <c r="E81" s="132"/>
      <c r="F81" s="132"/>
      <c r="G81" s="132"/>
      <c r="H81" s="22" t="s">
        <v>44</v>
      </c>
      <c r="I81" s="22" t="s">
        <v>45</v>
      </c>
    </row>
    <row r="82" spans="1:11" ht="15" customHeight="1" x14ac:dyDescent="0.25">
      <c r="A82" s="15">
        <v>1</v>
      </c>
      <c r="B82" s="122" t="s">
        <v>87</v>
      </c>
      <c r="C82" s="122"/>
      <c r="D82" s="122"/>
      <c r="E82" s="122"/>
      <c r="F82" s="122"/>
      <c r="G82" s="122"/>
      <c r="H82" s="23">
        <v>4.8321000000000003E-2</v>
      </c>
      <c r="I82" s="24">
        <f>$I$55*H82</f>
        <v>207.85234830223501</v>
      </c>
    </row>
    <row r="83" spans="1:11" ht="15" customHeight="1" x14ac:dyDescent="0.25">
      <c r="A83" s="15">
        <v>2</v>
      </c>
      <c r="B83" s="122" t="s">
        <v>88</v>
      </c>
      <c r="C83" s="122"/>
      <c r="D83" s="122"/>
      <c r="E83" s="122"/>
      <c r="F83" s="122"/>
      <c r="G83" s="122"/>
      <c r="H83" s="23">
        <v>3.5109999999999998E-3</v>
      </c>
      <c r="I83" s="24">
        <f>$I$55*H83</f>
        <v>15.102535023884998</v>
      </c>
    </row>
    <row r="84" spans="1:11" ht="15" customHeight="1" x14ac:dyDescent="0.25">
      <c r="A84" s="15">
        <v>3</v>
      </c>
      <c r="B84" s="122" t="s">
        <v>89</v>
      </c>
      <c r="C84" s="122"/>
      <c r="D84" s="122"/>
      <c r="E84" s="122"/>
      <c r="F84" s="122"/>
      <c r="G84" s="122"/>
      <c r="H84" s="23">
        <v>1.9328000000000001E-2</v>
      </c>
      <c r="I84" s="24">
        <f>$I$55*H84</f>
        <v>83.139218724480003</v>
      </c>
    </row>
    <row r="85" spans="1:11" s="28" customFormat="1" ht="15" customHeight="1" x14ac:dyDescent="0.25">
      <c r="A85" s="133" t="s">
        <v>90</v>
      </c>
      <c r="B85" s="133"/>
      <c r="C85" s="133"/>
      <c r="D85" s="133"/>
      <c r="E85" s="133"/>
      <c r="F85" s="133"/>
      <c r="G85" s="133"/>
      <c r="H85" s="25">
        <f>SUM(H82:H84)</f>
        <v>7.1160000000000001E-2</v>
      </c>
      <c r="I85" s="26">
        <f>SUM(I82:I84)</f>
        <v>306.09410205059999</v>
      </c>
      <c r="J85" s="27"/>
    </row>
    <row r="86" spans="1:11" ht="4.5" customHeight="1" x14ac:dyDescent="0.25"/>
    <row r="87" spans="1:11" ht="33.75" customHeight="1" x14ac:dyDescent="0.25">
      <c r="A87" s="22" t="s">
        <v>91</v>
      </c>
      <c r="B87" s="132" t="s">
        <v>92</v>
      </c>
      <c r="C87" s="132"/>
      <c r="D87" s="132"/>
      <c r="E87" s="132"/>
      <c r="F87" s="132"/>
      <c r="G87" s="132"/>
      <c r="H87" s="22" t="s">
        <v>44</v>
      </c>
      <c r="I87" s="22" t="s">
        <v>45</v>
      </c>
    </row>
    <row r="88" spans="1:11" ht="15" customHeight="1" x14ac:dyDescent="0.25">
      <c r="A88" s="15">
        <v>1</v>
      </c>
      <c r="B88" s="122" t="s">
        <v>93</v>
      </c>
      <c r="C88" s="122"/>
      <c r="D88" s="122"/>
      <c r="E88" s="122"/>
      <c r="F88" s="122"/>
      <c r="G88" s="122"/>
      <c r="H88" s="23">
        <f>(H66*H78)</f>
        <v>9.3819024000000015E-2</v>
      </c>
      <c r="I88" s="24">
        <f>$I$55*H88</f>
        <v>403.56169064844988</v>
      </c>
    </row>
    <row r="89" spans="1:11" s="28" customFormat="1" ht="15" customHeight="1" x14ac:dyDescent="0.25">
      <c r="A89" s="133" t="s">
        <v>94</v>
      </c>
      <c r="B89" s="133"/>
      <c r="C89" s="133"/>
      <c r="D89" s="133"/>
      <c r="E89" s="133"/>
      <c r="F89" s="133"/>
      <c r="G89" s="133"/>
      <c r="H89" s="25">
        <f>SUM(H88)</f>
        <v>9.3819024000000015E-2</v>
      </c>
      <c r="I89" s="26">
        <f>I88</f>
        <v>403.56169064844988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38" t="s">
        <v>95</v>
      </c>
      <c r="B91" s="138"/>
      <c r="C91" s="138"/>
      <c r="D91" s="138"/>
      <c r="E91" s="138"/>
      <c r="F91" s="138"/>
      <c r="G91" s="138"/>
      <c r="H91" s="32">
        <f>H66+H78+H85+H89</f>
        <v>0.787922024</v>
      </c>
      <c r="I91" s="33">
        <f>I66+I78+I85+I89</f>
        <v>3389.2395225150544</v>
      </c>
      <c r="J91" s="27"/>
    </row>
    <row r="92" spans="1:11" ht="4.5" customHeight="1" x14ac:dyDescent="0.25"/>
    <row r="93" spans="1:11" ht="33.75" customHeight="1" x14ac:dyDescent="0.25">
      <c r="A93" s="22" t="s">
        <v>96</v>
      </c>
      <c r="B93" s="132" t="s">
        <v>97</v>
      </c>
      <c r="C93" s="132"/>
      <c r="D93" s="132"/>
      <c r="E93" s="132"/>
      <c r="F93" s="132"/>
      <c r="G93" s="132"/>
      <c r="H93" s="22" t="s">
        <v>44</v>
      </c>
      <c r="I93" s="22" t="s">
        <v>45</v>
      </c>
    </row>
    <row r="94" spans="1:11" ht="15" customHeight="1" x14ac:dyDescent="0.25">
      <c r="A94" s="15">
        <v>1</v>
      </c>
      <c r="B94" s="122" t="s">
        <v>29</v>
      </c>
      <c r="C94" s="122"/>
      <c r="D94" s="122"/>
      <c r="E94" s="122"/>
      <c r="F94" s="122"/>
      <c r="G94" s="122"/>
      <c r="H94" s="23">
        <f t="shared" ref="H94:H100" si="4">I94/$I$55</f>
        <v>9.20611008549969E-2</v>
      </c>
      <c r="I94" s="24">
        <f>I113</f>
        <v>396</v>
      </c>
    </row>
    <row r="95" spans="1:11" ht="15" customHeight="1" x14ac:dyDescent="0.25">
      <c r="A95" s="15">
        <v>2</v>
      </c>
      <c r="B95" s="122" t="s">
        <v>30</v>
      </c>
      <c r="C95" s="122"/>
      <c r="D95" s="122"/>
      <c r="E95" s="122"/>
      <c r="F95" s="122"/>
      <c r="G95" s="122"/>
      <c r="H95" s="23">
        <f t="shared" si="4"/>
        <v>0</v>
      </c>
      <c r="I95" s="24">
        <f>I109</f>
        <v>0</v>
      </c>
    </row>
    <row r="96" spans="1:11" ht="15" customHeight="1" x14ac:dyDescent="0.25">
      <c r="A96" s="15">
        <v>3</v>
      </c>
      <c r="B96" s="122" t="s">
        <v>98</v>
      </c>
      <c r="C96" s="122"/>
      <c r="D96" s="122"/>
      <c r="E96" s="122"/>
      <c r="F96" s="122"/>
      <c r="G96" s="122"/>
      <c r="H96" s="23">
        <f t="shared" si="4"/>
        <v>6.1234580720217644E-3</v>
      </c>
      <c r="I96" s="24">
        <f>I105</f>
        <v>26.340000000000003</v>
      </c>
    </row>
    <row r="97" spans="1:10" ht="15" customHeight="1" x14ac:dyDescent="0.25">
      <c r="A97" s="15">
        <v>4</v>
      </c>
      <c r="B97" s="122" t="s">
        <v>99</v>
      </c>
      <c r="C97" s="122"/>
      <c r="D97" s="122"/>
      <c r="E97" s="122"/>
      <c r="F97" s="122"/>
      <c r="G97" s="122"/>
      <c r="H97" s="23">
        <f t="shared" si="4"/>
        <v>5.256898088594994E-2</v>
      </c>
      <c r="I97" s="24">
        <f>IF(I28="Não aplicável",0,((I10/H10)*1.5*I28))</f>
        <v>226.12500000000003</v>
      </c>
    </row>
    <row r="98" spans="1:10" ht="15" customHeight="1" x14ac:dyDescent="0.25">
      <c r="A98" s="15">
        <v>5</v>
      </c>
      <c r="B98" s="122" t="s">
        <v>100</v>
      </c>
      <c r="C98" s="122"/>
      <c r="D98" s="122"/>
      <c r="E98" s="122"/>
      <c r="F98" s="122"/>
      <c r="G98" s="122"/>
      <c r="H98" s="23">
        <f t="shared" si="4"/>
        <v>0</v>
      </c>
      <c r="I98" s="24">
        <v>0</v>
      </c>
    </row>
    <row r="99" spans="1:10" ht="15" customHeight="1" x14ac:dyDescent="0.25">
      <c r="A99" s="15">
        <v>6</v>
      </c>
      <c r="B99" s="122" t="s">
        <v>101</v>
      </c>
      <c r="C99" s="122"/>
      <c r="D99" s="122"/>
      <c r="E99" s="122"/>
      <c r="F99" s="122"/>
      <c r="G99" s="122"/>
      <c r="H99" s="23">
        <f t="shared" si="4"/>
        <v>0</v>
      </c>
      <c r="I99" s="24">
        <v>0</v>
      </c>
    </row>
    <row r="100" spans="1:10" ht="15" customHeight="1" x14ac:dyDescent="0.25">
      <c r="A100" s="15">
        <v>7</v>
      </c>
      <c r="B100" s="122" t="s">
        <v>102</v>
      </c>
      <c r="C100" s="122"/>
      <c r="D100" s="122"/>
      <c r="E100" s="122"/>
      <c r="F100" s="122"/>
      <c r="G100" s="122"/>
      <c r="H100" s="23">
        <f t="shared" si="4"/>
        <v>0</v>
      </c>
      <c r="I100" s="24">
        <f>IF(I23="Não aplicável",0,I23)</f>
        <v>0</v>
      </c>
    </row>
    <row r="101" spans="1:10" ht="13.5" customHeight="1" x14ac:dyDescent="0.25">
      <c r="A101" s="133" t="s">
        <v>103</v>
      </c>
      <c r="B101" s="133"/>
      <c r="C101" s="133"/>
      <c r="D101" s="133"/>
      <c r="E101" s="133"/>
      <c r="F101" s="133"/>
      <c r="G101" s="133"/>
      <c r="H101" s="25">
        <f>SUM(H94:H100)</f>
        <v>0.1507535398129686</v>
      </c>
      <c r="I101" s="26">
        <f>SUM(I94:I100)</f>
        <v>648.46500000000003</v>
      </c>
      <c r="J101" s="34"/>
    </row>
    <row r="102" spans="1:10" ht="5.25" customHeight="1" x14ac:dyDescent="0.25">
      <c r="A102" s="29"/>
      <c r="B102" s="134"/>
      <c r="C102" s="134"/>
      <c r="D102" s="134"/>
      <c r="E102" s="134"/>
      <c r="F102" s="134"/>
      <c r="G102" s="134"/>
      <c r="H102" s="35"/>
      <c r="I102" s="36"/>
    </row>
    <row r="103" spans="1:10" ht="15" customHeight="1" x14ac:dyDescent="0.25">
      <c r="A103" s="139" t="s">
        <v>106</v>
      </c>
      <c r="B103" s="139"/>
      <c r="C103" s="139"/>
      <c r="D103" s="139"/>
      <c r="E103" s="139"/>
      <c r="F103" s="139"/>
      <c r="G103" s="139"/>
      <c r="H103" s="139"/>
      <c r="I103" s="139"/>
    </row>
    <row r="104" spans="1:10" ht="24" customHeight="1" x14ac:dyDescent="0.25">
      <c r="A104" s="127" t="s">
        <v>107</v>
      </c>
      <c r="B104" s="127"/>
      <c r="C104" s="15" t="s">
        <v>108</v>
      </c>
      <c r="D104" s="15" t="s">
        <v>109</v>
      </c>
      <c r="E104" s="15" t="s">
        <v>110</v>
      </c>
      <c r="F104" s="15" t="s">
        <v>111</v>
      </c>
      <c r="G104" s="15" t="s">
        <v>112</v>
      </c>
      <c r="H104" s="23" t="s">
        <v>113</v>
      </c>
      <c r="I104" s="24" t="s">
        <v>114</v>
      </c>
    </row>
    <row r="105" spans="1:10" ht="15" customHeight="1" x14ac:dyDescent="0.25">
      <c r="A105" s="140">
        <f>IF(I14="Não aplicável",0,I14)</f>
        <v>5.3</v>
      </c>
      <c r="B105" s="140"/>
      <c r="C105" s="15">
        <f>IF(I15="Não aplicável",0,I15)</f>
        <v>15</v>
      </c>
      <c r="D105" s="15">
        <v>2</v>
      </c>
      <c r="E105" s="37">
        <f>A105*C105*D105</f>
        <v>159</v>
      </c>
      <c r="F105" s="37">
        <f>I37</f>
        <v>2211</v>
      </c>
      <c r="G105" s="38">
        <f>IF(I16="Não aplicável",0,I16)</f>
        <v>0.06</v>
      </c>
      <c r="H105" s="37">
        <f>F105*G105</f>
        <v>132.66</v>
      </c>
      <c r="I105" s="24">
        <f>IF((E105-H105)&gt;0,E105-H105,0)</f>
        <v>26.340000000000003</v>
      </c>
    </row>
    <row r="106" spans="1:10" ht="4.5" customHeight="1" x14ac:dyDescent="0.25">
      <c r="A106" s="39"/>
      <c r="E106" s="34"/>
      <c r="F106" s="34"/>
      <c r="G106" s="40"/>
      <c r="H106" s="34"/>
      <c r="I106" s="41"/>
    </row>
    <row r="107" spans="1:10" ht="15" customHeight="1" x14ac:dyDescent="0.25">
      <c r="A107" s="139" t="s">
        <v>115</v>
      </c>
      <c r="B107" s="139"/>
      <c r="C107" s="139"/>
      <c r="D107" s="139"/>
      <c r="E107" s="139"/>
      <c r="F107" s="139"/>
      <c r="G107" s="139"/>
      <c r="H107" s="139"/>
      <c r="I107" s="139"/>
    </row>
    <row r="108" spans="1:10" ht="24" customHeight="1" x14ac:dyDescent="0.25">
      <c r="A108" s="127" t="s">
        <v>107</v>
      </c>
      <c r="B108" s="127"/>
      <c r="C108" s="15" t="s">
        <v>116</v>
      </c>
      <c r="D108" s="15" t="s">
        <v>109</v>
      </c>
      <c r="E108" s="15" t="s">
        <v>110</v>
      </c>
      <c r="F108" s="15" t="s">
        <v>111</v>
      </c>
      <c r="G108" s="15" t="s">
        <v>112</v>
      </c>
      <c r="H108" s="23" t="s">
        <v>113</v>
      </c>
      <c r="I108" s="24" t="s">
        <v>114</v>
      </c>
    </row>
    <row r="109" spans="1:10" ht="15" customHeight="1" x14ac:dyDescent="0.25">
      <c r="A109" s="141">
        <f>IF(I20="Não aplicável",0,I20)</f>
        <v>0</v>
      </c>
      <c r="B109" s="141"/>
      <c r="C109" s="42">
        <f>IF(I21="Não aplicável",0,I21)</f>
        <v>0</v>
      </c>
      <c r="D109" s="15">
        <v>1</v>
      </c>
      <c r="E109" s="37">
        <f>A109*C109*D109</f>
        <v>0</v>
      </c>
      <c r="F109" s="37">
        <f>E109</f>
        <v>0</v>
      </c>
      <c r="G109" s="43">
        <f>IF(I22="Não aplicável",0,I22)</f>
        <v>0</v>
      </c>
      <c r="H109" s="37">
        <f>F109*G109</f>
        <v>0</v>
      </c>
      <c r="I109" s="24">
        <f>E109-H109</f>
        <v>0</v>
      </c>
    </row>
    <row r="110" spans="1:10" ht="4.5" customHeight="1" x14ac:dyDescent="0.25">
      <c r="A110" s="44"/>
      <c r="B110" s="44"/>
      <c r="C110" s="44"/>
      <c r="D110" s="44"/>
      <c r="E110" s="27"/>
      <c r="F110" s="27"/>
      <c r="G110" s="45"/>
      <c r="H110" s="27"/>
      <c r="I110" s="46"/>
    </row>
    <row r="111" spans="1:10" ht="15" customHeight="1" x14ac:dyDescent="0.25">
      <c r="A111" s="139" t="s">
        <v>117</v>
      </c>
      <c r="B111" s="139"/>
      <c r="C111" s="139"/>
      <c r="D111" s="139"/>
      <c r="E111" s="139"/>
      <c r="F111" s="139"/>
      <c r="G111" s="139"/>
      <c r="H111" s="139"/>
      <c r="I111" s="139"/>
    </row>
    <row r="112" spans="1:10" ht="23.25" customHeight="1" x14ac:dyDescent="0.25">
      <c r="A112" s="127" t="s">
        <v>107</v>
      </c>
      <c r="B112" s="127"/>
      <c r="C112" s="15" t="s">
        <v>116</v>
      </c>
      <c r="D112" s="15" t="s">
        <v>109</v>
      </c>
      <c r="E112" s="15" t="s">
        <v>110</v>
      </c>
      <c r="F112" s="15" t="s">
        <v>111</v>
      </c>
      <c r="G112" s="15" t="s">
        <v>112</v>
      </c>
      <c r="H112" s="23" t="str">
        <f>H104</f>
        <v>Valor desconto</v>
      </c>
      <c r="I112" s="24" t="s">
        <v>114</v>
      </c>
    </row>
    <row r="113" spans="1:12" ht="15" customHeight="1" x14ac:dyDescent="0.25">
      <c r="A113" s="141">
        <f>IF(I17="Não aplicável",0,I17)</f>
        <v>33</v>
      </c>
      <c r="B113" s="141"/>
      <c r="C113" s="42">
        <f>IF(I18="Não aplicável",0,I18)</f>
        <v>15</v>
      </c>
      <c r="D113" s="15">
        <v>1</v>
      </c>
      <c r="E113" s="37">
        <f>A113*C113*D113</f>
        <v>495</v>
      </c>
      <c r="F113" s="37">
        <f>E113</f>
        <v>495</v>
      </c>
      <c r="G113" s="43">
        <f>IF(I19="Não aplicável",0,I19)</f>
        <v>0.2</v>
      </c>
      <c r="H113" s="37">
        <f>F113*G113</f>
        <v>99</v>
      </c>
      <c r="I113" s="24">
        <f>E113-H113</f>
        <v>396</v>
      </c>
    </row>
    <row r="114" spans="1:12" ht="4.5" customHeight="1" x14ac:dyDescent="0.25"/>
    <row r="115" spans="1:12" ht="12" customHeight="1" x14ac:dyDescent="0.25">
      <c r="A115" s="142" t="s">
        <v>118</v>
      </c>
      <c r="B115" s="142"/>
      <c r="C115" s="142"/>
      <c r="D115" s="142"/>
      <c r="E115" s="142"/>
      <c r="F115" s="142"/>
      <c r="G115" s="142"/>
      <c r="H115" s="47">
        <f>H55+H91+H101</f>
        <v>1.9386755638129687</v>
      </c>
      <c r="I115" s="48">
        <f>I55+I91+I101</f>
        <v>8339.195557515055</v>
      </c>
      <c r="J115" s="34"/>
      <c r="L115" s="34"/>
    </row>
    <row r="116" spans="1:12" s="53" customFormat="1" ht="4.5" customHeight="1" x14ac:dyDescent="0.25">
      <c r="A116" s="49"/>
      <c r="B116" s="49"/>
      <c r="C116" s="49"/>
      <c r="D116" s="49"/>
      <c r="E116" s="49"/>
      <c r="F116" s="49"/>
      <c r="G116" s="49"/>
      <c r="H116" s="50"/>
      <c r="I116" s="51"/>
      <c r="J116" s="52"/>
      <c r="L116" s="52"/>
    </row>
    <row r="117" spans="1:12" ht="11.25" customHeight="1" x14ac:dyDescent="0.25">
      <c r="A117" s="131" t="s">
        <v>119</v>
      </c>
      <c r="B117" s="131"/>
      <c r="C117" s="131"/>
      <c r="D117" s="131"/>
      <c r="E117" s="131"/>
      <c r="F117" s="131"/>
      <c r="G117" s="131"/>
      <c r="H117" s="131"/>
      <c r="I117" s="131"/>
    </row>
    <row r="118" spans="1:12" ht="33.75" customHeight="1" x14ac:dyDescent="0.25">
      <c r="A118" s="22" t="s">
        <v>42</v>
      </c>
      <c r="B118" s="132" t="s">
        <v>120</v>
      </c>
      <c r="C118" s="132"/>
      <c r="D118" s="132"/>
      <c r="E118" s="132"/>
      <c r="F118" s="132"/>
      <c r="G118" s="132"/>
      <c r="H118" s="22" t="s">
        <v>44</v>
      </c>
      <c r="I118" s="22" t="s">
        <v>45</v>
      </c>
    </row>
    <row r="119" spans="1:12" ht="15" customHeight="1" x14ac:dyDescent="0.25">
      <c r="A119" s="15">
        <v>1</v>
      </c>
      <c r="B119" s="122" t="s">
        <v>121</v>
      </c>
      <c r="C119" s="122"/>
      <c r="D119" s="122"/>
      <c r="E119" s="122"/>
      <c r="F119" s="122"/>
      <c r="G119" s="122"/>
      <c r="H119" s="23">
        <f t="shared" ref="H119:H125" si="5">I119/$I$131</f>
        <v>0</v>
      </c>
      <c r="I119" s="24">
        <v>0</v>
      </c>
    </row>
    <row r="120" spans="1:12" ht="15" customHeight="1" x14ac:dyDescent="0.25">
      <c r="A120" s="15">
        <v>2</v>
      </c>
      <c r="B120" s="117" t="s">
        <v>122</v>
      </c>
      <c r="C120" s="117"/>
      <c r="D120" s="117"/>
      <c r="E120" s="117"/>
      <c r="F120" s="117"/>
      <c r="G120" s="117"/>
      <c r="H120" s="23">
        <f t="shared" si="5"/>
        <v>0</v>
      </c>
      <c r="I120" s="24">
        <f>IF(F129=10%,G129,0)</f>
        <v>0</v>
      </c>
    </row>
    <row r="121" spans="1:12" ht="15" customHeight="1" x14ac:dyDescent="0.25">
      <c r="A121" s="15">
        <v>3</v>
      </c>
      <c r="B121" s="122" t="s">
        <v>123</v>
      </c>
      <c r="C121" s="122"/>
      <c r="D121" s="122"/>
      <c r="E121" s="122"/>
      <c r="F121" s="122"/>
      <c r="G121" s="122"/>
      <c r="H121" s="23">
        <f t="shared" si="5"/>
        <v>0</v>
      </c>
      <c r="I121" s="24">
        <v>0</v>
      </c>
    </row>
    <row r="122" spans="1:12" ht="15" customHeight="1" x14ac:dyDescent="0.25">
      <c r="A122" s="15">
        <v>4</v>
      </c>
      <c r="B122" s="122" t="s">
        <v>124</v>
      </c>
      <c r="C122" s="122"/>
      <c r="D122" s="122"/>
      <c r="E122" s="122"/>
      <c r="F122" s="122"/>
      <c r="G122" s="122"/>
      <c r="H122" s="23">
        <f t="shared" si="5"/>
        <v>0</v>
      </c>
      <c r="I122" s="24">
        <v>0</v>
      </c>
    </row>
    <row r="123" spans="1:12" ht="15" customHeight="1" x14ac:dyDescent="0.25">
      <c r="A123" s="15">
        <v>5</v>
      </c>
      <c r="B123" s="122" t="s">
        <v>125</v>
      </c>
      <c r="C123" s="122"/>
      <c r="D123" s="122"/>
      <c r="E123" s="122"/>
      <c r="F123" s="122"/>
      <c r="G123" s="122"/>
      <c r="H123" s="23">
        <f t="shared" si="5"/>
        <v>0</v>
      </c>
      <c r="I123" s="24">
        <v>0</v>
      </c>
    </row>
    <row r="124" spans="1:12" ht="15" customHeight="1" x14ac:dyDescent="0.25">
      <c r="A124" s="15">
        <v>6</v>
      </c>
      <c r="B124" s="122" t="s">
        <v>126</v>
      </c>
      <c r="C124" s="122"/>
      <c r="D124" s="122"/>
      <c r="E124" s="122"/>
      <c r="F124" s="122"/>
      <c r="G124" s="122"/>
      <c r="H124" s="23">
        <f t="shared" si="5"/>
        <v>0</v>
      </c>
      <c r="I124" s="24">
        <v>0</v>
      </c>
    </row>
    <row r="125" spans="1:12" ht="15" customHeight="1" x14ac:dyDescent="0.25">
      <c r="A125" s="15">
        <v>7</v>
      </c>
      <c r="B125" s="122" t="s">
        <v>127</v>
      </c>
      <c r="C125" s="122"/>
      <c r="D125" s="122"/>
      <c r="E125" s="122"/>
      <c r="F125" s="122"/>
      <c r="G125" s="122"/>
      <c r="H125" s="23">
        <f t="shared" si="5"/>
        <v>0</v>
      </c>
      <c r="I125" s="24">
        <v>0</v>
      </c>
    </row>
    <row r="126" spans="1:12" ht="15" customHeight="1" x14ac:dyDescent="0.25">
      <c r="A126" s="133" t="s">
        <v>128</v>
      </c>
      <c r="B126" s="133"/>
      <c r="C126" s="133"/>
      <c r="D126" s="133"/>
      <c r="E126" s="133"/>
      <c r="F126" s="133"/>
      <c r="G126" s="133"/>
      <c r="H126" s="25">
        <f>H119+H120+H121+H122+H124+H125</f>
        <v>0</v>
      </c>
      <c r="I126" s="54">
        <f>SUM(I119:I125)</f>
        <v>0</v>
      </c>
      <c r="J126" s="34"/>
    </row>
    <row r="127" spans="1:12" ht="48" customHeight="1" x14ac:dyDescent="0.25">
      <c r="B127" s="136" t="s">
        <v>129</v>
      </c>
      <c r="C127" s="136"/>
      <c r="D127" s="136"/>
      <c r="E127" s="136"/>
      <c r="F127" s="136"/>
      <c r="G127" s="136"/>
      <c r="H127" s="136"/>
      <c r="I127" s="136"/>
    </row>
    <row r="128" spans="1:12" ht="5.25" customHeight="1" x14ac:dyDescent="0.25"/>
    <row r="129" spans="1:12" ht="48.75" customHeight="1" x14ac:dyDescent="0.25">
      <c r="A129" s="143" t="s">
        <v>130</v>
      </c>
      <c r="B129" s="143"/>
      <c r="C129" s="143"/>
      <c r="D129" s="143"/>
      <c r="E129" s="143"/>
      <c r="F129" s="55">
        <f>I29</f>
        <v>0.2</v>
      </c>
      <c r="G129" s="56">
        <f>I131*F129</f>
        <v>1662.571111503011</v>
      </c>
      <c r="H129" s="57" t="s">
        <v>131</v>
      </c>
      <c r="I129" s="58">
        <f>I96</f>
        <v>26.340000000000003</v>
      </c>
    </row>
    <row r="130" spans="1:12" s="61" customFormat="1" ht="16.5" customHeight="1" x14ac:dyDescent="0.25">
      <c r="A130" s="144" t="s">
        <v>132</v>
      </c>
      <c r="B130" s="144"/>
      <c r="C130" s="57" t="s">
        <v>133</v>
      </c>
      <c r="D130" s="57" t="s">
        <v>134</v>
      </c>
      <c r="E130" s="57" t="s">
        <v>135</v>
      </c>
      <c r="F130" s="57" t="s">
        <v>136</v>
      </c>
      <c r="G130" s="57" t="s">
        <v>137</v>
      </c>
      <c r="H130" s="57" t="s">
        <v>138</v>
      </c>
      <c r="I130" s="59" t="s">
        <v>139</v>
      </c>
      <c r="J130" s="60"/>
    </row>
    <row r="131" spans="1:12" ht="16.5" customHeight="1" x14ac:dyDescent="0.25">
      <c r="A131" s="145">
        <f>I55</f>
        <v>4301.491035</v>
      </c>
      <c r="B131" s="145"/>
      <c r="C131" s="62">
        <f>I66</f>
        <v>1582.9487008799999</v>
      </c>
      <c r="D131" s="62">
        <f>I78</f>
        <v>1096.635028936005</v>
      </c>
      <c r="E131" s="62">
        <f>I85</f>
        <v>306.09410205059999</v>
      </c>
      <c r="F131" s="62">
        <f>I89</f>
        <v>403.56169064844988</v>
      </c>
      <c r="G131" s="62">
        <f>I101</f>
        <v>648.46500000000003</v>
      </c>
      <c r="H131" s="62">
        <f>A131+C131+D131+E131+F131+G131</f>
        <v>8339.195557515055</v>
      </c>
      <c r="I131" s="62">
        <f>H131-I129</f>
        <v>8312.8555575150549</v>
      </c>
      <c r="J131" s="34"/>
    </row>
    <row r="132" spans="1:12" ht="4.5" customHeight="1" x14ac:dyDescent="0.25">
      <c r="A132" s="29"/>
      <c r="B132" s="146"/>
      <c r="C132" s="146"/>
      <c r="D132" s="146"/>
      <c r="E132" s="146"/>
      <c r="F132" s="146"/>
      <c r="G132" s="146"/>
      <c r="H132" s="146"/>
      <c r="I132" s="146"/>
    </row>
    <row r="133" spans="1:12" ht="33.75" customHeight="1" x14ac:dyDescent="0.25">
      <c r="A133" s="22" t="s">
        <v>57</v>
      </c>
      <c r="B133" s="132" t="s">
        <v>140</v>
      </c>
      <c r="C133" s="132"/>
      <c r="D133" s="132"/>
      <c r="E133" s="132"/>
      <c r="F133" s="132"/>
      <c r="G133" s="132"/>
      <c r="H133" s="22" t="s">
        <v>44</v>
      </c>
      <c r="I133" s="22" t="s">
        <v>45</v>
      </c>
    </row>
    <row r="134" spans="1:12" ht="15" customHeight="1" x14ac:dyDescent="0.25">
      <c r="A134" s="15">
        <v>1</v>
      </c>
      <c r="B134" s="122" t="s">
        <v>141</v>
      </c>
      <c r="C134" s="122"/>
      <c r="D134" s="122"/>
      <c r="E134" s="122"/>
      <c r="F134" s="122"/>
      <c r="G134" s="122"/>
      <c r="H134" s="23">
        <f>I134/$I$144</f>
        <v>0</v>
      </c>
      <c r="I134" s="24">
        <v>0</v>
      </c>
    </row>
    <row r="135" spans="1:12" ht="15" customHeight="1" x14ac:dyDescent="0.25">
      <c r="A135" s="15">
        <v>2</v>
      </c>
      <c r="B135" s="122" t="s">
        <v>142</v>
      </c>
      <c r="C135" s="122"/>
      <c r="D135" s="122"/>
      <c r="E135" s="122"/>
      <c r="F135" s="122"/>
      <c r="G135" s="122"/>
      <c r="H135" s="23">
        <f>I135/$I$144</f>
        <v>0</v>
      </c>
      <c r="I135" s="24">
        <v>0</v>
      </c>
    </row>
    <row r="136" spans="1:12" ht="33" customHeight="1" x14ac:dyDescent="0.25">
      <c r="A136" s="133" t="s">
        <v>213</v>
      </c>
      <c r="B136" s="133"/>
      <c r="C136" s="133"/>
      <c r="D136" s="133"/>
      <c r="E136" s="133"/>
      <c r="F136" s="133"/>
      <c r="G136" s="133"/>
      <c r="H136" s="25">
        <f>H134+H135</f>
        <v>0</v>
      </c>
      <c r="I136" s="26">
        <f>SUM(I134:I135)</f>
        <v>0</v>
      </c>
    </row>
    <row r="137" spans="1:12" ht="4.5" customHeight="1" x14ac:dyDescent="0.25"/>
    <row r="138" spans="1:12" ht="33.75" customHeight="1" x14ac:dyDescent="0.25">
      <c r="A138" s="22" t="s">
        <v>70</v>
      </c>
      <c r="B138" s="132" t="s">
        <v>144</v>
      </c>
      <c r="C138" s="132"/>
      <c r="D138" s="132"/>
      <c r="E138" s="132"/>
      <c r="F138" s="132"/>
      <c r="G138" s="132"/>
      <c r="H138" s="22" t="s">
        <v>44</v>
      </c>
      <c r="I138" s="22" t="s">
        <v>45</v>
      </c>
    </row>
    <row r="139" spans="1:12" ht="15" customHeight="1" x14ac:dyDescent="0.25">
      <c r="A139" s="15">
        <v>1</v>
      </c>
      <c r="B139" s="122" t="s">
        <v>144</v>
      </c>
      <c r="C139" s="122"/>
      <c r="D139" s="122"/>
      <c r="E139" s="122"/>
      <c r="F139" s="122"/>
      <c r="G139" s="122"/>
      <c r="H139" s="23">
        <f>I139/I144</f>
        <v>0</v>
      </c>
      <c r="I139" s="24">
        <v>0</v>
      </c>
    </row>
    <row r="140" spans="1:12" ht="33.75" customHeight="1" x14ac:dyDescent="0.25">
      <c r="A140" s="133" t="s">
        <v>214</v>
      </c>
      <c r="B140" s="133"/>
      <c r="C140" s="133"/>
      <c r="D140" s="133"/>
      <c r="E140" s="133"/>
      <c r="F140" s="133"/>
      <c r="G140" s="133"/>
      <c r="H140" s="25">
        <f>H139</f>
        <v>0</v>
      </c>
      <c r="I140" s="26">
        <f>I139</f>
        <v>0</v>
      </c>
      <c r="J140" s="34"/>
      <c r="K140" s="34"/>
      <c r="L140" s="6"/>
    </row>
    <row r="141" spans="1:12" ht="4.5" customHeight="1" x14ac:dyDescent="0.25">
      <c r="A141" s="28"/>
      <c r="B141" s="28"/>
      <c r="C141" s="28"/>
      <c r="D141" s="28"/>
      <c r="E141" s="28"/>
      <c r="F141" s="28"/>
      <c r="G141" s="28"/>
      <c r="H141" s="35"/>
      <c r="I141" s="36"/>
    </row>
    <row r="142" spans="1:12" ht="39" customHeight="1" x14ac:dyDescent="0.25">
      <c r="A142" s="147" t="s">
        <v>146</v>
      </c>
      <c r="B142" s="147"/>
      <c r="C142" s="147"/>
      <c r="D142" s="147"/>
      <c r="E142" s="147"/>
      <c r="F142" s="55">
        <v>0.18</v>
      </c>
      <c r="G142" s="56">
        <f>I144*F142</f>
        <v>1496.3140003527099</v>
      </c>
      <c r="H142" s="57" t="s">
        <v>131</v>
      </c>
      <c r="I142" s="58">
        <f>I96</f>
        <v>26.340000000000003</v>
      </c>
      <c r="L142" s="6"/>
    </row>
    <row r="143" spans="1:12" s="61" customFormat="1" ht="16.5" customHeight="1" x14ac:dyDescent="0.25">
      <c r="A143" s="144" t="s">
        <v>132</v>
      </c>
      <c r="B143" s="144"/>
      <c r="C143" s="57" t="s">
        <v>133</v>
      </c>
      <c r="D143" s="57" t="s">
        <v>134</v>
      </c>
      <c r="E143" s="57" t="s">
        <v>135</v>
      </c>
      <c r="F143" s="57" t="s">
        <v>136</v>
      </c>
      <c r="G143" s="57" t="s">
        <v>137</v>
      </c>
      <c r="H143" s="57" t="s">
        <v>138</v>
      </c>
      <c r="I143" s="59" t="s">
        <v>139</v>
      </c>
      <c r="J143" s="60"/>
      <c r="L143" s="60"/>
    </row>
    <row r="144" spans="1:12" ht="16.5" customHeight="1" x14ac:dyDescent="0.25">
      <c r="A144" s="145">
        <f>I55</f>
        <v>4301.491035</v>
      </c>
      <c r="B144" s="145"/>
      <c r="C144" s="62">
        <f>I66</f>
        <v>1582.9487008799999</v>
      </c>
      <c r="D144" s="62">
        <f>I78</f>
        <v>1096.635028936005</v>
      </c>
      <c r="E144" s="62">
        <f>I85</f>
        <v>306.09410205059999</v>
      </c>
      <c r="F144" s="62">
        <f>I89</f>
        <v>403.56169064844988</v>
      </c>
      <c r="G144" s="62">
        <f>I101</f>
        <v>648.46500000000003</v>
      </c>
      <c r="H144" s="62">
        <f>A144+C144+D144+E144+F144+G144</f>
        <v>8339.195557515055</v>
      </c>
      <c r="I144" s="62">
        <f>H144-I142</f>
        <v>8312.8555575150549</v>
      </c>
      <c r="J144" s="34"/>
      <c r="L144" s="6"/>
    </row>
    <row r="145" spans="1:10" ht="4.5" customHeight="1" x14ac:dyDescent="0.25"/>
    <row r="146" spans="1:10" ht="12" customHeight="1" x14ac:dyDescent="0.25">
      <c r="A146" s="142" t="s">
        <v>147</v>
      </c>
      <c r="B146" s="142"/>
      <c r="C146" s="142"/>
      <c r="D146" s="142"/>
      <c r="E146" s="142"/>
      <c r="F146" s="142"/>
      <c r="G146" s="142"/>
      <c r="H146" s="47">
        <f>H126+H136+H140</f>
        <v>0</v>
      </c>
      <c r="I146" s="48">
        <f>I126+I136+I140</f>
        <v>0</v>
      </c>
    </row>
    <row r="147" spans="1:10" ht="4.5" customHeight="1" x14ac:dyDescent="0.25"/>
    <row r="148" spans="1:10" ht="11.25" customHeight="1" x14ac:dyDescent="0.25">
      <c r="A148" s="131" t="s">
        <v>148</v>
      </c>
      <c r="B148" s="131"/>
      <c r="C148" s="131"/>
      <c r="D148" s="131"/>
      <c r="E148" s="131"/>
      <c r="F148" s="131"/>
      <c r="G148" s="131"/>
      <c r="H148" s="131"/>
      <c r="I148" s="131"/>
    </row>
    <row r="149" spans="1:10" ht="33.75" customHeight="1" x14ac:dyDescent="0.25">
      <c r="A149" s="22" t="s">
        <v>42</v>
      </c>
      <c r="B149" s="132" t="s">
        <v>149</v>
      </c>
      <c r="C149" s="132"/>
      <c r="D149" s="132"/>
      <c r="E149" s="132"/>
      <c r="F149" s="132"/>
      <c r="G149" s="132"/>
      <c r="H149" s="22" t="s">
        <v>44</v>
      </c>
      <c r="I149" s="22" t="s">
        <v>45</v>
      </c>
    </row>
    <row r="150" spans="1:10" ht="15" customHeight="1" x14ac:dyDescent="0.25">
      <c r="A150" s="15">
        <v>1</v>
      </c>
      <c r="B150" s="122" t="s">
        <v>150</v>
      </c>
      <c r="C150" s="122"/>
      <c r="D150" s="122"/>
      <c r="E150" s="122"/>
      <c r="F150" s="122"/>
      <c r="G150" s="122"/>
      <c r="H150" s="23">
        <f>I150/$I$115</f>
        <v>6.9259456579648373E-3</v>
      </c>
      <c r="I150" s="24">
        <f>($D$160/$E$162)*H160</f>
        <v>57.75681526249106</v>
      </c>
    </row>
    <row r="151" spans="1:10" ht="15" customHeight="1" x14ac:dyDescent="0.25">
      <c r="A151" s="15">
        <v>2</v>
      </c>
      <c r="B151" s="122" t="s">
        <v>151</v>
      </c>
      <c r="C151" s="122"/>
      <c r="D151" s="122"/>
      <c r="E151" s="122"/>
      <c r="F151" s="122"/>
      <c r="G151" s="122"/>
      <c r="H151" s="23">
        <f>I151/$I$115</f>
        <v>3.1965903036760793E-2</v>
      </c>
      <c r="I151" s="24">
        <f>($D$160/$E$162)*H161</f>
        <v>266.56991659611259</v>
      </c>
    </row>
    <row r="152" spans="1:10" ht="15" customHeight="1" x14ac:dyDescent="0.25">
      <c r="A152" s="15">
        <v>3</v>
      </c>
      <c r="B152" s="122" t="s">
        <v>20</v>
      </c>
      <c r="C152" s="122"/>
      <c r="D152" s="122"/>
      <c r="E152" s="122"/>
      <c r="F152" s="122"/>
      <c r="G152" s="122"/>
      <c r="H152" s="23">
        <f>I152/$I$115</f>
        <v>2.6638252530633989E-2</v>
      </c>
      <c r="I152" s="24">
        <f>($D$160/$E$162)*H162</f>
        <v>222.14159716342715</v>
      </c>
    </row>
    <row r="153" spans="1:10" ht="15" customHeight="1" x14ac:dyDescent="0.25">
      <c r="A153" s="15">
        <v>4</v>
      </c>
      <c r="B153" s="122" t="s">
        <v>152</v>
      </c>
      <c r="C153" s="122"/>
      <c r="D153" s="122"/>
      <c r="E153" s="122"/>
      <c r="F153" s="122"/>
      <c r="G153" s="122"/>
      <c r="H153" s="23">
        <f>I153/$I$115</f>
        <v>0</v>
      </c>
      <c r="I153" s="24">
        <f>($D$160/$E$162)*H163</f>
        <v>0</v>
      </c>
    </row>
    <row r="154" spans="1:10" ht="15" customHeight="1" x14ac:dyDescent="0.25">
      <c r="A154" s="15">
        <v>5</v>
      </c>
      <c r="B154" s="122" t="s">
        <v>153</v>
      </c>
      <c r="C154" s="122"/>
      <c r="D154" s="122"/>
      <c r="E154" s="122"/>
      <c r="F154" s="122"/>
      <c r="G154" s="122"/>
      <c r="H154" s="23">
        <f>I154/$I$115</f>
        <v>0</v>
      </c>
      <c r="I154" s="24">
        <f>($D$160/$E$162)*H164</f>
        <v>0</v>
      </c>
    </row>
    <row r="155" spans="1:10" ht="15" customHeight="1" x14ac:dyDescent="0.25">
      <c r="A155" s="133" t="s">
        <v>154</v>
      </c>
      <c r="B155" s="133"/>
      <c r="C155" s="133"/>
      <c r="D155" s="133"/>
      <c r="E155" s="133"/>
      <c r="F155" s="133"/>
      <c r="G155" s="133"/>
      <c r="H155" s="25">
        <f>H150+H151+H152+H153+H154</f>
        <v>6.5530101225359627E-2</v>
      </c>
      <c r="I155" s="26">
        <f>SUM(I150:I154)</f>
        <v>546.46832902203073</v>
      </c>
    </row>
    <row r="156" spans="1:10" ht="11.25" customHeight="1" x14ac:dyDescent="0.25">
      <c r="A156" s="29" t="s">
        <v>155</v>
      </c>
      <c r="B156" s="136" t="s">
        <v>156</v>
      </c>
      <c r="C156" s="136"/>
      <c r="D156" s="136"/>
      <c r="E156" s="136"/>
      <c r="F156" s="136"/>
      <c r="G156" s="136"/>
      <c r="H156" s="136"/>
      <c r="I156" s="136"/>
    </row>
    <row r="157" spans="1:10" ht="20.25" customHeight="1" x14ac:dyDescent="0.25">
      <c r="A157" s="29" t="s">
        <v>157</v>
      </c>
      <c r="B157" s="148" t="s">
        <v>158</v>
      </c>
      <c r="C157" s="148"/>
      <c r="D157" s="148"/>
      <c r="E157" s="148"/>
      <c r="F157" s="148"/>
      <c r="G157" s="148"/>
      <c r="H157" s="148"/>
      <c r="I157" s="148"/>
    </row>
    <row r="158" spans="1:10" ht="13.5" customHeight="1" x14ac:dyDescent="0.25">
      <c r="A158" s="139" t="s">
        <v>159</v>
      </c>
      <c r="B158" s="139"/>
      <c r="C158" s="139"/>
      <c r="D158" s="139"/>
      <c r="E158" s="139"/>
      <c r="F158" s="139"/>
      <c r="G158" s="139"/>
      <c r="H158" s="139"/>
      <c r="I158" s="139"/>
    </row>
    <row r="159" spans="1:10" ht="13.5" customHeight="1" x14ac:dyDescent="0.25">
      <c r="A159" s="114" t="s">
        <v>160</v>
      </c>
      <c r="B159" s="114"/>
      <c r="C159" s="4" t="s">
        <v>161</v>
      </c>
      <c r="D159" s="130" t="s">
        <v>162</v>
      </c>
      <c r="E159" s="130"/>
      <c r="F159" s="4" t="s">
        <v>163</v>
      </c>
      <c r="G159" s="4" t="s">
        <v>164</v>
      </c>
      <c r="H159" s="149" t="s">
        <v>165</v>
      </c>
      <c r="I159" s="149"/>
    </row>
    <row r="160" spans="1:10" ht="13.5" customHeight="1" x14ac:dyDescent="0.25">
      <c r="A160" s="150">
        <f>I115</f>
        <v>8339.195557515055</v>
      </c>
      <c r="B160" s="150"/>
      <c r="C160" s="24">
        <f>I146</f>
        <v>0</v>
      </c>
      <c r="D160" s="151">
        <f>A160+C160</f>
        <v>8339.195557515055</v>
      </c>
      <c r="E160" s="151"/>
      <c r="F160" s="15" t="s">
        <v>150</v>
      </c>
      <c r="G160" s="43">
        <v>1.6500000000000001E-2</v>
      </c>
      <c r="H160" s="152">
        <v>6.4999999999999997E-3</v>
      </c>
      <c r="I160" s="152"/>
      <c r="J160" s="34"/>
    </row>
    <row r="161" spans="1:10" ht="13.5" customHeight="1" x14ac:dyDescent="0.25">
      <c r="A161" s="153" t="s">
        <v>166</v>
      </c>
      <c r="B161" s="153"/>
      <c r="C161" s="15">
        <v>1</v>
      </c>
      <c r="D161" s="63">
        <f>G165/1</f>
        <v>0.11749999999999999</v>
      </c>
      <c r="E161" s="64">
        <f>C161-D161</f>
        <v>0.88250000000000006</v>
      </c>
      <c r="F161" s="15" t="s">
        <v>151</v>
      </c>
      <c r="G161" s="43">
        <v>7.5999999999999998E-2</v>
      </c>
      <c r="H161" s="152">
        <v>0.03</v>
      </c>
      <c r="I161" s="152"/>
    </row>
    <row r="162" spans="1:10" ht="13.5" customHeight="1" x14ac:dyDescent="0.25">
      <c r="A162" s="154" t="s">
        <v>167</v>
      </c>
      <c r="B162" s="154"/>
      <c r="C162" s="15">
        <v>1</v>
      </c>
      <c r="D162" s="63">
        <f>H165</f>
        <v>6.1499999999999999E-2</v>
      </c>
      <c r="E162" s="65">
        <f>C162-D162</f>
        <v>0.9385</v>
      </c>
      <c r="F162" s="15" t="s">
        <v>20</v>
      </c>
      <c r="G162" s="43">
        <f>I11</f>
        <v>2.5000000000000001E-2</v>
      </c>
      <c r="H162" s="152">
        <f>I11</f>
        <v>2.5000000000000001E-2</v>
      </c>
      <c r="I162" s="152"/>
    </row>
    <row r="163" spans="1:10" ht="13.5" customHeight="1" x14ac:dyDescent="0.25">
      <c r="A163" s="154" t="s">
        <v>168</v>
      </c>
      <c r="B163" s="154"/>
      <c r="C163" s="15">
        <v>1</v>
      </c>
      <c r="D163" s="66">
        <v>0.09</v>
      </c>
      <c r="E163" s="67">
        <f>C163-D163</f>
        <v>0.91</v>
      </c>
      <c r="F163" s="15" t="s">
        <v>169</v>
      </c>
      <c r="G163" s="43">
        <v>0</v>
      </c>
      <c r="H163" s="152">
        <v>0</v>
      </c>
      <c r="I163" s="152"/>
    </row>
    <row r="164" spans="1:10" ht="13.5" customHeight="1" x14ac:dyDescent="0.25">
      <c r="A164" s="155" t="s">
        <v>170</v>
      </c>
      <c r="B164" s="155" t="s">
        <v>171</v>
      </c>
      <c r="C164" s="155"/>
      <c r="D164" s="155"/>
      <c r="E164" s="155"/>
      <c r="F164" s="13" t="s">
        <v>172</v>
      </c>
      <c r="G164" s="43">
        <v>0</v>
      </c>
      <c r="H164" s="152">
        <v>0</v>
      </c>
      <c r="I164" s="152"/>
    </row>
    <row r="165" spans="1:10" ht="18" customHeight="1" x14ac:dyDescent="0.25">
      <c r="A165" s="155"/>
      <c r="B165" s="155"/>
      <c r="C165" s="155"/>
      <c r="D165" s="155"/>
      <c r="E165" s="155"/>
      <c r="F165" s="4" t="s">
        <v>173</v>
      </c>
      <c r="G165" s="68">
        <f>SUM(G160:G164)</f>
        <v>0.11749999999999999</v>
      </c>
      <c r="H165" s="156">
        <f>SUM(H160:I164)</f>
        <v>6.1499999999999999E-2</v>
      </c>
      <c r="I165" s="156"/>
    </row>
    <row r="166" spans="1:10" ht="59.25" customHeight="1" x14ac:dyDescent="0.25">
      <c r="A166" s="157" t="s">
        <v>174</v>
      </c>
      <c r="B166" s="157"/>
      <c r="C166" s="157"/>
      <c r="D166" s="157"/>
      <c r="E166" s="157"/>
      <c r="F166" s="157"/>
      <c r="G166" s="157"/>
      <c r="H166" s="157"/>
      <c r="I166" s="157"/>
    </row>
    <row r="167" spans="1:10" ht="13.5" customHeight="1" x14ac:dyDescent="0.25">
      <c r="A167" s="29" t="s">
        <v>175</v>
      </c>
      <c r="B167" s="148" t="s">
        <v>176</v>
      </c>
      <c r="C167" s="148"/>
      <c r="D167" s="148"/>
      <c r="E167" s="148"/>
      <c r="F167" s="148"/>
      <c r="G167" s="148"/>
      <c r="H167" s="148"/>
      <c r="I167" s="148"/>
    </row>
    <row r="168" spans="1:10" ht="4.5" customHeight="1" x14ac:dyDescent="0.25">
      <c r="A168" s="69"/>
      <c r="B168" s="158"/>
      <c r="C168" s="158"/>
      <c r="D168" s="158"/>
      <c r="E168" s="158"/>
      <c r="F168" s="158"/>
      <c r="G168" s="158"/>
      <c r="H168" s="158"/>
      <c r="I168" s="158"/>
    </row>
    <row r="169" spans="1:10" ht="12" customHeight="1" x14ac:dyDescent="0.25">
      <c r="A169" s="142" t="s">
        <v>177</v>
      </c>
      <c r="B169" s="142"/>
      <c r="C169" s="142"/>
      <c r="D169" s="142"/>
      <c r="E169" s="142"/>
      <c r="F169" s="142"/>
      <c r="G169" s="142"/>
      <c r="H169" s="47">
        <f>H155</f>
        <v>6.5530101225359627E-2</v>
      </c>
      <c r="I169" s="48">
        <f>I155</f>
        <v>546.46832902203073</v>
      </c>
    </row>
    <row r="170" spans="1:10" ht="4.5" customHeight="1" x14ac:dyDescent="0.25"/>
    <row r="171" spans="1:10" ht="11.25" customHeight="1" x14ac:dyDescent="0.25">
      <c r="A171" s="159" t="s">
        <v>178</v>
      </c>
      <c r="B171" s="159"/>
      <c r="C171" s="159"/>
      <c r="D171" s="159"/>
      <c r="E171" s="159"/>
      <c r="F171" s="159"/>
      <c r="G171" s="159"/>
      <c r="H171" s="159"/>
      <c r="I171" s="159"/>
    </row>
    <row r="172" spans="1:10" ht="11.25" customHeight="1" x14ac:dyDescent="0.25">
      <c r="A172" s="131" t="s">
        <v>41</v>
      </c>
      <c r="B172" s="131"/>
      <c r="C172" s="131"/>
      <c r="D172" s="131"/>
      <c r="E172" s="131"/>
      <c r="F172" s="131"/>
      <c r="G172" s="131"/>
      <c r="H172" s="131"/>
      <c r="I172" s="131"/>
    </row>
    <row r="173" spans="1:10" ht="15" customHeight="1" x14ac:dyDescent="0.25">
      <c r="A173" s="15">
        <v>1</v>
      </c>
      <c r="B173" s="122" t="s">
        <v>179</v>
      </c>
      <c r="C173" s="122"/>
      <c r="D173" s="122"/>
      <c r="E173" s="122"/>
      <c r="F173" s="122"/>
      <c r="G173" s="122"/>
      <c r="H173" s="23">
        <f>I173/$G$196</f>
        <v>0.48409358843349848</v>
      </c>
      <c r="I173" s="70">
        <f>I55</f>
        <v>4301.491035</v>
      </c>
    </row>
    <row r="174" spans="1:10" ht="15" customHeight="1" x14ac:dyDescent="0.25">
      <c r="A174" s="15">
        <v>2</v>
      </c>
      <c r="B174" s="122" t="s">
        <v>180</v>
      </c>
      <c r="C174" s="122"/>
      <c r="D174" s="122"/>
      <c r="E174" s="122"/>
      <c r="F174" s="122"/>
      <c r="G174" s="122"/>
      <c r="H174" s="23">
        <f>I174/$G$196</f>
        <v>0.38142800000394506</v>
      </c>
      <c r="I174" s="70">
        <f>I66+I78+I85+I89</f>
        <v>3389.2395225150544</v>
      </c>
    </row>
    <row r="175" spans="1:10" ht="15" customHeight="1" x14ac:dyDescent="0.25">
      <c r="A175" s="15">
        <v>3</v>
      </c>
      <c r="B175" s="122" t="s">
        <v>181</v>
      </c>
      <c r="C175" s="122"/>
      <c r="D175" s="122"/>
      <c r="E175" s="122"/>
      <c r="F175" s="122"/>
      <c r="G175" s="122"/>
      <c r="H175" s="23">
        <f>I175/$G$196</f>
        <v>7.2978822057112244E-2</v>
      </c>
      <c r="I175" s="70">
        <f>I101</f>
        <v>648.46500000000003</v>
      </c>
    </row>
    <row r="176" spans="1:10" s="28" customFormat="1" ht="15" customHeight="1" x14ac:dyDescent="0.25">
      <c r="A176" s="142" t="s">
        <v>182</v>
      </c>
      <c r="B176" s="142"/>
      <c r="C176" s="142"/>
      <c r="D176" s="142"/>
      <c r="E176" s="142"/>
      <c r="F176" s="142"/>
      <c r="G176" s="142"/>
      <c r="H176" s="47">
        <f>H173+H174+H175</f>
        <v>0.93850041049455579</v>
      </c>
      <c r="I176" s="48">
        <f>SUM(I173:I175)</f>
        <v>8339.195557515055</v>
      </c>
      <c r="J176" s="35"/>
    </row>
    <row r="177" spans="1:11" ht="4.5" customHeight="1" x14ac:dyDescent="0.25"/>
    <row r="178" spans="1:11" ht="11.25" customHeight="1" x14ac:dyDescent="0.25">
      <c r="A178" s="131" t="s">
        <v>119</v>
      </c>
      <c r="B178" s="131"/>
      <c r="C178" s="131"/>
      <c r="D178" s="131"/>
      <c r="E178" s="131"/>
      <c r="F178" s="131"/>
      <c r="G178" s="131"/>
      <c r="H178" s="131"/>
      <c r="I178" s="131"/>
    </row>
    <row r="179" spans="1:11" ht="15" customHeight="1" x14ac:dyDescent="0.25">
      <c r="A179" s="15">
        <v>1</v>
      </c>
      <c r="B179" s="122" t="s">
        <v>183</v>
      </c>
      <c r="C179" s="122"/>
      <c r="D179" s="122"/>
      <c r="E179" s="122"/>
      <c r="F179" s="122"/>
      <c r="G179" s="122"/>
      <c r="H179" s="23">
        <f>I179/$G$196</f>
        <v>0</v>
      </c>
      <c r="I179" s="24">
        <f>I126</f>
        <v>0</v>
      </c>
    </row>
    <row r="180" spans="1:11" ht="15" customHeight="1" x14ac:dyDescent="0.25">
      <c r="A180" s="15">
        <v>2</v>
      </c>
      <c r="B180" s="122" t="s">
        <v>184</v>
      </c>
      <c r="C180" s="122"/>
      <c r="D180" s="122"/>
      <c r="E180" s="122"/>
      <c r="F180" s="122"/>
      <c r="G180" s="122"/>
      <c r="H180" s="23">
        <f>I180/$G$196</f>
        <v>0</v>
      </c>
      <c r="I180" s="24">
        <f>I136</f>
        <v>0</v>
      </c>
    </row>
    <row r="181" spans="1:11" ht="15" customHeight="1" x14ac:dyDescent="0.25">
      <c r="A181" s="15">
        <v>3</v>
      </c>
      <c r="B181" s="122" t="s">
        <v>185</v>
      </c>
      <c r="C181" s="122"/>
      <c r="D181" s="122"/>
      <c r="E181" s="122"/>
      <c r="F181" s="122"/>
      <c r="G181" s="122"/>
      <c r="H181" s="23">
        <f>I181/$G$196</f>
        <v>0</v>
      </c>
      <c r="I181" s="24">
        <f>I140</f>
        <v>0</v>
      </c>
    </row>
    <row r="182" spans="1:11" ht="15" customHeight="1" x14ac:dyDescent="0.25">
      <c r="A182" s="142" t="s">
        <v>186</v>
      </c>
      <c r="B182" s="142"/>
      <c r="C182" s="142"/>
      <c r="D182" s="142"/>
      <c r="E182" s="142"/>
      <c r="F182" s="142"/>
      <c r="G182" s="142"/>
      <c r="H182" s="47">
        <f>H179+H180+H181</f>
        <v>0</v>
      </c>
      <c r="I182" s="48">
        <f>I179+I180+I181</f>
        <v>0</v>
      </c>
    </row>
    <row r="183" spans="1:11" ht="4.5" customHeight="1" x14ac:dyDescent="0.25"/>
    <row r="184" spans="1:11" ht="11.25" customHeight="1" x14ac:dyDescent="0.25">
      <c r="A184" s="131" t="s">
        <v>148</v>
      </c>
      <c r="B184" s="131"/>
      <c r="C184" s="131"/>
      <c r="D184" s="131"/>
      <c r="E184" s="131"/>
      <c r="F184" s="131"/>
      <c r="G184" s="131"/>
      <c r="H184" s="131"/>
      <c r="I184" s="131"/>
    </row>
    <row r="185" spans="1:11" ht="15" customHeight="1" x14ac:dyDescent="0.25">
      <c r="A185" s="15">
        <v>1</v>
      </c>
      <c r="B185" s="122" t="s">
        <v>187</v>
      </c>
      <c r="C185" s="122"/>
      <c r="D185" s="122"/>
      <c r="E185" s="122"/>
      <c r="F185" s="122"/>
      <c r="G185" s="122"/>
      <c r="H185" s="23">
        <f>I185/$G$196</f>
        <v>6.1500026899749795E-2</v>
      </c>
      <c r="I185" s="24">
        <f>I155</f>
        <v>546.46832902203073</v>
      </c>
    </row>
    <row r="186" spans="1:11" ht="15" customHeight="1" x14ac:dyDescent="0.25">
      <c r="A186" s="142" t="s">
        <v>188</v>
      </c>
      <c r="B186" s="142"/>
      <c r="C186" s="142"/>
      <c r="D186" s="142"/>
      <c r="E186" s="142"/>
      <c r="F186" s="142"/>
      <c r="G186" s="142"/>
      <c r="H186" s="47">
        <f>H185</f>
        <v>6.1500026899749795E-2</v>
      </c>
      <c r="I186" s="48">
        <f>I155</f>
        <v>546.46832902203073</v>
      </c>
      <c r="K186" s="41"/>
    </row>
    <row r="187" spans="1:11" ht="4.5" customHeight="1" x14ac:dyDescent="0.25"/>
    <row r="188" spans="1:11" ht="11.25" customHeight="1" x14ac:dyDescent="0.25">
      <c r="A188" s="160" t="s">
        <v>189</v>
      </c>
      <c r="B188" s="160"/>
      <c r="C188" s="160"/>
      <c r="D188" s="160"/>
      <c r="E188" s="160"/>
      <c r="F188" s="160"/>
      <c r="G188" s="160"/>
      <c r="H188" s="160"/>
      <c r="I188" s="160"/>
    </row>
    <row r="189" spans="1:11" ht="4.5" customHeight="1" x14ac:dyDescent="0.25">
      <c r="A189" s="161"/>
      <c r="B189" s="161"/>
      <c r="C189" s="161"/>
      <c r="D189" s="161"/>
      <c r="E189" s="161"/>
      <c r="F189" s="161"/>
      <c r="G189" s="161"/>
      <c r="H189" s="161"/>
      <c r="I189" s="161"/>
    </row>
    <row r="190" spans="1:11" ht="22.5" customHeight="1" x14ac:dyDescent="0.25">
      <c r="A190" s="160" t="s">
        <v>190</v>
      </c>
      <c r="B190" s="160"/>
      <c r="C190" s="160"/>
      <c r="D190" s="160"/>
      <c r="E190" s="160"/>
      <c r="F190" s="160"/>
      <c r="G190" s="160"/>
      <c r="H190" s="160"/>
      <c r="I190" s="73">
        <f>I122*H196</f>
        <v>0</v>
      </c>
    </row>
    <row r="191" spans="1:11" ht="4.5" customHeight="1" x14ac:dyDescent="0.25">
      <c r="A191" s="72"/>
      <c r="B191" s="72"/>
      <c r="C191" s="72"/>
      <c r="D191" s="72"/>
      <c r="E191" s="72"/>
      <c r="F191" s="72"/>
      <c r="G191" s="74"/>
      <c r="H191" s="74"/>
      <c r="I191" s="74"/>
    </row>
    <row r="192" spans="1:11" ht="63.75" customHeight="1" x14ac:dyDescent="0.25">
      <c r="A192" s="160" t="s">
        <v>191</v>
      </c>
      <c r="B192" s="160"/>
      <c r="C192" s="160"/>
      <c r="D192" s="160"/>
      <c r="E192" s="160"/>
      <c r="F192" s="160"/>
      <c r="G192" s="162" t="s">
        <v>192</v>
      </c>
      <c r="H192" s="162"/>
      <c r="I192" s="162"/>
    </row>
    <row r="193" spans="1:9" ht="11.25" customHeight="1" x14ac:dyDescent="0.25">
      <c r="A193" s="160"/>
      <c r="B193" s="160"/>
      <c r="C193" s="160"/>
      <c r="D193" s="160"/>
      <c r="E193" s="160"/>
      <c r="F193" s="160"/>
      <c r="G193" s="75"/>
      <c r="H193" s="73"/>
      <c r="I193" s="73">
        <f>((H70+H76+H77+H82+H83+H84)+((H70+H76+H77+H82+H83+H84)*H66))*I55*H196</f>
        <v>3312.3393584473806</v>
      </c>
    </row>
    <row r="194" spans="1:9" ht="4.5" customHeight="1" x14ac:dyDescent="0.25">
      <c r="A194" s="161"/>
      <c r="B194" s="161"/>
      <c r="C194" s="161"/>
      <c r="D194" s="161"/>
      <c r="E194" s="161"/>
      <c r="F194" s="161"/>
      <c r="G194" s="161"/>
      <c r="H194" s="161"/>
      <c r="I194" s="161"/>
    </row>
    <row r="195" spans="1:9" ht="35.25" customHeight="1" x14ac:dyDescent="0.25">
      <c r="A195" s="160" t="s">
        <v>193</v>
      </c>
      <c r="B195" s="160"/>
      <c r="C195" s="160"/>
      <c r="D195" s="160"/>
      <c r="E195" s="160"/>
      <c r="F195" s="160"/>
      <c r="G195" s="76" t="s">
        <v>194</v>
      </c>
      <c r="H195" s="76" t="s">
        <v>195</v>
      </c>
      <c r="I195" s="76" t="s">
        <v>196</v>
      </c>
    </row>
    <row r="196" spans="1:9" ht="14.25" customHeight="1" x14ac:dyDescent="0.25">
      <c r="A196" s="160"/>
      <c r="B196" s="160"/>
      <c r="C196" s="160"/>
      <c r="D196" s="160"/>
      <c r="E196" s="160"/>
      <c r="F196" s="160"/>
      <c r="G196" s="77">
        <f>ROUND(I176+I182+I186,2)</f>
        <v>8885.66</v>
      </c>
      <c r="H196" s="71">
        <f>IF(D6="12x36",2,1)</f>
        <v>2</v>
      </c>
      <c r="I196" s="78">
        <f>G196*H196</f>
        <v>17771.32</v>
      </c>
    </row>
  </sheetData>
  <mergeCells count="192">
    <mergeCell ref="A188:I188"/>
    <mergeCell ref="A189:I189"/>
    <mergeCell ref="A190:H190"/>
    <mergeCell ref="A192:F193"/>
    <mergeCell ref="G192:I192"/>
    <mergeCell ref="A194:I194"/>
    <mergeCell ref="A195:F196"/>
    <mergeCell ref="A176:G176"/>
    <mergeCell ref="A178:I178"/>
    <mergeCell ref="B179:G179"/>
    <mergeCell ref="B180:G180"/>
    <mergeCell ref="B181:G181"/>
    <mergeCell ref="A182:G182"/>
    <mergeCell ref="A184:I184"/>
    <mergeCell ref="B185:G185"/>
    <mergeCell ref="A186:G186"/>
    <mergeCell ref="A166:I166"/>
    <mergeCell ref="B167:I167"/>
    <mergeCell ref="B168:I168"/>
    <mergeCell ref="A169:G169"/>
    <mergeCell ref="A171:I171"/>
    <mergeCell ref="A172:I172"/>
    <mergeCell ref="B173:G173"/>
    <mergeCell ref="B174:G174"/>
    <mergeCell ref="B175:G175"/>
    <mergeCell ref="A161:B161"/>
    <mergeCell ref="H161:I161"/>
    <mergeCell ref="A162:B162"/>
    <mergeCell ref="H162:I162"/>
    <mergeCell ref="A163:B163"/>
    <mergeCell ref="H163:I163"/>
    <mergeCell ref="A164:A165"/>
    <mergeCell ref="B164:E165"/>
    <mergeCell ref="H164:I164"/>
    <mergeCell ref="H165:I165"/>
    <mergeCell ref="B156:I156"/>
    <mergeCell ref="B157:I157"/>
    <mergeCell ref="A158:I158"/>
    <mergeCell ref="A159:B159"/>
    <mergeCell ref="D159:E159"/>
    <mergeCell ref="H159:I159"/>
    <mergeCell ref="A160:B160"/>
    <mergeCell ref="D160:E160"/>
    <mergeCell ref="H160:I160"/>
    <mergeCell ref="A146:G146"/>
    <mergeCell ref="A148:I148"/>
    <mergeCell ref="B149:G149"/>
    <mergeCell ref="B150:G150"/>
    <mergeCell ref="B151:G151"/>
    <mergeCell ref="B152:G152"/>
    <mergeCell ref="B153:G153"/>
    <mergeCell ref="B154:G154"/>
    <mergeCell ref="A155:G155"/>
    <mergeCell ref="B134:G134"/>
    <mergeCell ref="B135:G135"/>
    <mergeCell ref="A136:G136"/>
    <mergeCell ref="B138:G138"/>
    <mergeCell ref="B139:G139"/>
    <mergeCell ref="A140:G140"/>
    <mergeCell ref="A142:E142"/>
    <mergeCell ref="A143:B143"/>
    <mergeCell ref="A144:B144"/>
    <mergeCell ref="B124:G124"/>
    <mergeCell ref="B125:G125"/>
    <mergeCell ref="A126:G126"/>
    <mergeCell ref="B127:I127"/>
    <mergeCell ref="A129:E129"/>
    <mergeCell ref="A130:B130"/>
    <mergeCell ref="A131:B131"/>
    <mergeCell ref="B132:I132"/>
    <mergeCell ref="B133:G133"/>
    <mergeCell ref="A113:B113"/>
    <mergeCell ref="A115:G115"/>
    <mergeCell ref="A117:I117"/>
    <mergeCell ref="B118:G118"/>
    <mergeCell ref="B119:G119"/>
    <mergeCell ref="B120:G120"/>
    <mergeCell ref="B121:G121"/>
    <mergeCell ref="B122:G122"/>
    <mergeCell ref="B123:G123"/>
    <mergeCell ref="B102:G102"/>
    <mergeCell ref="A103:I103"/>
    <mergeCell ref="A104:B104"/>
    <mergeCell ref="A105:B105"/>
    <mergeCell ref="A107:I107"/>
    <mergeCell ref="A108:B108"/>
    <mergeCell ref="A109:B109"/>
    <mergeCell ref="A111:I111"/>
    <mergeCell ref="A112:B112"/>
    <mergeCell ref="B93:G93"/>
    <mergeCell ref="B94:G94"/>
    <mergeCell ref="B95:G95"/>
    <mergeCell ref="B96:G96"/>
    <mergeCell ref="B97:G97"/>
    <mergeCell ref="B98:G98"/>
    <mergeCell ref="B99:G99"/>
    <mergeCell ref="B100:G100"/>
    <mergeCell ref="A101:G101"/>
    <mergeCell ref="B81:G81"/>
    <mergeCell ref="B82:G82"/>
    <mergeCell ref="B83:G83"/>
    <mergeCell ref="B84:G84"/>
    <mergeCell ref="A85:G85"/>
    <mergeCell ref="B87:G87"/>
    <mergeCell ref="B88:G88"/>
    <mergeCell ref="A89:G89"/>
    <mergeCell ref="A91:G91"/>
    <mergeCell ref="B72:G72"/>
    <mergeCell ref="B73:G73"/>
    <mergeCell ref="B74:G74"/>
    <mergeCell ref="B75:G75"/>
    <mergeCell ref="B76:G76"/>
    <mergeCell ref="B77:G77"/>
    <mergeCell ref="A78:G78"/>
    <mergeCell ref="B79:I79"/>
    <mergeCell ref="B80:I80"/>
    <mergeCell ref="B63:G63"/>
    <mergeCell ref="B64:G64"/>
    <mergeCell ref="B65:G65"/>
    <mergeCell ref="A66:G66"/>
    <mergeCell ref="A67:I67"/>
    <mergeCell ref="A68:I68"/>
    <mergeCell ref="B69:G69"/>
    <mergeCell ref="B70:G70"/>
    <mergeCell ref="B71:G71"/>
    <mergeCell ref="B53:G53"/>
    <mergeCell ref="B54:G54"/>
    <mergeCell ref="A55:G55"/>
    <mergeCell ref="B57:G57"/>
    <mergeCell ref="B58:G58"/>
    <mergeCell ref="B59:G59"/>
    <mergeCell ref="B60:G60"/>
    <mergeCell ref="B61:G61"/>
    <mergeCell ref="B62:G62"/>
    <mergeCell ref="B44:G44"/>
    <mergeCell ref="B45:G45"/>
    <mergeCell ref="B46:G46"/>
    <mergeCell ref="B47:G47"/>
    <mergeCell ref="B48:G48"/>
    <mergeCell ref="B49:G49"/>
    <mergeCell ref="B50:G50"/>
    <mergeCell ref="B51:G51"/>
    <mergeCell ref="B52:G52"/>
    <mergeCell ref="A35:I35"/>
    <mergeCell ref="B36:G36"/>
    <mergeCell ref="B37:G37"/>
    <mergeCell ref="B38:G38"/>
    <mergeCell ref="B39:G39"/>
    <mergeCell ref="B40:G40"/>
    <mergeCell ref="B41:G41"/>
    <mergeCell ref="B42:G42"/>
    <mergeCell ref="B43:G43"/>
    <mergeCell ref="A23:F23"/>
    <mergeCell ref="A24:F24"/>
    <mergeCell ref="A25:F25"/>
    <mergeCell ref="A26:F27"/>
    <mergeCell ref="A28:F28"/>
    <mergeCell ref="A29:F29"/>
    <mergeCell ref="A30:F31"/>
    <mergeCell ref="G30:G31"/>
    <mergeCell ref="A32:F33"/>
    <mergeCell ref="G32:G33"/>
    <mergeCell ref="A10:F10"/>
    <mergeCell ref="A11:F11"/>
    <mergeCell ref="A12:F12"/>
    <mergeCell ref="A13:F13"/>
    <mergeCell ref="A14:F16"/>
    <mergeCell ref="G14:G16"/>
    <mergeCell ref="A17:F19"/>
    <mergeCell ref="G17:G19"/>
    <mergeCell ref="A20:F22"/>
    <mergeCell ref="G20:G22"/>
    <mergeCell ref="A7:C7"/>
    <mergeCell ref="D7:F7"/>
    <mergeCell ref="G7:H8"/>
    <mergeCell ref="I7:I8"/>
    <mergeCell ref="A8:C8"/>
    <mergeCell ref="D8:F8"/>
    <mergeCell ref="A9:C9"/>
    <mergeCell ref="D9:F9"/>
    <mergeCell ref="G9:H9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D36"/>
  <sheetViews>
    <sheetView view="pageBreakPreview" zoomScaleNormal="100" workbookViewId="0">
      <selection activeCell="D5" sqref="D5:F5"/>
    </sheetView>
  </sheetViews>
  <sheetFormatPr defaultColWidth="8.42578125" defaultRowHeight="15" x14ac:dyDescent="0.25"/>
  <cols>
    <col min="1" max="1" width="31.5703125" style="82" customWidth="1"/>
    <col min="2" max="2" width="24.42578125" style="82" customWidth="1"/>
    <col min="3" max="3" width="16.5703125" style="82" customWidth="1"/>
    <col min="4" max="4" width="17.42578125" style="82" customWidth="1"/>
    <col min="5" max="16384" width="8.42578125" style="82"/>
  </cols>
  <sheetData>
    <row r="1" spans="1:4" ht="44.25" customHeight="1" x14ac:dyDescent="0.25">
      <c r="A1" s="168" t="s">
        <v>215</v>
      </c>
      <c r="B1" s="168"/>
      <c r="C1" s="168"/>
      <c r="D1" s="168"/>
    </row>
    <row r="2" spans="1:4" ht="51" customHeight="1" x14ac:dyDescent="0.25">
      <c r="A2" s="169" t="s">
        <v>216</v>
      </c>
      <c r="B2" s="169"/>
      <c r="C2" s="169"/>
      <c r="D2" s="169"/>
    </row>
    <row r="3" spans="1:4" ht="30" x14ac:dyDescent="0.25">
      <c r="A3" s="83" t="s">
        <v>217</v>
      </c>
      <c r="B3" s="83" t="s">
        <v>218</v>
      </c>
      <c r="C3" s="83" t="s">
        <v>219</v>
      </c>
      <c r="D3" s="83" t="s">
        <v>220</v>
      </c>
    </row>
    <row r="4" spans="1:4" x14ac:dyDescent="0.25">
      <c r="A4" s="84"/>
      <c r="B4" s="85"/>
      <c r="C4" s="86"/>
      <c r="D4" s="86"/>
    </row>
    <row r="5" spans="1:4" x14ac:dyDescent="0.25">
      <c r="A5" s="87"/>
      <c r="B5" s="88"/>
      <c r="C5" s="89"/>
      <c r="D5" s="89"/>
    </row>
    <row r="6" spans="1:4" x14ac:dyDescent="0.25">
      <c r="A6" s="84"/>
      <c r="B6" s="85"/>
      <c r="C6" s="86"/>
      <c r="D6" s="86"/>
    </row>
    <row r="7" spans="1:4" x14ac:dyDescent="0.25">
      <c r="A7" s="84"/>
      <c r="B7" s="85"/>
      <c r="C7" s="86"/>
      <c r="D7" s="86"/>
    </row>
    <row r="8" spans="1:4" x14ac:dyDescent="0.25">
      <c r="A8" s="84"/>
      <c r="B8" s="85"/>
      <c r="C8" s="86"/>
      <c r="D8" s="86"/>
    </row>
    <row r="9" spans="1:4" x14ac:dyDescent="0.25">
      <c r="A9" s="84"/>
      <c r="B9" s="85"/>
      <c r="C9" s="86"/>
      <c r="D9" s="86"/>
    </row>
    <row r="10" spans="1:4" x14ac:dyDescent="0.25">
      <c r="A10" s="84"/>
      <c r="B10" s="85"/>
      <c r="C10" s="86"/>
      <c r="D10" s="86"/>
    </row>
    <row r="11" spans="1:4" x14ac:dyDescent="0.25">
      <c r="A11" s="84"/>
      <c r="B11" s="85"/>
      <c r="C11" s="86"/>
      <c r="D11" s="86"/>
    </row>
    <row r="12" spans="1:4" x14ac:dyDescent="0.25">
      <c r="A12" s="84"/>
      <c r="B12" s="85"/>
      <c r="C12" s="86"/>
      <c r="D12" s="86"/>
    </row>
    <row r="13" spans="1:4" x14ac:dyDescent="0.25">
      <c r="A13" s="84"/>
      <c r="B13" s="85"/>
      <c r="C13" s="86"/>
      <c r="D13" s="86"/>
    </row>
    <row r="14" spans="1:4" x14ac:dyDescent="0.25">
      <c r="A14" s="84"/>
      <c r="B14" s="85"/>
      <c r="C14" s="86"/>
      <c r="D14" s="86"/>
    </row>
    <row r="15" spans="1:4" x14ac:dyDescent="0.25">
      <c r="A15" s="84"/>
      <c r="B15" s="85"/>
      <c r="C15" s="86"/>
      <c r="D15" s="86"/>
    </row>
    <row r="16" spans="1:4" x14ac:dyDescent="0.25">
      <c r="A16" s="84"/>
      <c r="B16" s="85"/>
      <c r="C16" s="86"/>
      <c r="D16" s="86"/>
    </row>
    <row r="17" spans="1:4" x14ac:dyDescent="0.25">
      <c r="A17" s="84"/>
      <c r="B17" s="85"/>
      <c r="C17" s="86"/>
      <c r="D17" s="86"/>
    </row>
    <row r="18" spans="1:4" x14ac:dyDescent="0.25">
      <c r="A18" s="84"/>
      <c r="B18" s="85"/>
      <c r="C18" s="86"/>
      <c r="D18" s="86"/>
    </row>
    <row r="19" spans="1:4" x14ac:dyDescent="0.25">
      <c r="A19" s="84"/>
      <c r="B19" s="85"/>
      <c r="C19" s="86"/>
      <c r="D19" s="86"/>
    </row>
    <row r="20" spans="1:4" x14ac:dyDescent="0.25">
      <c r="A20" s="84"/>
      <c r="B20" s="85"/>
      <c r="C20" s="86"/>
      <c r="D20" s="86"/>
    </row>
    <row r="21" spans="1:4" x14ac:dyDescent="0.25">
      <c r="A21" s="84"/>
      <c r="B21" s="85"/>
      <c r="C21" s="86"/>
      <c r="D21" s="86"/>
    </row>
    <row r="22" spans="1:4" x14ac:dyDescent="0.25">
      <c r="A22" s="84"/>
      <c r="B22" s="85"/>
      <c r="C22" s="86"/>
      <c r="D22" s="86"/>
    </row>
    <row r="23" spans="1:4" x14ac:dyDescent="0.25">
      <c r="A23" s="84"/>
      <c r="B23" s="85"/>
      <c r="C23" s="86"/>
      <c r="D23" s="86"/>
    </row>
    <row r="24" spans="1:4" x14ac:dyDescent="0.25">
      <c r="A24" s="84"/>
      <c r="B24" s="85"/>
      <c r="C24" s="86"/>
      <c r="D24" s="86"/>
    </row>
    <row r="25" spans="1:4" x14ac:dyDescent="0.25">
      <c r="A25" s="84"/>
      <c r="B25" s="85"/>
      <c r="C25" s="86"/>
      <c r="D25" s="86"/>
    </row>
    <row r="26" spans="1:4" x14ac:dyDescent="0.25">
      <c r="A26" s="84"/>
      <c r="B26" s="85"/>
      <c r="C26" s="86"/>
      <c r="D26" s="86"/>
    </row>
    <row r="27" spans="1:4" x14ac:dyDescent="0.25">
      <c r="A27" s="84"/>
      <c r="B27" s="85"/>
      <c r="C27" s="86"/>
      <c r="D27" s="86"/>
    </row>
    <row r="28" spans="1:4" x14ac:dyDescent="0.25">
      <c r="A28" s="84"/>
      <c r="B28" s="85"/>
      <c r="C28" s="86"/>
      <c r="D28" s="86"/>
    </row>
    <row r="29" spans="1:4" x14ac:dyDescent="0.25">
      <c r="A29" s="84"/>
      <c r="B29" s="85"/>
      <c r="C29" s="86"/>
      <c r="D29" s="86"/>
    </row>
    <row r="30" spans="1:4" x14ac:dyDescent="0.25">
      <c r="A30" s="84"/>
      <c r="B30" s="85"/>
      <c r="C30" s="86"/>
      <c r="D30" s="86"/>
    </row>
    <row r="31" spans="1:4" x14ac:dyDescent="0.25">
      <c r="A31" s="84"/>
      <c r="B31" s="85"/>
      <c r="C31" s="86"/>
      <c r="D31" s="86"/>
    </row>
    <row r="32" spans="1:4" x14ac:dyDescent="0.25">
      <c r="A32" s="84"/>
      <c r="B32" s="85"/>
      <c r="C32" s="86"/>
      <c r="D32" s="86"/>
    </row>
    <row r="33" spans="1:4" x14ac:dyDescent="0.25">
      <c r="A33" s="84"/>
      <c r="B33" s="85"/>
      <c r="C33" s="86"/>
      <c r="D33" s="90"/>
    </row>
    <row r="34" spans="1:4" ht="6" customHeight="1" x14ac:dyDescent="0.25">
      <c r="A34" s="170"/>
      <c r="B34" s="170"/>
      <c r="C34" s="170"/>
      <c r="D34" s="170"/>
    </row>
    <row r="35" spans="1:4" ht="27.75" customHeight="1" x14ac:dyDescent="0.25">
      <c r="A35" s="171" t="s">
        <v>221</v>
      </c>
      <c r="B35" s="171"/>
      <c r="C35" s="171"/>
      <c r="D35" s="91">
        <f>SUM(D3:D33)</f>
        <v>0</v>
      </c>
    </row>
    <row r="36" spans="1:4" ht="6.75" customHeight="1" x14ac:dyDescent="0.25">
      <c r="A36" s="170"/>
      <c r="B36" s="170"/>
      <c r="C36" s="170"/>
      <c r="D36" s="170"/>
    </row>
  </sheetData>
  <mergeCells count="5">
    <mergeCell ref="A1:D1"/>
    <mergeCell ref="A2:D2"/>
    <mergeCell ref="A34:D34"/>
    <mergeCell ref="A35:C35"/>
    <mergeCell ref="A36:D36"/>
  </mergeCells>
  <pageMargins left="0.51180555555555596" right="0.51180555555555596" top="0.78749999999999998" bottom="0.78749999999999998" header="0.511811023622047" footer="0.511811023622047"/>
  <pageSetup paperSize="9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O10"/>
  <sheetViews>
    <sheetView view="pageBreakPreview" zoomScaleNormal="100" workbookViewId="0">
      <selection activeCell="D11" sqref="D11"/>
    </sheetView>
  </sheetViews>
  <sheetFormatPr defaultColWidth="8.42578125" defaultRowHeight="15" x14ac:dyDescent="0.25"/>
  <cols>
    <col min="1" max="1" width="28" style="82" customWidth="1"/>
    <col min="2" max="2" width="20" style="82" customWidth="1"/>
    <col min="3" max="3" width="12.7109375" style="82" customWidth="1"/>
    <col min="4" max="4" width="25.140625" style="82" customWidth="1"/>
    <col min="5" max="5" width="7.28515625" style="82" customWidth="1"/>
    <col min="6" max="6" width="16.140625" style="82" customWidth="1"/>
    <col min="7" max="7" width="12.85546875" style="82" customWidth="1"/>
    <col min="8" max="8" width="14.5703125" style="82" customWidth="1"/>
    <col min="9" max="9" width="14.85546875" style="82" customWidth="1"/>
    <col min="10" max="10" width="18.42578125" style="82" customWidth="1"/>
    <col min="11" max="11" width="15" style="82" customWidth="1"/>
    <col min="12" max="14" width="8.42578125" style="82"/>
    <col min="15" max="15" width="11.85546875" style="82" bestFit="1" customWidth="1"/>
    <col min="16" max="16384" width="8.42578125" style="82"/>
  </cols>
  <sheetData>
    <row r="1" spans="1:15" ht="76.5" customHeight="1" x14ac:dyDescent="0.25">
      <c r="A1" s="92" t="s">
        <v>222</v>
      </c>
      <c r="B1" s="92" t="s">
        <v>223</v>
      </c>
      <c r="C1" s="93" t="s">
        <v>224</v>
      </c>
      <c r="D1" s="93" t="s">
        <v>225</v>
      </c>
      <c r="E1" s="94" t="s">
        <v>226</v>
      </c>
      <c r="F1" s="94" t="s">
        <v>227</v>
      </c>
      <c r="G1" s="94" t="s">
        <v>228</v>
      </c>
      <c r="H1" s="95" t="s">
        <v>229</v>
      </c>
      <c r="I1" s="96" t="s">
        <v>230</v>
      </c>
      <c r="J1" s="96" t="s">
        <v>231</v>
      </c>
      <c r="K1" s="95" t="s">
        <v>232</v>
      </c>
    </row>
    <row r="2" spans="1:15" x14ac:dyDescent="0.25">
      <c r="A2" s="97" t="s">
        <v>7</v>
      </c>
      <c r="B2" s="97" t="s">
        <v>16</v>
      </c>
      <c r="C2" s="98" t="s">
        <v>233</v>
      </c>
      <c r="D2" s="98" t="s">
        <v>234</v>
      </c>
      <c r="E2" s="98">
        <v>8</v>
      </c>
      <c r="F2" s="99">
        <f>'Vigilante Diurno Armado'!I190+'Vigilante Noturno Armado'!I190</f>
        <v>0</v>
      </c>
      <c r="G2" s="100">
        <f>F2*E2</f>
        <v>0</v>
      </c>
      <c r="H2" s="101">
        <f>'Vigilante Diurno Armado'!I193+'Vigilante Noturno Armado'!I193</f>
        <v>4925.8196842222933</v>
      </c>
      <c r="I2" s="101">
        <f>H2*E2</f>
        <v>39406.557473778346</v>
      </c>
      <c r="J2" s="102">
        <f>'Vigilante Diurno Armado'!I196+'Vigilante Noturno Armado'!I196</f>
        <v>27136.720000000001</v>
      </c>
      <c r="K2" s="102">
        <f>E2*J2</f>
        <v>217093.76000000001</v>
      </c>
    </row>
    <row r="3" spans="1:15" x14ac:dyDescent="0.25">
      <c r="A3" s="97" t="s">
        <v>235</v>
      </c>
      <c r="B3" s="97" t="s">
        <v>16</v>
      </c>
      <c r="C3" s="103" t="s">
        <v>233</v>
      </c>
      <c r="D3" s="98" t="s">
        <v>234</v>
      </c>
      <c r="E3" s="103">
        <v>1</v>
      </c>
      <c r="F3" s="99">
        <f>'Supervisor Diurno Armado'!I190+'Supervisor Noturno Armado'!I190</f>
        <v>0</v>
      </c>
      <c r="G3" s="100">
        <f>F3*E3</f>
        <v>0</v>
      </c>
      <c r="H3" s="101">
        <f>'Supervisor Diurno Armado'!I193+'Supervisor Noturno Armado'!I193</f>
        <v>6185.7202335512529</v>
      </c>
      <c r="I3" s="101">
        <f>H3*E3</f>
        <v>6185.7202335512529</v>
      </c>
      <c r="J3" s="104">
        <f>'Supervisor Diurno Armado'!I196+'Supervisor Noturno Armado'!I196</f>
        <v>33370.68</v>
      </c>
      <c r="K3" s="104">
        <f>E3*J3</f>
        <v>33370.68</v>
      </c>
    </row>
    <row r="4" spans="1:15" ht="6" customHeight="1" x14ac:dyDescent="0.25">
      <c r="A4" s="172"/>
      <c r="B4" s="172"/>
      <c r="C4" s="172"/>
      <c r="D4" s="172"/>
      <c r="E4" s="172"/>
      <c r="F4" s="172"/>
      <c r="G4" s="172"/>
      <c r="H4" s="172"/>
      <c r="I4" s="172"/>
      <c r="J4" s="172"/>
      <c r="K4" s="172"/>
    </row>
    <row r="5" spans="1:15" ht="78" customHeight="1" x14ac:dyDescent="0.25">
      <c r="A5" s="173" t="s">
        <v>236</v>
      </c>
      <c r="B5" s="173"/>
      <c r="C5" s="173"/>
      <c r="D5" s="173"/>
      <c r="E5" s="105">
        <f>SUM(E2:E3)</f>
        <v>9</v>
      </c>
      <c r="F5" s="106" t="s">
        <v>221</v>
      </c>
      <c r="G5" s="107">
        <f>SUM(G2:G3)</f>
        <v>0</v>
      </c>
      <c r="H5" s="108" t="s">
        <v>237</v>
      </c>
      <c r="I5" s="109">
        <f>SUM(I2:I3)</f>
        <v>45592.277707329602</v>
      </c>
      <c r="J5" s="110" t="s">
        <v>238</v>
      </c>
      <c r="K5" s="111">
        <f>I5/K7</f>
        <v>0.18203094102831366</v>
      </c>
      <c r="O5" s="113"/>
    </row>
    <row r="6" spans="1:15" ht="6" customHeight="1" x14ac:dyDescent="0.25">
      <c r="A6" s="174"/>
      <c r="B6" s="174"/>
      <c r="C6" s="174"/>
      <c r="D6" s="174"/>
      <c r="E6" s="174"/>
      <c r="F6" s="174"/>
      <c r="G6" s="174"/>
      <c r="H6" s="174"/>
      <c r="I6" s="174"/>
      <c r="J6" s="174"/>
      <c r="K6" s="174"/>
    </row>
    <row r="7" spans="1:15" ht="26.25" customHeight="1" x14ac:dyDescent="0.25">
      <c r="A7" s="173" t="s">
        <v>239</v>
      </c>
      <c r="B7" s="173"/>
      <c r="C7" s="173"/>
      <c r="D7" s="173"/>
      <c r="E7" s="173"/>
      <c r="F7" s="173"/>
      <c r="G7" s="173"/>
      <c r="H7" s="173"/>
      <c r="I7" s="173"/>
      <c r="J7" s="173"/>
      <c r="K7" s="112">
        <f>SUM(K2:K3)</f>
        <v>250464.44</v>
      </c>
      <c r="O7" s="113"/>
    </row>
    <row r="8" spans="1:15" ht="6" customHeight="1" x14ac:dyDescent="0.25">
      <c r="A8" s="172"/>
      <c r="B8" s="172"/>
      <c r="C8" s="172"/>
      <c r="D8" s="172"/>
      <c r="E8" s="172"/>
      <c r="F8" s="172"/>
      <c r="G8" s="172"/>
      <c r="H8" s="172"/>
      <c r="I8" s="172"/>
      <c r="J8" s="172"/>
      <c r="K8" s="172"/>
    </row>
    <row r="10" spans="1:15" x14ac:dyDescent="0.25">
      <c r="J10" s="113"/>
    </row>
  </sheetData>
  <mergeCells count="5">
    <mergeCell ref="A4:K4"/>
    <mergeCell ref="A5:D5"/>
    <mergeCell ref="A6:K6"/>
    <mergeCell ref="A7:J7"/>
    <mergeCell ref="A8:K8"/>
  </mergeCells>
  <pageMargins left="0.51180555555555596" right="0.51180555555555596" top="0.78749999999999998" bottom="0.78749999999999998" header="0.511811023622047" footer="0.511811023622047"/>
  <pageSetup paperSize="9" scale="5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6</vt:i4>
      </vt:variant>
      <vt:variant>
        <vt:lpstr>Intervalos Nomeados</vt:lpstr>
      </vt:variant>
      <vt:variant>
        <vt:i4>4</vt:i4>
      </vt:variant>
    </vt:vector>
  </HeadingPairs>
  <TitlesOfParts>
    <vt:vector size="10" baseType="lpstr">
      <vt:lpstr>Vigilante Diurno Armado</vt:lpstr>
      <vt:lpstr>Vigilante Noturno Armado</vt:lpstr>
      <vt:lpstr>Supervisor Diurno Armado</vt:lpstr>
      <vt:lpstr>Supervisor Noturno Armado</vt:lpstr>
      <vt:lpstr>Materiais Equipamentos</vt:lpstr>
      <vt:lpstr>Resumo</vt:lpstr>
      <vt:lpstr>'Supervisor Diurno Armado'!Area_de_impressao</vt:lpstr>
      <vt:lpstr>'Supervisor Noturno Armado'!Area_de_impressao</vt:lpstr>
      <vt:lpstr>'Vigilante Diurno Armado'!Area_de_impressao</vt:lpstr>
      <vt:lpstr>'Vigilante Noturno Armado'!Area_de_impressao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Dell</dc:creator>
  <cp:keywords/>
  <dc:description/>
  <cp:lastModifiedBy>Cláudia Pippi Lorenzoni</cp:lastModifiedBy>
  <cp:revision>2</cp:revision>
  <cp:lastPrinted>2026-08-14T19:33:29Z</cp:lastPrinted>
  <dcterms:created xsi:type="dcterms:W3CDTF">2019-04-12T20:03:09Z</dcterms:created>
  <dcterms:modified xsi:type="dcterms:W3CDTF">2026-10-14T11:42:48Z</dcterms:modified>
  <cp:category/>
  <cp:contentStatus/>
</cp:coreProperties>
</file>