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\\Seplagpaefs01\seplag\CELIC\DPLAN\DEPLAN\PLANILHAS PARA EDITAIS\PLANILHAS NOVAS\"/>
    </mc:Choice>
  </mc:AlternateContent>
  <xr:revisionPtr revIDLastSave="0" documentId="13_ncr:1_{F52823A8-BB2C-40C1-B6F9-2DE59E7C72AE}" xr6:coauthVersionLast="47" xr6:coauthVersionMax="47" xr10:uidLastSave="{00000000-0000-0000-0000-000000000000}"/>
  <bookViews>
    <workbookView xWindow="-120" yWindow="-120" windowWidth="29040" windowHeight="15720" tabRatio="926" activeTab="11" xr2:uid="{00000000-000D-0000-FFFF-FFFF00000000}"/>
  </bookViews>
  <sheets>
    <sheet name="Canoas" sheetId="1" r:id="rId1"/>
    <sheet name="Caxias" sheetId="7" r:id="rId2"/>
    <sheet name="Gravataí" sheetId="8" r:id="rId3"/>
    <sheet name="Lajeado" sheetId="9" r:id="rId4"/>
    <sheet name="Pelotas" sheetId="15" r:id="rId5"/>
    <sheet name="Passo Fundo" sheetId="10" r:id="rId6"/>
    <sheet name="Poa Zona Norte e Centro 44h" sheetId="25" r:id="rId7"/>
    <sheet name="Poa Zona Sul Diurno 12x36" sheetId="28" r:id="rId8"/>
    <sheet name="Poa Zona Sul Noturno 12x36" sheetId="2" r:id="rId9"/>
    <sheet name="Poa Zona Sul 40h" sheetId="26" r:id="rId10"/>
    <sheet name="Rio Grande" sheetId="17" r:id="rId11"/>
    <sheet name="Santa Maria" sheetId="18" r:id="rId12"/>
    <sheet name="Tramandaí" sheetId="24" r:id="rId13"/>
    <sheet name="Materiais Equipamentos" sheetId="5" r:id="rId14"/>
    <sheet name="Resumo" sheetId="6" r:id="rId15"/>
  </sheets>
  <externalReferences>
    <externalReference r:id="rId16"/>
    <externalReference r:id="rId17"/>
  </externalReferences>
  <definedNames>
    <definedName name="_xlnm.Print_Area" localSheetId="0">Canoas!$A$1:$I$194</definedName>
    <definedName name="_xlnm.Print_Area" localSheetId="1">Caxias!$A$1:$I$194</definedName>
    <definedName name="_xlnm.Print_Area" localSheetId="2">Gravataí!$A$1:$I$194</definedName>
    <definedName name="_xlnm.Print_Area" localSheetId="3">Lajeado!$A$1:$I$194</definedName>
    <definedName name="_xlnm.Print_Area" localSheetId="5">'Passo Fundo'!$A$1:$I$194</definedName>
    <definedName name="_xlnm.Print_Area" localSheetId="4">Pelotas!$A$1:$I$194</definedName>
    <definedName name="_xlnm.Print_Area" localSheetId="6">'Poa Zona Norte e Centro 44h'!$A$1:$I$194</definedName>
    <definedName name="_xlnm.Print_Area" localSheetId="9">'Poa Zona Sul 40h'!$A$1:$I$194</definedName>
    <definedName name="_xlnm.Print_Area" localSheetId="7">'Poa Zona Sul Diurno 12x36'!$A$1:$I$194</definedName>
    <definedName name="_xlnm.Print_Area" localSheetId="8">'Poa Zona Sul Noturno 12x36'!$A$1:$I$194</definedName>
    <definedName name="_xlnm.Print_Area" localSheetId="10">'Rio Grande'!$A$1:$I$194</definedName>
    <definedName name="_xlnm.Print_Area" localSheetId="11">'Santa Maria'!$A$1:$I$194</definedName>
    <definedName name="_xlnm.Print_Area" localSheetId="12">Tramandaí!$A$1:$I$194</definedName>
    <definedName name="Auxiliar" localSheetId="13">#REF!</definedName>
    <definedName name="Auxiliar" localSheetId="8">#REF!</definedName>
    <definedName name="Auxiliar" localSheetId="14">#REF!</definedName>
    <definedName name="Auxiliar">#REF!</definedName>
    <definedName name="CUSTO_VALE_TRANSPORTE" localSheetId="13">#REF!</definedName>
    <definedName name="CUSTO_VALE_TRANSPORTE" localSheetId="8">#REF!</definedName>
    <definedName name="CUSTO_VALE_TRANSPORTE">#REF!</definedName>
    <definedName name="ecwece4c" localSheetId="13">#REF!</definedName>
    <definedName name="ecwece4c" localSheetId="8">#REF!</definedName>
    <definedName name="ecwece4c">#REF!</definedName>
    <definedName name="MOMB4">'[1]SERVENTE MANUTENCAO'!$I$144</definedName>
    <definedName name="MONA1" localSheetId="13">#REF!</definedName>
    <definedName name="MONA1" localSheetId="8">#REF!</definedName>
    <definedName name="MONA1" localSheetId="14">#REF!</definedName>
    <definedName name="MONA1">#REF!</definedName>
    <definedName name="MONA2" localSheetId="13">#REF!</definedName>
    <definedName name="MONA2" localSheetId="8">#REF!</definedName>
    <definedName name="MONA2">#REF!</definedName>
    <definedName name="MONA3">[2]HIDRAULICO!$I$138</definedName>
    <definedName name="MONA4">'[2]SERVENTE (AUX PRODUCAO)'!$I$138</definedName>
    <definedName name="MONA5" localSheetId="13">#REF!</definedName>
    <definedName name="MONA5" localSheetId="8">#REF!</definedName>
    <definedName name="MONA5" localSheetId="14">#REF!</definedName>
    <definedName name="MONA5">#REF!</definedName>
    <definedName name="MONA6" localSheetId="13">#REF!</definedName>
    <definedName name="MONA6" localSheetId="8">#REF!</definedName>
    <definedName name="MONA6">#REF!</definedName>
    <definedName name="MONA7" localSheetId="13">#REF!</definedName>
    <definedName name="MONA7" localSheetId="8">#REF!</definedName>
    <definedName name="MONA7">#REF!</definedName>
    <definedName name="MONA8">[2]MECANICO_REFRIGERACAO!$I$138</definedName>
    <definedName name="MONB1" localSheetId="13">#REF!</definedName>
    <definedName name="MONB1" localSheetId="8">#REF!</definedName>
    <definedName name="MONB1" localSheetId="14">#REF!</definedName>
    <definedName name="MONB1">#REF!</definedName>
    <definedName name="MONB2" localSheetId="13">#REF!</definedName>
    <definedName name="MONB2" localSheetId="8">#REF!</definedName>
    <definedName name="MONB2">#REF!</definedName>
    <definedName name="MONB3">[2]HIDRAULICO!$I$144</definedName>
    <definedName name="MONB4">'[2]SERVENTE (AUX PRODUCAO)'!$I$144</definedName>
    <definedName name="MONB5" localSheetId="13">#REF!</definedName>
    <definedName name="MONB5" localSheetId="8">#REF!</definedName>
    <definedName name="MONB5" localSheetId="14">#REF!</definedName>
    <definedName name="MONB5">#REF!</definedName>
    <definedName name="MONB6" localSheetId="13">#REF!</definedName>
    <definedName name="MONB6" localSheetId="8">#REF!</definedName>
    <definedName name="MONB6">#REF!</definedName>
    <definedName name="MONB7" localSheetId="13">#REF!</definedName>
    <definedName name="MONB7" localSheetId="8">#REF!</definedName>
    <definedName name="MONB7">#REF!</definedName>
    <definedName name="MONB8">[2]MECANICO_REFRIGERACAO!$I$144</definedName>
    <definedName name="MONC1" localSheetId="13">#REF!</definedName>
    <definedName name="MONC1" localSheetId="8">#REF!</definedName>
    <definedName name="MONC1" localSheetId="14">#REF!</definedName>
    <definedName name="MONC1">#REF!</definedName>
    <definedName name="MONC2" localSheetId="13">#REF!</definedName>
    <definedName name="MONC2" localSheetId="8">#REF!</definedName>
    <definedName name="MONC2">#REF!</definedName>
    <definedName name="MONC3">[2]HIDRAULICO!$I$148</definedName>
    <definedName name="MONC4">'[2]SERVENTE (AUX PRODUCAO)'!$I$148</definedName>
    <definedName name="MONC5" localSheetId="13">#REF!</definedName>
    <definedName name="MONC5" localSheetId="8">#REF!</definedName>
    <definedName name="MONC5" localSheetId="14">#REF!</definedName>
    <definedName name="MONC5">#REF!</definedName>
    <definedName name="MONC6" localSheetId="13">#REF!</definedName>
    <definedName name="MONC6" localSheetId="8">#REF!</definedName>
    <definedName name="MONC6">#REF!</definedName>
    <definedName name="MONC7" localSheetId="13">#REF!</definedName>
    <definedName name="MONC7" localSheetId="8">#REF!</definedName>
    <definedName name="MONC7">#REF!</definedName>
    <definedName name="MONC8">[2]MECANICO_REFRIGERACAO!$I$148</definedName>
    <definedName name="mont" localSheetId="13">#REF!</definedName>
    <definedName name="mont" localSheetId="8">#REF!</definedName>
    <definedName name="mont" localSheetId="14">#REF!</definedName>
    <definedName name="mont">#REF!</definedName>
    <definedName name="MONTANTEA" localSheetId="13">#REF!</definedName>
    <definedName name="MONTANTEA" localSheetId="8">#REF!</definedName>
    <definedName name="MONTANTEA">#REF!</definedName>
    <definedName name="MONTANTEA1" localSheetId="13">#REF!</definedName>
    <definedName name="MONTANTEA1" localSheetId="8">#REF!</definedName>
    <definedName name="MONTANTEA1">#REF!</definedName>
    <definedName name="MONTANTEA2" localSheetId="13">#REF!</definedName>
    <definedName name="MONTANTEA2" localSheetId="8">#REF!</definedName>
    <definedName name="MONTANTEA2">#REF!</definedName>
    <definedName name="MONTANTEB" localSheetId="13">#REF!</definedName>
    <definedName name="MONTANTEB" localSheetId="8">#REF!</definedName>
    <definedName name="MONTANTEB">#REF!</definedName>
    <definedName name="MONTANTEB1" localSheetId="13">#REF!</definedName>
    <definedName name="MONTANTEB1" localSheetId="8">#REF!</definedName>
    <definedName name="MONTANTEB1">#REF!</definedName>
    <definedName name="MONTANTEB2" localSheetId="13">#REF!</definedName>
    <definedName name="MONTANTEB2" localSheetId="8">#REF!</definedName>
    <definedName name="MONTANTEB2">#REF!</definedName>
    <definedName name="MONTANTEC" localSheetId="13">#REF!</definedName>
    <definedName name="MONTANTEC" localSheetId="8">#REF!</definedName>
    <definedName name="MONTANTEC">#REF!</definedName>
    <definedName name="MONTANTEC1" localSheetId="13">#REF!</definedName>
    <definedName name="MONTANTEC1" localSheetId="8">#REF!</definedName>
    <definedName name="MONTANTEC1">#REF!</definedName>
    <definedName name="MONTANTEC2" localSheetId="13">#REF!</definedName>
    <definedName name="MONTANTEC2" localSheetId="8">#REF!</definedName>
    <definedName name="MONTANTEC2">#REF!</definedName>
    <definedName name="ok" localSheetId="13">#REF!</definedName>
    <definedName name="ok" localSheetId="8">#REF!</definedName>
    <definedName name="ok">#REF!</definedName>
    <definedName name="REMUNERACAO1" localSheetId="13">#REF!</definedName>
    <definedName name="REMUNERACAO1" localSheetId="8">#REF!</definedName>
    <definedName name="REMUNERACAO1">#REF!</definedName>
    <definedName name="REMUNERACAO2" localSheetId="13">#REF!</definedName>
    <definedName name="REMUNERACAO2" localSheetId="8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3">#REF!</definedName>
    <definedName name="REMUNERACAO5" localSheetId="8">#REF!</definedName>
    <definedName name="REMUNERACAO5" localSheetId="14">#REF!</definedName>
    <definedName name="REMUNERACAO5">#REF!</definedName>
    <definedName name="REMUNERACAO6" localSheetId="13">#REF!</definedName>
    <definedName name="REMUNERACAO6" localSheetId="8">#REF!</definedName>
    <definedName name="REMUNERACAO6">#REF!</definedName>
    <definedName name="REMUNERACAO7" localSheetId="13">#REF!</definedName>
    <definedName name="REMUNERACAO7" localSheetId="8">#REF!</definedName>
    <definedName name="REMUNERACAO7">#REF!</definedName>
    <definedName name="REMUNERACAO8">[2]MECANICO_REFRIGERACAO!$I$30</definedName>
    <definedName name="TOTAL_MONT_A" localSheetId="13">#REF!</definedName>
    <definedName name="TOTAL_MONT_A" localSheetId="8">#REF!</definedName>
    <definedName name="TOTAL_MONT_A" localSheetId="14">#REF!</definedName>
    <definedName name="TOTAL_MONT_A">#REF!</definedName>
    <definedName name="TOTAL1" localSheetId="13">#REF!</definedName>
    <definedName name="TOTAL1" localSheetId="8">#REF!</definedName>
    <definedName name="TOTAL1">#REF!</definedName>
    <definedName name="TOTAL2" localSheetId="13">#REF!</definedName>
    <definedName name="TOTAL2" localSheetId="8">#REF!</definedName>
    <definedName name="TOTAL2">#REF!</definedName>
    <definedName name="VALE_TRANSPORTE" localSheetId="13">#REF!</definedName>
    <definedName name="VALE_TRANSPORTE" localSheetId="8">#REF!</definedName>
    <definedName name="VALE_TRANSPORTE">#REF!</definedName>
  </definedNames>
  <calcPr calcId="18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4" i="28" l="1"/>
  <c r="I178" i="28"/>
  <c r="H163" i="28"/>
  <c r="D160" i="28" s="1"/>
  <c r="E160" i="28" s="1"/>
  <c r="G163" i="28"/>
  <c r="D159" i="28" s="1"/>
  <c r="E159" i="28" s="1"/>
  <c r="E161" i="28"/>
  <c r="H160" i="28"/>
  <c r="G160" i="28"/>
  <c r="I134" i="28"/>
  <c r="F127" i="28"/>
  <c r="I118" i="28"/>
  <c r="G111" i="28"/>
  <c r="C111" i="28"/>
  <c r="E111" i="28" s="1"/>
  <c r="A111" i="28"/>
  <c r="H110" i="28"/>
  <c r="G107" i="28"/>
  <c r="A107" i="28"/>
  <c r="G103" i="28"/>
  <c r="C103" i="28"/>
  <c r="A103" i="28"/>
  <c r="I98" i="28"/>
  <c r="I97" i="28"/>
  <c r="H85" i="28"/>
  <c r="H78" i="28"/>
  <c r="H66" i="28"/>
  <c r="H88" i="28" s="1"/>
  <c r="H89" i="28" s="1"/>
  <c r="H91" i="28" s="1"/>
  <c r="B47" i="28"/>
  <c r="I45" i="28"/>
  <c r="I44" i="28"/>
  <c r="I43" i="28"/>
  <c r="I41" i="28"/>
  <c r="I40" i="28"/>
  <c r="I39" i="28"/>
  <c r="A38" i="28"/>
  <c r="A39" i="28" s="1"/>
  <c r="A40" i="28" s="1"/>
  <c r="A41" i="28" s="1"/>
  <c r="A42" i="28" s="1"/>
  <c r="A43" i="28" s="1"/>
  <c r="A44" i="28" s="1"/>
  <c r="A45" i="28" s="1"/>
  <c r="A46" i="28" s="1"/>
  <c r="A47" i="28" s="1"/>
  <c r="I37" i="28"/>
  <c r="C107" i="28"/>
  <c r="A6" i="28"/>
  <c r="G5" i="28"/>
  <c r="I37" i="26"/>
  <c r="H194" i="26"/>
  <c r="I178" i="26"/>
  <c r="E161" i="26"/>
  <c r="H160" i="26"/>
  <c r="H163" i="26" s="1"/>
  <c r="D160" i="26" s="1"/>
  <c r="E160" i="26" s="1"/>
  <c r="G160" i="26"/>
  <c r="G163" i="26" s="1"/>
  <c r="D159" i="26" s="1"/>
  <c r="E159" i="26" s="1"/>
  <c r="I134" i="26"/>
  <c r="F127" i="26"/>
  <c r="I118" i="26"/>
  <c r="G111" i="26"/>
  <c r="C111" i="26"/>
  <c r="A111" i="26"/>
  <c r="H110" i="26"/>
  <c r="G107" i="26"/>
  <c r="A107" i="26"/>
  <c r="G103" i="26"/>
  <c r="C103" i="26"/>
  <c r="E103" i="26" s="1"/>
  <c r="A103" i="26"/>
  <c r="I98" i="26"/>
  <c r="I97" i="26"/>
  <c r="H85" i="26"/>
  <c r="H78" i="26"/>
  <c r="H66" i="26"/>
  <c r="H88" i="26" s="1"/>
  <c r="H89" i="26" s="1"/>
  <c r="B47" i="26"/>
  <c r="I46" i="26"/>
  <c r="I45" i="26"/>
  <c r="I44" i="26"/>
  <c r="I43" i="26"/>
  <c r="I41" i="26"/>
  <c r="I40" i="26"/>
  <c r="I39" i="26"/>
  <c r="A38" i="26"/>
  <c r="A39" i="26" s="1"/>
  <c r="A40" i="26" s="1"/>
  <c r="A41" i="26" s="1"/>
  <c r="A42" i="26" s="1"/>
  <c r="A43" i="26" s="1"/>
  <c r="A44" i="26" s="1"/>
  <c r="A45" i="26" s="1"/>
  <c r="A46" i="26" s="1"/>
  <c r="A47" i="26" s="1"/>
  <c r="C107" i="26"/>
  <c r="A6" i="26"/>
  <c r="G5" i="26"/>
  <c r="H194" i="25"/>
  <c r="E161" i="25"/>
  <c r="H160" i="25"/>
  <c r="H163" i="25" s="1"/>
  <c r="D160" i="25" s="1"/>
  <c r="E160" i="25" s="1"/>
  <c r="G160" i="25"/>
  <c r="G163" i="25" s="1"/>
  <c r="D159" i="25" s="1"/>
  <c r="E159" i="25" s="1"/>
  <c r="I134" i="25"/>
  <c r="I178" i="25" s="1"/>
  <c r="F127" i="25"/>
  <c r="I118" i="25"/>
  <c r="G111" i="25"/>
  <c r="C111" i="25"/>
  <c r="A111" i="25"/>
  <c r="H110" i="25"/>
  <c r="G107" i="25"/>
  <c r="C107" i="25"/>
  <c r="A107" i="25"/>
  <c r="G103" i="25"/>
  <c r="C103" i="25"/>
  <c r="A103" i="25"/>
  <c r="I98" i="25"/>
  <c r="I97" i="25"/>
  <c r="H85" i="25"/>
  <c r="H78" i="25"/>
  <c r="H66" i="25"/>
  <c r="H88" i="25" s="1"/>
  <c r="H89" i="25" s="1"/>
  <c r="B47" i="25"/>
  <c r="I45" i="25"/>
  <c r="I44" i="25"/>
  <c r="I43" i="25"/>
  <c r="I41" i="25"/>
  <c r="I40" i="25"/>
  <c r="I39" i="25"/>
  <c r="A38" i="25"/>
  <c r="A39" i="25" s="1"/>
  <c r="A40" i="25" s="1"/>
  <c r="A41" i="25" s="1"/>
  <c r="A42" i="25" s="1"/>
  <c r="A43" i="25" s="1"/>
  <c r="A44" i="25" s="1"/>
  <c r="A45" i="25" s="1"/>
  <c r="A46" i="25" s="1"/>
  <c r="A47" i="25" s="1"/>
  <c r="A6" i="25"/>
  <c r="I5" i="25"/>
  <c r="I37" i="25" s="1"/>
  <c r="G5" i="25"/>
  <c r="H194" i="24"/>
  <c r="I178" i="24"/>
  <c r="E161" i="24"/>
  <c r="H160" i="24"/>
  <c r="H163" i="24" s="1"/>
  <c r="D160" i="24" s="1"/>
  <c r="E160" i="24" s="1"/>
  <c r="G160" i="24"/>
  <c r="G163" i="24" s="1"/>
  <c r="D159" i="24" s="1"/>
  <c r="E159" i="24" s="1"/>
  <c r="I134" i="24"/>
  <c r="F127" i="24"/>
  <c r="I118" i="24" s="1"/>
  <c r="G111" i="24"/>
  <c r="C111" i="24"/>
  <c r="E111" i="24" s="1"/>
  <c r="A111" i="24"/>
  <c r="H110" i="24"/>
  <c r="G107" i="24"/>
  <c r="A107" i="24"/>
  <c r="G103" i="24"/>
  <c r="C103" i="24"/>
  <c r="E103" i="24" s="1"/>
  <c r="A103" i="24"/>
  <c r="I98" i="24"/>
  <c r="I97" i="24"/>
  <c r="H88" i="24"/>
  <c r="H89" i="24" s="1"/>
  <c r="H85" i="24"/>
  <c r="H78" i="24"/>
  <c r="H66" i="24"/>
  <c r="H91" i="24" s="1"/>
  <c r="B47" i="24"/>
  <c r="I46" i="24"/>
  <c r="I45" i="24"/>
  <c r="I44" i="24"/>
  <c r="I43" i="24"/>
  <c r="I41" i="24"/>
  <c r="I40" i="24"/>
  <c r="I39" i="24"/>
  <c r="A38" i="24"/>
  <c r="A39" i="24" s="1"/>
  <c r="A40" i="24" s="1"/>
  <c r="A41" i="24" s="1"/>
  <c r="A42" i="24" s="1"/>
  <c r="A43" i="24" s="1"/>
  <c r="A44" i="24" s="1"/>
  <c r="A45" i="24" s="1"/>
  <c r="A46" i="24" s="1"/>
  <c r="A47" i="24" s="1"/>
  <c r="C107" i="24"/>
  <c r="A6" i="24"/>
  <c r="I5" i="24"/>
  <c r="I37" i="24" s="1"/>
  <c r="G5" i="24"/>
  <c r="H194" i="18"/>
  <c r="E161" i="18"/>
  <c r="H160" i="18"/>
  <c r="H163" i="18" s="1"/>
  <c r="D160" i="18" s="1"/>
  <c r="E160" i="18" s="1"/>
  <c r="G160" i="18"/>
  <c r="G163" i="18" s="1"/>
  <c r="D159" i="18" s="1"/>
  <c r="E159" i="18" s="1"/>
  <c r="I134" i="18"/>
  <c r="I178" i="18" s="1"/>
  <c r="F127" i="18"/>
  <c r="I118" i="18" s="1"/>
  <c r="G111" i="18"/>
  <c r="A111" i="18"/>
  <c r="H110" i="18"/>
  <c r="G107" i="18"/>
  <c r="A107" i="18"/>
  <c r="G103" i="18"/>
  <c r="C103" i="18"/>
  <c r="A103" i="18"/>
  <c r="E103" i="18" s="1"/>
  <c r="I98" i="18"/>
  <c r="I97" i="18"/>
  <c r="H85" i="18"/>
  <c r="H78" i="18"/>
  <c r="H66" i="18"/>
  <c r="H88" i="18" s="1"/>
  <c r="H89" i="18" s="1"/>
  <c r="H91" i="18" s="1"/>
  <c r="B47" i="18"/>
  <c r="I46" i="18"/>
  <c r="I45" i="18"/>
  <c r="I44" i="18"/>
  <c r="I43" i="18"/>
  <c r="I41" i="18"/>
  <c r="I40" i="18"/>
  <c r="I39" i="18"/>
  <c r="A38" i="18"/>
  <c r="A39" i="18" s="1"/>
  <c r="A40" i="18" s="1"/>
  <c r="A41" i="18" s="1"/>
  <c r="A42" i="18" s="1"/>
  <c r="A43" i="18" s="1"/>
  <c r="A44" i="18" s="1"/>
  <c r="A45" i="18" s="1"/>
  <c r="A46" i="18" s="1"/>
  <c r="A47" i="18" s="1"/>
  <c r="C107" i="18"/>
  <c r="C111" i="18"/>
  <c r="A6" i="18"/>
  <c r="I5" i="18"/>
  <c r="I37" i="18" s="1"/>
  <c r="G5" i="18"/>
  <c r="H194" i="17"/>
  <c r="E161" i="17"/>
  <c r="H160" i="17"/>
  <c r="H163" i="17" s="1"/>
  <c r="D160" i="17" s="1"/>
  <c r="E160" i="17" s="1"/>
  <c r="G160" i="17"/>
  <c r="G163" i="17" s="1"/>
  <c r="D159" i="17" s="1"/>
  <c r="E159" i="17" s="1"/>
  <c r="I134" i="17"/>
  <c r="I178" i="17" s="1"/>
  <c r="F127" i="17"/>
  <c r="G111" i="17"/>
  <c r="C111" i="17"/>
  <c r="A111" i="17"/>
  <c r="H110" i="17"/>
  <c r="G107" i="17"/>
  <c r="A107" i="17"/>
  <c r="G103" i="17"/>
  <c r="C103" i="17"/>
  <c r="A103" i="17"/>
  <c r="E103" i="17" s="1"/>
  <c r="I98" i="17"/>
  <c r="I97" i="17"/>
  <c r="H85" i="17"/>
  <c r="H78" i="17"/>
  <c r="H66" i="17"/>
  <c r="H88" i="17" s="1"/>
  <c r="H89" i="17" s="1"/>
  <c r="B47" i="17"/>
  <c r="I46" i="17"/>
  <c r="I45" i="17"/>
  <c r="I44" i="17"/>
  <c r="I43" i="17"/>
  <c r="I41" i="17"/>
  <c r="I40" i="17"/>
  <c r="I39" i="17"/>
  <c r="A39" i="17"/>
  <c r="A40" i="17" s="1"/>
  <c r="A41" i="17" s="1"/>
  <c r="A42" i="17" s="1"/>
  <c r="A43" i="17" s="1"/>
  <c r="A44" i="17" s="1"/>
  <c r="A45" i="17" s="1"/>
  <c r="A46" i="17" s="1"/>
  <c r="A47" i="17" s="1"/>
  <c r="A38" i="17"/>
  <c r="C107" i="17"/>
  <c r="A6" i="17"/>
  <c r="I5" i="17"/>
  <c r="I37" i="17" s="1"/>
  <c r="G5" i="17"/>
  <c r="H194" i="15"/>
  <c r="E161" i="15"/>
  <c r="H160" i="15"/>
  <c r="H163" i="15" s="1"/>
  <c r="D160" i="15" s="1"/>
  <c r="E160" i="15" s="1"/>
  <c r="G160" i="15"/>
  <c r="G163" i="15" s="1"/>
  <c r="D159" i="15" s="1"/>
  <c r="E159" i="15" s="1"/>
  <c r="I134" i="15"/>
  <c r="I178" i="15" s="1"/>
  <c r="F127" i="15"/>
  <c r="G111" i="15"/>
  <c r="C111" i="15"/>
  <c r="A111" i="15"/>
  <c r="H110" i="15"/>
  <c r="G107" i="15"/>
  <c r="A107" i="15"/>
  <c r="G103" i="15"/>
  <c r="A103" i="15"/>
  <c r="I98" i="15"/>
  <c r="I97" i="15"/>
  <c r="H85" i="15"/>
  <c r="H78" i="15"/>
  <c r="H66" i="15"/>
  <c r="B47" i="15"/>
  <c r="I46" i="15"/>
  <c r="I45" i="15"/>
  <c r="I44" i="15"/>
  <c r="I43" i="15"/>
  <c r="I41" i="15"/>
  <c r="I40" i="15"/>
  <c r="I39" i="15"/>
  <c r="A39" i="15"/>
  <c r="A40" i="15" s="1"/>
  <c r="A41" i="15" s="1"/>
  <c r="A42" i="15" s="1"/>
  <c r="A43" i="15" s="1"/>
  <c r="A44" i="15" s="1"/>
  <c r="A45" i="15" s="1"/>
  <c r="A46" i="15" s="1"/>
  <c r="A47" i="15" s="1"/>
  <c r="A38" i="15"/>
  <c r="C107" i="15"/>
  <c r="A6" i="15"/>
  <c r="I5" i="15"/>
  <c r="I37" i="15" s="1"/>
  <c r="G5" i="15"/>
  <c r="H194" i="10"/>
  <c r="E161" i="10"/>
  <c r="H160" i="10"/>
  <c r="H163" i="10" s="1"/>
  <c r="D160" i="10" s="1"/>
  <c r="E160" i="10" s="1"/>
  <c r="G160" i="10"/>
  <c r="G163" i="10" s="1"/>
  <c r="D159" i="10" s="1"/>
  <c r="E159" i="10" s="1"/>
  <c r="I134" i="10"/>
  <c r="I178" i="10" s="1"/>
  <c r="F127" i="10"/>
  <c r="G111" i="10"/>
  <c r="C111" i="10"/>
  <c r="A111" i="10"/>
  <c r="H110" i="10"/>
  <c r="G107" i="10"/>
  <c r="C107" i="10"/>
  <c r="A107" i="10"/>
  <c r="G103" i="10"/>
  <c r="C103" i="10"/>
  <c r="A103" i="10"/>
  <c r="E103" i="10" s="1"/>
  <c r="I98" i="10"/>
  <c r="I97" i="10"/>
  <c r="H85" i="10"/>
  <c r="H78" i="10"/>
  <c r="H66" i="10"/>
  <c r="H88" i="10" s="1"/>
  <c r="H89" i="10" s="1"/>
  <c r="H91" i="10" s="1"/>
  <c r="B47" i="10"/>
  <c r="I45" i="10"/>
  <c r="I46" i="10" s="1"/>
  <c r="I44" i="10"/>
  <c r="I43" i="10"/>
  <c r="I41" i="10"/>
  <c r="I40" i="10"/>
  <c r="I39" i="10"/>
  <c r="A38" i="10"/>
  <c r="A39" i="10" s="1"/>
  <c r="A40" i="10" s="1"/>
  <c r="A41" i="10" s="1"/>
  <c r="A42" i="10" s="1"/>
  <c r="A43" i="10" s="1"/>
  <c r="A44" i="10" s="1"/>
  <c r="A45" i="10" s="1"/>
  <c r="A46" i="10" s="1"/>
  <c r="A47" i="10" s="1"/>
  <c r="I37" i="10"/>
  <c r="I42" i="10" s="1"/>
  <c r="I15" i="10"/>
  <c r="A6" i="10"/>
  <c r="I5" i="10"/>
  <c r="G5" i="10"/>
  <c r="H194" i="9"/>
  <c r="E161" i="9"/>
  <c r="H160" i="9"/>
  <c r="H163" i="9" s="1"/>
  <c r="D160" i="9" s="1"/>
  <c r="E160" i="9" s="1"/>
  <c r="G160" i="9"/>
  <c r="G163" i="9" s="1"/>
  <c r="D159" i="9" s="1"/>
  <c r="E159" i="9" s="1"/>
  <c r="I134" i="9"/>
  <c r="I178" i="9" s="1"/>
  <c r="F127" i="9"/>
  <c r="I118" i="9" s="1"/>
  <c r="G111" i="9"/>
  <c r="C111" i="9"/>
  <c r="A111" i="9"/>
  <c r="H110" i="9"/>
  <c r="G107" i="9"/>
  <c r="A107" i="9"/>
  <c r="G103" i="9"/>
  <c r="C103" i="9"/>
  <c r="A103" i="9"/>
  <c r="E103" i="9" s="1"/>
  <c r="I98" i="9"/>
  <c r="I97" i="9"/>
  <c r="H85" i="9"/>
  <c r="H78" i="9"/>
  <c r="H66" i="9"/>
  <c r="H88" i="9" s="1"/>
  <c r="H89" i="9" s="1"/>
  <c r="H91" i="9" s="1"/>
  <c r="B47" i="9"/>
  <c r="I45" i="9"/>
  <c r="I46" i="9" s="1"/>
  <c r="I44" i="9"/>
  <c r="I43" i="9"/>
  <c r="I41" i="9"/>
  <c r="I40" i="9"/>
  <c r="I39" i="9"/>
  <c r="A38" i="9"/>
  <c r="A39" i="9" s="1"/>
  <c r="A40" i="9" s="1"/>
  <c r="A41" i="9" s="1"/>
  <c r="A42" i="9" s="1"/>
  <c r="A43" i="9" s="1"/>
  <c r="A44" i="9" s="1"/>
  <c r="A45" i="9" s="1"/>
  <c r="A46" i="9" s="1"/>
  <c r="A47" i="9" s="1"/>
  <c r="C107" i="9"/>
  <c r="E107" i="9" s="1"/>
  <c r="I15" i="9"/>
  <c r="A6" i="9"/>
  <c r="I5" i="9"/>
  <c r="I37" i="9" s="1"/>
  <c r="G5" i="9"/>
  <c r="H194" i="8"/>
  <c r="G163" i="8"/>
  <c r="D159" i="8" s="1"/>
  <c r="E159" i="8" s="1"/>
  <c r="E161" i="8"/>
  <c r="H160" i="8"/>
  <c r="H163" i="8" s="1"/>
  <c r="D160" i="8" s="1"/>
  <c r="E160" i="8" s="1"/>
  <c r="G160" i="8"/>
  <c r="I134" i="8"/>
  <c r="I178" i="8" s="1"/>
  <c r="F127" i="8"/>
  <c r="I118" i="8"/>
  <c r="G111" i="8"/>
  <c r="C111" i="8"/>
  <c r="A111" i="8"/>
  <c r="H110" i="8"/>
  <c r="G107" i="8"/>
  <c r="C107" i="8"/>
  <c r="E107" i="8" s="1"/>
  <c r="A107" i="8"/>
  <c r="G103" i="8"/>
  <c r="A103" i="8"/>
  <c r="I98" i="8"/>
  <c r="I97" i="8"/>
  <c r="H85" i="8"/>
  <c r="H78" i="8"/>
  <c r="H66" i="8"/>
  <c r="H88" i="8" s="1"/>
  <c r="H89" i="8" s="1"/>
  <c r="B47" i="8"/>
  <c r="I45" i="8"/>
  <c r="I44" i="8"/>
  <c r="I43" i="8"/>
  <c r="I41" i="8"/>
  <c r="I40" i="8"/>
  <c r="I39" i="8"/>
  <c r="A38" i="8"/>
  <c r="A39" i="8" s="1"/>
  <c r="A40" i="8" s="1"/>
  <c r="A41" i="8" s="1"/>
  <c r="A42" i="8" s="1"/>
  <c r="A43" i="8" s="1"/>
  <c r="A44" i="8" s="1"/>
  <c r="A45" i="8" s="1"/>
  <c r="A46" i="8" s="1"/>
  <c r="A47" i="8" s="1"/>
  <c r="I15" i="8"/>
  <c r="C103" i="8" s="1"/>
  <c r="A6" i="8"/>
  <c r="I5" i="8"/>
  <c r="I37" i="8" s="1"/>
  <c r="G5" i="8"/>
  <c r="H194" i="7"/>
  <c r="E161" i="7"/>
  <c r="H160" i="7"/>
  <c r="H163" i="7" s="1"/>
  <c r="D160" i="7" s="1"/>
  <c r="E160" i="7" s="1"/>
  <c r="G160" i="7"/>
  <c r="G163" i="7" s="1"/>
  <c r="D159" i="7"/>
  <c r="E159" i="7" s="1"/>
  <c r="I134" i="7"/>
  <c r="I178" i="7" s="1"/>
  <c r="F127" i="7"/>
  <c r="G111" i="7"/>
  <c r="C111" i="7"/>
  <c r="A111" i="7"/>
  <c r="H110" i="7"/>
  <c r="G107" i="7"/>
  <c r="A107" i="7"/>
  <c r="E107" i="7" s="1"/>
  <c r="G103" i="7"/>
  <c r="C103" i="7"/>
  <c r="A103" i="7"/>
  <c r="E103" i="7" s="1"/>
  <c r="I98" i="7"/>
  <c r="I97" i="7"/>
  <c r="H85" i="7"/>
  <c r="H78" i="7"/>
  <c r="H66" i="7"/>
  <c r="H88" i="7" s="1"/>
  <c r="H89" i="7" s="1"/>
  <c r="H91" i="7" s="1"/>
  <c r="B47" i="7"/>
  <c r="I45" i="7"/>
  <c r="I46" i="7" s="1"/>
  <c r="I44" i="7"/>
  <c r="I43" i="7"/>
  <c r="A42" i="7"/>
  <c r="A43" i="7" s="1"/>
  <c r="A44" i="7" s="1"/>
  <c r="A45" i="7" s="1"/>
  <c r="A46" i="7" s="1"/>
  <c r="A47" i="7" s="1"/>
  <c r="I41" i="7"/>
  <c r="I40" i="7"/>
  <c r="I39" i="7"/>
  <c r="A38" i="7"/>
  <c r="A39" i="7" s="1"/>
  <c r="A40" i="7" s="1"/>
  <c r="A41" i="7" s="1"/>
  <c r="C107" i="7"/>
  <c r="I15" i="7"/>
  <c r="A6" i="7"/>
  <c r="I5" i="7"/>
  <c r="I37" i="7" s="1"/>
  <c r="G5" i="7"/>
  <c r="E16" i="6"/>
  <c r="E111" i="17" l="1"/>
  <c r="E107" i="17"/>
  <c r="E107" i="10"/>
  <c r="F107" i="10" s="1"/>
  <c r="H107" i="10" s="1"/>
  <c r="I107" i="10" s="1"/>
  <c r="I95" i="10" s="1"/>
  <c r="E111" i="10"/>
  <c r="F111" i="10" s="1"/>
  <c r="H111" i="10" s="1"/>
  <c r="E111" i="9"/>
  <c r="E111" i="15"/>
  <c r="E107" i="15"/>
  <c r="F107" i="15" s="1"/>
  <c r="H107" i="15" s="1"/>
  <c r="E111" i="7"/>
  <c r="F111" i="7" s="1"/>
  <c r="H111" i="7" s="1"/>
  <c r="E107" i="18"/>
  <c r="E107" i="25"/>
  <c r="F107" i="25" s="1"/>
  <c r="H107" i="25" s="1"/>
  <c r="I107" i="25" s="1"/>
  <c r="I95" i="25" s="1"/>
  <c r="E111" i="26"/>
  <c r="E107" i="26"/>
  <c r="F107" i="26" s="1"/>
  <c r="H107" i="26" s="1"/>
  <c r="I107" i="26" s="1"/>
  <c r="I95" i="26" s="1"/>
  <c r="E111" i="8"/>
  <c r="E111" i="25"/>
  <c r="E107" i="28"/>
  <c r="F107" i="28" s="1"/>
  <c r="H107" i="28" s="1"/>
  <c r="I107" i="28" s="1"/>
  <c r="I95" i="28" s="1"/>
  <c r="E103" i="28"/>
  <c r="F111" i="28"/>
  <c r="H111" i="28" s="1"/>
  <c r="I111" i="28" s="1"/>
  <c r="I94" i="28" s="1"/>
  <c r="I42" i="28"/>
  <c r="I46" i="28"/>
  <c r="F103" i="28"/>
  <c r="H103" i="28" s="1"/>
  <c r="F111" i="26"/>
  <c r="H111" i="26" s="1"/>
  <c r="I111" i="26" s="1"/>
  <c r="I94" i="26" s="1"/>
  <c r="I42" i="26"/>
  <c r="I38" i="26"/>
  <c r="I48" i="26" s="1"/>
  <c r="H98" i="26" s="1"/>
  <c r="F103" i="26"/>
  <c r="H103" i="26" s="1"/>
  <c r="I103" i="26" s="1"/>
  <c r="I96" i="26" s="1"/>
  <c r="H91" i="26"/>
  <c r="E103" i="25"/>
  <c r="I103" i="25" s="1"/>
  <c r="I96" i="25" s="1"/>
  <c r="F111" i="25"/>
  <c r="H111" i="25" s="1"/>
  <c r="I111" i="25"/>
  <c r="I94" i="25" s="1"/>
  <c r="F103" i="25"/>
  <c r="H103" i="25" s="1"/>
  <c r="I42" i="25"/>
  <c r="I38" i="25"/>
  <c r="H91" i="25"/>
  <c r="I46" i="25"/>
  <c r="F103" i="24"/>
  <c r="H103" i="24" s="1"/>
  <c r="I42" i="24"/>
  <c r="I38" i="24"/>
  <c r="I48" i="24"/>
  <c r="H37" i="24" s="1"/>
  <c r="H98" i="24"/>
  <c r="I103" i="24"/>
  <c r="I96" i="24" s="1"/>
  <c r="H44" i="24"/>
  <c r="E107" i="24"/>
  <c r="F111" i="24"/>
  <c r="H111" i="24" s="1"/>
  <c r="I111" i="24" s="1"/>
  <c r="I94" i="24" s="1"/>
  <c r="H97" i="24"/>
  <c r="E111" i="18"/>
  <c r="F111" i="18" s="1"/>
  <c r="H111" i="18" s="1"/>
  <c r="I111" i="18" s="1"/>
  <c r="I94" i="18" s="1"/>
  <c r="I42" i="18"/>
  <c r="I38" i="18"/>
  <c r="I48" i="18" s="1"/>
  <c r="F103" i="18"/>
  <c r="H103" i="18" s="1"/>
  <c r="I103" i="18" s="1"/>
  <c r="I96" i="18" s="1"/>
  <c r="F107" i="18"/>
  <c r="H107" i="18" s="1"/>
  <c r="I107" i="18" s="1"/>
  <c r="I95" i="18" s="1"/>
  <c r="H95" i="18" s="1"/>
  <c r="F111" i="17"/>
  <c r="H111" i="17" s="1"/>
  <c r="I111" i="17"/>
  <c r="I94" i="17" s="1"/>
  <c r="I42" i="17"/>
  <c r="F103" i="17"/>
  <c r="H103" i="17" s="1"/>
  <c r="I103" i="17" s="1"/>
  <c r="I96" i="17" s="1"/>
  <c r="I38" i="17"/>
  <c r="I48" i="17" s="1"/>
  <c r="F107" i="17"/>
  <c r="H107" i="17" s="1"/>
  <c r="I107" i="17" s="1"/>
  <c r="I95" i="17" s="1"/>
  <c r="H95" i="17" s="1"/>
  <c r="I118" i="17"/>
  <c r="H91" i="17"/>
  <c r="F111" i="15"/>
  <c r="H111" i="15" s="1"/>
  <c r="I111" i="15" s="1"/>
  <c r="I94" i="15" s="1"/>
  <c r="F103" i="15"/>
  <c r="H103" i="15" s="1"/>
  <c r="I38" i="15"/>
  <c r="I42" i="15"/>
  <c r="I118" i="15"/>
  <c r="H88" i="15"/>
  <c r="H89" i="15" s="1"/>
  <c r="H91" i="15"/>
  <c r="I38" i="10"/>
  <c r="I48" i="10" s="1"/>
  <c r="I118" i="10"/>
  <c r="I111" i="10"/>
  <c r="I94" i="10" s="1"/>
  <c r="F103" i="10"/>
  <c r="H103" i="10" s="1"/>
  <c r="I103" i="10" s="1"/>
  <c r="I96" i="10" s="1"/>
  <c r="F107" i="9"/>
  <c r="H107" i="9" s="1"/>
  <c r="I107" i="9" s="1"/>
  <c r="I95" i="9" s="1"/>
  <c r="F111" i="9"/>
  <c r="H111" i="9" s="1"/>
  <c r="I111" i="9" s="1"/>
  <c r="I94" i="9" s="1"/>
  <c r="F103" i="9"/>
  <c r="H103" i="9" s="1"/>
  <c r="I103" i="9" s="1"/>
  <c r="I96" i="9" s="1"/>
  <c r="I42" i="9"/>
  <c r="I38" i="9"/>
  <c r="E103" i="8"/>
  <c r="F111" i="8"/>
  <c r="H111" i="8" s="1"/>
  <c r="I111" i="8" s="1"/>
  <c r="I94" i="8" s="1"/>
  <c r="F107" i="8"/>
  <c r="H107" i="8" s="1"/>
  <c r="I107" i="8" s="1"/>
  <c r="I95" i="8" s="1"/>
  <c r="F103" i="8"/>
  <c r="H103" i="8" s="1"/>
  <c r="I103" i="8" s="1"/>
  <c r="I96" i="8" s="1"/>
  <c r="I42" i="8"/>
  <c r="H91" i="8"/>
  <c r="I46" i="8"/>
  <c r="I38" i="8" s="1"/>
  <c r="I48" i="8" s="1"/>
  <c r="F107" i="7"/>
  <c r="H107" i="7" s="1"/>
  <c r="I107" i="7" s="1"/>
  <c r="I95" i="7" s="1"/>
  <c r="I38" i="7"/>
  <c r="F103" i="7"/>
  <c r="H103" i="7" s="1"/>
  <c r="I103" i="7" s="1"/>
  <c r="I96" i="7" s="1"/>
  <c r="I42" i="7"/>
  <c r="I118" i="7"/>
  <c r="D35" i="5"/>
  <c r="H13" i="6"/>
  <c r="H10" i="6"/>
  <c r="H8" i="6"/>
  <c r="H9" i="6"/>
  <c r="H4" i="6"/>
  <c r="H6" i="6"/>
  <c r="H5" i="6"/>
  <c r="H7" i="6"/>
  <c r="H11" i="6"/>
  <c r="I107" i="15" l="1"/>
  <c r="I95" i="15" s="1"/>
  <c r="I111" i="7"/>
  <c r="I94" i="7" s="1"/>
  <c r="I103" i="28"/>
  <c r="I96" i="28" s="1"/>
  <c r="I140" i="28" s="1"/>
  <c r="I127" i="28"/>
  <c r="I38" i="28"/>
  <c r="I99" i="28"/>
  <c r="H95" i="26"/>
  <c r="I140" i="26"/>
  <c r="H96" i="26"/>
  <c r="I127" i="26"/>
  <c r="H94" i="26"/>
  <c r="I99" i="26"/>
  <c r="H38" i="26"/>
  <c r="H37" i="26"/>
  <c r="A142" i="26"/>
  <c r="I75" i="26"/>
  <c r="I61" i="26"/>
  <c r="I88" i="26"/>
  <c r="I89" i="26" s="1"/>
  <c r="I74" i="26"/>
  <c r="I60" i="26"/>
  <c r="H45" i="26"/>
  <c r="H41" i="26"/>
  <c r="H97" i="26"/>
  <c r="I73" i="26"/>
  <c r="I59" i="26"/>
  <c r="I72" i="26"/>
  <c r="I58" i="26"/>
  <c r="I71" i="26"/>
  <c r="H44" i="26"/>
  <c r="I84" i="26"/>
  <c r="I82" i="26"/>
  <c r="H43" i="26"/>
  <c r="H39" i="26"/>
  <c r="I191" i="26"/>
  <c r="I65" i="26"/>
  <c r="I64" i="26"/>
  <c r="I77" i="26"/>
  <c r="I63" i="26"/>
  <c r="H46" i="26"/>
  <c r="I76" i="26"/>
  <c r="I62" i="26"/>
  <c r="H40" i="26"/>
  <c r="I70" i="26"/>
  <c r="A129" i="26"/>
  <c r="I83" i="26"/>
  <c r="H47" i="26"/>
  <c r="I171" i="26"/>
  <c r="H42" i="26"/>
  <c r="I99" i="25"/>
  <c r="I140" i="25"/>
  <c r="I127" i="25"/>
  <c r="I48" i="25"/>
  <c r="H42" i="25" s="1"/>
  <c r="H94" i="24"/>
  <c r="I140" i="24"/>
  <c r="I127" i="24"/>
  <c r="H96" i="24"/>
  <c r="H43" i="24"/>
  <c r="H38" i="24"/>
  <c r="H48" i="24" s="1"/>
  <c r="F107" i="24"/>
  <c r="H107" i="24" s="1"/>
  <c r="I107" i="24" s="1"/>
  <c r="I95" i="24" s="1"/>
  <c r="A142" i="24"/>
  <c r="I75" i="24"/>
  <c r="I61" i="24"/>
  <c r="I191" i="24"/>
  <c r="I84" i="24"/>
  <c r="I70" i="24"/>
  <c r="I82" i="24"/>
  <c r="H39" i="24"/>
  <c r="H40" i="24"/>
  <c r="A129" i="24"/>
  <c r="I83" i="24"/>
  <c r="H47" i="24"/>
  <c r="I65" i="24"/>
  <c r="I64" i="24"/>
  <c r="I71" i="24"/>
  <c r="I77" i="24"/>
  <c r="I63" i="24"/>
  <c r="I88" i="24"/>
  <c r="I89" i="24" s="1"/>
  <c r="I74" i="24"/>
  <c r="I60" i="24"/>
  <c r="H45" i="24"/>
  <c r="H41" i="24"/>
  <c r="I73" i="24"/>
  <c r="I59" i="24"/>
  <c r="I72" i="24"/>
  <c r="I171" i="24"/>
  <c r="I76" i="24"/>
  <c r="I62" i="24"/>
  <c r="I58" i="24"/>
  <c r="H42" i="24"/>
  <c r="H46" i="24"/>
  <c r="H96" i="18"/>
  <c r="I127" i="18"/>
  <c r="I140" i="18"/>
  <c r="A142" i="18"/>
  <c r="I75" i="18"/>
  <c r="I61" i="18"/>
  <c r="I88" i="18"/>
  <c r="I89" i="18" s="1"/>
  <c r="I74" i="18"/>
  <c r="I60" i="18"/>
  <c r="H45" i="18"/>
  <c r="A129" i="18"/>
  <c r="I82" i="18"/>
  <c r="I85" i="18" s="1"/>
  <c r="H39" i="18"/>
  <c r="I65" i="18"/>
  <c r="H41" i="18"/>
  <c r="I71" i="18"/>
  <c r="I84" i="18"/>
  <c r="I70" i="18"/>
  <c r="I83" i="18"/>
  <c r="H47" i="18"/>
  <c r="H43" i="18"/>
  <c r="I64" i="18"/>
  <c r="I77" i="18"/>
  <c r="I63" i="18"/>
  <c r="H46" i="18"/>
  <c r="I171" i="18"/>
  <c r="I76" i="18"/>
  <c r="I62" i="18"/>
  <c r="I73" i="18"/>
  <c r="I59" i="18"/>
  <c r="I72" i="18"/>
  <c r="I58" i="18"/>
  <c r="H97" i="18"/>
  <c r="H37" i="18"/>
  <c r="H40" i="18"/>
  <c r="H44" i="18"/>
  <c r="I191" i="18"/>
  <c r="H98" i="18"/>
  <c r="H94" i="18"/>
  <c r="I99" i="18"/>
  <c r="H38" i="18"/>
  <c r="H42" i="18"/>
  <c r="A142" i="17"/>
  <c r="I75" i="17"/>
  <c r="I61" i="17"/>
  <c r="I88" i="17"/>
  <c r="I89" i="17" s="1"/>
  <c r="I74" i="17"/>
  <c r="I60" i="17"/>
  <c r="H45" i="17"/>
  <c r="H41" i="17"/>
  <c r="H97" i="17"/>
  <c r="I73" i="17"/>
  <c r="I59" i="17"/>
  <c r="I72" i="17"/>
  <c r="I58" i="17"/>
  <c r="I71" i="17"/>
  <c r="H44" i="17"/>
  <c r="H40" i="17"/>
  <c r="A129" i="17"/>
  <c r="I83" i="17"/>
  <c r="H47" i="17"/>
  <c r="H39" i="17"/>
  <c r="I65" i="17"/>
  <c r="I191" i="17"/>
  <c r="I77" i="17"/>
  <c r="I63" i="17"/>
  <c r="I82" i="17"/>
  <c r="I171" i="17"/>
  <c r="I76" i="17"/>
  <c r="I62" i="17"/>
  <c r="I84" i="17"/>
  <c r="I70" i="17"/>
  <c r="H43" i="17"/>
  <c r="I64" i="17"/>
  <c r="H46" i="17"/>
  <c r="H98" i="17"/>
  <c r="H37" i="17"/>
  <c r="H48" i="17" s="1"/>
  <c r="I140" i="17"/>
  <c r="H96" i="17"/>
  <c r="I127" i="17"/>
  <c r="H38" i="17"/>
  <c r="H42" i="17"/>
  <c r="H94" i="17"/>
  <c r="I99" i="17"/>
  <c r="I48" i="15"/>
  <c r="H95" i="15"/>
  <c r="H95" i="10"/>
  <c r="H96" i="10"/>
  <c r="I127" i="10"/>
  <c r="I140" i="10"/>
  <c r="I73" i="10"/>
  <c r="I59" i="10"/>
  <c r="I72" i="10"/>
  <c r="I58" i="10"/>
  <c r="I71" i="10"/>
  <c r="H44" i="10"/>
  <c r="H40" i="10"/>
  <c r="I84" i="10"/>
  <c r="I70" i="10"/>
  <c r="A129" i="10"/>
  <c r="I83" i="10"/>
  <c r="H47" i="10"/>
  <c r="I82" i="10"/>
  <c r="H43" i="10"/>
  <c r="H39" i="10"/>
  <c r="I62" i="10"/>
  <c r="H42" i="10"/>
  <c r="I171" i="10"/>
  <c r="I77" i="10"/>
  <c r="I76" i="10"/>
  <c r="H98" i="10"/>
  <c r="I74" i="10"/>
  <c r="H45" i="10"/>
  <c r="I64" i="10"/>
  <c r="A142" i="10"/>
  <c r="I63" i="10"/>
  <c r="I88" i="10"/>
  <c r="I89" i="10" s="1"/>
  <c r="I61" i="10"/>
  <c r="H37" i="10"/>
  <c r="I60" i="10"/>
  <c r="H41" i="10"/>
  <c r="I75" i="10"/>
  <c r="I65" i="10"/>
  <c r="H94" i="10"/>
  <c r="I99" i="10"/>
  <c r="H97" i="10"/>
  <c r="H38" i="10"/>
  <c r="I191" i="10"/>
  <c r="H46" i="10"/>
  <c r="I140" i="9"/>
  <c r="I127" i="9"/>
  <c r="I99" i="9"/>
  <c r="I48" i="9"/>
  <c r="H96" i="9" s="1"/>
  <c r="I88" i="8"/>
  <c r="I89" i="8" s="1"/>
  <c r="I74" i="8"/>
  <c r="I60" i="8"/>
  <c r="I72" i="8"/>
  <c r="I58" i="8"/>
  <c r="I71" i="8"/>
  <c r="H44" i="8"/>
  <c r="H40" i="8"/>
  <c r="I84" i="8"/>
  <c r="I70" i="8"/>
  <c r="I83" i="8"/>
  <c r="I73" i="8"/>
  <c r="I59" i="8"/>
  <c r="A129" i="8"/>
  <c r="I82" i="8"/>
  <c r="I65" i="8"/>
  <c r="I64" i="8"/>
  <c r="I77" i="8"/>
  <c r="I63" i="8"/>
  <c r="I171" i="8"/>
  <c r="I76" i="8"/>
  <c r="I62" i="8"/>
  <c r="A142" i="8"/>
  <c r="H98" i="8"/>
  <c r="I75" i="8"/>
  <c r="I61" i="8"/>
  <c r="H47" i="8"/>
  <c r="H45" i="8"/>
  <c r="H41" i="8"/>
  <c r="H43" i="8"/>
  <c r="I191" i="8"/>
  <c r="H39" i="8"/>
  <c r="H37" i="8"/>
  <c r="H48" i="8" s="1"/>
  <c r="H97" i="8"/>
  <c r="I140" i="8"/>
  <c r="H96" i="8"/>
  <c r="I127" i="8"/>
  <c r="H95" i="8"/>
  <c r="H46" i="8"/>
  <c r="H38" i="8"/>
  <c r="H94" i="8"/>
  <c r="I99" i="8"/>
  <c r="H42" i="8"/>
  <c r="I127" i="7"/>
  <c r="I140" i="7"/>
  <c r="I99" i="7"/>
  <c r="I48" i="7"/>
  <c r="H42" i="7" s="1"/>
  <c r="I10" i="6"/>
  <c r="I13" i="6"/>
  <c r="I4" i="6"/>
  <c r="I6" i="6"/>
  <c r="I9" i="6"/>
  <c r="I8" i="6"/>
  <c r="I11" i="6"/>
  <c r="I7" i="6"/>
  <c r="I5" i="6"/>
  <c r="H12" i="6"/>
  <c r="G129" i="28" l="1"/>
  <c r="I173" i="28"/>
  <c r="G142" i="28"/>
  <c r="I48" i="28"/>
  <c r="I12" i="6"/>
  <c r="I85" i="26"/>
  <c r="H99" i="26"/>
  <c r="E129" i="26"/>
  <c r="E142" i="26"/>
  <c r="I66" i="26"/>
  <c r="H48" i="26"/>
  <c r="G129" i="26"/>
  <c r="I173" i="26"/>
  <c r="G142" i="26"/>
  <c r="F129" i="26"/>
  <c r="F142" i="26"/>
  <c r="I78" i="26"/>
  <c r="G129" i="25"/>
  <c r="I173" i="25"/>
  <c r="G142" i="25"/>
  <c r="H46" i="25"/>
  <c r="H94" i="25"/>
  <c r="I88" i="25"/>
  <c r="I89" i="25" s="1"/>
  <c r="I74" i="25"/>
  <c r="I60" i="25"/>
  <c r="I72" i="25"/>
  <c r="I58" i="25"/>
  <c r="A129" i="25"/>
  <c r="I73" i="25"/>
  <c r="I59" i="25"/>
  <c r="I82" i="25"/>
  <c r="I61" i="25"/>
  <c r="I71" i="25"/>
  <c r="H44" i="25"/>
  <c r="I84" i="25"/>
  <c r="I83" i="25"/>
  <c r="H47" i="25"/>
  <c r="I65" i="25"/>
  <c r="I64" i="25"/>
  <c r="I77" i="25"/>
  <c r="I63" i="25"/>
  <c r="I171" i="25"/>
  <c r="I76" i="25"/>
  <c r="I62" i="25"/>
  <c r="A142" i="25"/>
  <c r="I75" i="25"/>
  <c r="H40" i="25"/>
  <c r="H98" i="25"/>
  <c r="I70" i="25"/>
  <c r="H43" i="25"/>
  <c r="H37" i="25"/>
  <c r="H41" i="25"/>
  <c r="H45" i="25"/>
  <c r="H39" i="25"/>
  <c r="H97" i="25"/>
  <c r="I191" i="25"/>
  <c r="H38" i="25"/>
  <c r="H96" i="25"/>
  <c r="H95" i="25"/>
  <c r="H95" i="24"/>
  <c r="H99" i="24" s="1"/>
  <c r="H113" i="24" s="1"/>
  <c r="I99" i="24"/>
  <c r="F142" i="24"/>
  <c r="F129" i="24"/>
  <c r="I85" i="24"/>
  <c r="I66" i="24"/>
  <c r="I78" i="24"/>
  <c r="H48" i="18"/>
  <c r="I78" i="18"/>
  <c r="H99" i="18"/>
  <c r="E142" i="18"/>
  <c r="E129" i="18"/>
  <c r="I66" i="18"/>
  <c r="I173" i="18"/>
  <c r="G142" i="18"/>
  <c r="G129" i="18"/>
  <c r="F142" i="18"/>
  <c r="F129" i="18"/>
  <c r="G129" i="17"/>
  <c r="I173" i="17"/>
  <c r="G142" i="17"/>
  <c r="F129" i="17"/>
  <c r="F142" i="17"/>
  <c r="I78" i="17"/>
  <c r="H99" i="17"/>
  <c r="H113" i="17" s="1"/>
  <c r="I85" i="17"/>
  <c r="I66" i="17"/>
  <c r="A142" i="15"/>
  <c r="I75" i="15"/>
  <c r="I61" i="15"/>
  <c r="I77" i="15"/>
  <c r="I63" i="15"/>
  <c r="I59" i="15"/>
  <c r="H40" i="15"/>
  <c r="I84" i="15"/>
  <c r="I70" i="15"/>
  <c r="I82" i="15"/>
  <c r="I85" i="15" s="1"/>
  <c r="H43" i="15"/>
  <c r="H39" i="15"/>
  <c r="I65" i="15"/>
  <c r="I64" i="15"/>
  <c r="I171" i="15"/>
  <c r="I76" i="15"/>
  <c r="I62" i="15"/>
  <c r="I88" i="15"/>
  <c r="I89" i="15" s="1"/>
  <c r="I74" i="15"/>
  <c r="I60" i="15"/>
  <c r="H45" i="15"/>
  <c r="H97" i="15"/>
  <c r="I73" i="15"/>
  <c r="I72" i="15"/>
  <c r="I58" i="15"/>
  <c r="I71" i="15"/>
  <c r="H44" i="15"/>
  <c r="A129" i="15"/>
  <c r="I83" i="15"/>
  <c r="H47" i="15"/>
  <c r="H98" i="15"/>
  <c r="H46" i="15"/>
  <c r="H41" i="15"/>
  <c r="I191" i="15"/>
  <c r="H37" i="15"/>
  <c r="H48" i="15" s="1"/>
  <c r="H42" i="15"/>
  <c r="H38" i="15"/>
  <c r="H94" i="15"/>
  <c r="I66" i="10"/>
  <c r="I173" i="10"/>
  <c r="G142" i="10"/>
  <c r="G129" i="10"/>
  <c r="I78" i="10"/>
  <c r="H48" i="10"/>
  <c r="I85" i="10"/>
  <c r="H99" i="10"/>
  <c r="F129" i="10"/>
  <c r="F142" i="10"/>
  <c r="H38" i="9"/>
  <c r="H95" i="9"/>
  <c r="H42" i="9"/>
  <c r="H94" i="9"/>
  <c r="A142" i="9"/>
  <c r="I75" i="9"/>
  <c r="I61" i="9"/>
  <c r="H97" i="9"/>
  <c r="I73" i="9"/>
  <c r="I59" i="9"/>
  <c r="H44" i="9"/>
  <c r="I84" i="9"/>
  <c r="A129" i="9"/>
  <c r="I65" i="9"/>
  <c r="I77" i="9"/>
  <c r="I63" i="9"/>
  <c r="H46" i="9"/>
  <c r="I171" i="9"/>
  <c r="I76" i="9"/>
  <c r="I88" i="9"/>
  <c r="I89" i="9" s="1"/>
  <c r="I74" i="9"/>
  <c r="I60" i="9"/>
  <c r="H45" i="9"/>
  <c r="H41" i="9"/>
  <c r="I72" i="9"/>
  <c r="I58" i="9"/>
  <c r="I71" i="9"/>
  <c r="H40" i="9"/>
  <c r="I70" i="9"/>
  <c r="I83" i="9"/>
  <c r="H47" i="9"/>
  <c r="I82" i="9"/>
  <c r="H43" i="9"/>
  <c r="H39" i="9"/>
  <c r="I64" i="9"/>
  <c r="I191" i="9"/>
  <c r="I62" i="9"/>
  <c r="H98" i="9"/>
  <c r="H37" i="9"/>
  <c r="I173" i="9"/>
  <c r="G129" i="9"/>
  <c r="G142" i="9"/>
  <c r="I66" i="8"/>
  <c r="H99" i="8"/>
  <c r="H113" i="8" s="1"/>
  <c r="G129" i="8"/>
  <c r="I173" i="8"/>
  <c r="G142" i="8"/>
  <c r="I85" i="8"/>
  <c r="I78" i="8"/>
  <c r="F129" i="8"/>
  <c r="F142" i="8"/>
  <c r="I173" i="7"/>
  <c r="G142" i="7"/>
  <c r="G129" i="7"/>
  <c r="A142" i="7"/>
  <c r="I75" i="7"/>
  <c r="I61" i="7"/>
  <c r="I88" i="7"/>
  <c r="I89" i="7" s="1"/>
  <c r="I74" i="7"/>
  <c r="I60" i="7"/>
  <c r="H45" i="7"/>
  <c r="H41" i="7"/>
  <c r="I73" i="7"/>
  <c r="I72" i="7"/>
  <c r="H44" i="7"/>
  <c r="I84" i="7"/>
  <c r="A129" i="7"/>
  <c r="I83" i="7"/>
  <c r="H47" i="7"/>
  <c r="I82" i="7"/>
  <c r="I85" i="7" s="1"/>
  <c r="I64" i="7"/>
  <c r="H97" i="7"/>
  <c r="I59" i="7"/>
  <c r="I58" i="7"/>
  <c r="I71" i="7"/>
  <c r="H40" i="7"/>
  <c r="I70" i="7"/>
  <c r="H43" i="7"/>
  <c r="H39" i="7"/>
  <c r="I65" i="7"/>
  <c r="I171" i="7"/>
  <c r="I77" i="7"/>
  <c r="I76" i="7"/>
  <c r="I63" i="7"/>
  <c r="I62" i="7"/>
  <c r="H46" i="7"/>
  <c r="I191" i="7"/>
  <c r="H37" i="7"/>
  <c r="H98" i="7"/>
  <c r="H94" i="7"/>
  <c r="H38" i="7"/>
  <c r="H95" i="7"/>
  <c r="H96" i="7"/>
  <c r="H194" i="2"/>
  <c r="H194" i="1"/>
  <c r="H3" i="6"/>
  <c r="I3" i="6" l="1"/>
  <c r="H113" i="26"/>
  <c r="I88" i="28"/>
  <c r="I89" i="28" s="1"/>
  <c r="I74" i="28"/>
  <c r="I60" i="28"/>
  <c r="I72" i="28"/>
  <c r="I58" i="28"/>
  <c r="I71" i="28"/>
  <c r="H44" i="28"/>
  <c r="H40" i="28"/>
  <c r="I83" i="28"/>
  <c r="I62" i="28"/>
  <c r="I75" i="28"/>
  <c r="I73" i="28"/>
  <c r="I59" i="28"/>
  <c r="I77" i="28"/>
  <c r="I76" i="28"/>
  <c r="I84" i="28"/>
  <c r="I70" i="28"/>
  <c r="H47" i="28"/>
  <c r="I63" i="28"/>
  <c r="A142" i="28"/>
  <c r="I61" i="28"/>
  <c r="A129" i="28"/>
  <c r="I82" i="28"/>
  <c r="I85" i="28" s="1"/>
  <c r="I65" i="28"/>
  <c r="I64" i="28"/>
  <c r="I171" i="28"/>
  <c r="H45" i="28"/>
  <c r="H41" i="28"/>
  <c r="H37" i="28"/>
  <c r="H97" i="28"/>
  <c r="H98" i="28"/>
  <c r="I191" i="28"/>
  <c r="H43" i="28"/>
  <c r="H39" i="28"/>
  <c r="H95" i="28"/>
  <c r="H42" i="28"/>
  <c r="H96" i="28"/>
  <c r="H46" i="28"/>
  <c r="H94" i="28"/>
  <c r="H38" i="28"/>
  <c r="I172" i="26"/>
  <c r="I91" i="26"/>
  <c r="I113" i="26" s="1"/>
  <c r="A158" i="26" s="1"/>
  <c r="C129" i="26"/>
  <c r="C142" i="26"/>
  <c r="D129" i="26"/>
  <c r="D142" i="26"/>
  <c r="I78" i="25"/>
  <c r="F129" i="25"/>
  <c r="F142" i="25"/>
  <c r="I66" i="25"/>
  <c r="H99" i="25"/>
  <c r="I85" i="25"/>
  <c r="H48" i="25"/>
  <c r="H113" i="25" s="1"/>
  <c r="G129" i="24"/>
  <c r="I173" i="24"/>
  <c r="G142" i="24"/>
  <c r="D142" i="24"/>
  <c r="D129" i="24"/>
  <c r="E142" i="24"/>
  <c r="E129" i="24"/>
  <c r="C129" i="24"/>
  <c r="I172" i="24"/>
  <c r="I91" i="24"/>
  <c r="I113" i="24" s="1"/>
  <c r="A158" i="24" s="1"/>
  <c r="C142" i="24"/>
  <c r="I172" i="18"/>
  <c r="I91" i="18"/>
  <c r="I113" i="18" s="1"/>
  <c r="A158" i="18" s="1"/>
  <c r="C142" i="18"/>
  <c r="C129" i="18"/>
  <c r="D142" i="18"/>
  <c r="D129" i="18"/>
  <c r="H113" i="18"/>
  <c r="E129" i="17"/>
  <c r="E142" i="17"/>
  <c r="D129" i="17"/>
  <c r="D142" i="17"/>
  <c r="C129" i="17"/>
  <c r="H129" i="17" s="1"/>
  <c r="I129" i="17" s="1"/>
  <c r="C142" i="17"/>
  <c r="H142" i="17" s="1"/>
  <c r="I142" i="17" s="1"/>
  <c r="I172" i="17"/>
  <c r="I91" i="17"/>
  <c r="I113" i="17" s="1"/>
  <c r="A158" i="17" s="1"/>
  <c r="F142" i="15"/>
  <c r="F129" i="15"/>
  <c r="E129" i="15"/>
  <c r="E142" i="15"/>
  <c r="I78" i="15"/>
  <c r="I66" i="15"/>
  <c r="H113" i="10"/>
  <c r="E129" i="10"/>
  <c r="E142" i="10"/>
  <c r="D129" i="10"/>
  <c r="D142" i="10"/>
  <c r="C129" i="10"/>
  <c r="I172" i="10"/>
  <c r="I91" i="10"/>
  <c r="I113" i="10" s="1"/>
  <c r="A158" i="10" s="1"/>
  <c r="C142" i="10"/>
  <c r="H48" i="9"/>
  <c r="I85" i="9"/>
  <c r="I78" i="9"/>
  <c r="H99" i="9"/>
  <c r="I66" i="9"/>
  <c r="F142" i="9"/>
  <c r="F129" i="9"/>
  <c r="D129" i="8"/>
  <c r="D142" i="8"/>
  <c r="E129" i="8"/>
  <c r="E142" i="8"/>
  <c r="C129" i="8"/>
  <c r="H129" i="8" s="1"/>
  <c r="I129" i="8" s="1"/>
  <c r="I172" i="8"/>
  <c r="I91" i="8"/>
  <c r="I113" i="8" s="1"/>
  <c r="A158" i="8" s="1"/>
  <c r="C142" i="8"/>
  <c r="H142" i="8" s="1"/>
  <c r="I142" i="8" s="1"/>
  <c r="H99" i="7"/>
  <c r="I66" i="7"/>
  <c r="E129" i="7"/>
  <c r="E142" i="7"/>
  <c r="I78" i="7"/>
  <c r="F129" i="7"/>
  <c r="F142" i="7"/>
  <c r="H48" i="7"/>
  <c r="H113" i="7" s="1"/>
  <c r="G111" i="2"/>
  <c r="G107" i="2"/>
  <c r="G103" i="2"/>
  <c r="C111" i="2"/>
  <c r="A111" i="2"/>
  <c r="A107" i="2"/>
  <c r="A103" i="2"/>
  <c r="G111" i="1"/>
  <c r="G107" i="1"/>
  <c r="G103" i="1"/>
  <c r="C107" i="1"/>
  <c r="A111" i="1"/>
  <c r="A107" i="1"/>
  <c r="A103" i="1"/>
  <c r="H14" i="6"/>
  <c r="I14" i="6" l="1"/>
  <c r="H48" i="28"/>
  <c r="I78" i="28"/>
  <c r="I66" i="28"/>
  <c r="E129" i="28"/>
  <c r="E142" i="28"/>
  <c r="H99" i="28"/>
  <c r="F129" i="28"/>
  <c r="F142" i="28"/>
  <c r="H129" i="26"/>
  <c r="I129" i="26" s="1"/>
  <c r="I174" i="26"/>
  <c r="H142" i="26"/>
  <c r="I142" i="26" s="1"/>
  <c r="E129" i="25"/>
  <c r="E142" i="25"/>
  <c r="C129" i="25"/>
  <c r="I172" i="25"/>
  <c r="I91" i="25"/>
  <c r="I113" i="25" s="1"/>
  <c r="A158" i="25" s="1"/>
  <c r="C142" i="25"/>
  <c r="D129" i="25"/>
  <c r="D142" i="25"/>
  <c r="H142" i="24"/>
  <c r="I142" i="24" s="1"/>
  <c r="H133" i="24" s="1"/>
  <c r="H132" i="24"/>
  <c r="G140" i="24"/>
  <c r="I137" i="24" s="1"/>
  <c r="I174" i="24"/>
  <c r="H129" i="24"/>
  <c r="I129" i="24" s="1"/>
  <c r="H129" i="18"/>
  <c r="I129" i="18" s="1"/>
  <c r="H142" i="18"/>
  <c r="I142" i="18" s="1"/>
  <c r="I174" i="18"/>
  <c r="G140" i="17"/>
  <c r="I137" i="17" s="1"/>
  <c r="H133" i="17"/>
  <c r="H132" i="17"/>
  <c r="H134" i="17" s="1"/>
  <c r="I174" i="17"/>
  <c r="H123" i="17"/>
  <c r="H122" i="17"/>
  <c r="H121" i="17"/>
  <c r="H117" i="17"/>
  <c r="H119" i="17"/>
  <c r="G127" i="17"/>
  <c r="I120" i="17" s="1"/>
  <c r="H118" i="17"/>
  <c r="I172" i="15"/>
  <c r="I91" i="15"/>
  <c r="C142" i="15"/>
  <c r="C129" i="15"/>
  <c r="D142" i="15"/>
  <c r="D129" i="15"/>
  <c r="H129" i="10"/>
  <c r="I129" i="10" s="1"/>
  <c r="H121" i="10" s="1"/>
  <c r="H142" i="10"/>
  <c r="I142" i="10" s="1"/>
  <c r="G140" i="10" s="1"/>
  <c r="I137" i="10" s="1"/>
  <c r="I174" i="10"/>
  <c r="C129" i="9"/>
  <c r="C142" i="9"/>
  <c r="I172" i="9"/>
  <c r="I91" i="9"/>
  <c r="I113" i="9" s="1"/>
  <c r="A158" i="9" s="1"/>
  <c r="E142" i="9"/>
  <c r="E129" i="9"/>
  <c r="D142" i="9"/>
  <c r="D129" i="9"/>
  <c r="H113" i="9"/>
  <c r="G140" i="8"/>
  <c r="I137" i="8" s="1"/>
  <c r="H133" i="8"/>
  <c r="H132" i="8"/>
  <c r="I174" i="8"/>
  <c r="H122" i="8"/>
  <c r="H121" i="8"/>
  <c r="H119" i="8"/>
  <c r="G127" i="8"/>
  <c r="I120" i="8" s="1"/>
  <c r="H117" i="8"/>
  <c r="H123" i="8"/>
  <c r="H118" i="8"/>
  <c r="D129" i="7"/>
  <c r="D142" i="7"/>
  <c r="C129" i="7"/>
  <c r="H129" i="7" s="1"/>
  <c r="I129" i="7" s="1"/>
  <c r="I172" i="7"/>
  <c r="I91" i="7"/>
  <c r="I113" i="7" s="1"/>
  <c r="A158" i="7" s="1"/>
  <c r="C142" i="7"/>
  <c r="I50" i="2"/>
  <c r="I47" i="2"/>
  <c r="H142" i="7" l="1"/>
  <c r="I142" i="7" s="1"/>
  <c r="H132" i="10"/>
  <c r="H119" i="10"/>
  <c r="H123" i="10"/>
  <c r="H118" i="10"/>
  <c r="H122" i="10"/>
  <c r="H117" i="10"/>
  <c r="G127" i="10"/>
  <c r="I120" i="10" s="1"/>
  <c r="H120" i="10" s="1"/>
  <c r="H124" i="10" s="1"/>
  <c r="H133" i="10"/>
  <c r="H134" i="24"/>
  <c r="C129" i="28"/>
  <c r="I91" i="28"/>
  <c r="I113" i="28" s="1"/>
  <c r="A158" i="28" s="1"/>
  <c r="I172" i="28"/>
  <c r="C142" i="28"/>
  <c r="D129" i="28"/>
  <c r="D142" i="28"/>
  <c r="H113" i="28"/>
  <c r="G140" i="26"/>
  <c r="I137" i="26" s="1"/>
  <c r="H133" i="26"/>
  <c r="H132" i="26"/>
  <c r="H134" i="26" s="1"/>
  <c r="H123" i="26"/>
  <c r="H122" i="26"/>
  <c r="H121" i="26"/>
  <c r="H118" i="26"/>
  <c r="G127" i="26"/>
  <c r="I120" i="26" s="1"/>
  <c r="H117" i="26"/>
  <c r="H119" i="26"/>
  <c r="H142" i="25"/>
  <c r="I142" i="25" s="1"/>
  <c r="I174" i="25"/>
  <c r="H129" i="25"/>
  <c r="I129" i="25" s="1"/>
  <c r="H123" i="24"/>
  <c r="H122" i="24"/>
  <c r="H119" i="24"/>
  <c r="G127" i="24"/>
  <c r="I120" i="24" s="1"/>
  <c r="H117" i="24"/>
  <c r="H121" i="24"/>
  <c r="H118" i="24"/>
  <c r="H137" i="24"/>
  <c r="H138" i="24" s="1"/>
  <c r="I138" i="24"/>
  <c r="I179" i="24" s="1"/>
  <c r="H133" i="18"/>
  <c r="H132" i="18"/>
  <c r="G140" i="18"/>
  <c r="I137" i="18" s="1"/>
  <c r="H123" i="18"/>
  <c r="H117" i="18"/>
  <c r="H122" i="18"/>
  <c r="G127" i="18"/>
  <c r="I120" i="18" s="1"/>
  <c r="H121" i="18"/>
  <c r="H119" i="18"/>
  <c r="H118" i="18"/>
  <c r="H120" i="17"/>
  <c r="I188" i="17"/>
  <c r="I124" i="17"/>
  <c r="H124" i="17"/>
  <c r="I138" i="17"/>
  <c r="I179" i="17" s="1"/>
  <c r="H137" i="17"/>
  <c r="H138" i="17" s="1"/>
  <c r="I124" i="10"/>
  <c r="H134" i="10"/>
  <c r="I138" i="10"/>
  <c r="I179" i="10" s="1"/>
  <c r="H137" i="10"/>
  <c r="H138" i="10" s="1"/>
  <c r="H142" i="9"/>
  <c r="I142" i="9" s="1"/>
  <c r="I174" i="9"/>
  <c r="H129" i="9"/>
  <c r="I129" i="9" s="1"/>
  <c r="H134" i="8"/>
  <c r="H120" i="8"/>
  <c r="I188" i="8"/>
  <c r="I124" i="8"/>
  <c r="H124" i="8"/>
  <c r="I138" i="8"/>
  <c r="I179" i="8" s="1"/>
  <c r="H137" i="8"/>
  <c r="H138" i="8" s="1"/>
  <c r="G140" i="7"/>
  <c r="I137" i="7" s="1"/>
  <c r="H133" i="7"/>
  <c r="H132" i="7"/>
  <c r="H134" i="7" s="1"/>
  <c r="I174" i="7"/>
  <c r="H123" i="7"/>
  <c r="H121" i="7"/>
  <c r="G127" i="7"/>
  <c r="I120" i="7" s="1"/>
  <c r="H122" i="7"/>
  <c r="H119" i="7"/>
  <c r="H117" i="7"/>
  <c r="H118" i="7"/>
  <c r="C111" i="1"/>
  <c r="F8" i="6"/>
  <c r="F4" i="6"/>
  <c r="G8" i="6" l="1"/>
  <c r="I188" i="10"/>
  <c r="G4" i="6"/>
  <c r="H142" i="28"/>
  <c r="I142" i="28" s="1"/>
  <c r="I174" i="28"/>
  <c r="H129" i="28"/>
  <c r="I129" i="28" s="1"/>
  <c r="I188" i="26"/>
  <c r="H120" i="26"/>
  <c r="I124" i="26"/>
  <c r="H124" i="26"/>
  <c r="I138" i="26"/>
  <c r="I179" i="26" s="1"/>
  <c r="H137" i="26"/>
  <c r="H138" i="26" s="1"/>
  <c r="H122" i="25"/>
  <c r="H119" i="25"/>
  <c r="H121" i="25"/>
  <c r="G127" i="25"/>
  <c r="I120" i="25" s="1"/>
  <c r="H117" i="25"/>
  <c r="H123" i="25"/>
  <c r="H118" i="25"/>
  <c r="G140" i="25"/>
  <c r="I137" i="25" s="1"/>
  <c r="H133" i="25"/>
  <c r="H132" i="25"/>
  <c r="I188" i="24"/>
  <c r="H120" i="24"/>
  <c r="H124" i="24" s="1"/>
  <c r="H144" i="24" s="1"/>
  <c r="I124" i="24"/>
  <c r="H134" i="18"/>
  <c r="I188" i="18"/>
  <c r="H120" i="18"/>
  <c r="I124" i="18"/>
  <c r="H124" i="18"/>
  <c r="H137" i="18"/>
  <c r="H138" i="18" s="1"/>
  <c r="I138" i="18"/>
  <c r="I179" i="18" s="1"/>
  <c r="H144" i="17"/>
  <c r="I177" i="17"/>
  <c r="I144" i="17"/>
  <c r="C158" i="17" s="1"/>
  <c r="D158" i="17" s="1"/>
  <c r="H144" i="10"/>
  <c r="I177" i="10"/>
  <c r="I144" i="10"/>
  <c r="C158" i="10" s="1"/>
  <c r="D158" i="10" s="1"/>
  <c r="H123" i="9"/>
  <c r="H121" i="9"/>
  <c r="H119" i="9"/>
  <c r="G127" i="9"/>
  <c r="I120" i="9" s="1"/>
  <c r="H122" i="9"/>
  <c r="H117" i="9"/>
  <c r="H118" i="9"/>
  <c r="G140" i="9"/>
  <c r="I137" i="9" s="1"/>
  <c r="H132" i="9"/>
  <c r="H133" i="9"/>
  <c r="H144" i="8"/>
  <c r="I144" i="8"/>
  <c r="C158" i="8" s="1"/>
  <c r="D158" i="8" s="1"/>
  <c r="I177" i="8"/>
  <c r="H120" i="7"/>
  <c r="H124" i="7" s="1"/>
  <c r="I188" i="7"/>
  <c r="I124" i="7"/>
  <c r="I138" i="7"/>
  <c r="I179" i="7" s="1"/>
  <c r="H137" i="7"/>
  <c r="H138" i="7" s="1"/>
  <c r="E161" i="2"/>
  <c r="H160" i="2"/>
  <c r="H163" i="2" s="1"/>
  <c r="D160" i="2" s="1"/>
  <c r="E160" i="2" s="1"/>
  <c r="G160" i="2"/>
  <c r="G163" i="2" s="1"/>
  <c r="D159" i="2" s="1"/>
  <c r="E159" i="2" s="1"/>
  <c r="I134" i="2"/>
  <c r="I178" i="2" s="1"/>
  <c r="F127" i="2"/>
  <c r="I118" i="2" s="1"/>
  <c r="H110" i="2"/>
  <c r="I98" i="2"/>
  <c r="I97" i="2"/>
  <c r="H85" i="2"/>
  <c r="H78" i="2"/>
  <c r="H66" i="2"/>
  <c r="I53" i="2"/>
  <c r="I45" i="2"/>
  <c r="I44" i="2"/>
  <c r="I42" i="2"/>
  <c r="I41" i="2"/>
  <c r="I40" i="2"/>
  <c r="A38" i="2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I37" i="2"/>
  <c r="F103" i="2" s="1"/>
  <c r="H103" i="2" s="1"/>
  <c r="I33" i="2"/>
  <c r="I32" i="2"/>
  <c r="I31" i="2"/>
  <c r="I30" i="2"/>
  <c r="C107" i="2"/>
  <c r="E111" i="2"/>
  <c r="C103" i="2"/>
  <c r="G11" i="2"/>
  <c r="A6" i="2"/>
  <c r="I5" i="2"/>
  <c r="G5" i="2"/>
  <c r="E161" i="1"/>
  <c r="H160" i="1"/>
  <c r="H163" i="1" s="1"/>
  <c r="D160" i="1" s="1"/>
  <c r="E160" i="1" s="1"/>
  <c r="G160" i="1"/>
  <c r="G163" i="1" s="1"/>
  <c r="D159" i="1" s="1"/>
  <c r="E159" i="1" s="1"/>
  <c r="I134" i="1"/>
  <c r="I178" i="1" s="1"/>
  <c r="F127" i="1"/>
  <c r="I118" i="1" s="1"/>
  <c r="H110" i="1"/>
  <c r="I98" i="1"/>
  <c r="I97" i="1"/>
  <c r="H85" i="1"/>
  <c r="H78" i="1"/>
  <c r="H66" i="1"/>
  <c r="B47" i="1"/>
  <c r="I45" i="1"/>
  <c r="I46" i="1" s="1"/>
  <c r="I44" i="1"/>
  <c r="I43" i="1"/>
  <c r="I41" i="1"/>
  <c r="I40" i="1"/>
  <c r="I39" i="1"/>
  <c r="A38" i="1"/>
  <c r="A39" i="1" s="1"/>
  <c r="A40" i="1" s="1"/>
  <c r="A41" i="1" s="1"/>
  <c r="A42" i="1" s="1"/>
  <c r="A43" i="1" s="1"/>
  <c r="A44" i="1" s="1"/>
  <c r="A45" i="1" s="1"/>
  <c r="A46" i="1" s="1"/>
  <c r="A47" i="1" s="1"/>
  <c r="I15" i="1"/>
  <c r="C103" i="1" s="1"/>
  <c r="A6" i="1"/>
  <c r="I5" i="1"/>
  <c r="I37" i="1" s="1"/>
  <c r="G5" i="1"/>
  <c r="F6" i="6"/>
  <c r="F3" i="6"/>
  <c r="F9" i="6"/>
  <c r="F10" i="6"/>
  <c r="F12" i="6"/>
  <c r="G6" i="6" l="1"/>
  <c r="G3" i="6"/>
  <c r="G9" i="6"/>
  <c r="G10" i="6"/>
  <c r="H122" i="28"/>
  <c r="H123" i="28"/>
  <c r="H121" i="28"/>
  <c r="H119" i="28"/>
  <c r="G127" i="28"/>
  <c r="I120" i="28" s="1"/>
  <c r="H117" i="28"/>
  <c r="H118" i="28"/>
  <c r="G140" i="28"/>
  <c r="I137" i="28" s="1"/>
  <c r="H133" i="28"/>
  <c r="H132" i="28"/>
  <c r="H134" i="28" s="1"/>
  <c r="G12" i="6"/>
  <c r="H144" i="26"/>
  <c r="I177" i="26"/>
  <c r="I144" i="26"/>
  <c r="C158" i="26" s="1"/>
  <c r="D158" i="26" s="1"/>
  <c r="H134" i="25"/>
  <c r="I138" i="25"/>
  <c r="I179" i="25" s="1"/>
  <c r="H137" i="25"/>
  <c r="H138" i="25" s="1"/>
  <c r="I188" i="25"/>
  <c r="H120" i="25"/>
  <c r="I124" i="25"/>
  <c r="H124" i="25"/>
  <c r="H144" i="25" s="1"/>
  <c r="I144" i="24"/>
  <c r="C158" i="24" s="1"/>
  <c r="D158" i="24" s="1"/>
  <c r="I177" i="24"/>
  <c r="H144" i="18"/>
  <c r="I177" i="18"/>
  <c r="I144" i="18"/>
  <c r="C158" i="18" s="1"/>
  <c r="D158" i="18" s="1"/>
  <c r="I148" i="17"/>
  <c r="I151" i="17"/>
  <c r="H151" i="17" s="1"/>
  <c r="I150" i="17"/>
  <c r="H150" i="17" s="1"/>
  <c r="I149" i="17"/>
  <c r="H149" i="17" s="1"/>
  <c r="I152" i="17"/>
  <c r="H152" i="17" s="1"/>
  <c r="I180" i="17"/>
  <c r="I152" i="10"/>
  <c r="H152" i="10" s="1"/>
  <c r="I151" i="10"/>
  <c r="H151" i="10" s="1"/>
  <c r="I150" i="10"/>
  <c r="H150" i="10" s="1"/>
  <c r="I149" i="10"/>
  <c r="H149" i="10" s="1"/>
  <c r="I148" i="10"/>
  <c r="I180" i="10"/>
  <c r="H134" i="9"/>
  <c r="H137" i="9"/>
  <c r="H138" i="9" s="1"/>
  <c r="I138" i="9"/>
  <c r="I179" i="9" s="1"/>
  <c r="H120" i="9"/>
  <c r="H124" i="9" s="1"/>
  <c r="H144" i="9" s="1"/>
  <c r="I188" i="9"/>
  <c r="I124" i="9"/>
  <c r="I180" i="8"/>
  <c r="I148" i="8"/>
  <c r="I152" i="8"/>
  <c r="H152" i="8" s="1"/>
  <c r="I151" i="8"/>
  <c r="H151" i="8" s="1"/>
  <c r="I150" i="8"/>
  <c r="H150" i="8" s="1"/>
  <c r="I149" i="8"/>
  <c r="H149" i="8" s="1"/>
  <c r="H144" i="7"/>
  <c r="I144" i="7"/>
  <c r="C158" i="7" s="1"/>
  <c r="D158" i="7" s="1"/>
  <c r="I177" i="7"/>
  <c r="E111" i="1"/>
  <c r="I49" i="2"/>
  <c r="I51" i="2" s="1"/>
  <c r="E103" i="2"/>
  <c r="I103" i="2" s="1"/>
  <c r="I96" i="2" s="1"/>
  <c r="E107" i="2"/>
  <c r="F107" i="2" s="1"/>
  <c r="H107" i="2" s="1"/>
  <c r="I107" i="2" s="1"/>
  <c r="I95" i="2" s="1"/>
  <c r="I46" i="2"/>
  <c r="F111" i="1"/>
  <c r="H111" i="1" s="1"/>
  <c r="F111" i="2"/>
  <c r="H111" i="2" s="1"/>
  <c r="I111" i="2" s="1"/>
  <c r="I94" i="2" s="1"/>
  <c r="E103" i="1"/>
  <c r="E107" i="1"/>
  <c r="F103" i="1"/>
  <c r="H103" i="1" s="1"/>
  <c r="I42" i="1"/>
  <c r="I38" i="1"/>
  <c r="H88" i="2"/>
  <c r="H89" i="2" s="1"/>
  <c r="H91" i="2" s="1"/>
  <c r="H88" i="1"/>
  <c r="H89" i="1" s="1"/>
  <c r="H91" i="1" s="1"/>
  <c r="I54" i="2"/>
  <c r="I43" i="2"/>
  <c r="F5" i="6"/>
  <c r="F11" i="6"/>
  <c r="G5" i="6" l="1"/>
  <c r="G11" i="6"/>
  <c r="I138" i="28"/>
  <c r="I179" i="28" s="1"/>
  <c r="H137" i="28"/>
  <c r="H138" i="28" s="1"/>
  <c r="I188" i="28"/>
  <c r="H120" i="28"/>
  <c r="H124" i="28" s="1"/>
  <c r="I124" i="28"/>
  <c r="I180" i="26"/>
  <c r="I148" i="26"/>
  <c r="I151" i="26"/>
  <c r="H151" i="26" s="1"/>
  <c r="I150" i="26"/>
  <c r="H150" i="26" s="1"/>
  <c r="I152" i="26"/>
  <c r="H152" i="26" s="1"/>
  <c r="I149" i="26"/>
  <c r="H149" i="26" s="1"/>
  <c r="I177" i="25"/>
  <c r="I144" i="25"/>
  <c r="C158" i="25" s="1"/>
  <c r="D158" i="25" s="1"/>
  <c r="I180" i="24"/>
  <c r="I148" i="24"/>
  <c r="I152" i="24"/>
  <c r="H152" i="24" s="1"/>
  <c r="I151" i="24"/>
  <c r="H151" i="24" s="1"/>
  <c r="I150" i="24"/>
  <c r="H150" i="24" s="1"/>
  <c r="I149" i="24"/>
  <c r="H149" i="24" s="1"/>
  <c r="I151" i="18"/>
  <c r="H151" i="18" s="1"/>
  <c r="I148" i="18"/>
  <c r="I150" i="18"/>
  <c r="H150" i="18" s="1"/>
  <c r="I149" i="18"/>
  <c r="H149" i="18" s="1"/>
  <c r="I152" i="18"/>
  <c r="H152" i="18" s="1"/>
  <c r="I180" i="18"/>
  <c r="H148" i="17"/>
  <c r="H153" i="17" s="1"/>
  <c r="H167" i="17" s="1"/>
  <c r="I153" i="17"/>
  <c r="H148" i="10"/>
  <c r="H153" i="10" s="1"/>
  <c r="H167" i="10" s="1"/>
  <c r="I153" i="10"/>
  <c r="I177" i="9"/>
  <c r="I144" i="9"/>
  <c r="C158" i="9" s="1"/>
  <c r="D158" i="9" s="1"/>
  <c r="I153" i="8"/>
  <c r="H148" i="8"/>
  <c r="H153" i="8" s="1"/>
  <c r="H167" i="8" s="1"/>
  <c r="I180" i="7"/>
  <c r="I148" i="7"/>
  <c r="I152" i="7"/>
  <c r="H152" i="7" s="1"/>
  <c r="I151" i="7"/>
  <c r="H151" i="7" s="1"/>
  <c r="I150" i="7"/>
  <c r="H150" i="7" s="1"/>
  <c r="I149" i="7"/>
  <c r="H149" i="7" s="1"/>
  <c r="I111" i="1"/>
  <c r="I94" i="1" s="1"/>
  <c r="I103" i="1"/>
  <c r="I96" i="1" s="1"/>
  <c r="I140" i="1" s="1"/>
  <c r="I52" i="2"/>
  <c r="I48" i="2"/>
  <c r="I99" i="2"/>
  <c r="I140" i="2"/>
  <c r="I127" i="2"/>
  <c r="I39" i="2"/>
  <c r="I48" i="1"/>
  <c r="I191" i="1" s="1"/>
  <c r="F107" i="1"/>
  <c r="H107" i="1" s="1"/>
  <c r="I107" i="1" s="1"/>
  <c r="I95" i="1" s="1"/>
  <c r="F14" i="6"/>
  <c r="H2" i="6"/>
  <c r="H144" i="28" l="1"/>
  <c r="G14" i="6"/>
  <c r="I2" i="6"/>
  <c r="I16" i="6" s="1"/>
  <c r="I177" i="28"/>
  <c r="I144" i="28"/>
  <c r="C158" i="28" s="1"/>
  <c r="D158" i="28" s="1"/>
  <c r="H148" i="26"/>
  <c r="H153" i="26" s="1"/>
  <c r="H167" i="26" s="1"/>
  <c r="I153" i="26"/>
  <c r="I148" i="25"/>
  <c r="I152" i="25"/>
  <c r="H152" i="25" s="1"/>
  <c r="I151" i="25"/>
  <c r="H151" i="25" s="1"/>
  <c r="I150" i="25"/>
  <c r="H150" i="25" s="1"/>
  <c r="I149" i="25"/>
  <c r="H149" i="25" s="1"/>
  <c r="I180" i="25"/>
  <c r="H148" i="24"/>
  <c r="H153" i="24" s="1"/>
  <c r="H167" i="24" s="1"/>
  <c r="I153" i="24"/>
  <c r="H148" i="18"/>
  <c r="H153" i="18" s="1"/>
  <c r="H167" i="18" s="1"/>
  <c r="I153" i="18"/>
  <c r="I167" i="17"/>
  <c r="I184" i="17"/>
  <c r="G194" i="17" s="1"/>
  <c r="I183" i="17"/>
  <c r="H183" i="17" s="1"/>
  <c r="H184" i="17" s="1"/>
  <c r="I184" i="10"/>
  <c r="G194" i="10" s="1"/>
  <c r="I183" i="10"/>
  <c r="H183" i="10" s="1"/>
  <c r="H184" i="10" s="1"/>
  <c r="I167" i="10"/>
  <c r="I151" i="9"/>
  <c r="H151" i="9" s="1"/>
  <c r="I150" i="9"/>
  <c r="H150" i="9" s="1"/>
  <c r="I149" i="9"/>
  <c r="H149" i="9" s="1"/>
  <c r="I148" i="9"/>
  <c r="I152" i="9"/>
  <c r="H152" i="9" s="1"/>
  <c r="I180" i="9"/>
  <c r="I167" i="8"/>
  <c r="I184" i="8"/>
  <c r="G194" i="8" s="1"/>
  <c r="I183" i="8"/>
  <c r="H148" i="7"/>
  <c r="H153" i="7" s="1"/>
  <c r="H167" i="7" s="1"/>
  <c r="I153" i="7"/>
  <c r="I127" i="1"/>
  <c r="H42" i="1"/>
  <c r="H95" i="1"/>
  <c r="I99" i="1"/>
  <c r="I55" i="2"/>
  <c r="H96" i="1"/>
  <c r="I83" i="1"/>
  <c r="I73" i="1"/>
  <c r="I63" i="1"/>
  <c r="H47" i="1"/>
  <c r="H39" i="1"/>
  <c r="H44" i="1"/>
  <c r="I74" i="1"/>
  <c r="I82" i="1"/>
  <c r="I72" i="1"/>
  <c r="I62" i="1"/>
  <c r="H45" i="1"/>
  <c r="I71" i="1"/>
  <c r="I61" i="1"/>
  <c r="A142" i="1"/>
  <c r="I88" i="1"/>
  <c r="I89" i="1" s="1"/>
  <c r="I70" i="1"/>
  <c r="I60" i="1"/>
  <c r="I64" i="1"/>
  <c r="I77" i="1"/>
  <c r="I59" i="1"/>
  <c r="A129" i="1"/>
  <c r="I76" i="1"/>
  <c r="I58" i="1"/>
  <c r="I84" i="1"/>
  <c r="I171" i="1"/>
  <c r="H98" i="1"/>
  <c r="I75" i="1"/>
  <c r="I65" i="1"/>
  <c r="H40" i="1"/>
  <c r="H37" i="1"/>
  <c r="H46" i="1"/>
  <c r="H43" i="1"/>
  <c r="H97" i="1"/>
  <c r="H41" i="1"/>
  <c r="H94" i="1"/>
  <c r="H38" i="1"/>
  <c r="G129" i="2"/>
  <c r="I173" i="2"/>
  <c r="G142" i="2"/>
  <c r="I148" i="28" l="1"/>
  <c r="I152" i="28"/>
  <c r="H152" i="28" s="1"/>
  <c r="I151" i="28"/>
  <c r="H151" i="28" s="1"/>
  <c r="I150" i="28"/>
  <c r="H150" i="28" s="1"/>
  <c r="I149" i="28"/>
  <c r="H149" i="28" s="1"/>
  <c r="I180" i="28"/>
  <c r="I167" i="26"/>
  <c r="I184" i="26"/>
  <c r="G194" i="26" s="1"/>
  <c r="I183" i="26"/>
  <c r="H148" i="25"/>
  <c r="H153" i="25" s="1"/>
  <c r="H167" i="25" s="1"/>
  <c r="I153" i="25"/>
  <c r="I167" i="24"/>
  <c r="I184" i="24"/>
  <c r="G194" i="24" s="1"/>
  <c r="I183" i="24"/>
  <c r="I167" i="18"/>
  <c r="I184" i="18"/>
  <c r="G194" i="18" s="1"/>
  <c r="I183" i="18"/>
  <c r="H183" i="18" s="1"/>
  <c r="H184" i="18" s="1"/>
  <c r="I194" i="17"/>
  <c r="J8" i="6" s="1"/>
  <c r="K8" i="6" s="1"/>
  <c r="H178" i="17"/>
  <c r="H171" i="17"/>
  <c r="H173" i="17"/>
  <c r="H172" i="17"/>
  <c r="H179" i="17"/>
  <c r="H177" i="17"/>
  <c r="I194" i="10"/>
  <c r="J6" i="6" s="1"/>
  <c r="K6" i="6" s="1"/>
  <c r="H178" i="10"/>
  <c r="H171" i="10"/>
  <c r="H173" i="10"/>
  <c r="H172" i="10"/>
  <c r="H179" i="10"/>
  <c r="H177" i="10"/>
  <c r="H148" i="9"/>
  <c r="H153" i="9" s="1"/>
  <c r="H167" i="9" s="1"/>
  <c r="I153" i="9"/>
  <c r="I194" i="8"/>
  <c r="J4" i="6" s="1"/>
  <c r="K4" i="6" s="1"/>
  <c r="H178" i="8"/>
  <c r="H171" i="8"/>
  <c r="H173" i="8"/>
  <c r="H172" i="8"/>
  <c r="H179" i="8"/>
  <c r="H177" i="8"/>
  <c r="H183" i="8"/>
  <c r="H184" i="8" s="1"/>
  <c r="I184" i="7"/>
  <c r="G194" i="7" s="1"/>
  <c r="I167" i="7"/>
  <c r="I183" i="7"/>
  <c r="H183" i="7" s="1"/>
  <c r="H184" i="7" s="1"/>
  <c r="H48" i="1"/>
  <c r="H99" i="1"/>
  <c r="H113" i="1" s="1"/>
  <c r="H39" i="2"/>
  <c r="I191" i="2"/>
  <c r="H50" i="2"/>
  <c r="H51" i="2"/>
  <c r="H47" i="2"/>
  <c r="H48" i="2"/>
  <c r="I85" i="1"/>
  <c r="I84" i="2"/>
  <c r="I74" i="2"/>
  <c r="I64" i="2"/>
  <c r="H38" i="2"/>
  <c r="I83" i="2"/>
  <c r="I73" i="2"/>
  <c r="I63" i="2"/>
  <c r="I82" i="2"/>
  <c r="I72" i="2"/>
  <c r="I62" i="2"/>
  <c r="I65" i="2"/>
  <c r="H44" i="2"/>
  <c r="I71" i="2"/>
  <c r="I61" i="2"/>
  <c r="H98" i="2"/>
  <c r="A142" i="2"/>
  <c r="I88" i="2"/>
  <c r="I89" i="2" s="1"/>
  <c r="I70" i="2"/>
  <c r="I60" i="2"/>
  <c r="I77" i="2"/>
  <c r="I59" i="2"/>
  <c r="H42" i="2"/>
  <c r="I171" i="2"/>
  <c r="A129" i="2"/>
  <c r="I76" i="2"/>
  <c r="I58" i="2"/>
  <c r="I75" i="2"/>
  <c r="H53" i="2"/>
  <c r="H41" i="2"/>
  <c r="H40" i="2"/>
  <c r="H37" i="2"/>
  <c r="H49" i="2"/>
  <c r="H45" i="2"/>
  <c r="H97" i="2"/>
  <c r="H46" i="2"/>
  <c r="H52" i="2"/>
  <c r="H43" i="2"/>
  <c r="H94" i="2"/>
  <c r="H95" i="2"/>
  <c r="H54" i="2"/>
  <c r="H96" i="2"/>
  <c r="I78" i="1"/>
  <c r="I66" i="1"/>
  <c r="G129" i="1"/>
  <c r="I173" i="1"/>
  <c r="G142" i="1"/>
  <c r="F129" i="1"/>
  <c r="F142" i="1"/>
  <c r="H183" i="24" l="1"/>
  <c r="H184" i="24" s="1"/>
  <c r="H183" i="26"/>
  <c r="H184" i="26" s="1"/>
  <c r="H148" i="28"/>
  <c r="H153" i="28" s="1"/>
  <c r="H167" i="28" s="1"/>
  <c r="I153" i="28"/>
  <c r="I194" i="26"/>
  <c r="J12" i="6" s="1"/>
  <c r="K12" i="6" s="1"/>
  <c r="H178" i="26"/>
  <c r="H171" i="26"/>
  <c r="H173" i="26"/>
  <c r="H172" i="26"/>
  <c r="H179" i="26"/>
  <c r="H177" i="26"/>
  <c r="I167" i="25"/>
  <c r="I184" i="25"/>
  <c r="G194" i="25" s="1"/>
  <c r="I183" i="25"/>
  <c r="I194" i="24"/>
  <c r="J10" i="6" s="1"/>
  <c r="K10" i="6" s="1"/>
  <c r="H178" i="24"/>
  <c r="H171" i="24"/>
  <c r="H173" i="24"/>
  <c r="H172" i="24"/>
  <c r="H179" i="24"/>
  <c r="H177" i="24"/>
  <c r="H180" i="24" s="1"/>
  <c r="I194" i="18"/>
  <c r="J9" i="6" s="1"/>
  <c r="K9" i="6" s="1"/>
  <c r="H178" i="18"/>
  <c r="H171" i="18"/>
  <c r="H173" i="18"/>
  <c r="H172" i="18"/>
  <c r="H179" i="18"/>
  <c r="H177" i="18"/>
  <c r="H180" i="17"/>
  <c r="H174" i="17"/>
  <c r="H180" i="10"/>
  <c r="H174" i="10"/>
  <c r="I167" i="9"/>
  <c r="I184" i="9"/>
  <c r="G194" i="9" s="1"/>
  <c r="I183" i="9"/>
  <c r="H183" i="9" s="1"/>
  <c r="H184" i="9" s="1"/>
  <c r="H180" i="8"/>
  <c r="H174" i="8"/>
  <c r="I194" i="7"/>
  <c r="J3" i="6" s="1"/>
  <c r="K3" i="6" s="1"/>
  <c r="H178" i="7"/>
  <c r="H171" i="7"/>
  <c r="H173" i="7"/>
  <c r="H172" i="7"/>
  <c r="H179" i="7"/>
  <c r="H177" i="7"/>
  <c r="H180" i="7" s="1"/>
  <c r="F142" i="2"/>
  <c r="F129" i="2"/>
  <c r="I85" i="2"/>
  <c r="I66" i="2"/>
  <c r="H99" i="2"/>
  <c r="I78" i="2"/>
  <c r="H55" i="2"/>
  <c r="C142" i="1"/>
  <c r="I172" i="1"/>
  <c r="C129" i="1"/>
  <c r="I91" i="1"/>
  <c r="I113" i="1" s="1"/>
  <c r="A158" i="1" s="1"/>
  <c r="D142" i="1"/>
  <c r="D129" i="1"/>
  <c r="E142" i="1"/>
  <c r="E129" i="1"/>
  <c r="H113" i="2" l="1"/>
  <c r="H180" i="26"/>
  <c r="H180" i="18"/>
  <c r="I167" i="28"/>
  <c r="I184" i="28"/>
  <c r="G194" i="28" s="1"/>
  <c r="I183" i="28"/>
  <c r="H183" i="28" s="1"/>
  <c r="H184" i="28" s="1"/>
  <c r="H174" i="26"/>
  <c r="I194" i="25"/>
  <c r="J11" i="6" s="1"/>
  <c r="K11" i="6" s="1"/>
  <c r="H178" i="25"/>
  <c r="H173" i="25"/>
  <c r="H171" i="25"/>
  <c r="H172" i="25"/>
  <c r="H179" i="25"/>
  <c r="H177" i="25"/>
  <c r="H183" i="25"/>
  <c r="H184" i="25" s="1"/>
  <c r="H174" i="24"/>
  <c r="H174" i="18"/>
  <c r="I194" i="9"/>
  <c r="J5" i="6" s="1"/>
  <c r="K5" i="6" s="1"/>
  <c r="H178" i="9"/>
  <c r="H171" i="9"/>
  <c r="H173" i="9"/>
  <c r="H172" i="9"/>
  <c r="H179" i="9"/>
  <c r="H177" i="9"/>
  <c r="H174" i="7"/>
  <c r="H129" i="1"/>
  <c r="I129" i="1" s="1"/>
  <c r="H117" i="1" s="1"/>
  <c r="H142" i="1"/>
  <c r="I142" i="1" s="1"/>
  <c r="H133" i="1" s="1"/>
  <c r="E142" i="2"/>
  <c r="E129" i="2"/>
  <c r="D142" i="2"/>
  <c r="D129" i="2"/>
  <c r="I91" i="2"/>
  <c r="I113" i="2" s="1"/>
  <c r="A158" i="2" s="1"/>
  <c r="C142" i="2"/>
  <c r="I172" i="2"/>
  <c r="C129" i="2"/>
  <c r="I174" i="1"/>
  <c r="I194" i="28" l="1"/>
  <c r="J14" i="6" s="1"/>
  <c r="K14" i="6" s="1"/>
  <c r="H178" i="28"/>
  <c r="H173" i="28"/>
  <c r="H171" i="28"/>
  <c r="H172" i="28"/>
  <c r="H179" i="28"/>
  <c r="H177" i="28"/>
  <c r="H180" i="28" s="1"/>
  <c r="H180" i="25"/>
  <c r="H174" i="25"/>
  <c r="H180" i="9"/>
  <c r="H174" i="9"/>
  <c r="H118" i="1"/>
  <c r="H119" i="1"/>
  <c r="H122" i="1"/>
  <c r="G127" i="1"/>
  <c r="I120" i="1" s="1"/>
  <c r="H123" i="1"/>
  <c r="H121" i="1"/>
  <c r="H132" i="1"/>
  <c r="H134" i="1" s="1"/>
  <c r="G140" i="1"/>
  <c r="I137" i="1" s="1"/>
  <c r="H137" i="1" s="1"/>
  <c r="H138" i="1" s="1"/>
  <c r="H129" i="2"/>
  <c r="I129" i="2" s="1"/>
  <c r="H121" i="2" s="1"/>
  <c r="I174" i="2"/>
  <c r="H142" i="2"/>
  <c r="I142" i="2" s="1"/>
  <c r="H174" i="28" l="1"/>
  <c r="I188" i="1"/>
  <c r="I124" i="1"/>
  <c r="I177" i="1" s="1"/>
  <c r="H120" i="1"/>
  <c r="H124" i="1" s="1"/>
  <c r="I138" i="1"/>
  <c r="I144" i="1" s="1"/>
  <c r="C158" i="1" s="1"/>
  <c r="D158" i="1" s="1"/>
  <c r="H144" i="1"/>
  <c r="G127" i="2"/>
  <c r="I120" i="2" s="1"/>
  <c r="H120" i="2" s="1"/>
  <c r="H119" i="2"/>
  <c r="H118" i="2"/>
  <c r="H117" i="2"/>
  <c r="H123" i="2"/>
  <c r="H122" i="2"/>
  <c r="H133" i="2"/>
  <c r="G140" i="2"/>
  <c r="I137" i="2" s="1"/>
  <c r="H132" i="2"/>
  <c r="F2" i="6"/>
  <c r="G2" i="6" l="1"/>
  <c r="I188" i="2"/>
  <c r="I124" i="2"/>
  <c r="I177" i="2" s="1"/>
  <c r="I179" i="1"/>
  <c r="I180" i="1" s="1"/>
  <c r="H134" i="2"/>
  <c r="H124" i="2"/>
  <c r="I138" i="2"/>
  <c r="H137" i="2"/>
  <c r="H138" i="2" s="1"/>
  <c r="I152" i="1"/>
  <c r="H152" i="1" s="1"/>
  <c r="I148" i="1"/>
  <c r="I151" i="1"/>
  <c r="H151" i="1" s="1"/>
  <c r="I150" i="1"/>
  <c r="H150" i="1" s="1"/>
  <c r="I149" i="1"/>
  <c r="H149" i="1" s="1"/>
  <c r="F13" i="6"/>
  <c r="G13" i="6" l="1"/>
  <c r="H148" i="1"/>
  <c r="H153" i="1" s="1"/>
  <c r="H167" i="1" s="1"/>
  <c r="I153" i="1"/>
  <c r="I179" i="2"/>
  <c r="I144" i="2"/>
  <c r="C158" i="2" s="1"/>
  <c r="D158" i="2" s="1"/>
  <c r="H144" i="2"/>
  <c r="I152" i="2" l="1"/>
  <c r="H152" i="2" s="1"/>
  <c r="I148" i="2"/>
  <c r="I149" i="2"/>
  <c r="H149" i="2" s="1"/>
  <c r="I151" i="2"/>
  <c r="H151" i="2" s="1"/>
  <c r="I150" i="2"/>
  <c r="H150" i="2" s="1"/>
  <c r="I180" i="2"/>
  <c r="I167" i="1"/>
  <c r="I184" i="1"/>
  <c r="G194" i="1" s="1"/>
  <c r="I183" i="1"/>
  <c r="H183" i="1" l="1"/>
  <c r="H184" i="1" s="1"/>
  <c r="I194" i="1"/>
  <c r="J2" i="6" s="1"/>
  <c r="K2" i="6" s="1"/>
  <c r="H178" i="1"/>
  <c r="H177" i="1"/>
  <c r="H171" i="1"/>
  <c r="H173" i="1"/>
  <c r="H172" i="1"/>
  <c r="H179" i="1"/>
  <c r="H148" i="2"/>
  <c r="H153" i="2" s="1"/>
  <c r="H167" i="2" s="1"/>
  <c r="I153" i="2"/>
  <c r="H180" i="1" l="1"/>
  <c r="H174" i="1"/>
  <c r="I167" i="2"/>
  <c r="I184" i="2"/>
  <c r="G194" i="2" s="1"/>
  <c r="I183" i="2"/>
  <c r="H183" i="2" l="1"/>
  <c r="H184" i="2" s="1"/>
  <c r="I194" i="2"/>
  <c r="J13" i="6" s="1"/>
  <c r="K13" i="6" s="1"/>
  <c r="H178" i="2"/>
  <c r="H177" i="2"/>
  <c r="H173" i="2"/>
  <c r="H171" i="2"/>
  <c r="H172" i="2"/>
  <c r="H179" i="2"/>
  <c r="H174" i="2" l="1"/>
  <c r="H180" i="2"/>
  <c r="C103" i="15"/>
  <c r="E103" i="15" s="1"/>
  <c r="I103" i="15" s="1"/>
  <c r="I96" i="15" s="1"/>
  <c r="I99" i="15" l="1"/>
  <c r="I127" i="15"/>
  <c r="I140" i="15"/>
  <c r="H96" i="15"/>
  <c r="H99" i="15" s="1"/>
  <c r="H113" i="15" s="1"/>
  <c r="I173" i="15" l="1"/>
  <c r="I113" i="15"/>
  <c r="A158" i="15" s="1"/>
  <c r="G129" i="15"/>
  <c r="H129" i="15" s="1"/>
  <c r="I129" i="15" s="1"/>
  <c r="G142" i="15"/>
  <c r="H142" i="15" s="1"/>
  <c r="I142" i="15" s="1"/>
  <c r="H122" i="15" l="1"/>
  <c r="H118" i="15"/>
  <c r="H117" i="15"/>
  <c r="H121" i="15"/>
  <c r="H119" i="15"/>
  <c r="H123" i="15"/>
  <c r="G127" i="15"/>
  <c r="I120" i="15" s="1"/>
  <c r="G140" i="15"/>
  <c r="I137" i="15" s="1"/>
  <c r="H133" i="15"/>
  <c r="H132" i="15"/>
  <c r="I174" i="15"/>
  <c r="H134" i="15" l="1"/>
  <c r="H120" i="15"/>
  <c r="I124" i="15"/>
  <c r="I188" i="15"/>
  <c r="H137" i="15"/>
  <c r="H138" i="15" s="1"/>
  <c r="I138" i="15"/>
  <c r="I179" i="15" s="1"/>
  <c r="H124" i="15"/>
  <c r="H144" i="15" s="1"/>
  <c r="F7" i="6"/>
  <c r="G7" i="6" l="1"/>
  <c r="G16" i="6" s="1"/>
  <c r="I177" i="15"/>
  <c r="I144" i="15"/>
  <c r="C158" i="15" s="1"/>
  <c r="D158" i="15" s="1"/>
  <c r="I148" i="15" l="1"/>
  <c r="I151" i="15"/>
  <c r="H151" i="15" s="1"/>
  <c r="I152" i="15"/>
  <c r="H152" i="15" s="1"/>
  <c r="I150" i="15"/>
  <c r="H150" i="15" s="1"/>
  <c r="I149" i="15"/>
  <c r="H149" i="15" s="1"/>
  <c r="I180" i="15"/>
  <c r="I153" i="15" l="1"/>
  <c r="H148" i="15"/>
  <c r="H153" i="15" s="1"/>
  <c r="H167" i="15" s="1"/>
  <c r="I167" i="15" l="1"/>
  <c r="I183" i="15"/>
  <c r="I184" i="15"/>
  <c r="G194" i="15" s="1"/>
  <c r="H171" i="15" l="1"/>
  <c r="H172" i="15"/>
  <c r="I194" i="15"/>
  <c r="J7" i="6" s="1"/>
  <c r="K7" i="6" s="1"/>
  <c r="K18" i="6" s="1"/>
  <c r="K16" i="6" s="1"/>
  <c r="H178" i="15"/>
  <c r="H173" i="15"/>
  <c r="H179" i="15"/>
  <c r="H177" i="15"/>
  <c r="H183" i="15"/>
  <c r="H184" i="15" s="1"/>
  <c r="H180" i="15" l="1"/>
  <c r="H174" i="15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0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0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0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0000000-0006-0000-0000-00000400000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0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7E159846-7830-4031-AD6F-8225BF214559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00000000-0006-0000-0000-000007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000-000008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000-000009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000-00000A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000-00000B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000-00000C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000-00000D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000-00000E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000-00000F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000-000010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00000000-0006-0000-0000-000011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000-000012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000-000013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000-000014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000-000015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000-000016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0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00000000-0006-0000-0000-000018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000-000019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000-00001A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000-00001B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000-00001C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3A97303C-65AB-4C14-B39A-D9762A916468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22EBDE92-207D-4564-94D4-795AE6EA5C53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AA00EB4C-7FB1-437E-A2F9-50689770C85E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2A974EA6-80F3-4902-B7A0-E79C814E4A4B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A702CE32-C2F4-4551-9E22-06E2F978522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3B746AF6-BAB5-4F5C-941F-099DB408E97C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F227ABC0-927E-4A52-8FBD-086FD76AAD75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85E0F8E-7FEB-4B81-B328-84480F37100A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79E73DAD-921E-4CB5-BB79-6B81E890A722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855F7F2C-F600-4941-A2FA-18E29AC89D42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598482C5-A32A-4ADB-B462-B18466991A7C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77B67BCD-0662-4E7E-B1C5-E7042A4213DA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F5FE3EB5-9771-4AEE-8F4E-69240C61EB6C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2F2D17FF-32AF-4410-A2D3-96ACA527F0B7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13C4B44C-D6EF-4DC4-B7F4-C1FE97777FDE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B11C5A6A-3748-46FE-BB23-03AFD0073727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2217BD04-BF88-4EAD-9022-83DA4BEDE95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641C394F-AB84-4258-BB9D-ED4964CBCE3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42D6E2CA-0A1A-4893-B924-5B10FECCA2CD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DF1AAD8E-8877-427E-A4A8-868E21A423D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1B142498-8FD7-40C6-BF91-7A052382B4C1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8B3618DB-CE77-4B45-9609-C683B4841C61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20BCAD37-4FED-44A7-8B77-CB5897EC432C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966103E1-FB50-4F08-A7AC-6656E2B46A39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751581FF-8935-499C-AEF2-7E8997F1486B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E115C641-EA80-460E-9A01-A479AFAF6A4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D46182CB-975F-49DD-BAD5-AC5B53C6D2FF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766167EB-318B-4786-BAF7-C4F5701A777B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70CC6029-8E44-4FC4-8318-0851909B268F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4791AE84-E427-46BC-B29F-C77867ECA5B9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F2081381-718C-4146-9C1E-31FC81919DE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C4112023-49F4-460B-B302-2298875D8813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8D45BD1-E903-411C-85C1-EAD055485E6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B5F25639-4B12-4A2E-8595-F5489E2C1803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1E543299-81F5-4458-BC93-9072ACFCFC4E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BA962AD0-8A48-4ECC-BDB8-10F265634549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A90C7443-CB74-4B0F-83CC-D0715BA86733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DF7B19BC-1162-4CB1-9773-34209F0074D5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9A926170-42D9-434E-A00A-CFF3573E005A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D4AEA5BE-49EF-4663-ACFD-A4364CE3BFA7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BB444D5-263F-4FD6-AFA2-3E9D30803E8E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B4CF5656-7971-4521-9EB9-350AFCBDE29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800A1BF9-B89C-454F-A13D-6DDCE6886E98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97A42E94-3440-49A2-9A5B-17A9B89A5C3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2E5FAB7F-B44D-49D8-B53F-D43AEC5290E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F9F4ED92-A438-4963-AC61-BBC93949314A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818E20CC-60FB-4797-98B3-0CB2D285E0CC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35E24CB1-BEDD-44DF-9C13-1E1075C6C97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F8DC3E0B-9D40-4FE3-8460-0FE5BC48A6B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F427143C-E0D5-4D66-B60A-58C4CA7D2866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23AC393-2EA8-49A8-90DC-7228B050F6FD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4FD38B85-8714-4007-8B69-139EA700907D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488F04DF-7C3B-4FA5-A60F-D01B4919B91B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96B4C27-2DEA-4F82-8A16-541A6A9264FD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A4C43B2-54E4-461F-90CF-F0BB528E122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7E0706E8-EA39-43C6-BABB-FC8AD4B785F6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80209C7E-A1B6-401B-991C-A3173A964C0D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C111855C-4188-452F-A7E4-10985BD19B71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F6E38708-B8A2-4270-9F79-398297D880B2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1E7C5BFF-208A-4FC5-80EE-EB788C752CE4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1D330D2A-007C-407B-BF5A-CEA149F1DFD6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52125DDF-F907-4EF5-889B-B9665FD37A28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32850563-2728-40BD-AE9C-7E352039FB0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72E9DB6F-7245-4FCA-8F06-3DA433E8FD2F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98FD2279-7053-4955-971D-BD26A5C43C3A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D00898C0-844B-4BDC-BB6D-DA5EF557B82C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73852F3E-D6D6-48C4-B3B0-C798B0600B92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929E113C-416E-40E0-B173-B4896DF13D83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BD705C3D-9499-437D-94DB-074B7CE3D89A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F4DC9EE1-E344-49E8-B1B3-C5B0B791EEB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95CB6E8B-BB08-4662-A4A8-9435D2EDEE79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F76D9FDA-E748-4720-9ECA-C0A335BB1EED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4CCFD7B1-645F-48CD-89A9-8E9523FE15A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BEDA55D-3FFF-4223-A2F3-43A5B14DDF3C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63B91C21-6A4D-406F-8C08-D488B84E181A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A4714580-BF7F-41D6-B3BB-325068624FC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1BA9DE6A-93DC-4926-83AD-224E8EC9697A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E9115E8-FC20-4DC1-B20F-88B19F6C1FC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D79B133E-78F0-4385-9365-E784AEC42B5F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1E73B4F6-6DC5-4B01-A544-313881D073FF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C70FC64B-7EB1-4669-8486-1A06F6281F44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65733E12-AD17-4AF0-B1AA-B494995B13B4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D7C9A5D4-04DE-4657-A71E-94F8CAF11F7A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3714E2FD-6CB4-4877-A153-8A4DEE722608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CCBD5A49-5D46-43D8-BA80-27245CE38083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B17EE11A-FDDF-4E8F-B38D-3E88AEB55A4B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BF5EF679-4399-4FBC-9D3A-687758B3E21D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12C19FF7-8D47-44CF-ADA8-30F4B521BF4D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319585A8-995F-41EC-871A-43FC578E3D8B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20EDE577-1368-403C-AE01-F5A4FAE3F9B4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AC730105-3A23-4906-A471-287DE2498DBF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A9447F9C-6220-47FC-89D0-134B3F2E3A4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AD0C7E96-2436-474D-B082-47ACA466E50E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AC2F6052-55B5-4652-9DB7-B0CED3D23B24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E5972787-197F-438E-B011-C640E18E9BE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C99353BE-1EDC-4AE5-BCD0-F471B1115BFA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EFB8CF98-9DD2-43B6-BD94-12A5FEA53C28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3C218-534F-4919-9C43-6EAE427BEA8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44A4D8A7-5904-4258-830B-158C883AB3B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8601E10-50CB-4C55-864B-523D31A79D9B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6CD75390-3EBF-4A4D-ADB3-8AB6A007F8E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39D34B8A-32BC-423D-9EF0-9FCD14535A9A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1293555C-24FE-470A-8075-6CBCB712E807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8F1B0AAF-F07B-490C-B4D7-3FF703B825E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2A9BF9DB-DE81-4492-A186-014D0AABBB4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D7DD905D-41FE-416B-8864-027027252F11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154FCD6A-B656-4349-98D3-612E49869380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18BAE540-F3FC-4631-A863-D15DBAD65A14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D534F9F6-CCFD-4878-951B-EFC9C7DCB0C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BF1685EF-3179-4233-94C1-3C73942BABF2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5202A2C8-F8D3-4D4D-9B79-6CC3A0A126B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75CEF1D7-9AAC-4EB6-BAE1-87AE76610BAB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B8D2CD33-33F1-4D73-A7E3-2536208928C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A5849565-D5DF-43FE-9261-154152E8ADEE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C80B4001-554E-481E-871C-86B9F1F38BD9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CD49DAAA-C3F1-4C83-8DFB-7D8A555ED4F2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254A71EB-6D09-497F-8AA4-57971775A619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01207D6B-9883-4CF2-AD8A-E4E7DAC94C1E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668D84B2-170A-4D99-8B1B-8ED444BBF361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C49B28F5-E985-4028-BA50-1E8BE7CBD97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A70755D8-C368-427E-976B-BFEF611D336E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F6F53AE1-5C01-42D2-94BA-2D80634386E1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4BDAFBC9-68AF-4CEE-9655-C6198CA861B4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CBB8667F-8150-4FA0-B721-543A88B05C71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8A02EED2-C980-4087-975F-657C75D56F42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799395D6-89BF-4D14-A2B9-43821464DF2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756D6CE6-BB01-41DC-9F7E-B555EF74FB76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35B108E3-9700-484F-8DA2-0FF479E1059C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DAD6A573-3616-41A0-BBBC-7EA4B810F37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25DEB99E-2133-4754-83D7-A8F033A6D33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FE1CE5DD-4AAF-4ED6-B5AD-B23794710774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3741B734-9BCA-4297-B4FD-43D03ECAC20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42BD2556-2655-4EED-BF13-CC594D19AD3C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B4BCE03E-187E-4226-AFA1-ACA66AA3AD7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83868F3A-C080-40B9-B83E-8B5BB8317B2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CD698868-161C-4A26-9A68-D54D2764D3F5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29258586-B75B-44B9-9778-DBD793CA16F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19A34FCB-E10E-457A-A54F-09783C26A375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7D6DCFE1-5194-4EE0-83E7-43266E10E65E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2DD64D67-4EEA-449F-8243-F550F374C7C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7B67ABFF-0B63-43C9-BCB3-F384C5D2BB03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C3BD597B-DFEA-4554-95C2-C61E76C7BB2E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A62FCEAF-A506-44F1-9AA4-1CA33A14DEBB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AC892322-3F7B-4ADD-8933-A8B52EB5354C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DC2E2161-6A3A-46AC-92DF-DC8E95E083B2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8C514344-A069-4C94-B322-0DE7F65FCA76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700A1244-15D1-4026-9161-FDD90AF53CE9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975DA881-8250-4A46-913A-D6459D6F96C1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FEE69EC5-638F-437D-A54D-8B2134BF6DB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1D048ADD-340A-4EB5-A1AD-183103DDA03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11E0BDE8-F53F-4202-BBD7-C346C9D1B3D2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CAF2C154-C8CE-495F-B41A-1F46A5D423DA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60D50678-A123-4DF9-B034-AEDA73DBC8AA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AC466214-1B18-407A-9A67-2F601AA367A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A856A140-CDBC-49EB-81BD-55ABED76E0B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D2C51C1B-9CF2-4E8B-A5C1-2C987F739977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A831CAC1-FC6C-47D6-8145-76397F10E5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FB01BCC-73E4-4667-A4E9-C5DD0076B58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769451F6-F1A9-4D56-BFA5-A1FB52DC0BB7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6DA2792B-4188-44E9-B9A3-0A16EA795EB4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21E058D0-A684-4D3D-B8B5-474F91A3D739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AF39700F-4DA5-4054-AF48-702FCD75C4BA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E8D0440A-67AC-497E-A842-F1B6FC87F794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ADAAA692-D324-449C-92EA-D0126FD176CE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BF03DB3-F800-489E-88A0-EBB00278457C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6AD7E2E1-F890-4561-A88D-83C2CEFCAA5B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A58ADE6E-8D01-4333-9CE1-57EE0AF29D66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6A9631A0-0E51-4176-ADB3-60939C920F5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31CD9A15-7D3C-4B18-AF2A-7D2C468A90C9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7DFEAB51-E868-4F05-883C-C531971CD246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EF70C303-6F5A-45BB-AC87-609D0593F447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E9FC2977-196C-4AE9-B8C6-C97C4303EE30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A508F9FA-07B2-4B47-8160-0178D3701C9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770217C1-DB86-48A3-99F1-4BD7B0676FDC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1C67065D-59B6-42D2-A48C-5AABD983F7A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8C57C06D-6569-4F0A-85CC-CD5E2AB1103B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AE2B1F0B-AE3F-4DD7-95FF-4AA056F5E3A6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AAA03E03-7318-498A-AEF8-D1E1A62820A3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8EC23F01-A5FE-4B8C-8F06-CF5CA44DE94E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D6D47ADF-BBCB-45A9-A180-126A54D9B8E3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E501BC13-5BD2-41A5-A54E-7CE84763CF6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C48617CC-8FAF-49D9-919A-9B587C3A1FA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57BD078F-8BE2-4376-B7D2-2FE0B386CAD5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560D8E50-BFF7-4882-AB71-AAFC6C05F02E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7A788F76-6EB5-4C74-804B-78FE4CC1641E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19892841-4138-42C4-AB4E-9279892DE7E5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DEA999D-F757-4C7F-9B49-6DF5290188E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4A2FDF67-D764-46EC-98EB-46768238BF5A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E2A7A2BD-A7D7-4803-9F0E-912BAFEF63A7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6F829B74-426E-4D24-B92D-E2BCF2166118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81EEEBC7-DB4B-4F23-81FF-5C4A1CB5DEAD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74350461-9BD6-4D4B-8435-D8E92AA43989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D4594A2B-1B6B-471C-9C8B-C4E164E7397A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80322898-8E10-4F14-8A74-AD70DE3A1E4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30D129B7-D752-4FF6-B43E-F739FC8542EB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BD13BDC9-88AE-449D-A352-0D213DA2FAB1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00000000-0006-0000-0100-00000100000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00000000-0006-0000-0100-000002000000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00000000-0006-0000-0100-00000300000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AC3476FD-AF41-4611-A9B9-1097AECFF6FE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00000000-0006-0000-0100-000005000000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4057D1EA-62DF-4B67-A739-CFC83DC0A2F6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D9" authorId="0" shapeId="0" xr:uid="{00000000-0006-0000-0100-000007000000}">
      <text>
        <r>
          <rPr>
            <sz val="11"/>
            <color rgb="FF000000"/>
            <rFont val="Calibri"/>
            <family val="2"/>
            <charset val="1"/>
          </rPr>
          <t>Informar a cidade de prestação dos serviços</t>
        </r>
      </text>
    </comment>
    <comment ref="I9" authorId="0" shapeId="0" xr:uid="{00000000-0006-0000-0100-000008000000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00000000-0006-0000-0100-000009000000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00000000-0006-0000-0100-00000A0000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00000000-0006-0000-0100-00000B00000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00000000-0006-0000-0100-00000C000000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00000000-0006-0000-0100-00000D00000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0000000-0006-0000-0100-00000E00000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00000000-0006-0000-0100-00000F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00000000-0006-0000-0100-000010000000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00000000-0006-0000-0100-000011000000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Caso não conste na CCT, incluir o valor 0 ou a expressão Não aplicável
Obs.: caso conste na CCT que deverá ser fornecido lanche, porém não especifica nenhum valor, utilizar o valor atribuído aos servidores estaduais conforme Leis 10.002/93 e  15.011/16 (o valor atualizado em 01/06/20 é de R$ 10,13).</t>
        </r>
      </text>
    </comment>
    <comment ref="I18" authorId="0" shapeId="0" xr:uid="{00000000-0006-0000-0100-000012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00000000-0006-0000-0100-0000130000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00000000-0006-0000-0100-000014000000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00000000-0006-0000-0100-000015000000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0000000-0006-0000-0100-000016000000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00000000-0006-0000-0100-000017000000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00000000-0006-0000-0100-000018000000}">
      <text>
        <r>
          <rPr>
            <sz val="11"/>
            <color rgb="FF000000"/>
            <rFont val="Calibri"/>
            <family val="2"/>
            <charset val="1"/>
          </rPr>
          <t xml:space="preserve">Caso haja necessidade de pagamento de adicional de supervisão ao posto, incluir o número "37". Caso não haja necessidade, manter a expressão "Não aplicável".
</t>
        </r>
      </text>
    </comment>
    <comment ref="I25" authorId="0" shapeId="0" xr:uid="{00000000-0006-0000-0100-00001900000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0000000-0006-0000-0100-00001A000000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00000000-0006-0000-0100-00001B000000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0000000-0006-0000-0100-00001C000000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00000000-0006-0000-0100-00001D000000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  <comment ref="I30" authorId="0" shapeId="0" xr:uid="{00000000-0006-0000-0100-00001E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conforme cálculo explicado ao lado.
Obs.: já consta na célula, a fórmula para postos de trabalho em regime 12x36. Somente deve ser alterada esta célular se o regime de trabalho for outro.</t>
        </r>
      </text>
    </comment>
    <comment ref="I31" authorId="0" shapeId="0" xr:uid="{00000000-0006-0000-0100-00001F000000}">
      <text>
        <r>
          <rPr>
            <sz val="11"/>
            <color rgb="FF000000"/>
            <rFont val="Calibri"/>
            <family val="2"/>
            <charset val="1"/>
          </rPr>
          <t>Informar neste campo o valor da hora conforme cálculo explicado ao lado.
Obs. 1: a CCT poderá indicar outra porcentagem do adicional noturno. A que consta na fórmula, é a porcentagem padrão de 20%.
Obs. 2: já consta na célula, a fórmula para postos de trabalho em regime 12x36. Somente deve ser alterada esta célular se o regime de trabalho for outro ou se a porcentagem do adicional noturno for outra que não os 20%.</t>
        </r>
      </text>
    </comment>
    <comment ref="I32" authorId="0" shapeId="0" xr:uid="{00000000-0006-0000-0100-000020000000}">
      <text>
        <r>
          <rPr>
            <sz val="11"/>
            <color rgb="FF000000"/>
            <rFont val="Calibri"/>
            <family val="2"/>
            <charset val="1"/>
          </rPr>
          <t>Informar neste campo o número de horas reduzidas conforme cálculo explicado ao lado.
Obs.: já consta na célula, a fórmula para postos de trabalho em regime 12x36. Somente deve ser alterada esta célular se o regime de trabalho for outro.</t>
        </r>
      </text>
    </comment>
    <comment ref="I33" authorId="0" shapeId="0" xr:uid="{00000000-0006-0000-0100-000021000000}">
      <text>
        <r>
          <rPr>
            <sz val="11"/>
            <color rgb="FF000000"/>
            <rFont val="Calibri"/>
            <family val="2"/>
            <charset val="1"/>
          </rPr>
          <t>Informar neste campo o valor da hora reduzida conforme cálculo explicado ao lado.
Obs.: já consta na célula, a fórmula para postos de trabalho em regime 12x36. Somente deve ser alterada esta célular se o regime de trabalho for outro.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937ED57F-7B41-453B-8C9E-319E7DFBE2FA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9002CC09-42CB-4BE1-A09A-8DD2A448F94F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ABA4F5B2-0FEA-42F0-8204-C1D3F562A370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04AE9814-CB91-4E56-96DC-E0227BF524CA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DBD4ADBF-EEB9-4310-B723-902EB773F80C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B3EB8AED-4292-4F5A-88F2-A0F1489C9A4E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C01D1D4C-2EA7-481A-A6F5-339D7F860182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41C40AD6-FBBD-42A4-A595-2C6838704334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F092841C-7A8A-461F-A1CC-82A9EF7FBD8B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BCBAD7D1-34A3-45F1-90C9-2D32E0B08AE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6C74ABC7-52E4-4459-8E7E-D173309983E8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4BD285F8-C1B7-4863-B9B6-6B3FCEDCE7ED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D40F451F-384E-4CFF-A1BE-8699B9455001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9E1AF1D9-3D05-4EEB-A8AF-C584C4C1B5B9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1257B858-A183-4F17-9066-D417E5300293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EDEA6ADA-8A74-4201-828A-2900F9637C22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B4E7259D-AF04-4DA8-AB7E-95AD4F16DC5B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2C6F1650-B193-4F39-B71D-A93A8CD73A7F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96D982BD-0408-48EE-9F2B-D2D398F73B55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EFBF6A4C-8344-46F9-8DC3-5FE446ECBA2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8C61DA5D-DB47-4497-9903-D0E5C2BF90CF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8DC89A67-3E7E-426B-A71F-B74B0FD2210B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3F459388-B0AA-4D24-B61B-060E3D4D6DE9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B3C0F28E-8B41-4817-BEC3-935F523BED9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C3807A71-01FC-4D1D-9787-CE0503A22DC3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8B4B7616-81A0-4A69-979B-5A4FCFD9048F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6298D552-719D-4BEC-A049-02EF782BA522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43E7AEBD-8EA3-4F28-B735-47ACA89A282C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925FB0B7-4F90-4A81-B464-032486F09B7A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CBDF37E2-1F17-4FF2-9EB4-5342B172972D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88A15548-7F08-4128-A02A-1A10AF26BC4C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6536DA3B-1CE3-4AF9-9FA9-F21290E48C83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2EF1C893-517E-49E5-BD28-27F9DD9C5724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4C0507E7-0295-4127-86F7-62E24B4DDFC6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7E8F1C55-64A4-4373-96DA-327E7773A909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F389CAF2-966B-4C23-BB45-F3EA9ED48A7F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C4272C55-D2AF-423F-812F-2F562D5B9200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72564CF5-3D6A-43F6-88A9-863DCE29487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64E837BD-EA25-4E49-A500-7CF3701E6ED4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E741D7F9-16BE-4F97-8C82-E807CD6AB3AE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361C6A94-55FC-49EB-8E6E-A6B7A3F9AFD3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9314E50F-72BB-4DD4-8B05-0A625B881583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493A41F0-DAE4-4D59-A889-0E2BF8C15739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AD3E99F4-2145-4B56-B42E-513A3640FCBE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6AF3C977-CFDB-43BB-B670-45E981E293F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45C7A24C-1650-44E1-9A19-5FAC7F13BF44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EBBB50F3-CE19-4673-A2E8-9624B579C352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47F1AE00-0CA3-44A6-A43A-9D95186C37EC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8A61D085-AE9E-4A5C-9146-4D877F39D8D7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884C25D1-A562-4776-8F58-458D4D98B14A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8CEE077E-1593-4C83-964B-4FF7243B289B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64755049-EFAC-4B5D-9FB8-A3BF25382320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E30C07BE-6320-4475-8975-16F451ACB152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49358F0A-BD0B-44DF-BBCE-60E4A66AADE6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33771869-BC3E-4ABE-AFD2-1EDBD705AEE5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4DB9CD9D-1728-4304-B9A4-74AE94FF1CD7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50B3ED69-22D1-4F99-902F-4975EFAE97D0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47674094-63E9-43EC-9E53-5562219B6533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BFAB042F-F12E-4126-8855-308415D7567F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29EB2365-377C-4C7F-B160-4F51238335AC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2A728B8F-4057-4794-AAA6-418ECB6B2C77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FBB4CBA6-F61F-4EFB-8172-941C691FEAC7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B36C242E-E57C-4780-93F3-801E9B3157E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C35D5E33-8019-4B66-9CC3-9CA35CB48679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1EE065B2-27B8-4DF5-A091-4241ADA92F74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95775745-A593-422E-9434-289AF28930A7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C3D143EE-AD37-4315-8985-B8FD72099872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59A5503E-B9BB-41C8-B253-F7C912EA0EA0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0C7FB260-4667-4D56-A8AC-859E78C7BAFF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133B199E-7DAE-4A69-8A65-9EFD187E7F81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23B43385-B677-4491-B021-B0DDD8619DCA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EF6157EA-3ABD-4B4C-BB0B-1323FD6CDE85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2B780BF5-03BB-4D09-8A68-D99CB4F57E7D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E4C1CE3F-4DED-4CFF-96BF-61B1284DD769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D87E699D-F91F-49E9-924C-C6EC2F6CCBD9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DC3C17AC-A83F-4350-A276-55D5E63D7FF2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5747F5BA-C2C7-46BC-A06E-F4621BFB027A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62EC6FDD-8340-4422-81DD-1E77094FA61D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9D3A9853-4CCE-4044-979B-5B0661B95E9C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185AD84A-71D4-45CF-8F78-F8BC76B81172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06253F26-AC16-4F95-8AA5-650D33F1552E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B4BBC955-FCAA-4595-BD6A-4F5529877AF7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4BD229AC-DDEE-41DF-B500-16E184643721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26A469F7-BFB5-4EDD-A118-69BDC71301CA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5" authorId="0" shapeId="0" xr:uid="{A56693B0-4286-40A1-970B-EB26793765F1}">
      <text>
        <r>
          <rPr>
            <sz val="11"/>
            <color rgb="FF000000"/>
            <rFont val="Calibri"/>
            <family val="2"/>
            <charset val="1"/>
          </rPr>
          <t>Informar o nome do cargo</t>
        </r>
      </text>
    </comment>
    <comment ref="I5" authorId="0" shapeId="0" xr:uid="{C4724FE1-18A8-41D9-B830-02F81E6089E8}">
      <text>
        <r>
          <rPr>
            <sz val="11"/>
            <color rgb="FF000000"/>
            <rFont val="Calibri"/>
            <family val="2"/>
            <charset val="1"/>
          </rPr>
          <t>Caso o posto tenha que trabalhar também em feriados (exemplo: de segunda a sexta, inclusive feriados), deverá ser considerado 1 feriado por mês e o resultado que constar nesta célula deverá ser somado com o número de horas diárias correspondente ao feriado. 
Exemplo: para posto de trabalho de 30 horas semanais, segunda a sexta, inclusive feriados, o resultado nesta célula será 150. Portanto deverá ser somado mais 6, resultando na quantidade de horas mensais de 156 horas.</t>
        </r>
      </text>
    </comment>
    <comment ref="D6" authorId="0" shapeId="0" xr:uid="{B8301E7F-C54E-4C9D-9837-A83588E90E67}">
      <text>
        <r>
          <rPr>
            <sz val="11"/>
            <color rgb="FF000000"/>
            <rFont val="Calibri"/>
            <family val="2"/>
            <charset val="1"/>
          </rPr>
          <t>Informar as horas semanais (exemplo: 20, 40, 44...). 
Obs. 1: incluir apenas número.
Obs. 2: caso o regime de trabalho seja 12x36, incluir a expressão "12x36" sem aspas e sem espaços.</t>
        </r>
      </text>
    </comment>
    <comment ref="D7" authorId="0" shapeId="0" xr:uid="{D93E9483-C86B-4F84-95A5-2FB1BEDF02A1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7" authorId="0" shapeId="0" xr:uid="{E47C732C-ADB1-486E-AA32-CD3B4D607C3A}">
      <text>
        <r>
          <rPr>
            <sz val="11"/>
            <color rgb="FF000000"/>
            <rFont val="Calibri"/>
            <family val="2"/>
            <charset val="1"/>
          </rPr>
          <t>Caso deva ser pago adicional de insalubridade (10%, 20% ou 40%) deverá ser indicado aqui a porcentagem correspondente. Caso não deva ser pago tal adicional, deverá constar "Não aplicável".</t>
        </r>
      </text>
    </comment>
    <comment ref="D8" authorId="0" shapeId="0" xr:uid="{B24AE69F-E094-4409-864C-353A771D093D}">
      <text>
        <r>
          <rPr>
            <sz val="11"/>
            <color rgb="FF000000"/>
            <rFont val="Calibri"/>
            <family val="2"/>
            <charset val="1"/>
          </rPr>
          <t xml:space="preserve">Informar o número de registro no MTE da CCT da categoria.
</t>
        </r>
      </text>
    </comment>
    <comment ref="I9" authorId="0" shapeId="0" xr:uid="{A428A900-5357-4E20-A25C-3BA52B718F2D}">
      <text>
        <r>
          <rPr>
            <sz val="11"/>
            <color rgb="FF000000"/>
            <rFont val="Calibri"/>
            <family val="2"/>
            <charset val="1"/>
          </rPr>
          <t>Caso deva ser pago adicional de periculosidade (30%) deverá ser indicado aqui a porcentagem de 30%. Caso não deva ser pago tal adicional, deverá constar "Não aplicável".
Para postos de Vigilantes e Eletricistas sempre deve ser pago este adicional.</t>
        </r>
      </text>
    </comment>
    <comment ref="H10" authorId="0" shapeId="0" xr:uid="{AE3748CA-721B-4228-AF60-921A12720C5A}">
      <text>
        <r>
          <rPr>
            <sz val="11"/>
            <color rgb="FF000000"/>
            <rFont val="Calibri"/>
            <family val="2"/>
            <charset val="1"/>
          </rPr>
          <t>Informar o número de horas correspondente ao salário normativo (exemplo: 220, 180, etc).</t>
        </r>
      </text>
    </comment>
    <comment ref="I10" authorId="0" shapeId="0" xr:uid="{7FB8F192-5B2D-4B0A-84C4-E85E8792F1E8}">
      <text>
        <r>
          <rPr>
            <sz val="11"/>
            <color rgb="FF000000"/>
            <rFont val="Calibri"/>
            <family val="2"/>
            <charset val="1"/>
          </rPr>
          <t>Informar o valor do salário normativo do cargo</t>
        </r>
      </text>
    </comment>
    <comment ref="I11" authorId="0" shapeId="0" xr:uid="{4D19645B-7200-491C-9B11-1B26C2F4BA20}">
      <text>
        <r>
          <rPr>
            <sz val="11"/>
            <color rgb="FF000000"/>
            <rFont val="Calibri"/>
            <family val="2"/>
            <charset val="1"/>
          </rPr>
          <t>Informar a alíquota do ISS relativo ao serviço do posto de trabalho</t>
        </r>
      </text>
    </comment>
    <comment ref="I12" authorId="0" shapeId="0" xr:uid="{BA3727D6-661C-4776-A7EF-A627CF519647}">
      <text>
        <r>
          <rPr>
            <sz val="11"/>
            <color rgb="FF000000"/>
            <rFont val="Calibri"/>
            <family val="2"/>
            <charset val="1"/>
          </rPr>
          <t>Preencher com o valor da troca de uniforme somente para os postos de vigilantes que preveem o pagamento da troca de uniforme na CCT.</t>
        </r>
      </text>
    </comment>
    <comment ref="I13" authorId="0" shapeId="0" xr:uid="{A27327C5-74DF-4C5E-B202-2609C255677D}">
      <text>
        <r>
          <rPr>
            <sz val="11"/>
            <color rgb="FF000000"/>
            <rFont val="Calibri"/>
            <family val="2"/>
            <charset val="1"/>
          </rPr>
          <t>Informar a quantidade de dias trabalhados.
Para postos 12x36, utilizar 15.</t>
        </r>
      </text>
    </comment>
    <comment ref="I14" authorId="0" shapeId="0" xr:uid="{BE69EF66-BC64-4476-A4F3-8A8829800810}">
      <text>
        <r>
          <rPr>
            <sz val="11"/>
            <color rgb="FF000000"/>
            <rFont val="Calibri"/>
            <family val="2"/>
            <charset val="1"/>
          </rPr>
          <t>Informar o valor do VT da cidade que o posto de trabalho irá exercer suas funções</t>
        </r>
      </text>
    </comment>
    <comment ref="I15" authorId="0" shapeId="0" xr:uid="{DE67E3E8-4ED2-4C24-9C0C-A54A5512B04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trabalhar. 
Caso seja de segunda a sexta, utilizar 22.
Caso seja 12x36, utilizar 15.</t>
        </r>
      </text>
    </comment>
    <comment ref="I16" authorId="0" shapeId="0" xr:uid="{5C83015E-833E-45C6-BEB6-BA155801DC11}">
      <text>
        <r>
          <rPr>
            <sz val="11"/>
            <color rgb="FF000000"/>
            <rFont val="Calibri"/>
            <family val="2"/>
            <charset val="1"/>
          </rPr>
          <t>Informar o valor do desconto do VT. Geralmente é 6%, porém a CCT pode indicar outra porcentagem</t>
        </r>
      </text>
    </comment>
    <comment ref="I17" authorId="0" shapeId="0" xr:uid="{8859B443-4BED-4D5B-B077-3BF694266769}">
      <text>
        <r>
          <rPr>
            <sz val="11"/>
            <color rgb="FF000000"/>
            <rFont val="Calibri"/>
            <family val="2"/>
            <charset val="1"/>
          </rPr>
          <t>Informar o valor do vale alimentação caso conste na CCT. 
Caso não conste na CCT, incluir o valor 0 ou a expressão Não aplicável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18" authorId="0" shapeId="0" xr:uid="{FBAB5CE6-3A86-4339-8793-F8DD75945C85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VA.</t>
        </r>
      </text>
    </comment>
    <comment ref="I19" authorId="0" shapeId="0" xr:uid="{57A35EB5-B6BF-4A27-A2AB-DA00DB629800}">
      <text>
        <r>
          <rPr>
            <sz val="11"/>
            <color rgb="FF000000"/>
            <rFont val="Calibri"/>
            <family val="2"/>
            <charset val="1"/>
          </rPr>
          <t>Informar o valor do desconto do VA. Geralmente é 20%, porém a CCT pode indicar outra porcentagem</t>
        </r>
      </text>
    </comment>
    <comment ref="I20" authorId="0" shapeId="0" xr:uid="{AA3D2349-21BA-471A-9AB4-212F796BC713}">
      <text>
        <r>
          <rPr>
            <sz val="11"/>
            <color rgb="FF000000"/>
            <rFont val="Calibri"/>
            <family val="2"/>
            <charset val="1"/>
          </rPr>
          <t>Informar o valor do vale lanche caso seja necessário o pagamento conforme CCT. 
Caso não conste na CCT, incluir o valor 0  ou a expressão Não aplicável
Obs. 1: caso conste na CCT que deverá ser fornecido lanche, porém não especifica nenhum valor, utilizar o valor atribuído aos servidores estaduais conforme Leis 10.002/93 e  15.011/16 (o valor atualizado em 01/06/20 é de R$ 10,13).
Obs. 2: para postos da CCT SINDASSEIO e SEEAC (limpeza, copeiro, aux. administrativo e outros) que trabalham 44h, de segunda a sábado, sendo de segunda a sexta 8h diárias e nos sábados, 4h, há necessidade de pagamento do Auxílio Alimentação e do Auxílio Lanche, sendo 22 dias para o Aux. Alimentação e 4 dias para o Aux. Lanche.</t>
        </r>
      </text>
    </comment>
    <comment ref="I21" authorId="0" shapeId="0" xr:uid="{6D385CF6-3031-49D5-B3AC-26CE04E89718}">
      <text>
        <r>
          <rPr>
            <sz val="11"/>
            <color rgb="FF000000"/>
            <rFont val="Calibri"/>
            <family val="2"/>
            <charset val="1"/>
          </rPr>
          <t>Informar o número de dias por mês que o posto irá receber o VL.</t>
        </r>
      </text>
    </comment>
    <comment ref="I22" authorId="0" shapeId="0" xr:uid="{07E9CAC9-32AB-4052-97B6-2D3C489E3D62}">
      <text>
        <r>
          <rPr>
            <sz val="11"/>
            <color rgb="FF000000"/>
            <rFont val="Calibri"/>
            <family val="2"/>
            <charset val="1"/>
          </rPr>
          <t>Informar o valor do desconto do VL. Geralmente é 20%, porém a CCT pode indicar outra porcentagem</t>
        </r>
      </text>
    </comment>
    <comment ref="I23" authorId="0" shapeId="0" xr:uid="{BABA3B33-298F-4FD3-9141-FAB62FA6E914}">
      <text>
        <r>
          <rPr>
            <sz val="11"/>
            <color rgb="FF000000"/>
            <rFont val="Calibri"/>
            <family val="2"/>
            <charset val="1"/>
          </rPr>
          <t>Caso haja necessidade de pagamento de outros benefícios previstos na CCT, como o Custeio compulsório para a aprendizagem, incluir aqui o valor mensal indicando a que se trata tal valor. Caso não haja necessidade, incluir a expressão "Não aplicável".</t>
        </r>
      </text>
    </comment>
    <comment ref="I24" authorId="0" shapeId="0" xr:uid="{ABC18535-E8BB-4F1B-A5D3-E9E9B1B67698}">
      <text>
        <r>
          <rPr>
            <sz val="11"/>
            <color rgb="FF000000"/>
            <rFont val="Calibri"/>
            <family val="2"/>
            <charset val="1"/>
          </rPr>
          <t>Caso haja necessidade de pagamento de adicional de supervisão ao posto, incluir o número "37". Caso não haja necessidade, manter a expressão "Não aplicável".</t>
        </r>
      </text>
    </comment>
    <comment ref="I25" authorId="0" shapeId="0" xr:uid="{8D4FBE46-9260-4B81-9EBE-171735FC9D09}">
      <text>
        <r>
          <rPr>
            <sz val="11"/>
            <color rgb="FF000000"/>
            <rFont val="Calibri"/>
            <family val="2"/>
            <charset val="1"/>
          </rPr>
          <t xml:space="preserve">Informar o valor para base de cálculo da insalubridade. 
Conforme art. 192 da CLT, o exercício de trabalho em condições insalubres, acima dos limites de tolerância estabelecidos pelo Ministério do Trabalho, assegura a percepção de adicional respectivamente de 40%, 20% e 10% do </t>
        </r>
        <r>
          <rPr>
            <b/>
            <u/>
            <sz val="7"/>
            <color rgb="FF000000"/>
            <rFont val="Tahoma"/>
            <family val="2"/>
            <charset val="1"/>
          </rPr>
          <t>salário-mínimo</t>
        </r>
        <r>
          <rPr>
            <b/>
            <sz val="7"/>
            <color rgb="FF000000"/>
            <rFont val="Tahoma"/>
            <family val="2"/>
            <charset val="1"/>
          </rPr>
          <t xml:space="preserve"> da região LEI Nº 16.311, DE 10 DE JUNHO DE 2025 (https://www.normaslegais.com.br/legislacao/lei-rs-16311-2025.htm - VER SEMPRE SE TEM UMA NOVA LEI)
</t>
        </r>
        <r>
          <rPr>
            <b/>
            <u/>
            <sz val="7"/>
            <color rgb="FF000000"/>
            <rFont val="Tahoma"/>
            <family val="2"/>
            <charset val="1"/>
          </rPr>
          <t xml:space="preserve">
Obs. 1: a CCT poderá indicar outra base de cálculo da insalubridade.
</t>
        </r>
        <r>
          <rPr>
            <b/>
            <sz val="7"/>
            <color rgb="FF000000"/>
            <rFont val="Tahoma"/>
            <family val="2"/>
            <charset val="1"/>
          </rPr>
          <t xml:space="preserve">
Obs. 2: caso não seja necessário o pagamento da insalubridade, incluir a expressão "Não aplicável".
Obs. 3: para postos de limpeza e demais postos da CCT da SINDASSEIO, a base de cálculo da insalubridade é o </t>
        </r>
        <r>
          <rPr>
            <b/>
            <u/>
            <sz val="7"/>
            <color rgb="FF000000"/>
            <rFont val="Tahoma"/>
            <family val="2"/>
            <charset val="1"/>
          </rPr>
          <t>salário proporcional do posto</t>
        </r>
        <r>
          <rPr>
            <b/>
            <sz val="7"/>
            <color rgb="FF000000"/>
            <rFont val="Tahoma"/>
            <family val="2"/>
            <charset val="1"/>
          </rPr>
          <t>, ou seja, o salário informado no "MONTANTE A" &gt; "Remuneração - Grupo I", portanto, colocar aqui o valor proporcional do salário e readequar o título deste item.
Referente ao exposto acima dos postos de limpeza, em agosto/2020 houveram algumas impugnações referente a insalubridade ser calculada sobre o valor proporcional. Portanto, foi encaminhado à PGE questionamento sobre a base de cálculo a ser utilizada nos postos da CCT de limpeza, se o salário proporcional ou cheio. O número do PROA é 20/2000-0034874-2. A resposta da PGE foi que o cálculo nas planilhas deve ser feito pelo salário proporcional, mas os licitantes podem alterar para o salário cheio se for melhor para a empresa.</t>
        </r>
      </text>
    </comment>
    <comment ref="I26" authorId="0" shapeId="0" xr:uid="{9D55916F-744E-4660-BD49-6D41036F4AC7}">
      <text>
        <r>
          <rPr>
            <sz val="11"/>
            <color rgb="FF000000"/>
            <rFont val="Calibri"/>
            <family val="2"/>
            <charset val="1"/>
          </rPr>
          <t>Caso o posto tenha que trabalhar nos feriados, incluir neste campo o quantitativo estimado mensal de horas em feriados.
Normalmente utilizamos 1 feriado por mês como média. Com isso, se for um posto de 8h diárias, incluir neste campo o número 8.
Caso o posto não inclua feriados, manter a expressão "Não aplicável".</t>
        </r>
      </text>
    </comment>
    <comment ref="I27" authorId="0" shapeId="0" xr:uid="{54787AC9-91EE-4E7E-8519-9FD8F61FA16B}">
      <text>
        <r>
          <rPr>
            <sz val="11"/>
            <color rgb="FF000000"/>
            <rFont val="Calibri"/>
            <family val="2"/>
            <charset val="1"/>
          </rPr>
          <t>Incluir neste campo a porcentagem de acréscimo da HORA EXTRA EM FERIADOS.
O padrão é utilizar 100%, mas deve sempre ser verificado se consta outra porcentagem na CCT.</t>
        </r>
      </text>
    </comment>
    <comment ref="I28" authorId="0" shapeId="0" xr:uid="{0151DABD-0204-411C-983E-180504379687}">
      <text>
        <r>
          <rPr>
            <sz val="11"/>
            <color rgb="FF000000"/>
            <rFont val="Calibri"/>
            <family val="2"/>
            <charset val="1"/>
          </rPr>
          <t>Caso seja necessário o pagamento da hora intervalar, indicar o número de horas mensais correspondentes. Caso não haja necessidade, manter a expressão "Não aplicável". 
Obs. 1: a hora intervalar normalmente é indicada para postos com regime de trabalho 12x36 em que o posto não pode ficar descoberto durante o intervalo.
Obs. 2: caso haja necessidade de pagamento e o posto for 12x36, incluir o número 15, pois são 15 horas de intervalo que cada funcionário iria fazer.</t>
        </r>
      </text>
    </comment>
    <comment ref="I29" authorId="0" shapeId="0" xr:uid="{4A426484-63FF-403C-86A3-EE1AF4258FB3}">
      <text>
        <r>
          <rPr>
            <sz val="11"/>
            <color rgb="FF000000"/>
            <rFont val="Calibri"/>
            <family val="2"/>
            <charset val="1"/>
          </rPr>
          <t>Informar a porcentagem de 10% ou 20%.
Obs.: fornecimento  de uniformes (roupa, crachá, etc) não é considerado materiais/equipamentos.</t>
        </r>
      </text>
    </comment>
  </commentList>
</comments>
</file>

<file path=xl/sharedStrings.xml><?xml version="1.0" encoding="utf-8"?>
<sst xmlns="http://schemas.openxmlformats.org/spreadsheetml/2006/main" count="3582" uniqueCount="262">
  <si>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DECRETOS 52.768 de 15.12.2015)</t>
    </r>
  </si>
  <si>
    <t>PROCESSO:</t>
  </si>
  <si>
    <r>
      <rPr>
        <b/>
        <sz val="12"/>
        <color rgb="FF000000"/>
        <rFont val="Calibri"/>
        <family val="2"/>
        <charset val="1"/>
      </rPr>
      <t xml:space="preserve">REGIME DE TRIBUTAÇÃO: </t>
    </r>
    <r>
      <rPr>
        <b/>
        <sz val="12"/>
        <color rgb="FFFF0000"/>
        <rFont val="Calibri"/>
        <family val="2"/>
        <charset val="1"/>
      </rPr>
      <t>LUCRO REAL e PRESUMIDO (*)</t>
    </r>
  </si>
  <si>
    <t>LICITAÇÃO/EDITAL</t>
  </si>
  <si>
    <t>ABERTURA:</t>
  </si>
  <si>
    <t>Cargo/Função:</t>
  </si>
  <si>
    <t>Convenção Coletiva de Trabalho:</t>
  </si>
  <si>
    <t>INSALUBRIDADE (10%, 20%, 40%)</t>
  </si>
  <si>
    <t>Não aplicável</t>
  </si>
  <si>
    <t>Origem do salário:</t>
  </si>
  <si>
    <t>Cidade:</t>
  </si>
  <si>
    <t>PERICULOSIDADE (30%)</t>
  </si>
  <si>
    <t>Salário Normativo</t>
  </si>
  <si>
    <t>Vlr. do salário e nº de horas correspondentes</t>
  </si>
  <si>
    <t>ISS</t>
  </si>
  <si>
    <t>Alíquota</t>
  </si>
  <si>
    <t>Adicional Troca de Uniforme (somente para postos de vigilantes que preveem pagamento para troca de uniforme na CCT)</t>
  </si>
  <si>
    <t>CCT</t>
  </si>
  <si>
    <t>Valor</t>
  </si>
  <si>
    <t>Quantidade de dias trabalhados no mês</t>
  </si>
  <si>
    <t>Tarifa Transporte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</si>
  <si>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</si>
  <si>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</si>
  <si>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</si>
  <si>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</si>
  <si>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</si>
  <si>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</si>
  <si>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</si>
  <si>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</si>
  <si>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</si>
  <si>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</si>
  <si>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</si>
  <si>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</si>
  <si>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</si>
  <si>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</si>
  <si>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</si>
  <si>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</si>
  <si>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</si>
  <si>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</si>
  <si>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</si>
  <si>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</si>
  <si>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t>Adicional Periculosidade 30%</t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</si>
  <si>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</si>
  <si>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</si>
  <si>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</si>
  <si>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</si>
  <si>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</si>
  <si>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 xml:space="preserve">Adicional Troca de Uniforme </t>
  </si>
  <si>
    <t>Integração RSF (20% sobre Ad.Troca de Uniforme - somente para vigilantes)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</si>
  <si>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</si>
  <si>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</si>
  <si>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</si>
  <si>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</si>
  <si>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</si>
  <si>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</si>
  <si>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</si>
  <si>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</si>
  <si>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</si>
  <si>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</si>
  <si>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</si>
  <si>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</si>
  <si>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</si>
  <si>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</si>
  <si>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</si>
  <si>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</si>
  <si>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</si>
  <si>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</si>
  <si>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</si>
  <si>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</si>
  <si>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</si>
  <si>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</si>
  <si>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</si>
  <si>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</si>
  <si>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</si>
  <si>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</si>
  <si>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</si>
  <si>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</si>
  <si>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</si>
  <si>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</si>
  <si>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</si>
  <si>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</si>
  <si>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</si>
  <si>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</si>
  <si>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</si>
  <si>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</si>
  <si>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</si>
  <si>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</si>
  <si>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</si>
  <si>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</si>
  <si>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</si>
  <si>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</si>
  <si>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</si>
  <si>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</si>
  <si>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</si>
  <si>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</si>
  <si>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</si>
  <si>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</si>
  <si>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</si>
  <si>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</si>
  <si>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</si>
  <si>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</si>
  <si>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</si>
  <si>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</si>
  <si>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</si>
  <si>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</si>
  <si>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</si>
  <si>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</si>
  <si>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</si>
  <si>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</si>
  <si>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</si>
  <si>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</si>
  <si>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</si>
  <si>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</si>
  <si>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</si>
  <si>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</si>
  <si>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</si>
  <si>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</si>
  <si>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</si>
  <si>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</si>
  <si>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</si>
  <si>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</si>
  <si>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</si>
  <si>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</si>
  <si>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</si>
  <si>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</si>
  <si>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</si>
  <si>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</si>
  <si>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</si>
  <si>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</si>
  <si>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</si>
  <si>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</si>
  <si>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</si>
  <si>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</si>
  <si>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</si>
  <si>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</si>
  <si>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</si>
  <si>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</si>
  <si>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</si>
  <si>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</si>
  <si>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</si>
  <si>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</si>
  <si>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</si>
  <si>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</si>
  <si>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</si>
  <si>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</si>
  <si>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</si>
  <si>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</si>
  <si>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</si>
  <si>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</si>
  <si>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 e REAL (*)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</si>
  <si>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</si>
  <si>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</si>
  <si>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</si>
  <si>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</si>
  <si>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</si>
  <si>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</si>
  <si>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</si>
  <si>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</si>
  <si>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(*) Com fundamento no disposto no artigo 10, inciso I, da lei 10.833/2003 e Lei 10.637/2002, e em conformidade com a informação ASJUR/CELIC 1.724/16, as Pessoas Jurídicas (empresas) referidas na Lei 7.102/83 (vigilância), optantes (enquadradas) pelo Regime de Tributação, Lucro Real, deverão apurar o PIS e a COFINS, pela sistemática cumulativa (Lucro Presumido), ou seja, com base nas alíquotas de 0,65% e 3,00%, respectivamente, sobre a receita bruta. Assim sendo, as Licitantes cujo Regime Tributário é regrado pelo Lucro Real (sistemática não cumulativa), com vista a não onerar a Administração Pública, deverão utilizar na composição dos custos dos tributos, do “Montante C”, na Planilha de Custos e Formação de Preços, as alíquotas, da sistemática cumulativa de 0,65% para o PIS e de 3,00% para a COFINS (Lucro Presumido), desconsiderando as alíquotas de 1,65% e de 7,60% (Lucro Real).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</si>
  <si>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</si>
  <si>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</si>
  <si>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</si>
  <si>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</si>
  <si>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</si>
  <si>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</si>
  <si>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</si>
  <si>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</si>
  <si>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</si>
  <si>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</si>
  <si>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</si>
  <si>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</si>
  <si>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</si>
  <si>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</si>
  <si>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</si>
  <si>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</si>
  <si>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</si>
  <si>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Vale Alimentação</t>
  </si>
  <si>
    <r>
      <rPr>
        <b/>
        <sz val="8"/>
        <color rgb="FF000000"/>
        <rFont val="Calibri"/>
        <family val="2"/>
        <charset val="1"/>
      </rPr>
      <t>Adicional Noturno:
Horas:</t>
    </r>
    <r>
      <rPr>
        <sz val="8"/>
        <color rgb="FF000000"/>
        <rFont val="Calibri"/>
        <family val="2"/>
        <charset val="1"/>
      </rPr>
      <t xml:space="preserve"> [(60/52,5) x Nº de horas noturnas diárias] x Nº de dias trabalhados com hora noturna
</t>
    </r>
    <r>
      <rPr>
        <b/>
        <sz val="8"/>
        <color rgb="FF000000"/>
        <rFont val="Calibri"/>
        <family val="2"/>
        <charset val="1"/>
      </rPr>
      <t>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20% (noturno)</t>
    </r>
  </si>
  <si>
    <t>Nº horas</t>
  </si>
  <si>
    <t>Vr. Hora</t>
  </si>
  <si>
    <r>
      <rPr>
        <b/>
        <sz val="8"/>
        <color rgb="FF000000"/>
        <rFont val="Calibri"/>
        <family val="2"/>
        <charset val="1"/>
      </rPr>
      <t>Reduzida Noturna
Horas Reduzidas:</t>
    </r>
    <r>
      <rPr>
        <sz val="8"/>
        <color rgb="FF000000"/>
        <rFont val="Calibri"/>
        <family val="2"/>
        <charset val="1"/>
      </rPr>
      <t xml:space="preserve"> 60/52,5=1,143 x 7h noturnas = 8h noturnas
5h diurnas + 8h noturnas =  13h X 15 dias = 195 horas mensais
195h - 190,67 =</t>
    </r>
    <r>
      <rPr>
        <b/>
        <sz val="8"/>
        <color rgb="FF000000"/>
        <rFont val="Calibri"/>
        <family val="2"/>
        <charset val="1"/>
      </rPr>
      <t xml:space="preserve"> 4,33 horas
Valor hora:</t>
    </r>
    <r>
      <rPr>
        <sz val="8"/>
        <color rgb="FF000000"/>
        <rFont val="Calibri"/>
        <family val="2"/>
        <charset val="1"/>
      </rPr>
      <t xml:space="preserve"> (vlr. do salário/nº de horas correspondente do salário) x 150% (H.Extra)</t>
    </r>
  </si>
  <si>
    <r>
      <rPr>
        <sz val="8"/>
        <color rgb="FF000000"/>
        <rFont val="Calibri"/>
        <family val="2"/>
        <charset val="1"/>
      </rPr>
      <t xml:space="preserve">Adicional Noturno 20% </t>
    </r>
    <r>
      <rPr>
        <b/>
        <sz val="5"/>
        <color rgb="FF000000"/>
        <rFont val="Calibri"/>
        <family val="2"/>
        <charset val="1"/>
      </rPr>
      <t>(Ver súmula 60 TST)</t>
    </r>
  </si>
  <si>
    <t>Reduzida Noturna</t>
  </si>
  <si>
    <t xml:space="preserve">Adicional Noturno </t>
  </si>
  <si>
    <t>Integração RSRF (20%) sobre H. Extra Red. Noturna e Adic Noturno = [Reduzida Noturna + Adic. Noturno]*[Descanso Semanal Remunerado] (20%)</t>
  </si>
  <si>
    <t>Adicional Troca de Uniforme</t>
  </si>
  <si>
    <t>Integração RSF (20% sobre Ad.Troca de Uniforme)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</si>
  <si>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</si>
  <si>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</si>
  <si>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</si>
  <si>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</si>
  <si>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</si>
  <si>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</si>
  <si>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 xml:space="preserve">Hora Intervalar </t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</si>
  <si>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</si>
  <si>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G136.</t>
    </r>
  </si>
  <si>
    <r>
      <t xml:space="preserve">Total do Lucro                  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</si>
  <si>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r>
      <t xml:space="preserve">Total de Despesas Indiretas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G128.</t>
    </r>
  </si>
  <si>
    <t>Adicional de insalubridade sobre Reduzida Noturna</t>
  </si>
  <si>
    <t>Adicional de periculosidade sobre Reduzida Noturna</t>
  </si>
  <si>
    <t>Adicional de insalubridade sobre o Adicional Noturno</t>
  </si>
  <si>
    <t>Adicional de periculosidade sobre o Adicional Noturno</t>
  </si>
  <si>
    <t>Outros benefícios que refletem na planilha de custos, caso constem na CCT</t>
  </si>
  <si>
    <t>TOTAL DOS ENCARGOS SOCIAIS (II + III + IV + V)</t>
  </si>
  <si>
    <t>Valor unitário mensal do posto</t>
  </si>
  <si>
    <t>QUADRO RESUMO UNITÁRIO</t>
  </si>
  <si>
    <t>Conta vinculada</t>
  </si>
  <si>
    <t>Valor total do posto</t>
  </si>
  <si>
    <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</si>
  <si>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</si>
  <si>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Valor mensal de materiais/equipamentos</t>
  </si>
  <si>
    <r>
      <t>Materiais/Equipamentos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</si>
  <si>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r>
      <t>Depreciação de equipamentos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</si>
  <si>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(8)</t>
    </r>
  </si>
  <si>
    <t>(6)   Somente será preenchido quando o licitante fornecer transporte próprio, pagamento de combustível ou quando for necessário outro modal para transporte do funcionário
(6a)  EPI - Equipamento de Proteção Individual
(7) O licitante deverá entregar junto com a sua proposta, uma tabela com o valor unitário de cada material/equipamento constante no Termo de Referência
(8)   Tais custos de mobilização e depreciação de equipamentos não são renováveis, devendo ser eliminados após o primeiro ano de contrato caso haja prorrogação</t>
  </si>
  <si>
    <t>Quantidade</t>
  </si>
  <si>
    <t>Valor unitário</t>
  </si>
  <si>
    <t>Valor total</t>
  </si>
  <si>
    <t>VALOR TOTAL MENSAL DE MATERIAIS/EQUIPAMENTOS:</t>
  </si>
  <si>
    <t>Valor unitário mensal de MATERIAL/EQUIPAMENTO</t>
  </si>
  <si>
    <t>Valor total mensal de MATERIAL/EQUIPAMENTO</t>
  </si>
  <si>
    <t>Valor unitário  mensal de retenção para a CONTA VINCULADA</t>
  </si>
  <si>
    <t>Valor total mensal de retenção para a CONTA VINCULADA</t>
  </si>
  <si>
    <t>PORCENTAGEM CORRESPONDENTE EM RELAÇÃO AO VALOR TOTAL PARA RETENÇÃO EM CONTA VINCULADA:</t>
  </si>
  <si>
    <t>TOTAL DE POSTOS:</t>
  </si>
  <si>
    <t>VALOR GLOBAL MENSAL:</t>
  </si>
  <si>
    <t>VALOR TOTAL MENSAL PARA RETENÇÃO EM CONTA VINCULADA:</t>
  </si>
  <si>
    <t>Valor total mensal do posto</t>
  </si>
  <si>
    <r>
      <t>ATENÇÃO: SOMENTE PREENCHER QUANDO HOUVER FORNECIMENTO DE MATERIAIS E/OU EQUIPAMENTOS (</t>
    </r>
    <r>
      <rPr>
        <b/>
        <u/>
        <sz val="11"/>
        <color rgb="FFFF0000"/>
        <rFont val="Calibri"/>
        <family val="2"/>
      </rPr>
      <t>NÃO INCLUÍDO EPIs E UNIFORMES</t>
    </r>
    <r>
      <rPr>
        <b/>
        <sz val="11"/>
        <color rgb="FFFF0000"/>
        <rFont val="Calibri"/>
        <family val="2"/>
        <charset val="1"/>
      </rPr>
      <t>)</t>
    </r>
  </si>
  <si>
    <t>PLANILHA DE MATERIAIS E EQUIPAMENTOS A SER PREENCHIDA PELO LICITANTE COM BASE NO TERMO DE REFERÊNCIA (CGL 7.2 DO EDITAL)</t>
  </si>
  <si>
    <r>
      <t>Material/Equipamento (</t>
    </r>
    <r>
      <rPr>
        <b/>
        <u/>
        <sz val="11"/>
        <rFont val="Calibri"/>
        <family val="2"/>
      </rPr>
      <t>não incluir EPIs e uniformes</t>
    </r>
    <r>
      <rPr>
        <b/>
        <sz val="11"/>
        <rFont val="Calibri"/>
        <family val="2"/>
        <charset val="1"/>
      </rPr>
      <t>)</t>
    </r>
  </si>
  <si>
    <t>Vigilante</t>
  </si>
  <si>
    <t>RS000837/2025</t>
  </si>
  <si>
    <t>Canoas</t>
  </si>
  <si>
    <t>44h</t>
  </si>
  <si>
    <t>seg-sab</t>
  </si>
  <si>
    <t>Caxias do Sul</t>
  </si>
  <si>
    <t>RS000813/2025</t>
  </si>
  <si>
    <t>Gravataí</t>
  </si>
  <si>
    <t>44 h</t>
  </si>
  <si>
    <t>Lajeado</t>
  </si>
  <si>
    <t>RS000387/2026</t>
  </si>
  <si>
    <t>Outros benefícios que refletem na planilha de custos, caso constem na CCT ( Prêmio Assiduidade- Cláusula 13ª)</t>
  </si>
  <si>
    <t>Passo Fundo</t>
  </si>
  <si>
    <t>RS001064/2025</t>
  </si>
  <si>
    <t xml:space="preserve">Outros benefícios que refletem na planilha de custos, caso constem na CCT </t>
  </si>
  <si>
    <t>Pelotas</t>
  </si>
  <si>
    <t>RS000911/2025</t>
  </si>
  <si>
    <t>Rio Grande</t>
  </si>
  <si>
    <t xml:space="preserve">RS000837/2025  </t>
  </si>
  <si>
    <t>Santa Maria</t>
  </si>
  <si>
    <t>Tramandaí</t>
  </si>
  <si>
    <t>Porto Alegre</t>
  </si>
  <si>
    <t xml:space="preserve">PortoAlegre Zona Norte e Centro </t>
  </si>
  <si>
    <t>Porto Alegre Zona Sul</t>
  </si>
  <si>
    <t>seg-sex</t>
  </si>
  <si>
    <t>40h</t>
  </si>
  <si>
    <t>Vigilante Noturno</t>
  </si>
  <si>
    <t>12x36</t>
  </si>
  <si>
    <t>dom-sab</t>
  </si>
  <si>
    <t xml:space="preserve">Porto Alegre Zona Sul </t>
  </si>
  <si>
    <t xml:space="preserve">Vigilante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</si>
</sst>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  <numFmt numFmtId="170" formatCode="&quot;R$ &quot;#,##0.000"/>
    <numFmt numFmtId="171" formatCode="&quot;R$&quot;\ #,##0.00"/>
    <numFmt numFmtId="172" formatCode="_-* #,##0_-;\-* #,##0_-;_-* &quot;-&quot;??_-;_-@_-"/>
  </numFmts>
  <fonts count="41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2"/>
      <color rgb="FF000000"/>
      <name val="Calibri"/>
      <family val="2"/>
      <charset val="1"/>
    </font>
    <font>
      <b/>
      <sz val="12"/>
      <color rgb="FFFF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b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u/>
      <sz val="7"/>
      <color rgb="FF000000"/>
      <name val="Tahoma"/>
      <family val="2"/>
      <charset val="1"/>
    </font>
    <font>
      <b/>
      <sz val="7"/>
      <color rgb="FF000000"/>
      <name val="Tahoma"/>
      <family val="2"/>
      <charset val="1"/>
    </font>
    <font>
      <b/>
      <sz val="6"/>
      <color rgb="FF000000"/>
      <name val="Arial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10"/>
      <color rgb="FF000000"/>
      <name val="Calibri"/>
      <family val="2"/>
      <charset val="1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u/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b/>
      <sz val="11"/>
      <color rgb="FFFF0000"/>
      <name val="Calibri"/>
      <family val="2"/>
      <charset val="1"/>
    </font>
    <font>
      <b/>
      <u/>
      <sz val="11"/>
      <color rgb="FFFF0000"/>
      <name val="Calibri"/>
      <family val="2"/>
    </font>
    <font>
      <b/>
      <u/>
      <sz val="11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00B0F0"/>
        <bgColor rgb="FF33CCCC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FFFF00"/>
        <bgColor rgb="FFFFFF00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rgb="FFD6DCE5"/>
      </patternFill>
    </fill>
    <fill>
      <patternFill patternType="solid">
        <fgColor theme="0" tint="-0.14999847407452621"/>
        <bgColor rgb="FFD6DCE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rgb="FFD6DCE5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31" fillId="0" borderId="0" applyBorder="0" applyProtection="0"/>
    <xf numFmtId="0" fontId="31" fillId="0" borderId="0"/>
    <xf numFmtId="0" fontId="31" fillId="0" borderId="0"/>
    <xf numFmtId="0" fontId="31" fillId="0" borderId="0"/>
    <xf numFmtId="9" fontId="31" fillId="0" borderId="0" applyBorder="0" applyProtection="0"/>
    <xf numFmtId="44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208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4" fillId="0" borderId="1" xfId="0" applyNumberFormat="1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4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9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center" vertical="center" wrapText="1"/>
    </xf>
    <xf numFmtId="165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4" fillId="7" borderId="1" xfId="0" applyNumberFormat="1" applyFont="1" applyFill="1" applyBorder="1" applyAlignment="1">
      <alignment horizontal="center" vertical="center" wrapText="1"/>
    </xf>
    <xf numFmtId="9" fontId="3" fillId="9" borderId="1" xfId="0" applyNumberFormat="1" applyFont="1" applyFill="1" applyBorder="1" applyAlignment="1">
      <alignment horizontal="center" vertical="center" wrapText="1"/>
    </xf>
    <xf numFmtId="2" fontId="3" fillId="7" borderId="1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165" fontId="11" fillId="0" borderId="0" xfId="0" applyNumberFormat="1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14" fillId="3" borderId="5" xfId="0" applyNumberFormat="1" applyFont="1" applyFill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4" fillId="2" borderId="1" xfId="0" applyNumberFormat="1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169" fontId="2" fillId="0" borderId="0" xfId="0" applyNumberFormat="1" applyFont="1" applyAlignment="1">
      <alignment horizontal="center" vertical="center" wrapText="1"/>
    </xf>
    <xf numFmtId="170" fontId="2" fillId="4" borderId="1" xfId="0" applyNumberFormat="1" applyFont="1" applyFill="1" applyBorder="1" applyAlignment="1">
      <alignment horizontal="center" vertical="center" wrapText="1"/>
    </xf>
    <xf numFmtId="0" fontId="31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0" fontId="31" fillId="0" borderId="1" xfId="4" applyBorder="1" applyAlignment="1">
      <alignment horizontal="center"/>
    </xf>
    <xf numFmtId="0" fontId="29" fillId="12" borderId="3" xfId="4" applyFont="1" applyFill="1" applyBorder="1" applyAlignment="1">
      <alignment horizontal="center" vertical="center" wrapText="1"/>
    </xf>
    <xf numFmtId="0" fontId="29" fillId="12" borderId="1" xfId="4" applyFont="1" applyFill="1" applyBorder="1" applyAlignment="1">
      <alignment horizontal="center" vertical="center" wrapText="1"/>
    </xf>
    <xf numFmtId="0" fontId="28" fillId="12" borderId="5" xfId="4" applyFont="1" applyFill="1" applyBorder="1" applyAlignment="1">
      <alignment horizontal="center" vertical="center" wrapText="1"/>
    </xf>
    <xf numFmtId="0" fontId="28" fillId="12" borderId="1" xfId="4" applyFont="1" applyFill="1" applyBorder="1" applyAlignment="1">
      <alignment horizontal="center" vertical="center" wrapText="1"/>
    </xf>
    <xf numFmtId="0" fontId="28" fillId="12" borderId="12" xfId="4" applyFont="1" applyFill="1" applyBorder="1" applyAlignment="1">
      <alignment horizontal="center" vertical="center" wrapText="1"/>
    </xf>
    <xf numFmtId="0" fontId="0" fillId="0" borderId="2" xfId="4" applyFont="1" applyBorder="1" applyAlignment="1">
      <alignment horizontal="center"/>
    </xf>
    <xf numFmtId="0" fontId="31" fillId="0" borderId="2" xfId="4" applyBorder="1" applyAlignment="1">
      <alignment horizontal="center"/>
    </xf>
    <xf numFmtId="164" fontId="12" fillId="14" borderId="1" xfId="4" applyNumberFormat="1" applyFont="1" applyFill="1" applyBorder="1" applyAlignment="1">
      <alignment horizontal="center" vertical="center"/>
    </xf>
    <xf numFmtId="0" fontId="35" fillId="11" borderId="1" xfId="0" applyFont="1" applyFill="1" applyBorder="1" applyAlignment="1">
      <alignment horizontal="center" vertical="center" wrapText="1"/>
    </xf>
    <xf numFmtId="4" fontId="34" fillId="11" borderId="1" xfId="0" applyNumberFormat="1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7" fillId="11" borderId="1" xfId="0" applyNumberFormat="1" applyFont="1" applyFill="1" applyBorder="1" applyAlignment="1">
      <alignment horizontal="center" vertical="center" wrapText="1"/>
    </xf>
    <xf numFmtId="44" fontId="34" fillId="11" borderId="5" xfId="8" applyFont="1" applyFill="1" applyBorder="1" applyAlignment="1">
      <alignment vertical="center" wrapText="1"/>
    </xf>
    <xf numFmtId="44" fontId="34" fillId="11" borderId="7" xfId="8" applyFont="1" applyFill="1" applyBorder="1" applyAlignment="1">
      <alignment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14" fillId="11" borderId="8" xfId="0" applyFont="1" applyFill="1" applyBorder="1" applyAlignment="1">
      <alignment horizontal="center" vertical="center" wrapText="1"/>
    </xf>
    <xf numFmtId="0" fontId="29" fillId="16" borderId="3" xfId="4" applyFont="1" applyFill="1" applyBorder="1" applyAlignment="1">
      <alignment horizontal="center" vertical="center" wrapText="1"/>
    </xf>
    <xf numFmtId="49" fontId="31" fillId="0" borderId="1" xfId="4" applyNumberFormat="1" applyBorder="1"/>
    <xf numFmtId="1" fontId="31" fillId="0" borderId="1" xfId="4" applyNumberFormat="1" applyBorder="1"/>
    <xf numFmtId="171" fontId="31" fillId="0" borderId="1" xfId="4" applyNumberFormat="1" applyBorder="1"/>
    <xf numFmtId="49" fontId="30" fillId="0" borderId="1" xfId="4" applyNumberFormat="1" applyFont="1" applyBorder="1"/>
    <xf numFmtId="1" fontId="30" fillId="0" borderId="1" xfId="4" applyNumberFormat="1" applyFont="1" applyBorder="1"/>
    <xf numFmtId="171" fontId="30" fillId="0" borderId="1" xfId="4" applyNumberFormat="1" applyFont="1" applyBorder="1"/>
    <xf numFmtId="171" fontId="31" fillId="0" borderId="5" xfId="4" applyNumberFormat="1" applyBorder="1"/>
    <xf numFmtId="171" fontId="12" fillId="14" borderId="1" xfId="4" applyNumberFormat="1" applyFont="1" applyFill="1" applyBorder="1" applyAlignment="1">
      <alignment vertical="center" wrapText="1"/>
    </xf>
    <xf numFmtId="171" fontId="0" fillId="17" borderId="2" xfId="4" applyNumberFormat="1" applyFont="1" applyFill="1" applyBorder="1" applyAlignment="1">
      <alignment horizontal="center"/>
    </xf>
    <xf numFmtId="44" fontId="31" fillId="17" borderId="2" xfId="8" applyFill="1" applyBorder="1" applyAlignment="1">
      <alignment horizontal="center"/>
    </xf>
    <xf numFmtId="44" fontId="31" fillId="14" borderId="2" xfId="8" applyFill="1" applyBorder="1" applyAlignment="1">
      <alignment horizontal="center"/>
    </xf>
    <xf numFmtId="164" fontId="31" fillId="18" borderId="2" xfId="4" applyNumberFormat="1" applyFill="1" applyBorder="1"/>
    <xf numFmtId="164" fontId="31" fillId="18" borderId="1" xfId="4" applyNumberFormat="1" applyFill="1" applyBorder="1"/>
    <xf numFmtId="0" fontId="12" fillId="14" borderId="12" xfId="4" applyFont="1" applyFill="1" applyBorder="1" applyAlignment="1">
      <alignment horizontal="right" vertical="center" wrapText="1"/>
    </xf>
    <xf numFmtId="44" fontId="12" fillId="14" borderId="12" xfId="4" applyNumberFormat="1" applyFont="1" applyFill="1" applyBorder="1" applyAlignment="1">
      <alignment horizontal="right" vertical="center" wrapText="1"/>
    </xf>
    <xf numFmtId="0" fontId="12" fillId="14" borderId="1" xfId="4" applyFont="1" applyFill="1" applyBorder="1" applyAlignment="1">
      <alignment horizontal="right" vertical="center" wrapText="1"/>
    </xf>
    <xf numFmtId="44" fontId="12" fillId="14" borderId="7" xfId="4" applyNumberFormat="1" applyFont="1" applyFill="1" applyBorder="1" applyAlignment="1">
      <alignment vertical="center" wrapText="1"/>
    </xf>
    <xf numFmtId="0" fontId="12" fillId="14" borderId="1" xfId="4" applyFont="1" applyFill="1" applyBorder="1" applyAlignment="1">
      <alignment vertical="center" wrapText="1"/>
    </xf>
    <xf numFmtId="10" fontId="12" fillId="14" borderId="1" xfId="9" applyNumberFormat="1" applyFont="1" applyFill="1" applyBorder="1" applyAlignment="1">
      <alignment vertical="center" wrapText="1"/>
    </xf>
    <xf numFmtId="172" fontId="12" fillId="14" borderId="1" xfId="4" applyNumberFormat="1" applyFont="1" applyFill="1" applyBorder="1" applyAlignment="1">
      <alignment vertical="center" wrapText="1"/>
    </xf>
    <xf numFmtId="0" fontId="34" fillId="11" borderId="5" xfId="0" applyFont="1" applyFill="1" applyBorder="1" applyAlignment="1">
      <alignment horizontal="center" vertical="center" wrapText="1"/>
    </xf>
    <xf numFmtId="0" fontId="34" fillId="11" borderId="7" xfId="0" applyFont="1" applyFill="1" applyBorder="1" applyAlignment="1">
      <alignment horizontal="center" vertical="center" wrapText="1"/>
    </xf>
    <xf numFmtId="0" fontId="34" fillId="11" borderId="12" xfId="0" applyFont="1" applyFill="1" applyBorder="1" applyAlignment="1">
      <alignment horizontal="center" vertical="center" wrapText="1"/>
    </xf>
    <xf numFmtId="0" fontId="34" fillId="11" borderId="1" xfId="0" applyFont="1" applyFill="1" applyBorder="1" applyAlignment="1">
      <alignment horizontal="center" vertical="center" wrapText="1"/>
    </xf>
    <xf numFmtId="4" fontId="36" fillId="11" borderId="5" xfId="0" applyNumberFormat="1" applyFont="1" applyFill="1" applyBorder="1" applyAlignment="1">
      <alignment horizontal="center" vertical="center" wrapText="1"/>
    </xf>
    <xf numFmtId="4" fontId="35" fillId="11" borderId="7" xfId="0" applyNumberFormat="1" applyFont="1" applyFill="1" applyBorder="1" applyAlignment="1">
      <alignment horizontal="center" vertical="center" wrapText="1"/>
    </xf>
    <xf numFmtId="4" fontId="35" fillId="11" borderId="12" xfId="0" applyNumberFormat="1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 wrapText="1"/>
    </xf>
    <xf numFmtId="0" fontId="34" fillId="11" borderId="6" xfId="0" applyFont="1" applyFill="1" applyBorder="1" applyAlignment="1">
      <alignment horizontal="center" vertical="center" wrapText="1"/>
    </xf>
    <xf numFmtId="0" fontId="34" fillId="11" borderId="8" xfId="0" applyFont="1" applyFill="1" applyBorder="1" applyAlignment="1">
      <alignment horizontal="center" vertical="center" wrapText="1"/>
    </xf>
    <xf numFmtId="0" fontId="34" fillId="11" borderId="13" xfId="0" applyFont="1" applyFill="1" applyBorder="1" applyAlignment="1">
      <alignment horizontal="center" vertical="center" wrapText="1"/>
    </xf>
    <xf numFmtId="0" fontId="34" fillId="11" borderId="4" xfId="0" applyFont="1" applyFill="1" applyBorder="1" applyAlignment="1">
      <alignment horizontal="center" vertical="center" wrapText="1"/>
    </xf>
    <xf numFmtId="0" fontId="34" fillId="11" borderId="9" xfId="0" applyFont="1" applyFill="1" applyBorder="1" applyAlignment="1">
      <alignment horizontal="center" vertical="center" wrapText="1"/>
    </xf>
    <xf numFmtId="0" fontId="34" fillId="11" borderId="14" xfId="0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1" fillId="0" borderId="9" xfId="0" applyFont="1" applyBorder="1" applyAlignment="1">
      <alignment horizontal="left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3" fillId="3" borderId="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1" fillId="0" borderId="1" xfId="0" applyFont="1" applyBorder="1" applyAlignment="1">
      <alignment horizontal="left" vertical="center" wrapText="1"/>
    </xf>
    <xf numFmtId="0" fontId="14" fillId="7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4" fillId="0" borderId="5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9" borderId="1" xfId="0" applyFont="1" applyFill="1" applyBorder="1" applyAlignment="1">
      <alignment vertical="top" wrapText="1"/>
    </xf>
    <xf numFmtId="0" fontId="19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6" fillId="0" borderId="7" xfId="0" applyFont="1" applyBorder="1" applyAlignment="1">
      <alignment horizontal="left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left" vertical="center" wrapText="1"/>
    </xf>
    <xf numFmtId="0" fontId="16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2" fillId="4" borderId="3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22" fillId="2" borderId="10" xfId="0" applyFont="1" applyFill="1" applyBorder="1" applyAlignment="1">
      <alignment horizontal="center" vertical="center" wrapText="1"/>
    </xf>
    <xf numFmtId="0" fontId="27" fillId="3" borderId="11" xfId="0" applyFont="1" applyFill="1" applyBorder="1" applyAlignment="1">
      <alignment horizontal="justify" vertical="center" wrapText="1"/>
    </xf>
    <xf numFmtId="4" fontId="35" fillId="11" borderId="5" xfId="0" applyNumberFormat="1" applyFont="1" applyFill="1" applyBorder="1" applyAlignment="1">
      <alignment horizontal="center" vertical="center" wrapText="1"/>
    </xf>
    <xf numFmtId="0" fontId="29" fillId="15" borderId="5" xfId="4" applyFont="1" applyFill="1" applyBorder="1" applyAlignment="1">
      <alignment horizontal="center" vertical="center" wrapText="1"/>
    </xf>
    <xf numFmtId="0" fontId="29" fillId="15" borderId="7" xfId="4" applyFont="1" applyFill="1" applyBorder="1" applyAlignment="1">
      <alignment horizontal="center" vertical="center" wrapText="1"/>
    </xf>
    <xf numFmtId="0" fontId="29" fillId="15" borderId="12" xfId="4" applyFont="1" applyFill="1" applyBorder="1" applyAlignment="1">
      <alignment horizontal="center" vertical="center" wrapText="1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 wrapText="1"/>
    </xf>
    <xf numFmtId="0" fontId="12" fillId="14" borderId="7" xfId="4" applyFont="1" applyFill="1" applyBorder="1" applyAlignment="1">
      <alignment horizontal="right" vertical="center" wrapText="1"/>
    </xf>
    <xf numFmtId="0" fontId="38" fillId="19" borderId="5" xfId="4" applyFont="1" applyFill="1" applyBorder="1" applyAlignment="1">
      <alignment horizontal="center" vertical="center" wrapText="1"/>
    </xf>
    <xf numFmtId="0" fontId="38" fillId="19" borderId="7" xfId="4" applyFont="1" applyFill="1" applyBorder="1" applyAlignment="1">
      <alignment horizontal="center" vertical="center" wrapText="1"/>
    </xf>
    <xf numFmtId="0" fontId="38" fillId="19" borderId="12" xfId="4" applyFont="1" applyFill="1" applyBorder="1" applyAlignment="1">
      <alignment horizontal="center" vertical="center" wrapText="1"/>
    </xf>
    <xf numFmtId="0" fontId="0" fillId="13" borderId="12" xfId="4" applyFont="1" applyFill="1" applyBorder="1" applyAlignment="1">
      <alignment horizontal="center"/>
    </xf>
    <xf numFmtId="0" fontId="33" fillId="13" borderId="5" xfId="4" applyFont="1" applyFill="1" applyBorder="1" applyAlignment="1">
      <alignment horizontal="center"/>
    </xf>
    <xf numFmtId="0" fontId="33" fillId="13" borderId="7" xfId="4" applyFont="1" applyFill="1" applyBorder="1" applyAlignment="1">
      <alignment horizontal="center"/>
    </xf>
    <xf numFmtId="0" fontId="33" fillId="13" borderId="12" xfId="4" applyFont="1" applyFill="1" applyBorder="1" applyAlignment="1">
      <alignment horizontal="center"/>
    </xf>
    <xf numFmtId="0" fontId="12" fillId="14" borderId="5" xfId="4" applyFont="1" applyFill="1" applyBorder="1" applyAlignment="1">
      <alignment horizontal="right" vertical="center"/>
    </xf>
    <xf numFmtId="0" fontId="12" fillId="14" borderId="7" xfId="4" applyFont="1" applyFill="1" applyBorder="1" applyAlignment="1">
      <alignment horizontal="right" vertical="center"/>
    </xf>
    <xf numFmtId="0" fontId="12" fillId="14" borderId="12" xfId="4" applyFont="1" applyFill="1" applyBorder="1" applyAlignment="1">
      <alignment horizontal="right" vertical="center"/>
    </xf>
  </cellXfs>
  <cellStyles count="10">
    <cellStyle name="Hiperlink" xfId="1" builtinId="8"/>
    <cellStyle name="Hiperlink 2" xfId="2" xr:uid="{00000000-0005-0000-0000-000001000000}"/>
    <cellStyle name="Moeda" xfId="8" builtinId="4"/>
    <cellStyle name="Moeda 2" xfId="3" xr:uid="{00000000-0005-0000-0000-000003000000}"/>
    <cellStyle name="Normal" xfId="0" builtinId="0"/>
    <cellStyle name="Normal 2" xfId="4" xr:uid="{00000000-0005-0000-0000-000005000000}"/>
    <cellStyle name="Normal 2 2" xfId="5" xr:uid="{00000000-0005-0000-0000-000006000000}"/>
    <cellStyle name="Normal 3" xfId="6" xr:uid="{00000000-0005-0000-0000-000007000000}"/>
    <cellStyle name="Porcentagem" xfId="9" builtinId="5"/>
    <cellStyle name="Porcentagem 2" xfId="7" xr:uid="{00000000-0005-0000-0000-000009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B0F0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4"/>
  <sheetViews>
    <sheetView view="pageBreakPreview" zoomScale="175" zoomScaleNormal="130" zoomScaleSheetLayoutView="175" zoomScalePageLayoutView="130" workbookViewId="0">
      <selection activeCell="J8" sqref="J8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232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232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233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0.04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0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f>I13</f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202</v>
      </c>
      <c r="B23" s="169"/>
      <c r="C23" s="169"/>
      <c r="D23" s="169"/>
      <c r="E23" s="169"/>
      <c r="F23" s="169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0</v>
      </c>
      <c r="I96" s="24">
        <f>I103</f>
        <v>0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0.18846976259663359</v>
      </c>
      <c r="I99" s="26">
        <f>SUM(I94:I98)</f>
        <v>528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0</v>
      </c>
      <c r="B103" s="158"/>
      <c r="C103" s="14">
        <f>IF(I15="Não aplicável",0,I15)</f>
        <v>26</v>
      </c>
      <c r="D103" s="14">
        <v>2</v>
      </c>
      <c r="E103" s="37">
        <f>A103*C103*D103</f>
        <v>0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0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1.9649020631991752</v>
      </c>
      <c r="I113" s="48">
        <f>I48+I91+I99</f>
        <v>5504.6935650339465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0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528</v>
      </c>
      <c r="H129" s="62">
        <f>A129+C129+D129+E129+F129+G129</f>
        <v>5504.6935650339465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0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528</v>
      </c>
      <c r="H142" s="62">
        <f>A142+C142+D142+E142+F142+G142</f>
        <v>5504.6935650339465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9.7130481862479703E-3</v>
      </c>
      <c r="I148" s="24">
        <f>($D$158/$E$160)*H158</f>
        <v>53.467353847703848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4.4829453167298326E-2</v>
      </c>
      <c r="I149" s="24">
        <f>($D$158/$E$160)*H159</f>
        <v>246.77240237401776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5.9772604223064435E-2</v>
      </c>
      <c r="I150" s="24">
        <f>($D$158/$E$160)*H160</f>
        <v>329.02986983202368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0.11431510557661073</v>
      </c>
      <c r="I153" s="26">
        <f>SUM(I148:I152)</f>
        <v>629.26962605374524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5504.6935650339465</v>
      </c>
      <c r="B158" s="144"/>
      <c r="C158" s="24">
        <f>I144</f>
        <v>2091.7835547128998</v>
      </c>
      <c r="D158" s="145">
        <f>A158+C158</f>
        <v>7596.4771197468463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0.13250000000000001</v>
      </c>
      <c r="E159" s="64">
        <f>C159-D159</f>
        <v>0.86749999999999994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7.6499999999999999E-2</v>
      </c>
      <c r="E160" s="65">
        <f>C160-D160</f>
        <v>0.92349999999999999</v>
      </c>
      <c r="F160" s="14" t="s">
        <v>14</v>
      </c>
      <c r="G160" s="43">
        <f>I11</f>
        <v>0.04</v>
      </c>
      <c r="H160" s="135">
        <f>I11</f>
        <v>0.04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0.13250000000000001</v>
      </c>
      <c r="H163" s="136">
        <f>SUM(H158:I162)</f>
        <v>7.6499999999999999E-2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0.11431510557661073</v>
      </c>
      <c r="I167" s="48">
        <f>I153</f>
        <v>629.26962605374524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0.34057824615500437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0.26443595119730873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6.418870119841151E-2</v>
      </c>
      <c r="I173" s="70">
        <f>I99</f>
        <v>528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0.66920289855072457</v>
      </c>
      <c r="I174" s="48">
        <f>SUM(I171:I173)</f>
        <v>5504.6935650339465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0.13384057971014493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1.8235426476821449E-2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0.10222109526230896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0.25429710144927531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7.6499999999999999E-2</v>
      </c>
      <c r="I183" s="24">
        <f>I153</f>
        <v>629.26962605374524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7.6499999999999999E-2</v>
      </c>
      <c r="I184" s="48">
        <f>I153</f>
        <v>629.26962605374524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8225.7467458005922</v>
      </c>
      <c r="H194" s="88">
        <f>IF(D6="12x36",2,1)</f>
        <v>1</v>
      </c>
      <c r="I194" s="89">
        <f>G194*H194</f>
        <v>8225.7467458005922</v>
      </c>
    </row>
  </sheetData>
  <mergeCells count="181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49:G149"/>
    <mergeCell ref="B150:G150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B137:G137"/>
    <mergeCell ref="A138:G138"/>
    <mergeCell ref="A140:E140"/>
    <mergeCell ref="A141:B141"/>
    <mergeCell ref="A142:B142"/>
    <mergeCell ref="A144:G144"/>
    <mergeCell ref="A146:I146"/>
    <mergeCell ref="B147:G147"/>
    <mergeCell ref="B148:G148"/>
    <mergeCell ref="A127:E127"/>
    <mergeCell ref="A128:B128"/>
    <mergeCell ref="A129:B129"/>
    <mergeCell ref="B130:I130"/>
    <mergeCell ref="B131:G131"/>
    <mergeCell ref="B132:G132"/>
    <mergeCell ref="B133:G133"/>
    <mergeCell ref="A134:G134"/>
    <mergeCell ref="B136:G136"/>
    <mergeCell ref="B116:G116"/>
    <mergeCell ref="B117:G117"/>
    <mergeCell ref="B118:G118"/>
    <mergeCell ref="B119:G119"/>
    <mergeCell ref="B120:G120"/>
    <mergeCell ref="B122:G122"/>
    <mergeCell ref="B123:G123"/>
    <mergeCell ref="A124:G124"/>
    <mergeCell ref="B125:I125"/>
    <mergeCell ref="B121:G121"/>
    <mergeCell ref="A103:B103"/>
    <mergeCell ref="A105:I105"/>
    <mergeCell ref="A106:B106"/>
    <mergeCell ref="A107:B107"/>
    <mergeCell ref="A109:I109"/>
    <mergeCell ref="A110:B110"/>
    <mergeCell ref="A111:B111"/>
    <mergeCell ref="A113:G113"/>
    <mergeCell ref="A115:I115"/>
    <mergeCell ref="B94:G94"/>
    <mergeCell ref="B95:G95"/>
    <mergeCell ref="B96:G96"/>
    <mergeCell ref="B97:G97"/>
    <mergeCell ref="B98:G98"/>
    <mergeCell ref="A99:G99"/>
    <mergeCell ref="B100:G100"/>
    <mergeCell ref="A101:I101"/>
    <mergeCell ref="A102:B102"/>
    <mergeCell ref="B82:G82"/>
    <mergeCell ref="B83:G83"/>
    <mergeCell ref="B84:G84"/>
    <mergeCell ref="A85:G85"/>
    <mergeCell ref="B87:G87"/>
    <mergeCell ref="B88:G88"/>
    <mergeCell ref="A89:G89"/>
    <mergeCell ref="A91:G91"/>
    <mergeCell ref="B93:G93"/>
    <mergeCell ref="B73:G73"/>
    <mergeCell ref="B74:G74"/>
    <mergeCell ref="B75:G75"/>
    <mergeCell ref="B76:G76"/>
    <mergeCell ref="B77:G77"/>
    <mergeCell ref="A78:G78"/>
    <mergeCell ref="B79:I79"/>
    <mergeCell ref="B80:I80"/>
    <mergeCell ref="B81:G81"/>
    <mergeCell ref="B64:G64"/>
    <mergeCell ref="B65:G65"/>
    <mergeCell ref="A66:G66"/>
    <mergeCell ref="A67:I67"/>
    <mergeCell ref="A68:I68"/>
    <mergeCell ref="B69:G69"/>
    <mergeCell ref="B70:G70"/>
    <mergeCell ref="B71:G71"/>
    <mergeCell ref="B72:G72"/>
    <mergeCell ref="B47:G47"/>
    <mergeCell ref="A48:G48"/>
    <mergeCell ref="B57:G57"/>
    <mergeCell ref="B58:G58"/>
    <mergeCell ref="B59:G59"/>
    <mergeCell ref="B60:G60"/>
    <mergeCell ref="B61:G61"/>
    <mergeCell ref="B62:G62"/>
    <mergeCell ref="B63:G63"/>
    <mergeCell ref="A49:I56"/>
    <mergeCell ref="B38:G38"/>
    <mergeCell ref="B39:G39"/>
    <mergeCell ref="B40:G40"/>
    <mergeCell ref="B41:G41"/>
    <mergeCell ref="B42:G42"/>
    <mergeCell ref="B43:G43"/>
    <mergeCell ref="B44:G44"/>
    <mergeCell ref="B45:G45"/>
    <mergeCell ref="B46:G46"/>
    <mergeCell ref="A23:F23"/>
    <mergeCell ref="A24:F24"/>
    <mergeCell ref="A25:F25"/>
    <mergeCell ref="A26:F27"/>
    <mergeCell ref="A28:F28"/>
    <mergeCell ref="A29:F29"/>
    <mergeCell ref="A35:I35"/>
    <mergeCell ref="B36:G36"/>
    <mergeCell ref="B37:G37"/>
    <mergeCell ref="A30:I34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03A33E-B5DB-4E16-9498-A92FDFE4A83B}">
  <dimension ref="A1:L194"/>
  <sheetViews>
    <sheetView view="pageBreakPreview" topLeftCell="A7" zoomScale="175" zoomScaleNormal="130" zoomScaleSheetLayoutView="175" zoomScalePageLayoutView="130" workbookViewId="0">
      <selection activeCell="L10" sqref="L10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237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237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236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0.04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0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8.3000000000000007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f>I13</f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34.5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202</v>
      </c>
      <c r="B23" s="169"/>
      <c r="C23" s="169"/>
      <c r="D23" s="169"/>
      <c r="E23" s="169"/>
      <c r="F23" s="169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0.76923076923076927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631.62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0</v>
      </c>
      <c r="I45" s="24">
        <f>I12*I13</f>
        <v>0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0</v>
      </c>
      <c r="I46" s="24">
        <f>I45*20%</f>
        <v>0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2737.02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547.404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41.055299999999995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27.370200000000001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5.4740400000000005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68.4255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218.9616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82.110599999999991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16.42212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1007.2233599999998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326.56480428000003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56.067854699999998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33.191841539999999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7.4585967860584308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1.30282152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1.20976284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0.50634869999999998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248.49404579999998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674.79607616605836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132.25554342000001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9.60967722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52.901122560000005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194.76634320000002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248.32495602910959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248.32495602910959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2125.1107353951679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0.22184711839884255</v>
      </c>
      <c r="I94" s="24">
        <f>I111</f>
        <v>607.20000000000005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0.11153590401239305</v>
      </c>
      <c r="I96" s="24">
        <f>I103</f>
        <v>305.27600000000001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0.33338302241123563</v>
      </c>
      <c r="I99" s="26">
        <f>SUM(I94:I98)</f>
        <v>912.47600000000011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8.3000000000000007</v>
      </c>
      <c r="B103" s="158"/>
      <c r="C103" s="14">
        <f>IF(I15="Não aplicável",0,I15)</f>
        <v>26</v>
      </c>
      <c r="D103" s="14">
        <v>2</v>
      </c>
      <c r="E103" s="37">
        <f>A103*C103*D103</f>
        <v>431.6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305.27600000000001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34.5</v>
      </c>
      <c r="B111" s="156"/>
      <c r="C111" s="42">
        <f>IF(I18="Não aplicável",0,I18)</f>
        <v>22</v>
      </c>
      <c r="D111" s="14">
        <v>1</v>
      </c>
      <c r="E111" s="37">
        <f>A111*C111*D111</f>
        <v>759</v>
      </c>
      <c r="F111" s="37">
        <f>E111</f>
        <v>759</v>
      </c>
      <c r="G111" s="43">
        <f>IF(I19="Não aplicável",0,I19)</f>
        <v>0.2</v>
      </c>
      <c r="H111" s="37">
        <f>F111*G111</f>
        <v>151.80000000000001</v>
      </c>
      <c r="I111" s="24">
        <f>E111-H111</f>
        <v>607.20000000000005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2.1098153230137773</v>
      </c>
      <c r="I113" s="48">
        <f>I48+I91+I99</f>
        <v>5774.6067353951676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1093.8661470790337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1093.8661470790337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1093.8661470790337</v>
      </c>
      <c r="H127" s="57" t="s">
        <v>117</v>
      </c>
      <c r="I127" s="58">
        <f>I96</f>
        <v>305.27600000000001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2737.02</v>
      </c>
      <c r="B129" s="149"/>
      <c r="C129" s="62">
        <f>I66</f>
        <v>1007.2233599999998</v>
      </c>
      <c r="D129" s="62">
        <f>I78</f>
        <v>674.79607616605836</v>
      </c>
      <c r="E129" s="62">
        <f>I85</f>
        <v>194.76634320000002</v>
      </c>
      <c r="F129" s="62">
        <f>I89</f>
        <v>248.32495602910959</v>
      </c>
      <c r="G129" s="62">
        <f>I99</f>
        <v>912.47600000000011</v>
      </c>
      <c r="H129" s="62">
        <f>A129+C129+D129+E129+F129+G129</f>
        <v>5774.6067353951676</v>
      </c>
      <c r="I129" s="62">
        <f>H129-I127</f>
        <v>5469.3307353951677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1.82837727023606E-2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9.1418863511803002E-3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2.7425659053540899E-2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0.15257434094645911</v>
      </c>
      <c r="I137" s="24">
        <f>G140-I134</f>
        <v>834.47953237113018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0.15257434094645911</v>
      </c>
      <c r="I138" s="26">
        <f>I137</f>
        <v>834.47953237113018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984.47953237113018</v>
      </c>
      <c r="H140" s="57" t="s">
        <v>117</v>
      </c>
      <c r="I140" s="58">
        <f>I96</f>
        <v>305.27600000000001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2737.02</v>
      </c>
      <c r="B142" s="149"/>
      <c r="C142" s="62">
        <f>I66</f>
        <v>1007.2233599999998</v>
      </c>
      <c r="D142" s="62">
        <f>I78</f>
        <v>674.79607616605836</v>
      </c>
      <c r="E142" s="62">
        <f>I85</f>
        <v>194.76634320000002</v>
      </c>
      <c r="F142" s="62">
        <f>I89</f>
        <v>248.32495602910959</v>
      </c>
      <c r="G142" s="62">
        <f>I99</f>
        <v>912.47600000000011</v>
      </c>
      <c r="H142" s="62">
        <f>A142+C142+D142+E142+F142+G142</f>
        <v>5774.6067353951676</v>
      </c>
      <c r="I142" s="62">
        <f>H142-I140</f>
        <v>5469.3307353951677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2078.345679450164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9.5716544069126552E-3</v>
      </c>
      <c r="I148" s="24">
        <f>($D$158/$E$160)*H158</f>
        <v>55.272540007032653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4.4176866493443018E-2</v>
      </c>
      <c r="I149" s="24">
        <f>($D$158/$E$160)*H159</f>
        <v>255.10403080168916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5.8902488657924031E-2</v>
      </c>
      <c r="I150" s="24">
        <f>($D$158/$E$160)*H160</f>
        <v>340.13870773558557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0.1126510095582797</v>
      </c>
      <c r="I153" s="26">
        <f>SUM(I148:I152)</f>
        <v>650.51527854430742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5774.6067353951676</v>
      </c>
      <c r="B158" s="144"/>
      <c r="C158" s="24">
        <f>I144</f>
        <v>2078.345679450164</v>
      </c>
      <c r="D158" s="145">
        <f>A158+C158</f>
        <v>7852.9524148453311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0.13250000000000001</v>
      </c>
      <c r="E159" s="64">
        <f>C159-D159</f>
        <v>0.86749999999999994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7.6499999999999999E-2</v>
      </c>
      <c r="E160" s="65">
        <f>C160-D160</f>
        <v>0.92349999999999999</v>
      </c>
      <c r="F160" s="14" t="s">
        <v>14</v>
      </c>
      <c r="G160" s="43">
        <f>I11</f>
        <v>0.04</v>
      </c>
      <c r="H160" s="135">
        <f>I11</f>
        <v>0.04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0.13250000000000001</v>
      </c>
      <c r="H163" s="136">
        <f>SUM(H158:I162)</f>
        <v>7.6499999999999999E-2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0.1126510095582797</v>
      </c>
      <c r="I167" s="48">
        <f>I153</f>
        <v>650.51527854430742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0.3218710411668505</v>
      </c>
      <c r="I171" s="70">
        <f>I48</f>
        <v>2737.02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0.24991107299051307</v>
      </c>
      <c r="I172" s="70">
        <f>I66+I78+I85+I89</f>
        <v>2125.1107353951679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0.10730634053085587</v>
      </c>
      <c r="I173" s="70">
        <f>I99</f>
        <v>912.47600000000011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0.67908845468821943</v>
      </c>
      <c r="I174" s="48">
        <f>SUM(I171:I173)</f>
        <v>5774.6067353951676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0.12863765542725294</v>
      </c>
      <c r="I177" s="24">
        <f>I124</f>
        <v>1093.8661470790337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1.7639862395973569E-2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9.8134027488554057E-2</v>
      </c>
      <c r="I179" s="24">
        <f>I138</f>
        <v>834.47953237113018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0.24441154531178055</v>
      </c>
      <c r="I180" s="48">
        <f>I177+I178+I179</f>
        <v>2078.345679450164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7.6499999999999999E-2</v>
      </c>
      <c r="I183" s="24">
        <f>I153</f>
        <v>650.51527854430742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7.6499999999999999E-2</v>
      </c>
      <c r="I184" s="48">
        <f>I153</f>
        <v>650.51527854430742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1093.8661470790337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1053.81354942864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8503.467693389639</v>
      </c>
      <c r="H194" s="88">
        <f>IF(D6="12x36",2,1)</f>
        <v>1</v>
      </c>
      <c r="I194" s="89">
        <f>G194*H194</f>
        <v>8503.467693389639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05EEE-1C00-4DB7-95F7-6F6F55009E27}">
  <dimension ref="A1:L194"/>
  <sheetViews>
    <sheetView view="pageBreakPreview" topLeftCell="A4" zoomScale="175" zoomScaleNormal="130" zoomScaleSheetLayoutView="175" zoomScalePageLayoutView="130" workbookViewId="0">
      <selection activeCell="A17" sqref="A17:F1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232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232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238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2.5000000000000001E-2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7.4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f>I13</f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202</v>
      </c>
      <c r="B23" s="169"/>
      <c r="C23" s="169"/>
      <c r="D23" s="169"/>
      <c r="E23" s="169"/>
      <c r="F23" s="169"/>
      <c r="G23" s="16" t="s">
        <v>17</v>
      </c>
      <c r="H23" s="16" t="s">
        <v>26</v>
      </c>
      <c r="I23" s="17" t="s">
        <v>8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9.2263087797211096E-2</v>
      </c>
      <c r="I96" s="24">
        <f>I103</f>
        <v>258.476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0.28073285039384466</v>
      </c>
      <c r="I99" s="26">
        <f>SUM(I94:I98)</f>
        <v>786.476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7.4</v>
      </c>
      <c r="B103" s="158"/>
      <c r="C103" s="14">
        <f>IF(I15="Não aplicável",0,I15)</f>
        <v>26</v>
      </c>
      <c r="D103" s="14">
        <v>2</v>
      </c>
      <c r="E103" s="37">
        <f>A103*C103*D103</f>
        <v>384.8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258.476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2.0571651509963864</v>
      </c>
      <c r="I113" s="48">
        <f>I48+I91+I99</f>
        <v>5763.1695650339461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258.476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786.476</v>
      </c>
      <c r="H129" s="62">
        <f>A129+C129+D129+E129+F129+G129</f>
        <v>5763.1695650339461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258.476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786.476</v>
      </c>
      <c r="H142" s="62">
        <f>A142+C142+D142+E142+F142+G142</f>
        <v>5763.1695650339461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9.4397671002601456E-3</v>
      </c>
      <c r="I148" s="24">
        <f>($D$158/$E$160)*H158</f>
        <v>54.402978453228016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4.3568155847354517E-2</v>
      </c>
      <c r="I149" s="24">
        <f>($D$158/$E$160)*H159</f>
        <v>251.09066978412932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3.6306796539462102E-2</v>
      </c>
      <c r="I150" s="24">
        <f>($D$158/$E$160)*H160</f>
        <v>209.24222482010779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8.9314719487076769E-2</v>
      </c>
      <c r="I153" s="26">
        <f>SUM(I148:I152)</f>
        <v>514.73587305746514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5763.1695650339461</v>
      </c>
      <c r="B158" s="144"/>
      <c r="C158" s="24">
        <f>I144</f>
        <v>2091.7835547128998</v>
      </c>
      <c r="D158" s="145">
        <f>A158+C158</f>
        <v>7854.9531197468459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8.9314719487076769E-2</v>
      </c>
      <c r="I167" s="48">
        <f>I153</f>
        <v>514.73587305746514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0.33472096781714927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0.25988817110217843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9.3967171381894657E-2</v>
      </c>
      <c r="I173" s="70">
        <f>I99</f>
        <v>786.476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0.68857631030122246</v>
      </c>
      <c r="I174" s="48">
        <f>SUM(I171:I173)</f>
        <v>5763.1695650339461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0.13153878405198827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1.7921812880856123E-2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0.10046309276593329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0.24992368969877768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6.1499999999999999E-2</v>
      </c>
      <c r="I183" s="24">
        <f>I153</f>
        <v>514.73587305746514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6.1499999999999999E-2</v>
      </c>
      <c r="I184" s="48">
        <f>I153</f>
        <v>514.73587305746514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8369.6889928043111</v>
      </c>
      <c r="H194" s="88">
        <f>IF(D6="12x36",2,1)</f>
        <v>1</v>
      </c>
      <c r="I194" s="89">
        <f>G194*H194</f>
        <v>8369.6889928043111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61730D-0CBB-4761-A4B6-9F6ED2D736E2}">
  <dimension ref="A1:L194"/>
  <sheetViews>
    <sheetView view="pageBreakPreview" topLeftCell="A4" zoomScale="175" zoomScaleNormal="130" zoomScaleSheetLayoutView="175" zoomScalePageLayoutView="130" workbookViewId="0">
      <selection activeCell="A20" sqref="A20:F2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241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241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240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2211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2.5000000000000001E-2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1.67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7.25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f>I13</f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33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242</v>
      </c>
      <c r="B23" s="169"/>
      <c r="C23" s="169"/>
      <c r="D23" s="169"/>
      <c r="E23" s="169"/>
      <c r="F23" s="169"/>
      <c r="G23" s="16"/>
      <c r="H23" s="16" t="s">
        <v>26</v>
      </c>
      <c r="I23" s="17">
        <v>80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0.75152058003928701</v>
      </c>
      <c r="I37" s="24">
        <f>IF(D6="12x36",I10,I10/H10*I5)</f>
        <v>2211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678.9312000000001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1.4758490992901784E-2</v>
      </c>
      <c r="I45" s="24">
        <f>I12*I13</f>
        <v>43.42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2.951698198580357E-3</v>
      </c>
      <c r="I46" s="24">
        <f>I45*20%</f>
        <v>8.6840000000000011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2942.0352000000003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588.40704000000005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44.130528000000005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29.420352000000005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5.8840704000000006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73.550880000000006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235.36281600000004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88.261056000000011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17.652211200000004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1082.6689536000001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351.02598785280003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60.267591072000002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35.678060870400003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8.0172794817687763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1.4004087552000002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1.3003795584000002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0.54427651200000005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267.10737580800003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725.34135991056883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142.16208289920002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10.329485587200001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56.863656345600006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209.35522483200003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266.92562044708944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266.92562044708944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2284.2911587896583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0.19741436132375301</v>
      </c>
      <c r="I94" s="24">
        <f>I111</f>
        <v>580.79999999999995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8.305135166295767E-2</v>
      </c>
      <c r="I96" s="24">
        <f>I103</f>
        <v>244.34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2.7192060788395731E-2</v>
      </c>
      <c r="I98" s="24">
        <f>IF(I23="Não aplicável",0,I23)</f>
        <v>80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0.30765777377510645</v>
      </c>
      <c r="I99" s="26">
        <f>SUM(I94:I98)</f>
        <v>905.14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7.25</v>
      </c>
      <c r="B103" s="158"/>
      <c r="C103" s="14">
        <f>IF(I15="Não aplicável",0,I15)</f>
        <v>26</v>
      </c>
      <c r="D103" s="14">
        <v>2</v>
      </c>
      <c r="E103" s="37">
        <f>A103*C103*D103</f>
        <v>377</v>
      </c>
      <c r="F103" s="37">
        <f>I37</f>
        <v>2211</v>
      </c>
      <c r="G103" s="38">
        <f>IF(I16="Não aplicável",0,I16)</f>
        <v>0.06</v>
      </c>
      <c r="H103" s="37">
        <f>F103*G103</f>
        <v>132.66</v>
      </c>
      <c r="I103" s="24">
        <f>IF((E103-H103)&gt;0,E103-H103,0)</f>
        <v>244.34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33</v>
      </c>
      <c r="B111" s="156"/>
      <c r="C111" s="42">
        <f>IF(I18="Não aplicável",0,I18)</f>
        <v>22</v>
      </c>
      <c r="D111" s="14">
        <v>1</v>
      </c>
      <c r="E111" s="37">
        <f>A111*C111*D111</f>
        <v>726</v>
      </c>
      <c r="F111" s="37">
        <f>E111</f>
        <v>726</v>
      </c>
      <c r="G111" s="43">
        <f>IF(I19="Não aplicável",0,I19)</f>
        <v>0.2</v>
      </c>
      <c r="H111" s="37">
        <f>F111*G111</f>
        <v>145.20000000000002</v>
      </c>
      <c r="I111" s="24">
        <f>E111-H111</f>
        <v>580.79999999999995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2.0840900743776478</v>
      </c>
      <c r="I113" s="48">
        <f>I48+I91+I99</f>
        <v>6131.4663587896584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0.19999999999999998</v>
      </c>
      <c r="I120" s="24">
        <f>IF(F127=20%,G127,0)</f>
        <v>1177.4252717579318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0.19999999999999998</v>
      </c>
      <c r="I124" s="54">
        <f>SUM(I117:I123)</f>
        <v>1177.4252717579318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1177.4252717579318</v>
      </c>
      <c r="H127" s="57" t="s">
        <v>117</v>
      </c>
      <c r="I127" s="58">
        <f>I96</f>
        <v>244.34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2942.0352000000003</v>
      </c>
      <c r="B129" s="149"/>
      <c r="C129" s="62">
        <f>I66</f>
        <v>1082.6689536000001</v>
      </c>
      <c r="D129" s="62">
        <f>I78</f>
        <v>725.34135991056883</v>
      </c>
      <c r="E129" s="62">
        <f>I85</f>
        <v>209.35522483200003</v>
      </c>
      <c r="F129" s="62">
        <f>I89</f>
        <v>266.92562044708944</v>
      </c>
      <c r="G129" s="62">
        <f>I99</f>
        <v>905.14</v>
      </c>
      <c r="H129" s="62">
        <f>A129+C129+D129+E129+F129+G129</f>
        <v>6131.4663587896594</v>
      </c>
      <c r="I129" s="62">
        <f>H129-I127</f>
        <v>5887.1263587896592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1.6986216008544976E-2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8.4931080042724878E-3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2.5479324012817463E-2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0.15452067598718253</v>
      </c>
      <c r="I137" s="24">
        <f>G140-I134</f>
        <v>909.68274458213864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0.15452067598718253</v>
      </c>
      <c r="I138" s="26">
        <f>I137</f>
        <v>909.68274458213864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1059.6827445821386</v>
      </c>
      <c r="H140" s="57" t="s">
        <v>117</v>
      </c>
      <c r="I140" s="58">
        <f>I96</f>
        <v>244.34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2942.0352000000003</v>
      </c>
      <c r="B142" s="149"/>
      <c r="C142" s="62">
        <f>I66</f>
        <v>1082.6689536000001</v>
      </c>
      <c r="D142" s="62">
        <f>I78</f>
        <v>725.34135991056883</v>
      </c>
      <c r="E142" s="62">
        <f>I85</f>
        <v>209.35522483200003</v>
      </c>
      <c r="F142" s="62">
        <f>I89</f>
        <v>266.92562044708944</v>
      </c>
      <c r="G142" s="62">
        <f>I99</f>
        <v>905.14</v>
      </c>
      <c r="H142" s="62">
        <f>A142+C142+D142+E142+F142+G142</f>
        <v>6131.4663587896594</v>
      </c>
      <c r="I142" s="62">
        <f>H142-I140</f>
        <v>5887.1263587896592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2237.1080163400702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9.4529249554957707E-3</v>
      </c>
      <c r="I148" s="24">
        <f>($D$158/$E$160)*H158</f>
        <v>57.960291356785547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4.362888440998048E-2</v>
      </c>
      <c r="I149" s="24">
        <f>($D$158/$E$160)*H159</f>
        <v>267.50903703131792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3.6357403674983739E-2</v>
      </c>
      <c r="I150" s="24">
        <f>($D$158/$E$160)*H160</f>
        <v>222.92419752609828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8.9439213040459986E-2</v>
      </c>
      <c r="I153" s="26">
        <f>SUM(I148:I152)</f>
        <v>548.39352591420175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6131.4663587896584</v>
      </c>
      <c r="B158" s="144"/>
      <c r="C158" s="24">
        <f>I144</f>
        <v>2237.1080163400702</v>
      </c>
      <c r="D158" s="145">
        <f>A158+C158</f>
        <v>8368.5743751297287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8.9439213040459986E-2</v>
      </c>
      <c r="I167" s="48">
        <f>I153</f>
        <v>548.39352591420175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0.32993672654754869</v>
      </c>
      <c r="I171" s="70">
        <f>I48</f>
        <v>2942.0352000000003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0.2561735316465848</v>
      </c>
      <c r="I172" s="70">
        <f>I66+I78+I85+I89</f>
        <v>2284.2911587896583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0.10150759877626486</v>
      </c>
      <c r="I173" s="70">
        <f>I99</f>
        <v>905.14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0.68761785697039834</v>
      </c>
      <c r="I174" s="48">
        <f>SUM(I171:I173)</f>
        <v>6131.4663587896584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0.13204323317347458</v>
      </c>
      <c r="I177" s="24">
        <f>I124</f>
        <v>1177.4252717579318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1.682186160863483E-2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0.10201704824749229</v>
      </c>
      <c r="I179" s="24">
        <f>I138</f>
        <v>909.68274458213864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0.25088214302960171</v>
      </c>
      <c r="I180" s="48">
        <f>I177+I178+I179</f>
        <v>2237.1080163400702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6.1500000000000006E-2</v>
      </c>
      <c r="I183" s="24">
        <f>I153</f>
        <v>548.39352591420175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6.1500000000000006E-2</v>
      </c>
      <c r="I184" s="48">
        <f>I153</f>
        <v>548.39352591420175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1177.4252717579318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1132.7489593265666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8916.9679010439304</v>
      </c>
      <c r="H194" s="88">
        <f>IF(D6="12x36",2,1)</f>
        <v>1</v>
      </c>
      <c r="I194" s="89">
        <f>G194*H194</f>
        <v>8916.9679010439304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952E6-5044-4728-8484-6D01E5FA75DA}">
  <dimension ref="A1:L194"/>
  <sheetViews>
    <sheetView view="pageBreakPreview" topLeftCell="A4" zoomScale="175" zoomScaleNormal="130" zoomScaleSheetLayoutView="175" zoomScalePageLayoutView="130" workbookViewId="0">
      <selection activeCell="A24" sqref="A24:F24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247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247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246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0.04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6.25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7.0917459381910547E-2</v>
      </c>
      <c r="I96" s="24">
        <f>I103</f>
        <v>198.67599999999999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0.25938722197854414</v>
      </c>
      <c r="I99" s="26">
        <f>SUM(I94:I98)</f>
        <v>726.67599999999993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6.25</v>
      </c>
      <c r="B103" s="158"/>
      <c r="C103" s="14">
        <f>IF(I15="Não aplicável",0,I15)</f>
        <v>26</v>
      </c>
      <c r="D103" s="14">
        <v>2</v>
      </c>
      <c r="E103" s="37">
        <f>A103*C103*D103</f>
        <v>325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198.67599999999999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2.0358195225810856</v>
      </c>
      <c r="I113" s="48">
        <f>I48+I91+I99</f>
        <v>5703.3695650339469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198.67599999999999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726.67599999999993</v>
      </c>
      <c r="H129" s="62">
        <f>A129+C129+D129+E129+F129+G129</f>
        <v>5703.3695650339469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198.67599999999999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726.67599999999993</v>
      </c>
      <c r="H142" s="62">
        <f>A142+C142+D142+E142+F142+G142</f>
        <v>5703.3695650339469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9.6198786470898349E-3</v>
      </c>
      <c r="I148" s="24">
        <f>($D$158/$E$160)*H158</f>
        <v>54.865723095132104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4.4399439909645393E-2</v>
      </c>
      <c r="I149" s="24">
        <f>($D$158/$E$160)*H159</f>
        <v>253.2264142852251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5.9199253212860528E-2</v>
      </c>
      <c r="I150" s="24">
        <f>($D$158/$E$160)*H160</f>
        <v>337.63521904696682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0.11321857176959575</v>
      </c>
      <c r="I153" s="26">
        <f>SUM(I148:I152)</f>
        <v>645.72735642732403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5703.3695650339469</v>
      </c>
      <c r="B158" s="144"/>
      <c r="C158" s="24">
        <f>I144</f>
        <v>2091.7835547128998</v>
      </c>
      <c r="D158" s="145">
        <f>A158+C158</f>
        <v>7795.1531197468466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0.13250000000000001</v>
      </c>
      <c r="E159" s="64">
        <f>C159-D159</f>
        <v>0.86749999999999994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7.6499999999999999E-2</v>
      </c>
      <c r="E160" s="65">
        <f>C160-D160</f>
        <v>0.92349999999999999</v>
      </c>
      <c r="F160" s="14" t="s">
        <v>14</v>
      </c>
      <c r="G160" s="43">
        <f>I11</f>
        <v>0.04</v>
      </c>
      <c r="H160" s="135">
        <f>I11</f>
        <v>0.04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0.13250000000000001</v>
      </c>
      <c r="H163" s="136">
        <f>SUM(H158:I162)</f>
        <v>7.6499999999999999E-2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0.11321857176959575</v>
      </c>
      <c r="I167" s="48">
        <f>I153</f>
        <v>645.72735642732403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0.33189788765612105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0.25769624047796591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8.6090071059668163E-2</v>
      </c>
      <c r="I173" s="70">
        <f>I99</f>
        <v>726.67599999999993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0.67568419919375511</v>
      </c>
      <c r="I174" s="48">
        <f>SUM(I171:I173)</f>
        <v>5703.3695650339469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0.13042936884539205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1.7770657980929912E-2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9.9615773979922911E-2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0.24781580080624488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7.6499999999999999E-2</v>
      </c>
      <c r="I183" s="24">
        <f>I153</f>
        <v>645.72735642732403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7.6499999999999999E-2</v>
      </c>
      <c r="I184" s="48">
        <f>I153</f>
        <v>645.72735642732403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8440.8804761741703</v>
      </c>
      <c r="H194" s="88">
        <f>IF(D6="12x36",2,1)</f>
        <v>1</v>
      </c>
      <c r="I194" s="89">
        <f>G194*H194</f>
        <v>8440.8804761741703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0CD06D-4CDA-493B-A6E5-99330493E95F}">
  <dimension ref="A1:L194"/>
  <sheetViews>
    <sheetView view="pageBreakPreview" topLeftCell="A4" zoomScale="175" zoomScaleNormal="130" zoomScaleSheetLayoutView="175" zoomScalePageLayoutView="130" workbookViewId="0">
      <selection activeCell="A10" sqref="A10:F10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244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244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243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6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f>I13</f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6.6277105378584347E-2</v>
      </c>
      <c r="I96" s="24">
        <f>I103</f>
        <v>185.67599999999999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0.25474686797521795</v>
      </c>
      <c r="I99" s="26">
        <f>SUM(I94:I98)</f>
        <v>713.67599999999993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6</v>
      </c>
      <c r="B103" s="158"/>
      <c r="C103" s="14">
        <f>IF(I15="Não aplicável",0,I15)</f>
        <v>26</v>
      </c>
      <c r="D103" s="14">
        <v>2</v>
      </c>
      <c r="E103" s="37">
        <f>A103*C103*D103</f>
        <v>312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185.67599999999999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2.0311791685777596</v>
      </c>
      <c r="I113" s="48">
        <f>I48+I91+I99</f>
        <v>5690.3695650339469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185.67599999999999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713.67599999999993</v>
      </c>
      <c r="H129" s="62">
        <f>A129+C129+D129+E129+F129+G129</f>
        <v>5690.3695650339469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185.67599999999999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713.67599999999993</v>
      </c>
      <c r="H142" s="62">
        <f>A142+C142+D142+E142+F142+G142</f>
        <v>5690.3695650339469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9.4217320926510764E-3</v>
      </c>
      <c r="I148" s="24">
        <f>($D$158/$E$160)*H158</f>
        <v>53.613137549925284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4.3484917350697275E-2</v>
      </c>
      <c r="I149" s="24">
        <f>($D$158/$E$160)*H159</f>
        <v>247.44525023042439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2.8989944900464849E-2</v>
      </c>
      <c r="I150" s="24">
        <f>($D$158/$E$160)*H160</f>
        <v>164.96350015361625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8.1896594343813203E-2</v>
      </c>
      <c r="I153" s="26">
        <f>SUM(I148:I152)</f>
        <v>466.0218879339659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5690.3695650339469</v>
      </c>
      <c r="B158" s="144"/>
      <c r="C158" s="24">
        <f>I144</f>
        <v>2091.7835547128998</v>
      </c>
      <c r="D158" s="145">
        <f>A158+C158</f>
        <v>7782.1531197468466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0.1125</v>
      </c>
      <c r="E159" s="64">
        <f>C159-D159</f>
        <v>0.88749999999999996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5.6499999999999995E-2</v>
      </c>
      <c r="E160" s="65">
        <f>C160-D160</f>
        <v>0.94350000000000001</v>
      </c>
      <c r="F160" s="14" t="s">
        <v>14</v>
      </c>
      <c r="G160" s="43">
        <f>I11</f>
        <v>0.02</v>
      </c>
      <c r="H160" s="135">
        <f>I11</f>
        <v>0.02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0.1125</v>
      </c>
      <c r="H163" s="136">
        <f>SUM(H158:I162)</f>
        <v>5.6499999999999995E-2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8.1896594343813203E-2</v>
      </c>
      <c r="I167" s="48">
        <f>I153</f>
        <v>466.0218879339659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0.33965215303884744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0.26371690258855884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8.6525322187685771E-2</v>
      </c>
      <c r="I173" s="70">
        <f>I99</f>
        <v>713.67599999999993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0.68989437781509211</v>
      </c>
      <c r="I174" s="48">
        <f>SUM(I171:I173)</f>
        <v>5690.3695650339469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0.13347664325521466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1.8185841093371315E-2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0.10194313783632186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0.25360562218490784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5.6499999999999995E-2</v>
      </c>
      <c r="I183" s="24">
        <f>I153</f>
        <v>466.0218879339659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5.6499999999999995E-2</v>
      </c>
      <c r="I184" s="48">
        <f>I153</f>
        <v>466.0218879339659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8248.175007680813</v>
      </c>
      <c r="H194" s="88">
        <f>IF(D6="12x36",2,1)</f>
        <v>1</v>
      </c>
      <c r="I194" s="89">
        <f>G194*H194</f>
        <v>8248.175007680813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501E0-4F9B-4CD1-8096-B73EBDA0ECBE}">
  <dimension ref="A1:L194"/>
  <sheetViews>
    <sheetView view="pageBreakPreview" topLeftCell="A7" zoomScale="175" zoomScaleNormal="130" zoomScaleSheetLayoutView="175" zoomScalePageLayoutView="130" workbookViewId="0">
      <selection activeCell="A17" sqref="A17:F1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252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2.5000000000000001E-2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5.3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5.3284114169270959E-2</v>
      </c>
      <c r="I96" s="24">
        <f>I103</f>
        <v>149.27599999999995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0.24175387676590454</v>
      </c>
      <c r="I99" s="26">
        <f>SUM(I94:I98)</f>
        <v>677.27599999999995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5.3</v>
      </c>
      <c r="B103" s="158"/>
      <c r="C103" s="14">
        <f>IF(I15="Não aplicável",0,I15)</f>
        <v>26</v>
      </c>
      <c r="D103" s="14">
        <v>2</v>
      </c>
      <c r="E103" s="37">
        <f>A103*C103*D103</f>
        <v>275.59999999999997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149.27599999999995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2.0181861773684462</v>
      </c>
      <c r="I113" s="48">
        <f>I48+I91+I99</f>
        <v>5653.9695650339463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149.27599999999995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677.27599999999995</v>
      </c>
      <c r="H129" s="62">
        <f>A129+C129+D129+E129+F129+G129</f>
        <v>5653.9695650339463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149.27599999999995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677.27599999999995</v>
      </c>
      <c r="H142" s="62">
        <f>A142+C142+D142+E142+F142+G142</f>
        <v>5653.9695650339463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9.4883187060551804E-3</v>
      </c>
      <c r="I148" s="24">
        <f>($D$158/$E$160)*H158</f>
        <v>53.646665187378261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4.3792240181793139E-2</v>
      </c>
      <c r="I149" s="24">
        <f>($D$158/$E$160)*H159</f>
        <v>247.59999317251504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3.6493533484827617E-2</v>
      </c>
      <c r="I150" s="24">
        <f>($D$158/$E$160)*H160</f>
        <v>206.33332764376257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8.9774092372675945E-2</v>
      </c>
      <c r="I153" s="26">
        <f>SUM(I148:I152)</f>
        <v>507.5799860036559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5653.9695650339463</v>
      </c>
      <c r="B158" s="144"/>
      <c r="C158" s="24">
        <f>I144</f>
        <v>2091.7835547128998</v>
      </c>
      <c r="D158" s="145">
        <f>A158+C158</f>
        <v>7745.7531197468461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8.9774092372675945E-2</v>
      </c>
      <c r="I167" s="48">
        <f>I153</f>
        <v>507.5799860036559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0.33943988011922727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0.26355208703722249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8.2060906947777082E-2</v>
      </c>
      <c r="I173" s="70">
        <f>I99</f>
        <v>677.27599999999995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0.68505287410422688</v>
      </c>
      <c r="I174" s="48">
        <f>SUM(I171:I173)</f>
        <v>5653.9695650339463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0.13339322415567006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1.8174475460767194E-2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0.10187942627933586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0.25344712589577312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6.1500000000000006E-2</v>
      </c>
      <c r="I183" s="24">
        <f>I153</f>
        <v>507.5799860036559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6.1500000000000006E-2</v>
      </c>
      <c r="I184" s="48">
        <f>I153</f>
        <v>507.5799860036559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8253.333105750502</v>
      </c>
      <c r="H194" s="88">
        <f>IF(D6="12x36",2,1)</f>
        <v>1</v>
      </c>
      <c r="I194" s="89">
        <f>G194*H194</f>
        <v>8253.333105750502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8A8C9-4A62-4A27-A8DE-55B03605B619}">
  <dimension ref="A1:L194"/>
  <sheetViews>
    <sheetView view="pageBreakPreview" topLeftCell="B7" zoomScale="175" zoomScaleNormal="130" zoomScaleSheetLayoutView="175" zoomScalePageLayoutView="130" workbookViewId="0">
      <selection activeCell="A20" sqref="A20:F2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Regime de trabalho:</v>
      </c>
      <c r="H5" s="178"/>
      <c r="I5" s="179">
        <v>200</v>
      </c>
    </row>
    <row r="6" spans="1:11" ht="18.75" customHeight="1" x14ac:dyDescent="0.25">
      <c r="A6" s="154" t="str">
        <f>IF(D6="12x36","Regime de trabalho:","Regime de trabalho (horas semanais):")</f>
        <v>Regime de trabalho:</v>
      </c>
      <c r="B6" s="154"/>
      <c r="C6" s="154"/>
      <c r="D6" s="154" t="s">
        <v>258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252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2.5000000000000001E-2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15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5.3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15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15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0.75891437828064479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0.23076923076923075</v>
      </c>
      <c r="I38" s="24">
        <f>IF(I9=30%,(I37+I45+I46)*I9,0)</f>
        <v>640.20600000000002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8.5969924584370569E-3</v>
      </c>
      <c r="I45" s="24">
        <f>I12*I13</f>
        <v>23.85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1.7193984916874113E-3</v>
      </c>
      <c r="I46" s="24">
        <f>I45*20%</f>
        <v>4.7700000000000005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Para postos 12x36 os feriados são considerados compensados, conforme parágrafo único, Art. 59-A da CLT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2774.2260000000001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554.84520000000009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41.613390000000003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27.742260000000002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5.5484520000000002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69.355650000000011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221.93808000000001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83.226780000000005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16.645356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1020.915168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331.004000964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56.830019610000001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33.643038702000005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7.5599860897617619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1.320531576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1.2262078920000001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0.51323181000000007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251.87197853999999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683.96899518376176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134.05337454600001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9.740307485999999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53.620240128000006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197.41392216000003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251.70059022762445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251.70059022762445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2153.9986755713862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0.12976592390093669</v>
      </c>
      <c r="I94" s="24">
        <f>I111</f>
        <v>360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1.1778420359408353E-2</v>
      </c>
      <c r="I96" s="24">
        <f>I103</f>
        <v>32.676000000000002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0.14154434426034504</v>
      </c>
      <c r="I99" s="26">
        <f>SUM(I94:I98)</f>
        <v>392.67599999999999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5.3</v>
      </c>
      <c r="B103" s="158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1.9179766448628865</v>
      </c>
      <c r="I113" s="48">
        <f>I48+I91+I99</f>
        <v>5320.9006755713863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0.19999999999999998</v>
      </c>
      <c r="I120" s="24">
        <f>IF(F127=20%,G127,0)</f>
        <v>1057.6449351142771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0.19999999999999998</v>
      </c>
      <c r="I124" s="54">
        <f>SUM(I117:I123)</f>
        <v>1057.6449351142771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1057.6449351142771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2774.2260000000001</v>
      </c>
      <c r="B129" s="149"/>
      <c r="C129" s="62">
        <f>I66</f>
        <v>1020.915168</v>
      </c>
      <c r="D129" s="62">
        <f>I78</f>
        <v>683.96899518376176</v>
      </c>
      <c r="E129" s="62">
        <f>I85</f>
        <v>197.41392216000003</v>
      </c>
      <c r="F129" s="62">
        <f>I89</f>
        <v>251.70059022762445</v>
      </c>
      <c r="G129" s="62">
        <f>I99</f>
        <v>392.67599999999999</v>
      </c>
      <c r="H129" s="62">
        <f>A129+C129+D129+E129+F129+G129</f>
        <v>5320.9006755713863</v>
      </c>
      <c r="I129" s="62">
        <f>H129-I127</f>
        <v>5288.2246755713859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1.8909937859097323E-2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9.4549689295486614E-3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2.8364906788645984E-2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0.15163509321135399</v>
      </c>
      <c r="I137" s="24">
        <f>G140-I134</f>
        <v>801.88044160284937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0.15163509321135399</v>
      </c>
      <c r="I138" s="26">
        <f>I137</f>
        <v>801.88044160284937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951.88044160284937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2774.2260000000001</v>
      </c>
      <c r="B142" s="149"/>
      <c r="C142" s="62">
        <f>I66</f>
        <v>1020.915168</v>
      </c>
      <c r="D142" s="62">
        <f>I78</f>
        <v>683.96899518376176</v>
      </c>
      <c r="E142" s="62">
        <f>I85</f>
        <v>197.41392216000003</v>
      </c>
      <c r="F142" s="62">
        <f>I89</f>
        <v>251.70059022762445</v>
      </c>
      <c r="G142" s="62">
        <f>I99</f>
        <v>392.67599999999999</v>
      </c>
      <c r="H142" s="62">
        <f>A142+C142+D142+E142+F142+G142</f>
        <v>5320.9006755713863</v>
      </c>
      <c r="I142" s="62">
        <f>H142-I140</f>
        <v>5288.2246755713859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0.37999999999999995</v>
      </c>
      <c r="I144" s="48">
        <f>I124+I134+I138</f>
        <v>2009.5253767171266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9.5416425871223346E-3</v>
      </c>
      <c r="I148" s="24">
        <f>($D$158/$E$160)*H158</f>
        <v>50.770132487879941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4.4038350402103084E-2</v>
      </c>
      <c r="I149" s="24">
        <f>($D$158/$E$160)*H159</f>
        <v>234.32368840559974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3.6698625335085909E-2</v>
      </c>
      <c r="I150" s="24">
        <f>($D$158/$E$160)*H160</f>
        <v>195.26974033799979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9.0278618324311333E-2</v>
      </c>
      <c r="I153" s="26">
        <f>SUM(I148:I152)</f>
        <v>480.36356123147948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5320.9006755713863</v>
      </c>
      <c r="B158" s="144"/>
      <c r="C158" s="24">
        <f>I144</f>
        <v>2009.5253767171266</v>
      </c>
      <c r="D158" s="145">
        <f>A158+C158</f>
        <v>7330.4260522885124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9.0278618324311333E-2</v>
      </c>
      <c r="I167" s="48">
        <f>I153</f>
        <v>480.36356123147948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0.35517868708151956</v>
      </c>
      <c r="I171" s="70">
        <f>I48</f>
        <v>2774.2260000000001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0.27577220513569439</v>
      </c>
      <c r="I172" s="70">
        <f>I66+I78+I85+I89</f>
        <v>2153.9986755713862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5.0273534358203968E-2</v>
      </c>
      <c r="I173" s="70">
        <f>I99</f>
        <v>392.67599999999999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0.68122442657541793</v>
      </c>
      <c r="I174" s="48">
        <f>SUM(I171:I173)</f>
        <v>5320.9006755713863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0.13540819653925379</v>
      </c>
      <c r="I177" s="24">
        <f>I124</f>
        <v>1057.6449351142771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1.9204204366272945E-2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0.10266317251905545</v>
      </c>
      <c r="I179" s="24">
        <f>I138</f>
        <v>801.88044160284937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0.25727557342458218</v>
      </c>
      <c r="I180" s="48">
        <f>I177+I178+I179</f>
        <v>2009.5253767171266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6.1499999999999999E-2</v>
      </c>
      <c r="I183" s="24">
        <f>I153</f>
        <v>480.36356123147948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6.1499999999999999E-2</v>
      </c>
      <c r="I184" s="48">
        <f>I153</f>
        <v>480.36356123147948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2115.2898702285543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2136.2773731848642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7810.7896135199917</v>
      </c>
      <c r="H194" s="88">
        <f>IF(D6="12x36",2,1)</f>
        <v>2</v>
      </c>
      <c r="I194" s="89">
        <f>G194*H194</f>
        <v>15621.579227039983</v>
      </c>
    </row>
  </sheetData>
  <mergeCells count="181"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94"/>
  <sheetViews>
    <sheetView view="pageBreakPreview" zoomScale="130" zoomScaleNormal="130" zoomScalePageLayoutView="130" workbookViewId="0">
      <selection activeCell="A20" sqref="A20:F22"/>
    </sheetView>
  </sheetViews>
  <sheetFormatPr defaultColWidth="9.28515625" defaultRowHeight="11.25" x14ac:dyDescent="0.25"/>
  <cols>
    <col min="1" max="1" width="2.7109375" style="1" customWidth="1"/>
    <col min="2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/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54" t="s">
        <v>5</v>
      </c>
      <c r="B5" s="154"/>
      <c r="C5" s="154"/>
      <c r="D5" s="177" t="s">
        <v>257</v>
      </c>
      <c r="E5" s="177"/>
      <c r="F5" s="177"/>
      <c r="G5" s="178" t="str">
        <f>IF(D6="12x36","Regime de trabalho:","Quantidade de HORAS/MÊS")</f>
        <v>Regime de trabalho:</v>
      </c>
      <c r="H5" s="178"/>
      <c r="I5" s="179" t="str">
        <f>IF(D6="12x36",D6,5*D6)</f>
        <v>12x36</v>
      </c>
    </row>
    <row r="6" spans="1:11" ht="18.75" customHeight="1" x14ac:dyDescent="0.25">
      <c r="A6" s="154" t="str">
        <f>IF(D6="12x36","Regime de trabalho:","Regime de trabalho (horas semanais):")</f>
        <v>Regime de trabalho:</v>
      </c>
      <c r="B6" s="154"/>
      <c r="C6" s="154"/>
      <c r="D6" s="154" t="s">
        <v>258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24.75" customHeight="1" x14ac:dyDescent="0.25">
      <c r="A9" s="154" t="s">
        <v>10</v>
      </c>
      <c r="B9" s="154"/>
      <c r="C9" s="154"/>
      <c r="D9" s="154" t="s">
        <v>252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 t="str">
        <f>D9</f>
        <v>Porto Alegre</v>
      </c>
      <c r="H11" s="10" t="s">
        <v>15</v>
      </c>
      <c r="I11" s="13">
        <v>2.5000000000000001E-2</v>
      </c>
    </row>
    <row r="12" spans="1:11" ht="26.2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6.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15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5.3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15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10" ht="11.25" customHeight="1" x14ac:dyDescent="0.25">
      <c r="A17" s="170" t="s">
        <v>176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10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15</v>
      </c>
    </row>
    <row r="19" spans="1:10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10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10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10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10" ht="36" customHeight="1" x14ac:dyDescent="0.25">
      <c r="A23" s="169" t="s">
        <v>202</v>
      </c>
      <c r="B23" s="169"/>
      <c r="C23" s="169"/>
      <c r="D23" s="169"/>
      <c r="E23" s="169"/>
      <c r="F23" s="169"/>
      <c r="G23" s="16" t="s">
        <v>17</v>
      </c>
      <c r="H23" s="16" t="s">
        <v>26</v>
      </c>
      <c r="I23" s="17" t="s">
        <v>8</v>
      </c>
    </row>
    <row r="24" spans="1:10" ht="22.5" customHeight="1" x14ac:dyDescent="0.25">
      <c r="A24" s="170" t="s">
        <v>27</v>
      </c>
      <c r="B24" s="180"/>
      <c r="C24" s="180"/>
      <c r="D24" s="180"/>
      <c r="E24" s="180"/>
      <c r="F24" s="181"/>
      <c r="G24" s="16"/>
      <c r="H24" s="16" t="s">
        <v>28</v>
      </c>
      <c r="I24" s="18"/>
    </row>
    <row r="25" spans="1:10" ht="36" customHeight="1" x14ac:dyDescent="0.25">
      <c r="A25" s="170" t="s">
        <v>29</v>
      </c>
      <c r="B25" s="180"/>
      <c r="C25" s="180"/>
      <c r="D25" s="180"/>
      <c r="E25" s="180"/>
      <c r="F25" s="181"/>
      <c r="G25" s="10"/>
      <c r="H25" s="10" t="s">
        <v>18</v>
      </c>
      <c r="I25" s="11" t="s">
        <v>8</v>
      </c>
    </row>
    <row r="26" spans="1:10" ht="15" customHeight="1" x14ac:dyDescent="0.25">
      <c r="A26" s="169" t="s">
        <v>30</v>
      </c>
      <c r="B26" s="166"/>
      <c r="C26" s="166"/>
      <c r="D26" s="166"/>
      <c r="E26" s="166"/>
      <c r="F26" s="182"/>
      <c r="G26" s="16"/>
      <c r="H26" s="19" t="s">
        <v>31</v>
      </c>
      <c r="I26" s="20" t="s">
        <v>8</v>
      </c>
    </row>
    <row r="27" spans="1:10" ht="15" customHeight="1" x14ac:dyDescent="0.25">
      <c r="A27" s="173"/>
      <c r="B27" s="168"/>
      <c r="C27" s="168"/>
      <c r="D27" s="168"/>
      <c r="E27" s="168"/>
      <c r="F27" s="183"/>
      <c r="G27" s="16"/>
      <c r="H27" s="21" t="s">
        <v>32</v>
      </c>
      <c r="I27" s="9" t="s">
        <v>8</v>
      </c>
    </row>
    <row r="28" spans="1:10" ht="26.25" customHeight="1" x14ac:dyDescent="0.25">
      <c r="A28" s="170" t="s">
        <v>33</v>
      </c>
      <c r="B28" s="180"/>
      <c r="C28" s="180"/>
      <c r="D28" s="180"/>
      <c r="E28" s="180"/>
      <c r="F28" s="181"/>
      <c r="G28" s="16"/>
      <c r="H28" s="10" t="s">
        <v>31</v>
      </c>
      <c r="I28" s="20">
        <v>15</v>
      </c>
    </row>
    <row r="29" spans="1:10" ht="36.7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10" ht="24.75" customHeight="1" x14ac:dyDescent="0.25">
      <c r="A30" s="141" t="s">
        <v>177</v>
      </c>
      <c r="B30" s="141"/>
      <c r="C30" s="141"/>
      <c r="D30" s="141"/>
      <c r="E30" s="141"/>
      <c r="F30" s="141"/>
      <c r="G30" s="171" t="s">
        <v>17</v>
      </c>
      <c r="H30" s="16" t="s">
        <v>178</v>
      </c>
      <c r="I30" s="71">
        <f>((60/52.5)*7)*15</f>
        <v>120</v>
      </c>
    </row>
    <row r="31" spans="1:10" ht="24.75" customHeight="1" x14ac:dyDescent="0.25">
      <c r="A31" s="141"/>
      <c r="B31" s="141"/>
      <c r="C31" s="141"/>
      <c r="D31" s="141"/>
      <c r="E31" s="141"/>
      <c r="F31" s="141"/>
      <c r="G31" s="171"/>
      <c r="H31" s="16" t="s">
        <v>179</v>
      </c>
      <c r="I31" s="16">
        <f>I10/H10*20%</f>
        <v>1.9140000000000001</v>
      </c>
    </row>
    <row r="32" spans="1:10" ht="29.25" customHeight="1" x14ac:dyDescent="0.25">
      <c r="A32" s="142" t="s">
        <v>180</v>
      </c>
      <c r="B32" s="142"/>
      <c r="C32" s="142"/>
      <c r="D32" s="142"/>
      <c r="E32" s="142"/>
      <c r="F32" s="142"/>
      <c r="G32" s="171" t="s">
        <v>17</v>
      </c>
      <c r="H32" s="10" t="s">
        <v>178</v>
      </c>
      <c r="I32" s="20">
        <f>((5+7+1)*15)-190.67</f>
        <v>4.3300000000000125</v>
      </c>
      <c r="J32" s="72"/>
    </row>
    <row r="33" spans="1:10" ht="30.75" customHeight="1" x14ac:dyDescent="0.25">
      <c r="A33" s="142"/>
      <c r="B33" s="142"/>
      <c r="C33" s="142"/>
      <c r="D33" s="142"/>
      <c r="E33" s="142"/>
      <c r="F33" s="142"/>
      <c r="G33" s="171"/>
      <c r="H33" s="10" t="s">
        <v>179</v>
      </c>
      <c r="I33" s="73">
        <f>(I10/H10)*1.5</f>
        <v>14.355</v>
      </c>
    </row>
    <row r="34" spans="1:10" ht="4.5" customHeight="1" x14ac:dyDescent="0.25"/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6" si="0">I37/$I$55</f>
        <v>0.63472193069626437</v>
      </c>
      <c r="I37" s="24">
        <f>IF(D6="12x36",I10,I10/H10*I5)</f>
        <v>2105.4</v>
      </c>
    </row>
    <row r="38" spans="1:10" ht="15" customHeight="1" x14ac:dyDescent="0.25">
      <c r="A38" s="14">
        <f t="shared" ref="A38:A54" si="1">A37+1</f>
        <v>2</v>
      </c>
      <c r="B38" s="131" t="s">
        <v>181</v>
      </c>
      <c r="C38" s="131"/>
      <c r="D38" s="131"/>
      <c r="E38" s="131"/>
      <c r="F38" s="131"/>
      <c r="G38" s="131"/>
      <c r="H38" s="23">
        <f t="shared" si="0"/>
        <v>0</v>
      </c>
      <c r="I38" s="62">
        <v>0</v>
      </c>
      <c r="J38" s="34"/>
    </row>
    <row r="39" spans="1:10" ht="15" customHeight="1" x14ac:dyDescent="0.25">
      <c r="A39" s="14">
        <f t="shared" si="1"/>
        <v>3</v>
      </c>
      <c r="B39" s="131" t="s">
        <v>41</v>
      </c>
      <c r="C39" s="131"/>
      <c r="D39" s="131"/>
      <c r="E39" s="131"/>
      <c r="F39" s="131"/>
      <c r="G39" s="131"/>
      <c r="H39" s="23">
        <f t="shared" si="0"/>
        <v>0.22467823050736913</v>
      </c>
      <c r="I39" s="24">
        <f>IF(I9=30%,(I37+I53+I46+I49+I52+I54)*I9,0)</f>
        <v>745.26737400000002</v>
      </c>
    </row>
    <row r="40" spans="1:10" ht="15" customHeight="1" x14ac:dyDescent="0.25">
      <c r="A40" s="14">
        <f t="shared" si="1"/>
        <v>4</v>
      </c>
      <c r="B40" s="131" t="s">
        <v>42</v>
      </c>
      <c r="C40" s="131"/>
      <c r="D40" s="131"/>
      <c r="E40" s="131"/>
      <c r="F40" s="131"/>
      <c r="G40" s="131"/>
      <c r="H40" s="23">
        <f t="shared" si="0"/>
        <v>0</v>
      </c>
      <c r="I40" s="24">
        <f>IF(I7=10%,I25*I7,0)</f>
        <v>0</v>
      </c>
    </row>
    <row r="41" spans="1:10" ht="15" customHeight="1" x14ac:dyDescent="0.25">
      <c r="A41" s="14">
        <f t="shared" si="1"/>
        <v>5</v>
      </c>
      <c r="B41" s="131" t="s">
        <v>43</v>
      </c>
      <c r="C41" s="131"/>
      <c r="D41" s="131"/>
      <c r="E41" s="131"/>
      <c r="F41" s="131"/>
      <c r="G41" s="131"/>
      <c r="H41" s="23">
        <f t="shared" si="0"/>
        <v>0</v>
      </c>
      <c r="I41" s="24">
        <f>IF(I7=20%,I25*I7,0)</f>
        <v>0</v>
      </c>
    </row>
    <row r="42" spans="1:10" ht="15" customHeight="1" x14ac:dyDescent="0.25">
      <c r="A42" s="14">
        <f t="shared" si="1"/>
        <v>6</v>
      </c>
      <c r="B42" s="131" t="s">
        <v>44</v>
      </c>
      <c r="C42" s="131"/>
      <c r="D42" s="131"/>
      <c r="E42" s="131"/>
      <c r="F42" s="131"/>
      <c r="G42" s="131"/>
      <c r="H42" s="23">
        <f t="shared" si="0"/>
        <v>0</v>
      </c>
      <c r="I42" s="24">
        <f>IF(I7=40%,I25*I7,0)</f>
        <v>0</v>
      </c>
    </row>
    <row r="43" spans="1:10" ht="15" customHeight="1" x14ac:dyDescent="0.25">
      <c r="A43" s="14">
        <f t="shared" si="1"/>
        <v>7</v>
      </c>
      <c r="B43" s="131" t="s">
        <v>192</v>
      </c>
      <c r="C43" s="131"/>
      <c r="D43" s="131"/>
      <c r="E43" s="131"/>
      <c r="F43" s="131"/>
      <c r="G43" s="131"/>
      <c r="H43" s="23">
        <f t="shared" si="0"/>
        <v>0</v>
      </c>
      <c r="I43" s="24">
        <f>IF(I24="Não aplicável",0,I37*I24)</f>
        <v>0</v>
      </c>
    </row>
    <row r="44" spans="1:10" ht="15" customHeight="1" x14ac:dyDescent="0.25">
      <c r="A44" s="14">
        <f t="shared" si="1"/>
        <v>8</v>
      </c>
      <c r="B44" s="131" t="s">
        <v>45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aplicável",0,(I37+I38+I39+I40+I41+I42+I43+#REF!)/I5*I26*(1+I27))</f>
        <v>0</v>
      </c>
    </row>
    <row r="45" spans="1:10" ht="21" customHeight="1" x14ac:dyDescent="0.25">
      <c r="A45" s="14">
        <f t="shared" si="1"/>
        <v>9</v>
      </c>
      <c r="B45" s="131" t="s">
        <v>46</v>
      </c>
      <c r="C45" s="131"/>
      <c r="D45" s="131"/>
      <c r="E45" s="131"/>
      <c r="F45" s="131"/>
      <c r="G45" s="131"/>
      <c r="H45" s="23">
        <f t="shared" si="0"/>
        <v>0</v>
      </c>
      <c r="I45" s="24">
        <f>IF(I26="Não aplicável",0,I26/I13*5*(I10/H10*(1+I27)))</f>
        <v>0</v>
      </c>
    </row>
    <row r="46" spans="1:10" ht="15" customHeight="1" x14ac:dyDescent="0.25">
      <c r="A46" s="14">
        <f t="shared" si="1"/>
        <v>10</v>
      </c>
      <c r="B46" s="131" t="s">
        <v>182</v>
      </c>
      <c r="C46" s="131"/>
      <c r="D46" s="131"/>
      <c r="E46" s="131"/>
      <c r="F46" s="131"/>
      <c r="G46" s="131"/>
      <c r="H46" s="23">
        <f t="shared" si="0"/>
        <v>1.8738722453964768E-2</v>
      </c>
      <c r="I46" s="24">
        <f>I32*I33</f>
        <v>62.157150000000179</v>
      </c>
    </row>
    <row r="47" spans="1:10" ht="15" customHeight="1" x14ac:dyDescent="0.25">
      <c r="A47" s="14">
        <f t="shared" si="1"/>
        <v>11</v>
      </c>
      <c r="B47" s="184" t="s">
        <v>198</v>
      </c>
      <c r="C47" s="185"/>
      <c r="D47" s="185"/>
      <c r="E47" s="185"/>
      <c r="F47" s="185"/>
      <c r="G47" s="186"/>
      <c r="H47" s="23">
        <f t="shared" ref="H47:H48" si="2">I47/$I$55</f>
        <v>0</v>
      </c>
      <c r="I47" s="24">
        <f>IF(OR(I7=10%,I7=20%,I7=40%),I46*I7,0)</f>
        <v>0</v>
      </c>
    </row>
    <row r="48" spans="1:10" ht="15" customHeight="1" x14ac:dyDescent="0.25">
      <c r="A48" s="14">
        <f t="shared" si="1"/>
        <v>12</v>
      </c>
      <c r="B48" s="184" t="s">
        <v>199</v>
      </c>
      <c r="C48" s="185"/>
      <c r="D48" s="185"/>
      <c r="E48" s="185"/>
      <c r="F48" s="185"/>
      <c r="G48" s="186"/>
      <c r="H48" s="23">
        <f t="shared" si="2"/>
        <v>5.62161673618943E-3</v>
      </c>
      <c r="I48" s="24">
        <f>IF(I9=30%,I46*I9,0)</f>
        <v>18.647145000000052</v>
      </c>
    </row>
    <row r="49" spans="1:10" ht="15" customHeight="1" x14ac:dyDescent="0.25">
      <c r="A49" s="14">
        <f t="shared" si="1"/>
        <v>13</v>
      </c>
      <c r="B49" s="131" t="s">
        <v>183</v>
      </c>
      <c r="C49" s="131"/>
      <c r="D49" s="131"/>
      <c r="E49" s="131"/>
      <c r="F49" s="131"/>
      <c r="G49" s="131"/>
      <c r="H49" s="23">
        <f>I49/$I$55</f>
        <v>6.9242392439592473E-2</v>
      </c>
      <c r="I49" s="24">
        <f>I30*I31</f>
        <v>229.68</v>
      </c>
    </row>
    <row r="50" spans="1:10" ht="15" customHeight="1" x14ac:dyDescent="0.25">
      <c r="A50" s="14">
        <f t="shared" si="1"/>
        <v>14</v>
      </c>
      <c r="B50" s="184" t="s">
        <v>200</v>
      </c>
      <c r="C50" s="185"/>
      <c r="D50" s="185"/>
      <c r="E50" s="185"/>
      <c r="F50" s="185"/>
      <c r="G50" s="186"/>
      <c r="H50" s="23">
        <f t="shared" ref="H50:H51" si="3">I50/$I$55</f>
        <v>0</v>
      </c>
      <c r="I50" s="24">
        <f>IF(OR(I7=10%,I7=20%,I7=40%),I49*I7,0)</f>
        <v>0</v>
      </c>
    </row>
    <row r="51" spans="1:10" ht="15" customHeight="1" x14ac:dyDescent="0.25">
      <c r="A51" s="14">
        <f t="shared" si="1"/>
        <v>15</v>
      </c>
      <c r="B51" s="184" t="s">
        <v>201</v>
      </c>
      <c r="C51" s="185"/>
      <c r="D51" s="185"/>
      <c r="E51" s="185"/>
      <c r="F51" s="185"/>
      <c r="G51" s="186"/>
      <c r="H51" s="23">
        <f t="shared" si="3"/>
        <v>2.0772717731877742E-2</v>
      </c>
      <c r="I51" s="24">
        <f>IF(I9=30%,I49*I9,0)</f>
        <v>68.903999999999996</v>
      </c>
    </row>
    <row r="52" spans="1:10" ht="24" customHeight="1" x14ac:dyDescent="0.25">
      <c r="A52" s="14">
        <f t="shared" si="1"/>
        <v>16</v>
      </c>
      <c r="B52" s="131" t="s">
        <v>184</v>
      </c>
      <c r="C52" s="131"/>
      <c r="D52" s="131"/>
      <c r="E52" s="131"/>
      <c r="F52" s="131"/>
      <c r="G52" s="131"/>
      <c r="H52" s="23">
        <f>I52/$I$55</f>
        <v>1.759622297871145E-2</v>
      </c>
      <c r="I52" s="24">
        <f>(I46+I49)*0.2</f>
        <v>58.367430000000041</v>
      </c>
    </row>
    <row r="53" spans="1:10" ht="12.75" customHeight="1" x14ac:dyDescent="0.25">
      <c r="A53" s="14">
        <f t="shared" si="1"/>
        <v>17</v>
      </c>
      <c r="B53" s="131" t="s">
        <v>185</v>
      </c>
      <c r="C53" s="131"/>
      <c r="D53" s="131"/>
      <c r="E53" s="131"/>
      <c r="F53" s="131"/>
      <c r="G53" s="131"/>
      <c r="H53" s="23">
        <f>I53/$I$55</f>
        <v>7.1901387133589375E-3</v>
      </c>
      <c r="I53" s="24">
        <f>I12*I13</f>
        <v>23.85</v>
      </c>
    </row>
    <row r="54" spans="1:10" ht="12.75" customHeight="1" x14ac:dyDescent="0.25">
      <c r="A54" s="14">
        <f t="shared" si="1"/>
        <v>18</v>
      </c>
      <c r="B54" s="131" t="s">
        <v>186</v>
      </c>
      <c r="C54" s="131"/>
      <c r="D54" s="131"/>
      <c r="E54" s="131"/>
      <c r="F54" s="131"/>
      <c r="G54" s="131"/>
      <c r="H54" s="23">
        <f>I54/$I$55</f>
        <v>1.4380277426717875E-3</v>
      </c>
      <c r="I54" s="24">
        <f>I53*20%</f>
        <v>4.7700000000000005</v>
      </c>
    </row>
    <row r="55" spans="1:10" s="28" customFormat="1" ht="15" customHeight="1" x14ac:dyDescent="0.25">
      <c r="A55" s="146" t="s">
        <v>49</v>
      </c>
      <c r="B55" s="146"/>
      <c r="C55" s="146"/>
      <c r="D55" s="146"/>
      <c r="E55" s="146"/>
      <c r="F55" s="146"/>
      <c r="G55" s="146"/>
      <c r="H55" s="25">
        <f>SUM(H37:H54)</f>
        <v>1.0000000000000002</v>
      </c>
      <c r="I55" s="26">
        <f>SUM(I37:I54)</f>
        <v>3317.043099</v>
      </c>
      <c r="J55" s="27"/>
    </row>
    <row r="56" spans="1:10" ht="4.5" customHeight="1" x14ac:dyDescent="0.25"/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4">$I$55*H58</f>
        <v>663.4086198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4"/>
        <v>49.755646485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4"/>
        <v>33.17043099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4"/>
        <v>6.6340861980000003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4"/>
        <v>82.926077475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4"/>
        <v>265.36344792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4"/>
        <v>99.51129297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4"/>
        <v>19.902258593999999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1220.6718604319997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5">$I$55*H70</f>
        <v>395.76968031408603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2.0479000000000001E-2</v>
      </c>
      <c r="I71" s="24">
        <f t="shared" si="5"/>
        <v>67.929725624420996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1.2123E-2</v>
      </c>
      <c r="I72" s="24">
        <f t="shared" si="5"/>
        <v>40.212513489176999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1.1436E-2</v>
      </c>
      <c r="I73" s="24">
        <f t="shared" si="5"/>
        <v>37.933704880164001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1.74E-4</v>
      </c>
      <c r="I74" s="24">
        <f t="shared" si="5"/>
        <v>0.57716549922600002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5"/>
        <v>1.4661330497580001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5"/>
        <v>0.61365297331500002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5"/>
        <v>301.15434295821001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0.25494299999999998</v>
      </c>
      <c r="I78" s="26">
        <f>SUM(I70:I77)</f>
        <v>845.65691878835707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$I$55*H82</f>
        <v>160.28283958677901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$I$55*H83</f>
        <v>11.646138320588999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$I$55*H84</f>
        <v>64.111809017471998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236.04078692484001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9.3819024000000015E-2</v>
      </c>
      <c r="I88" s="24">
        <f>$I$55*H88</f>
        <v>311.20174611411545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9.3819024000000015E-2</v>
      </c>
      <c r="I89" s="26">
        <f>I88</f>
        <v>311.20174611411545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0.787922024</v>
      </c>
      <c r="I91" s="33">
        <f>I66+I78+I85+I89</f>
        <v>2613.5713122593124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I94/$I$55</f>
        <v>0.10853039567334244</v>
      </c>
      <c r="I94" s="24">
        <f>I111</f>
        <v>360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I95/$I$55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I96/$I$55</f>
        <v>9.8509422472837158E-3</v>
      </c>
      <c r="I96" s="24">
        <f>I103</f>
        <v>32.676000000000002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I97/$I$55</f>
        <v>6.4914742912117948E-2</v>
      </c>
      <c r="I97" s="24">
        <f>IF(I28="Não aplicável",0,((I10/H10)*1.5*I28))</f>
        <v>215.32500000000002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I98/$I$55</f>
        <v>0</v>
      </c>
      <c r="I98" s="24">
        <f>IF(I23="Não aplicável",0,I23)</f>
        <v>0</v>
      </c>
    </row>
    <row r="99" spans="1:10" ht="13.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0.18329608083274412</v>
      </c>
      <c r="I99" s="26">
        <f>SUM(I94:I98)</f>
        <v>608.00099999999998</v>
      </c>
      <c r="J99" s="34"/>
    </row>
    <row r="100" spans="1:10" ht="5.25" customHeight="1" x14ac:dyDescent="0.25">
      <c r="A100" s="29"/>
      <c r="B100" s="157"/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5.3</v>
      </c>
      <c r="B103" s="158"/>
      <c r="C103" s="14">
        <f>IF(I15="Não aplicável",0,I15)</f>
        <v>15</v>
      </c>
      <c r="D103" s="14">
        <v>2</v>
      </c>
      <c r="E103" s="37">
        <f>A103*C103*D103</f>
        <v>159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32.676000000000002</v>
      </c>
    </row>
    <row r="104" spans="1:10" ht="4.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4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15</v>
      </c>
      <c r="D111" s="14">
        <v>1</v>
      </c>
      <c r="E111" s="37">
        <f>A111*C111*D111</f>
        <v>450</v>
      </c>
      <c r="F111" s="37">
        <f>E111</f>
        <v>450</v>
      </c>
      <c r="G111" s="43">
        <f>IF(I19="Não aplicável",0,I19)</f>
        <v>0.2</v>
      </c>
      <c r="H111" s="37">
        <f>F111*G111</f>
        <v>90</v>
      </c>
      <c r="I111" s="24">
        <f>E111-H111</f>
        <v>360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H55+H91+H99</f>
        <v>1.9712181048327444</v>
      </c>
      <c r="I113" s="48">
        <f>I55+I91+I99</f>
        <v>6538.6154112593122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6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6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6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6"/>
        <v>0.2</v>
      </c>
      <c r="I120" s="24">
        <f>IF(F127=20%,G127,0)</f>
        <v>1301.1878822518627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6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6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6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1301.1878822518627</v>
      </c>
      <c r="J124" s="34"/>
    </row>
    <row r="125" spans="1:12" ht="48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1301.1878822518627</v>
      </c>
      <c r="H127" s="57" t="s">
        <v>117</v>
      </c>
      <c r="I127" s="58">
        <f>I96</f>
        <v>32.676000000000002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I55</f>
        <v>3317.043099</v>
      </c>
      <c r="B129" s="149"/>
      <c r="C129" s="62">
        <f>I66</f>
        <v>1220.6718604319997</v>
      </c>
      <c r="D129" s="62">
        <f>I78</f>
        <v>845.65691878835707</v>
      </c>
      <c r="E129" s="62">
        <f>I85</f>
        <v>236.04078692484001</v>
      </c>
      <c r="F129" s="62">
        <f>I89</f>
        <v>311.20174611411545</v>
      </c>
      <c r="G129" s="62">
        <f>I99</f>
        <v>608.00099999999998</v>
      </c>
      <c r="H129" s="62">
        <f>A129+C129+D129+E129+F129+G129</f>
        <v>6538.6154112593131</v>
      </c>
      <c r="I129" s="62">
        <f>H129-I127</f>
        <v>6505.9394112593127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1.5370570440133203E-2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7.6852852200666013E-3</v>
      </c>
      <c r="I133" s="24">
        <v>50</v>
      </c>
    </row>
    <row r="134" spans="1:12" ht="33" customHeight="1" x14ac:dyDescent="0.25">
      <c r="A134" s="146" t="s">
        <v>195</v>
      </c>
      <c r="B134" s="146"/>
      <c r="C134" s="146"/>
      <c r="D134" s="146"/>
      <c r="E134" s="146"/>
      <c r="F134" s="146"/>
      <c r="G134" s="146"/>
      <c r="H134" s="25">
        <f>H132+H133</f>
        <v>2.3055855660199805E-2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0.1569441443398002</v>
      </c>
      <c r="I137" s="24">
        <f>G140-I134</f>
        <v>1021.0690940266763</v>
      </c>
    </row>
    <row r="138" spans="1:12" ht="34.15" customHeight="1" x14ac:dyDescent="0.25">
      <c r="A138" s="146" t="s">
        <v>194</v>
      </c>
      <c r="B138" s="146"/>
      <c r="C138" s="146"/>
      <c r="D138" s="146"/>
      <c r="E138" s="146"/>
      <c r="F138" s="146"/>
      <c r="G138" s="146"/>
      <c r="H138" s="25">
        <f>H137</f>
        <v>0.1569441443398002</v>
      </c>
      <c r="I138" s="26">
        <f>I137</f>
        <v>1021.0690940266763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1171.0690940266763</v>
      </c>
      <c r="H140" s="57" t="s">
        <v>117</v>
      </c>
      <c r="I140" s="58">
        <f>I96</f>
        <v>32.676000000000002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I55</f>
        <v>3317.043099</v>
      </c>
      <c r="B142" s="149"/>
      <c r="C142" s="62">
        <f>I66</f>
        <v>1220.6718604319997</v>
      </c>
      <c r="D142" s="62">
        <f>I78</f>
        <v>845.65691878835707</v>
      </c>
      <c r="E142" s="62">
        <f>I85</f>
        <v>236.04078692484001</v>
      </c>
      <c r="F142" s="62">
        <f>I89</f>
        <v>311.20174611411545</v>
      </c>
      <c r="G142" s="62">
        <f>I99</f>
        <v>608.00099999999998</v>
      </c>
      <c r="H142" s="62">
        <f>A142+C142+D142+E142+F142+G142</f>
        <v>6538.6154112593131</v>
      </c>
      <c r="I142" s="62">
        <f>H142-I140</f>
        <v>6505.9394112593127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2472.2569762785388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9.5446525849305665E-3</v>
      </c>
      <c r="I148" s="24">
        <f>($D$158/$E$160)*H158</f>
        <v>62.408812486943027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4.4052242699679535E-2</v>
      </c>
      <c r="I149" s="24">
        <f>($D$158/$E$160)*H159</f>
        <v>288.04067301666015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3.6710202249732947E-2</v>
      </c>
      <c r="I150" s="24">
        <f>($D$158/$E$160)*H160</f>
        <v>240.03389418055013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9.0307097534343045E-2</v>
      </c>
      <c r="I153" s="26">
        <f>SUM(I148:I152)</f>
        <v>590.48337968415331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6538.6154112593122</v>
      </c>
      <c r="B158" s="144"/>
      <c r="C158" s="24">
        <f>I144</f>
        <v>2472.2569762785388</v>
      </c>
      <c r="D158" s="145">
        <f>A158+C158</f>
        <v>9010.872387537851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87" t="s">
        <v>150</v>
      </c>
      <c r="B159" s="187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88" t="s">
        <v>154</v>
      </c>
      <c r="B162" s="188" t="s">
        <v>155</v>
      </c>
      <c r="C162" s="188"/>
      <c r="D162" s="188"/>
      <c r="E162" s="188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88"/>
      <c r="B163" s="188"/>
      <c r="C163" s="188"/>
      <c r="D163" s="188"/>
      <c r="E163" s="188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59.25" customHeight="1" x14ac:dyDescent="0.25">
      <c r="A164" s="189" t="s">
        <v>158</v>
      </c>
      <c r="B164" s="189"/>
      <c r="C164" s="189"/>
      <c r="D164" s="189"/>
      <c r="E164" s="189"/>
      <c r="F164" s="189"/>
      <c r="G164" s="189"/>
      <c r="H164" s="189"/>
      <c r="I164" s="189"/>
    </row>
    <row r="165" spans="1:10" ht="13.5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9.0307097534343045E-2</v>
      </c>
      <c r="I167" s="48">
        <f>I153</f>
        <v>590.48337968415331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0.34547653262928013</v>
      </c>
      <c r="I171" s="70">
        <f>I55</f>
        <v>3317.043099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 t="shared" ref="H172:H173" si="7">I172/$G$194</f>
        <v>0.27220856883376443</v>
      </c>
      <c r="I172" s="70">
        <f>I66+I78+I85+I89</f>
        <v>2613.5713122593124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 t="shared" si="7"/>
        <v>6.3324494450632679E-2</v>
      </c>
      <c r="I173" s="70">
        <f>I99</f>
        <v>608.00099999999998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0.68100959591367727</v>
      </c>
      <c r="I174" s="48">
        <f>SUM(I171:I173)</f>
        <v>6538.6154112593122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8">I177/$G$194</f>
        <v>0.1355212653085909</v>
      </c>
      <c r="I177" s="24">
        <f>I124</f>
        <v>1301.1878822518627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8"/>
        <v>1.5622793659212573E-2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8"/>
        <v>0.10634634511851923</v>
      </c>
      <c r="I179" s="24">
        <f>I138</f>
        <v>1021.0690940266763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0.25749040408632273</v>
      </c>
      <c r="I180" s="48">
        <f>I177+I178+I179</f>
        <v>2472.2569762785388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6.1499999999999999E-2</v>
      </c>
      <c r="I183" s="24">
        <f>I153</f>
        <v>590.48337968415331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6.1499999999999999E-2</v>
      </c>
      <c r="I184" s="48">
        <f>I153</f>
        <v>590.48337968415331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2602.3757645037253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90" t="s">
        <v>209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((H70+H76+H77+H82+H83+H84)+((H70+H76+H77+H82+H83+H84)*H66))*I55*H194</f>
        <v>2554.2706752343543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9601.3557672220049</v>
      </c>
      <c r="H194" s="88">
        <f>IF(D6="12x36",2,1)</f>
        <v>2</v>
      </c>
      <c r="I194" s="89">
        <f>G194*H194</f>
        <v>19202.71153444401</v>
      </c>
    </row>
  </sheetData>
  <mergeCells count="190">
    <mergeCell ref="A192:I192"/>
    <mergeCell ref="A193:F194"/>
    <mergeCell ref="A180:G180"/>
    <mergeCell ref="A182:I182"/>
    <mergeCell ref="B183:G183"/>
    <mergeCell ref="A184:G184"/>
    <mergeCell ref="A186:I186"/>
    <mergeCell ref="A187:I187"/>
    <mergeCell ref="A190:F191"/>
    <mergeCell ref="G190:I190"/>
    <mergeCell ref="A188:H188"/>
    <mergeCell ref="A170:I170"/>
    <mergeCell ref="B171:G171"/>
    <mergeCell ref="B172:G172"/>
    <mergeCell ref="B173:G173"/>
    <mergeCell ref="A174:G174"/>
    <mergeCell ref="A176:I176"/>
    <mergeCell ref="B177:G177"/>
    <mergeCell ref="B178:G178"/>
    <mergeCell ref="B179:G179"/>
    <mergeCell ref="A162:A163"/>
    <mergeCell ref="B162:E163"/>
    <mergeCell ref="H162:I162"/>
    <mergeCell ref="H163:I163"/>
    <mergeCell ref="A164:I164"/>
    <mergeCell ref="B165:I165"/>
    <mergeCell ref="B166:I166"/>
    <mergeCell ref="A167:G167"/>
    <mergeCell ref="A169:I169"/>
    <mergeCell ref="A158:B158"/>
    <mergeCell ref="D158:E158"/>
    <mergeCell ref="H158:I158"/>
    <mergeCell ref="A159:B159"/>
    <mergeCell ref="H159:I159"/>
    <mergeCell ref="A160:B160"/>
    <mergeCell ref="H160:I160"/>
    <mergeCell ref="A161:B161"/>
    <mergeCell ref="H161:I161"/>
    <mergeCell ref="B151:G151"/>
    <mergeCell ref="B152:G152"/>
    <mergeCell ref="A153:G153"/>
    <mergeCell ref="B154:I154"/>
    <mergeCell ref="B155:I155"/>
    <mergeCell ref="A156:I156"/>
    <mergeCell ref="A157:B157"/>
    <mergeCell ref="D157:E157"/>
    <mergeCell ref="H157:I157"/>
    <mergeCell ref="A140:E140"/>
    <mergeCell ref="A141:B141"/>
    <mergeCell ref="A142:B142"/>
    <mergeCell ref="A144:G144"/>
    <mergeCell ref="A146:I146"/>
    <mergeCell ref="B147:G147"/>
    <mergeCell ref="B148:G148"/>
    <mergeCell ref="B149:G149"/>
    <mergeCell ref="B150:G150"/>
    <mergeCell ref="A129:B129"/>
    <mergeCell ref="B130:I130"/>
    <mergeCell ref="B131:G131"/>
    <mergeCell ref="B132:G132"/>
    <mergeCell ref="B133:G133"/>
    <mergeCell ref="A134:G134"/>
    <mergeCell ref="B136:G136"/>
    <mergeCell ref="B137:G137"/>
    <mergeCell ref="A138:G138"/>
    <mergeCell ref="B118:G118"/>
    <mergeCell ref="B119:G119"/>
    <mergeCell ref="B120:G120"/>
    <mergeCell ref="B122:G122"/>
    <mergeCell ref="B123:G123"/>
    <mergeCell ref="A124:G124"/>
    <mergeCell ref="B125:I125"/>
    <mergeCell ref="A127:E127"/>
    <mergeCell ref="A128:B128"/>
    <mergeCell ref="B121:G121"/>
    <mergeCell ref="A106:B106"/>
    <mergeCell ref="A107:B107"/>
    <mergeCell ref="A109:I109"/>
    <mergeCell ref="A110:B110"/>
    <mergeCell ref="A111:B111"/>
    <mergeCell ref="A113:G113"/>
    <mergeCell ref="A115:I115"/>
    <mergeCell ref="B116:G116"/>
    <mergeCell ref="B117:G117"/>
    <mergeCell ref="B96:G96"/>
    <mergeCell ref="B97:G97"/>
    <mergeCell ref="B98:G98"/>
    <mergeCell ref="A99:G99"/>
    <mergeCell ref="B100:G100"/>
    <mergeCell ref="A101:I101"/>
    <mergeCell ref="A102:B102"/>
    <mergeCell ref="A103:B103"/>
    <mergeCell ref="A105:I105"/>
    <mergeCell ref="B84:G84"/>
    <mergeCell ref="A85:G85"/>
    <mergeCell ref="B87:G87"/>
    <mergeCell ref="B88:G88"/>
    <mergeCell ref="A89:G89"/>
    <mergeCell ref="A91:G91"/>
    <mergeCell ref="B93:G93"/>
    <mergeCell ref="B94:G94"/>
    <mergeCell ref="B95:G95"/>
    <mergeCell ref="B75:G75"/>
    <mergeCell ref="B76:G76"/>
    <mergeCell ref="B77:G77"/>
    <mergeCell ref="A78:G78"/>
    <mergeCell ref="B79:I79"/>
    <mergeCell ref="B80:I80"/>
    <mergeCell ref="B81:G81"/>
    <mergeCell ref="B82:G82"/>
    <mergeCell ref="B83:G83"/>
    <mergeCell ref="A66:G66"/>
    <mergeCell ref="A67:I67"/>
    <mergeCell ref="A68:I68"/>
    <mergeCell ref="B69:G69"/>
    <mergeCell ref="B70:G70"/>
    <mergeCell ref="B71:G71"/>
    <mergeCell ref="B72:G72"/>
    <mergeCell ref="B73:G73"/>
    <mergeCell ref="B74:G74"/>
    <mergeCell ref="B57:G57"/>
    <mergeCell ref="B58:G58"/>
    <mergeCell ref="B59:G59"/>
    <mergeCell ref="B60:G60"/>
    <mergeCell ref="B61:G61"/>
    <mergeCell ref="B62:G62"/>
    <mergeCell ref="B63:G63"/>
    <mergeCell ref="B64:G64"/>
    <mergeCell ref="B65:G65"/>
    <mergeCell ref="B44:G44"/>
    <mergeCell ref="B45:G45"/>
    <mergeCell ref="B46:G46"/>
    <mergeCell ref="B49:G49"/>
    <mergeCell ref="B52:G52"/>
    <mergeCell ref="B53:G53"/>
    <mergeCell ref="B54:G54"/>
    <mergeCell ref="A55:G55"/>
    <mergeCell ref="B47:G47"/>
    <mergeCell ref="B48:G48"/>
    <mergeCell ref="B50:G50"/>
    <mergeCell ref="B51:G51"/>
    <mergeCell ref="A35:I35"/>
    <mergeCell ref="B36:G36"/>
    <mergeCell ref="B37:G37"/>
    <mergeCell ref="B38:G38"/>
    <mergeCell ref="B39:G39"/>
    <mergeCell ref="B40:G40"/>
    <mergeCell ref="B41:G41"/>
    <mergeCell ref="B42:G42"/>
    <mergeCell ref="B43:G43"/>
    <mergeCell ref="A23:F23"/>
    <mergeCell ref="A24:F24"/>
    <mergeCell ref="A25:F25"/>
    <mergeCell ref="A26:F27"/>
    <mergeCell ref="A28:F28"/>
    <mergeCell ref="A29:F29"/>
    <mergeCell ref="A30:F31"/>
    <mergeCell ref="G30:G31"/>
    <mergeCell ref="A32:F33"/>
    <mergeCell ref="G32:G33"/>
    <mergeCell ref="A10:F10"/>
    <mergeCell ref="A11:F11"/>
    <mergeCell ref="A12:F12"/>
    <mergeCell ref="A13:F13"/>
    <mergeCell ref="A14:F16"/>
    <mergeCell ref="G14:G16"/>
    <mergeCell ref="A17:F19"/>
    <mergeCell ref="G17:G19"/>
    <mergeCell ref="A20:F22"/>
    <mergeCell ref="G20:G22"/>
    <mergeCell ref="A7:C7"/>
    <mergeCell ref="D7:F7"/>
    <mergeCell ref="G7:H8"/>
    <mergeCell ref="I7:I8"/>
    <mergeCell ref="A8:C8"/>
    <mergeCell ref="D8:F8"/>
    <mergeCell ref="A9:C9"/>
    <mergeCell ref="D9:F9"/>
    <mergeCell ref="G9:H9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D6:F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ABEC7F-8714-4F45-9868-57C1CAAC5E13}">
  <dimension ref="A1:L194"/>
  <sheetViews>
    <sheetView view="pageBreakPreview" topLeftCell="B7" zoomScale="175" zoomScaleNormal="130" zoomScaleSheetLayoutView="175" zoomScalePageLayoutView="130" workbookViewId="0">
      <selection activeCell="A17" sqref="A17:F1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v>200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40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252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2.5000000000000001E-2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22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5.3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22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0.75272277998691817</v>
      </c>
      <c r="I37" s="24">
        <f>IF(D6="12x36",I10,I10/H10*I5)</f>
        <v>1914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0.23076923076923075</v>
      </c>
      <c r="I38" s="24">
        <f>IF(I9=30%,(I37+I45+I46)*I9,0)</f>
        <v>586.79280000000006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1.3756657703209194E-2</v>
      </c>
      <c r="I45" s="24">
        <f>I12*I13</f>
        <v>34.980000000000004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2.7513315406418391E-3</v>
      </c>
      <c r="I46" s="24">
        <f>I45*20%</f>
        <v>6.9960000000000013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2542.7688000000003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508.55376000000007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38.141532000000005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25.427688000000003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5.0855376000000003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63.569220000000008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203.42150400000003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76.28306400000001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15.256612800000003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935.73891839999999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303.38791660320004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52.088618868000005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30.836157237600005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6.9292468448786106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1.2103579488000002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1.1239038096000002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0.47041222800000004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230.857979352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626.90459289207865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122.86913118480003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8.9276612568000004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49.146635366400012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180.94342780800002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230.70089018428504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230.70089018428504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1974.2878292843636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0.20764766344466706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4.6547684555512864E-2</v>
      </c>
      <c r="I96" s="24">
        <f>I103</f>
        <v>118.36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0.25419534800017995</v>
      </c>
      <c r="I99" s="26">
        <f>SUM(I94:I98)</f>
        <v>646.36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5.3</v>
      </c>
      <c r="B103" s="158"/>
      <c r="C103" s="14">
        <f>IF(I15="Não aplicável",0,I15)</f>
        <v>22</v>
      </c>
      <c r="D103" s="14">
        <v>2</v>
      </c>
      <c r="E103" s="37">
        <f>A103*C103*D103</f>
        <v>233.2</v>
      </c>
      <c r="F103" s="37">
        <f>I37</f>
        <v>1914</v>
      </c>
      <c r="G103" s="38">
        <f>IF(I16="Não aplicável",0,I16)</f>
        <v>0.06</v>
      </c>
      <c r="H103" s="37">
        <f>F103*G103</f>
        <v>114.83999999999999</v>
      </c>
      <c r="I103" s="24">
        <f>IF((E103-H103)&gt;0,E103-H103,0)</f>
        <v>118.36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2.0306276486027217</v>
      </c>
      <c r="I113" s="48">
        <f>I48+I91+I99</f>
        <v>5163.4166292843638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1009.0113258568726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1009.0113258568726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1009.0113258568726</v>
      </c>
      <c r="H127" s="57" t="s">
        <v>117</v>
      </c>
      <c r="I127" s="58">
        <f>I96</f>
        <v>118.36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2542.7688000000003</v>
      </c>
      <c r="B129" s="149"/>
      <c r="C129" s="62">
        <f>I66</f>
        <v>935.73891839999999</v>
      </c>
      <c r="D129" s="62">
        <f>I78</f>
        <v>626.90459289207865</v>
      </c>
      <c r="E129" s="62">
        <f>I85</f>
        <v>180.94342780800002</v>
      </c>
      <c r="F129" s="62">
        <f>I89</f>
        <v>230.70089018428504</v>
      </c>
      <c r="G129" s="62">
        <f>I99</f>
        <v>646.36</v>
      </c>
      <c r="H129" s="62">
        <f>A129+C129+D129+E129+F129+G129</f>
        <v>5163.4166292843629</v>
      </c>
      <c r="I129" s="62">
        <f>H129-I127</f>
        <v>5045.0566292843632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1.9821383058327514E-2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9.9106915291637572E-3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2.9732074587491272E-2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0.15026792541250872</v>
      </c>
      <c r="I137" s="24">
        <f>G140-I134</f>
        <v>758.11019327118538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0.15026792541250872</v>
      </c>
      <c r="I138" s="26">
        <f>I137</f>
        <v>758.11019327118538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908.11019327118538</v>
      </c>
      <c r="H140" s="57" t="s">
        <v>117</v>
      </c>
      <c r="I140" s="58">
        <f>I96</f>
        <v>118.36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2542.7688000000003</v>
      </c>
      <c r="B142" s="149"/>
      <c r="C142" s="62">
        <f>I66</f>
        <v>935.73891839999999</v>
      </c>
      <c r="D142" s="62">
        <f>I78</f>
        <v>626.90459289207865</v>
      </c>
      <c r="E142" s="62">
        <f>I85</f>
        <v>180.94342780800002</v>
      </c>
      <c r="F142" s="62">
        <f>I89</f>
        <v>230.70089018428504</v>
      </c>
      <c r="G142" s="62">
        <f>I99</f>
        <v>646.36</v>
      </c>
      <c r="H142" s="62">
        <f>A142+C142+D142+E142+F142+G142</f>
        <v>5163.4166292843629</v>
      </c>
      <c r="I142" s="62">
        <f>H142-I140</f>
        <v>5045.0566292843632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1917.121519128058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9.4974754055142246E-3</v>
      </c>
      <c r="I148" s="24">
        <f>($D$158/$E$160)*H158</f>
        <v>49.0394224450514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4.3834501871604113E-2</v>
      </c>
      <c r="I149" s="24">
        <f>($D$158/$E$160)*H159</f>
        <v>226.33579590023723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3.6528751559670093E-2</v>
      </c>
      <c r="I150" s="24">
        <f>($D$158/$E$160)*H160</f>
        <v>188.61316325019772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8.9860728836788431E-2</v>
      </c>
      <c r="I153" s="26">
        <f>SUM(I148:I152)</f>
        <v>463.98838159548637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5163.4166292843638</v>
      </c>
      <c r="B158" s="144"/>
      <c r="C158" s="24">
        <f>I144</f>
        <v>1917.121519128058</v>
      </c>
      <c r="D158" s="145">
        <f>A158+C158</f>
        <v>7080.5381484124218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0.11749999999999999</v>
      </c>
      <c r="E159" s="64">
        <f>C159-D159</f>
        <v>0.88250000000000006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6.1499999999999999E-2</v>
      </c>
      <c r="E160" s="65">
        <f>C160-D160</f>
        <v>0.9385</v>
      </c>
      <c r="F160" s="14" t="s">
        <v>14</v>
      </c>
      <c r="G160" s="43">
        <f>I11</f>
        <v>2.5000000000000001E-2</v>
      </c>
      <c r="H160" s="135">
        <f>I11</f>
        <v>2.5000000000000001E-2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0.11749999999999999</v>
      </c>
      <c r="H163" s="136">
        <f>SUM(H158:I162)</f>
        <v>6.1499999999999999E-2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8.9860728836788431E-2</v>
      </c>
      <c r="I167" s="48">
        <f>I153</f>
        <v>463.98838159548637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0.33703490734458785</v>
      </c>
      <c r="I171" s="70">
        <f>I48</f>
        <v>2542.7688000000003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0.2616847884929227</v>
      </c>
      <c r="I172" s="70">
        <f>I66+I78+I85+I89</f>
        <v>1974.2878292843636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8.5672705560665918E-2</v>
      </c>
      <c r="I173" s="70">
        <f>I99</f>
        <v>646.36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0.68439240139817636</v>
      </c>
      <c r="I174" s="48">
        <f>SUM(I171:I173)</f>
        <v>5163.4166292843638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0.1337408413693808</v>
      </c>
      <c r="I177" s="24">
        <f>I124</f>
        <v>1009.0113258568726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1.9881963354941343E-2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0.10048479387750138</v>
      </c>
      <c r="I179" s="24">
        <f>I138</f>
        <v>758.11019327118538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0.25410759860182353</v>
      </c>
      <c r="I180" s="48">
        <f>I177+I178+I179</f>
        <v>1917.121519128058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6.1500000000000006E-2</v>
      </c>
      <c r="I183" s="24">
        <f>I153</f>
        <v>463.98838159548637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6.1500000000000006E-2</v>
      </c>
      <c r="I184" s="48">
        <f>I153</f>
        <v>463.98838159548637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1009.0113258568726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979.02251883596171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7544.5265300079081</v>
      </c>
      <c r="H194" s="88">
        <f>IF(D6="12x36",2,1)</f>
        <v>1</v>
      </c>
      <c r="I194" s="89">
        <f>G194*H194</f>
        <v>7544.5265300079081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2ADB9-628F-4138-BCF4-7137A812532F}">
  <dimension ref="A1:L194"/>
  <sheetViews>
    <sheetView view="pageBreakPreview" topLeftCell="A7" zoomScale="175" zoomScaleNormal="130" zoomScaleSheetLayoutView="175" zoomScalePageLayoutView="130" workbookViewId="0">
      <selection activeCell="A17" sqref="A17:F19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248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0.04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5.8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6.2564822175923365E-2</v>
      </c>
      <c r="I96" s="24">
        <f>I103</f>
        <v>175.27599999999995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0.25103458477255697</v>
      </c>
      <c r="I99" s="26">
        <f>SUM(I94:I98)</f>
        <v>703.27599999999995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5.8</v>
      </c>
      <c r="B103" s="158"/>
      <c r="C103" s="14">
        <f>IF(I15="Não aplicável",0,I15)</f>
        <v>26</v>
      </c>
      <c r="D103" s="14">
        <v>2</v>
      </c>
      <c r="E103" s="37">
        <f>A103*C103*D103</f>
        <v>301.59999999999997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175.27599999999995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2.0274668853750986</v>
      </c>
      <c r="I113" s="48">
        <f>I48+I91+I99</f>
        <v>5679.9695650339463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175.27599999999995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703.27599999999995</v>
      </c>
      <c r="H129" s="62">
        <f>A129+C129+D129+E129+F129+G129</f>
        <v>5679.9695650339463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175.27599999999995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703.27599999999995</v>
      </c>
      <c r="H142" s="62">
        <f>A142+C142+D142+E142+F142+G142</f>
        <v>5679.9695650339463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9.6305135011901851E-3</v>
      </c>
      <c r="I148" s="24">
        <f>($D$158/$E$160)*H158</f>
        <v>54.701023582408766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4.4448523851647014E-2</v>
      </c>
      <c r="I149" s="24">
        <f>($D$158/$E$160)*H159</f>
        <v>252.46626268804047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5.9264698468862689E-2</v>
      </c>
      <c r="I150" s="24">
        <f>($D$158/$E$160)*H160</f>
        <v>336.62168358405398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0.11334373582169989</v>
      </c>
      <c r="I153" s="26">
        <f>SUM(I148:I152)</f>
        <v>643.78896985450319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5679.9695650339463</v>
      </c>
      <c r="B158" s="144"/>
      <c r="C158" s="24">
        <f>I144</f>
        <v>2091.7835547128998</v>
      </c>
      <c r="D158" s="145">
        <f>A158+C158</f>
        <v>7771.7531197468461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0.13250000000000001</v>
      </c>
      <c r="E159" s="64">
        <f>C159-D159</f>
        <v>0.86749999999999994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7.6499999999999999E-2</v>
      </c>
      <c r="E160" s="65">
        <f>C160-D160</f>
        <v>0.92349999999999999</v>
      </c>
      <c r="F160" s="14" t="s">
        <v>14</v>
      </c>
      <c r="G160" s="43">
        <f>I11</f>
        <v>0.04</v>
      </c>
      <c r="H160" s="135">
        <f>I11</f>
        <v>0.04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0.13250000000000001</v>
      </c>
      <c r="H163" s="136">
        <f>SUM(H158:I162)</f>
        <v>7.6499999999999999E-2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0.11334373582169989</v>
      </c>
      <c r="I167" s="48">
        <f>I153</f>
        <v>643.78896985450319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0.3328972002245324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0.25847213903447858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8.3568710430312235E-2</v>
      </c>
      <c r="I173" s="70">
        <f>I99</f>
        <v>703.27599999999995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0.67493804968932314</v>
      </c>
      <c r="I174" s="48">
        <f>SUM(I171:I173)</f>
        <v>5679.9695650339463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0.13082207911088253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1.7824163720284551E-2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9.9915707479509702E-2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0.24856195031067679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7.6499999999999999E-2</v>
      </c>
      <c r="I183" s="24">
        <f>I153</f>
        <v>643.78896985450319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7.6499999999999999E-2</v>
      </c>
      <c r="I184" s="48">
        <f>I153</f>
        <v>643.78896985450319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8415.5420896013493</v>
      </c>
      <c r="H194" s="88">
        <f>IF(D6="12x36",2,1)</f>
        <v>1</v>
      </c>
      <c r="I194" s="89">
        <f>G194*H194</f>
        <v>8415.5420896013493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5176-4EF5-4C8C-AF74-DA930D0EEFB5}">
  <dimension ref="A1:L194"/>
  <sheetViews>
    <sheetView tabSelected="1" view="pageBreakPreview" topLeftCell="A7" zoomScale="175" zoomScaleNormal="130" zoomScaleSheetLayoutView="175" zoomScalePageLayoutView="130" workbookViewId="0">
      <selection activeCell="A20" sqref="A20:F22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250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0.04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6.65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7.8342025787232483E-2</v>
      </c>
      <c r="I96" s="24">
        <f>I103</f>
        <v>219.476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0.2668117883838661</v>
      </c>
      <c r="I99" s="26">
        <f>SUM(I94:I98)</f>
        <v>747.476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6.65</v>
      </c>
      <c r="B103" s="158"/>
      <c r="C103" s="14">
        <f>IF(I15="Não aplicável",0,I15)</f>
        <v>26</v>
      </c>
      <c r="D103" s="14">
        <v>2</v>
      </c>
      <c r="E103" s="37">
        <f>A103*C103*D103</f>
        <v>345.8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219.476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2.0432440889864076</v>
      </c>
      <c r="I113" s="48">
        <f>I48+I91+I99</f>
        <v>5724.1695650339461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219.476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747.476</v>
      </c>
      <c r="H129" s="62">
        <f>A129+C129+D129+E129+F129+G129</f>
        <v>5724.1695650339461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219.476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747.476</v>
      </c>
      <c r="H142" s="62">
        <f>A142+C142+D142+E142+F142+G142</f>
        <v>5724.1695650339461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9.6104984377189829E-3</v>
      </c>
      <c r="I148" s="24">
        <f>($D$158/$E$160)*H158</f>
        <v>55.012122661997289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4.4356146635626079E-2</v>
      </c>
      <c r="I149" s="24">
        <f>($D$158/$E$160)*H159</f>
        <v>253.90210459383366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5.9141528847501443E-2</v>
      </c>
      <c r="I150" s="24">
        <f>($D$158/$E$160)*H160</f>
        <v>338.53613945844489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0.1131081739208465</v>
      </c>
      <c r="I153" s="26">
        <f>SUM(I148:I152)</f>
        <v>647.45036671427579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5724.1695650339461</v>
      </c>
      <c r="B158" s="144"/>
      <c r="C158" s="24">
        <f>I144</f>
        <v>2091.7835547128998</v>
      </c>
      <c r="D158" s="145">
        <f>A158+C158</f>
        <v>7815.9531197468459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0.13250000000000001</v>
      </c>
      <c r="E159" s="64">
        <f>C159-D159</f>
        <v>0.86749999999999994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7.6499999999999999E-2</v>
      </c>
      <c r="E160" s="65">
        <f>C160-D160</f>
        <v>0.92349999999999999</v>
      </c>
      <c r="F160" s="14" t="s">
        <v>14</v>
      </c>
      <c r="G160" s="43">
        <f>I11</f>
        <v>0.04</v>
      </c>
      <c r="H160" s="135">
        <f>I11</f>
        <v>0.04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0.13250000000000001</v>
      </c>
      <c r="H163" s="136">
        <f>SUM(H158:I162)</f>
        <v>7.6499999999999999E-2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0.1131081739208465</v>
      </c>
      <c r="I167" s="48">
        <f>I153</f>
        <v>647.45036671427579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0.33101463311793733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0.25701045312486631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8.8318606243426162E-2</v>
      </c>
      <c r="I173" s="70">
        <f>I99</f>
        <v>747.476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0.67634369248622972</v>
      </c>
      <c r="I174" s="48">
        <f>SUM(I171:I173)</f>
        <v>5724.1695650339461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0.13008226711251061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1.7723366284019718E-2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9.9350674117239829E-2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0.24715630751377016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7.6499999999999999E-2</v>
      </c>
      <c r="I183" s="24">
        <f>I153</f>
        <v>647.45036671427579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7.6499999999999999E-2</v>
      </c>
      <c r="I184" s="48">
        <f>I153</f>
        <v>647.45036671427579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8463.4034864611222</v>
      </c>
      <c r="H194" s="88">
        <f>IF(D6="12x36",2,1)</f>
        <v>1</v>
      </c>
      <c r="I194" s="89">
        <f>G194*H194</f>
        <v>8463.4034864611222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72B92-F938-4592-B091-00C6DDE33E99}">
  <dimension ref="A1:L194"/>
  <sheetViews>
    <sheetView view="pageBreakPreview" topLeftCell="A4" zoomScale="175" zoomScaleNormal="130" zoomScaleSheetLayoutView="175" zoomScalePageLayoutView="130" workbookViewId="0">
      <selection activeCell="A14" sqref="A14:F16"/>
    </sheetView>
  </sheetViews>
  <sheetFormatPr defaultColWidth="9.28515625" defaultRowHeight="11.25" x14ac:dyDescent="0.25"/>
  <cols>
    <col min="1" max="1" width="2.7109375" style="1" customWidth="1"/>
    <col min="2" max="2" width="14.28515625" style="1" customWidth="1"/>
    <col min="3" max="3" width="14.42578125" style="1" customWidth="1"/>
    <col min="4" max="4" width="11.28515625" style="1" customWidth="1"/>
    <col min="5" max="5" width="12.28515625" style="1" customWidth="1"/>
    <col min="6" max="7" width="11.28515625" style="1" customWidth="1"/>
    <col min="8" max="8" width="9.28515625" style="1" customWidth="1"/>
    <col min="9" max="9" width="11.7109375" style="1" customWidth="1"/>
    <col min="10" max="10" width="11.28515625" style="2" customWidth="1"/>
    <col min="11" max="11" width="10" style="1" customWidth="1"/>
    <col min="12" max="12" width="9.28515625" style="1"/>
    <col min="13" max="15" width="22.28515625" style="1" customWidth="1"/>
    <col min="16" max="16384" width="9.28515625" style="1"/>
  </cols>
  <sheetData>
    <row r="1" spans="1:11" ht="27.75" customHeight="1" x14ac:dyDescent="0.25">
      <c r="A1" s="141" t="s">
        <v>0</v>
      </c>
      <c r="B1" s="141"/>
      <c r="C1" s="141"/>
      <c r="D1" s="141"/>
      <c r="E1" s="141"/>
      <c r="F1" s="141"/>
      <c r="G1" s="141"/>
      <c r="H1" s="141"/>
      <c r="I1" s="141"/>
      <c r="K1" s="4"/>
    </row>
    <row r="2" spans="1:11" ht="22.5" customHeight="1" x14ac:dyDescent="0.25">
      <c r="A2" s="141" t="s">
        <v>1</v>
      </c>
      <c r="B2" s="141"/>
      <c r="C2" s="175">
        <v>25130000022130</v>
      </c>
      <c r="D2" s="175"/>
      <c r="E2" s="176" t="s">
        <v>2</v>
      </c>
      <c r="F2" s="176"/>
      <c r="G2" s="176"/>
      <c r="H2" s="176"/>
      <c r="I2" s="176"/>
    </row>
    <row r="3" spans="1:11" ht="11.25" customHeight="1" x14ac:dyDescent="0.25">
      <c r="A3" s="141" t="s">
        <v>3</v>
      </c>
      <c r="B3" s="14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131" t="s">
        <v>5</v>
      </c>
      <c r="B5" s="131"/>
      <c r="C5" s="131"/>
      <c r="D5" s="177" t="s">
        <v>231</v>
      </c>
      <c r="E5" s="177"/>
      <c r="F5" s="177"/>
      <c r="G5" s="178" t="str">
        <f>IF(D6="12x36","Regime de trabalho:","Quantidade de HORAS/MÊS")</f>
        <v>Quantidade de HORAS/MÊS</v>
      </c>
      <c r="H5" s="178"/>
      <c r="I5" s="179">
        <f>IF(D6="12x36",D6,5*D6)</f>
        <v>220</v>
      </c>
    </row>
    <row r="6" spans="1:11" ht="18.75" customHeight="1" x14ac:dyDescent="0.25">
      <c r="A6" s="154" t="str">
        <f>IF(D6="12x36","Regime de trabalho:","Regime de trabalho (horas semanais):")</f>
        <v>Regime de trabalho (horas semanais):</v>
      </c>
      <c r="B6" s="154"/>
      <c r="C6" s="154"/>
      <c r="D6" s="154">
        <v>44</v>
      </c>
      <c r="E6" s="154"/>
      <c r="F6" s="154"/>
      <c r="G6" s="178"/>
      <c r="H6" s="178"/>
      <c r="I6" s="179"/>
    </row>
    <row r="7" spans="1:11" ht="22.5" customHeight="1" x14ac:dyDescent="0.25">
      <c r="A7" s="154" t="s">
        <v>6</v>
      </c>
      <c r="B7" s="154"/>
      <c r="C7" s="154"/>
      <c r="D7" s="131" t="s">
        <v>249</v>
      </c>
      <c r="E7" s="131"/>
      <c r="F7" s="131"/>
      <c r="G7" s="172" t="s">
        <v>7</v>
      </c>
      <c r="H7" s="172"/>
      <c r="I7" s="174" t="s">
        <v>8</v>
      </c>
    </row>
    <row r="8" spans="1:11" ht="22.5" customHeight="1" x14ac:dyDescent="0.25">
      <c r="A8" s="154" t="s">
        <v>9</v>
      </c>
      <c r="B8" s="154"/>
      <c r="C8" s="154"/>
      <c r="D8" s="131" t="s">
        <v>249</v>
      </c>
      <c r="E8" s="131"/>
      <c r="F8" s="131"/>
      <c r="G8" s="172"/>
      <c r="H8" s="172"/>
      <c r="I8" s="174"/>
    </row>
    <row r="9" spans="1:11" ht="18.75" customHeight="1" x14ac:dyDescent="0.25">
      <c r="A9" s="154" t="s">
        <v>10</v>
      </c>
      <c r="B9" s="154"/>
      <c r="C9" s="154"/>
      <c r="D9" s="154" t="s">
        <v>251</v>
      </c>
      <c r="E9" s="154"/>
      <c r="F9" s="154"/>
      <c r="G9" s="172" t="s">
        <v>11</v>
      </c>
      <c r="H9" s="172"/>
      <c r="I9" s="9">
        <v>0.3</v>
      </c>
    </row>
    <row r="10" spans="1:11" ht="32.25" customHeight="1" x14ac:dyDescent="0.25">
      <c r="A10" s="173" t="s">
        <v>12</v>
      </c>
      <c r="B10" s="173"/>
      <c r="C10" s="173"/>
      <c r="D10" s="173"/>
      <c r="E10" s="173"/>
      <c r="F10" s="173"/>
      <c r="G10" s="8" t="s">
        <v>13</v>
      </c>
      <c r="H10" s="10">
        <v>220</v>
      </c>
      <c r="I10" s="11">
        <v>2105.4</v>
      </c>
    </row>
    <row r="11" spans="1:11" ht="15" customHeight="1" x14ac:dyDescent="0.25">
      <c r="A11" s="170" t="s">
        <v>14</v>
      </c>
      <c r="B11" s="170"/>
      <c r="C11" s="170"/>
      <c r="D11" s="170"/>
      <c r="E11" s="170"/>
      <c r="F11" s="170"/>
      <c r="G11" s="10"/>
      <c r="H11" s="10" t="s">
        <v>15</v>
      </c>
      <c r="I11" s="13">
        <v>0.03</v>
      </c>
    </row>
    <row r="12" spans="1:11" ht="24.75" customHeight="1" x14ac:dyDescent="0.25">
      <c r="A12" s="155" t="s">
        <v>16</v>
      </c>
      <c r="B12" s="155"/>
      <c r="C12" s="155"/>
      <c r="D12" s="155"/>
      <c r="E12" s="155"/>
      <c r="F12" s="155"/>
      <c r="G12" s="10" t="s">
        <v>17</v>
      </c>
      <c r="H12" s="10" t="s">
        <v>18</v>
      </c>
      <c r="I12" s="11">
        <v>1.59</v>
      </c>
    </row>
    <row r="13" spans="1:11" ht="15.75" customHeight="1" x14ac:dyDescent="0.25">
      <c r="A13" s="155" t="s">
        <v>19</v>
      </c>
      <c r="B13" s="155"/>
      <c r="C13" s="155"/>
      <c r="D13" s="155"/>
      <c r="E13" s="155"/>
      <c r="F13" s="155"/>
      <c r="G13" s="10"/>
      <c r="H13" s="10"/>
      <c r="I13" s="15">
        <v>26</v>
      </c>
    </row>
    <row r="14" spans="1:11" ht="15" customHeight="1" x14ac:dyDescent="0.25">
      <c r="A14" s="170" t="s">
        <v>20</v>
      </c>
      <c r="B14" s="170"/>
      <c r="C14" s="170"/>
      <c r="D14" s="170"/>
      <c r="E14" s="170"/>
      <c r="F14" s="170"/>
      <c r="G14" s="171" t="s">
        <v>17</v>
      </c>
      <c r="H14" s="10" t="s">
        <v>21</v>
      </c>
      <c r="I14" s="11">
        <v>5.2</v>
      </c>
    </row>
    <row r="15" spans="1:11" x14ac:dyDescent="0.25">
      <c r="A15" s="170"/>
      <c r="B15" s="170"/>
      <c r="C15" s="170"/>
      <c r="D15" s="170"/>
      <c r="E15" s="170"/>
      <c r="F15" s="170"/>
      <c r="G15" s="171"/>
      <c r="H15" s="10" t="s">
        <v>22</v>
      </c>
      <c r="I15" s="15">
        <v>26</v>
      </c>
    </row>
    <row r="16" spans="1:11" x14ac:dyDescent="0.25">
      <c r="A16" s="170"/>
      <c r="B16" s="170"/>
      <c r="C16" s="170"/>
      <c r="D16" s="170"/>
      <c r="E16" s="170"/>
      <c r="F16" s="170"/>
      <c r="G16" s="171"/>
      <c r="H16" s="10" t="s">
        <v>23</v>
      </c>
      <c r="I16" s="9">
        <v>0.06</v>
      </c>
    </row>
    <row r="17" spans="1:9" ht="11.25" customHeight="1" x14ac:dyDescent="0.25">
      <c r="A17" s="170" t="s">
        <v>24</v>
      </c>
      <c r="B17" s="170"/>
      <c r="C17" s="170"/>
      <c r="D17" s="170"/>
      <c r="E17" s="170"/>
      <c r="F17" s="170"/>
      <c r="G17" s="171" t="s">
        <v>17</v>
      </c>
      <c r="H17" s="10" t="s">
        <v>21</v>
      </c>
      <c r="I17" s="11">
        <v>30</v>
      </c>
    </row>
    <row r="18" spans="1:9" ht="11.25" customHeight="1" x14ac:dyDescent="0.25">
      <c r="A18" s="170"/>
      <c r="B18" s="170"/>
      <c r="C18" s="170"/>
      <c r="D18" s="170"/>
      <c r="E18" s="170"/>
      <c r="F18" s="170"/>
      <c r="G18" s="171"/>
      <c r="H18" s="10" t="s">
        <v>22</v>
      </c>
      <c r="I18" s="15">
        <v>22</v>
      </c>
    </row>
    <row r="19" spans="1:9" x14ac:dyDescent="0.25">
      <c r="A19" s="170"/>
      <c r="B19" s="170"/>
      <c r="C19" s="170"/>
      <c r="D19" s="170"/>
      <c r="E19" s="170"/>
      <c r="F19" s="170"/>
      <c r="G19" s="171"/>
      <c r="H19" s="10" t="s">
        <v>23</v>
      </c>
      <c r="I19" s="9">
        <v>0.2</v>
      </c>
    </row>
    <row r="20" spans="1:9" ht="11.25" customHeight="1" x14ac:dyDescent="0.25">
      <c r="A20" s="170" t="s">
        <v>25</v>
      </c>
      <c r="B20" s="170"/>
      <c r="C20" s="170"/>
      <c r="D20" s="170"/>
      <c r="E20" s="170"/>
      <c r="F20" s="170"/>
      <c r="G20" s="171" t="s">
        <v>17</v>
      </c>
      <c r="H20" s="10" t="s">
        <v>21</v>
      </c>
      <c r="I20" s="11" t="s">
        <v>8</v>
      </c>
    </row>
    <row r="21" spans="1:9" x14ac:dyDescent="0.25">
      <c r="A21" s="170"/>
      <c r="B21" s="170"/>
      <c r="C21" s="170"/>
      <c r="D21" s="170"/>
      <c r="E21" s="170"/>
      <c r="F21" s="170"/>
      <c r="G21" s="171"/>
      <c r="H21" s="10" t="s">
        <v>22</v>
      </c>
      <c r="I21" s="15" t="s">
        <v>8</v>
      </c>
    </row>
    <row r="22" spans="1:9" x14ac:dyDescent="0.25">
      <c r="A22" s="170"/>
      <c r="B22" s="170"/>
      <c r="C22" s="170"/>
      <c r="D22" s="170"/>
      <c r="E22" s="170"/>
      <c r="F22" s="170"/>
      <c r="G22" s="171"/>
      <c r="H22" s="10" t="s">
        <v>23</v>
      </c>
      <c r="I22" s="9" t="s">
        <v>8</v>
      </c>
    </row>
    <row r="23" spans="1:9" ht="36" customHeight="1" x14ac:dyDescent="0.25">
      <c r="A23" s="169" t="s">
        <v>245</v>
      </c>
      <c r="B23" s="169"/>
      <c r="C23" s="169"/>
      <c r="D23" s="169"/>
      <c r="E23" s="169"/>
      <c r="F23" s="169"/>
      <c r="G23" s="16"/>
      <c r="H23" s="16" t="s">
        <v>26</v>
      </c>
      <c r="I23" s="17">
        <v>0</v>
      </c>
    </row>
    <row r="24" spans="1:9" ht="22.5" customHeight="1" x14ac:dyDescent="0.25">
      <c r="A24" s="155" t="s">
        <v>27</v>
      </c>
      <c r="B24" s="155"/>
      <c r="C24" s="155"/>
      <c r="D24" s="155"/>
      <c r="E24" s="155"/>
      <c r="F24" s="155"/>
      <c r="G24" s="16"/>
      <c r="H24" s="16" t="s">
        <v>28</v>
      </c>
      <c r="I24" s="18">
        <v>0</v>
      </c>
    </row>
    <row r="25" spans="1:9" ht="34.5" customHeight="1" x14ac:dyDescent="0.25">
      <c r="A25" s="155" t="s">
        <v>29</v>
      </c>
      <c r="B25" s="155"/>
      <c r="C25" s="155"/>
      <c r="D25" s="155"/>
      <c r="E25" s="155"/>
      <c r="F25" s="155"/>
      <c r="G25" s="10"/>
      <c r="H25" s="10" t="s">
        <v>18</v>
      </c>
      <c r="I25" s="11" t="s">
        <v>8</v>
      </c>
    </row>
    <row r="26" spans="1:9" ht="15" customHeight="1" x14ac:dyDescent="0.25">
      <c r="A26" s="155" t="s">
        <v>30</v>
      </c>
      <c r="B26" s="155"/>
      <c r="C26" s="155"/>
      <c r="D26" s="155"/>
      <c r="E26" s="155"/>
      <c r="F26" s="155"/>
      <c r="G26" s="16"/>
      <c r="H26" s="19" t="s">
        <v>31</v>
      </c>
      <c r="I26" s="20" t="s">
        <v>8</v>
      </c>
    </row>
    <row r="27" spans="1:9" ht="15" customHeight="1" x14ac:dyDescent="0.25">
      <c r="A27" s="155"/>
      <c r="B27" s="155"/>
      <c r="C27" s="155"/>
      <c r="D27" s="155"/>
      <c r="E27" s="155"/>
      <c r="F27" s="155"/>
      <c r="G27" s="16"/>
      <c r="H27" s="21" t="s">
        <v>32</v>
      </c>
      <c r="I27" s="9" t="s">
        <v>8</v>
      </c>
    </row>
    <row r="28" spans="1:9" ht="26.25" customHeight="1" x14ac:dyDescent="0.25">
      <c r="A28" s="155" t="s">
        <v>193</v>
      </c>
      <c r="B28" s="155"/>
      <c r="C28" s="155"/>
      <c r="D28" s="155"/>
      <c r="E28" s="155"/>
      <c r="F28" s="155"/>
      <c r="G28" s="16"/>
      <c r="H28" s="10" t="s">
        <v>31</v>
      </c>
      <c r="I28" s="20" t="s">
        <v>8</v>
      </c>
    </row>
    <row r="29" spans="1:9" ht="35.25" customHeight="1" x14ac:dyDescent="0.25">
      <c r="A29" s="155" t="s">
        <v>34</v>
      </c>
      <c r="B29" s="155"/>
      <c r="C29" s="155"/>
      <c r="D29" s="155"/>
      <c r="E29" s="155"/>
      <c r="F29" s="155"/>
      <c r="G29" s="10"/>
      <c r="H29" s="8" t="s">
        <v>28</v>
      </c>
      <c r="I29" s="9">
        <v>0.2</v>
      </c>
    </row>
    <row r="30" spans="1:9" ht="1.1499999999999999" customHeight="1" x14ac:dyDescent="0.25">
      <c r="A30" s="166"/>
      <c r="B30" s="166"/>
      <c r="C30" s="166"/>
      <c r="D30" s="166"/>
      <c r="E30" s="166"/>
      <c r="F30" s="166"/>
      <c r="G30" s="166"/>
      <c r="H30" s="166"/>
      <c r="I30" s="166"/>
    </row>
    <row r="31" spans="1:9" ht="1.1499999999999999" customHeight="1" x14ac:dyDescent="0.25">
      <c r="A31" s="167"/>
      <c r="B31" s="167"/>
      <c r="C31" s="167"/>
      <c r="D31" s="167"/>
      <c r="E31" s="167"/>
      <c r="F31" s="167"/>
      <c r="G31" s="167"/>
      <c r="H31" s="167"/>
      <c r="I31" s="167"/>
    </row>
    <row r="32" spans="1:9" ht="1.1499999999999999" customHeight="1" x14ac:dyDescent="0.25">
      <c r="A32" s="167"/>
      <c r="B32" s="167"/>
      <c r="C32" s="167"/>
      <c r="D32" s="167"/>
      <c r="E32" s="167"/>
      <c r="F32" s="167"/>
      <c r="G32" s="167"/>
      <c r="H32" s="167"/>
      <c r="I32" s="167"/>
    </row>
    <row r="33" spans="1:10" ht="1.1499999999999999" customHeight="1" x14ac:dyDescent="0.25">
      <c r="A33" s="167"/>
      <c r="B33" s="167"/>
      <c r="C33" s="167"/>
      <c r="D33" s="167"/>
      <c r="E33" s="167"/>
      <c r="F33" s="167"/>
      <c r="G33" s="167"/>
      <c r="H33" s="167"/>
      <c r="I33" s="167"/>
    </row>
    <row r="34" spans="1:10" ht="3.6" customHeight="1" x14ac:dyDescent="0.25">
      <c r="A34" s="168"/>
      <c r="B34" s="168"/>
      <c r="C34" s="168"/>
      <c r="D34" s="168"/>
      <c r="E34" s="168"/>
      <c r="F34" s="168"/>
      <c r="G34" s="168"/>
      <c r="H34" s="168"/>
      <c r="I34" s="168"/>
    </row>
    <row r="35" spans="1:10" ht="17.25" customHeight="1" x14ac:dyDescent="0.25">
      <c r="A35" s="130" t="s">
        <v>35</v>
      </c>
      <c r="B35" s="130"/>
      <c r="C35" s="130"/>
      <c r="D35" s="130"/>
      <c r="E35" s="130"/>
      <c r="F35" s="130"/>
      <c r="G35" s="130"/>
      <c r="H35" s="130"/>
      <c r="I35" s="130"/>
    </row>
    <row r="36" spans="1:10" ht="33.75" customHeight="1" x14ac:dyDescent="0.25">
      <c r="A36" s="22" t="s">
        <v>36</v>
      </c>
      <c r="B36" s="150" t="s">
        <v>37</v>
      </c>
      <c r="C36" s="150"/>
      <c r="D36" s="150"/>
      <c r="E36" s="150"/>
      <c r="F36" s="150"/>
      <c r="G36" s="150"/>
      <c r="H36" s="22" t="s">
        <v>38</v>
      </c>
      <c r="I36" s="22" t="s">
        <v>39</v>
      </c>
    </row>
    <row r="37" spans="1:10" ht="15" customHeight="1" x14ac:dyDescent="0.25">
      <c r="A37" s="14">
        <v>1</v>
      </c>
      <c r="B37" s="131" t="s">
        <v>40</v>
      </c>
      <c r="C37" s="131"/>
      <c r="D37" s="131"/>
      <c r="E37" s="131"/>
      <c r="F37" s="131"/>
      <c r="G37" s="131"/>
      <c r="H37" s="23">
        <f t="shared" ref="H37:H47" si="0">I37/$I$48</f>
        <v>0.75152317835407645</v>
      </c>
      <c r="I37" s="24">
        <f>IF(D6="12x36",I10,I10/H10*I5)</f>
        <v>2105.4</v>
      </c>
    </row>
    <row r="38" spans="1:10" ht="15" customHeight="1" x14ac:dyDescent="0.25">
      <c r="A38" s="14">
        <f t="shared" ref="A38:A47" si="1">A37+1</f>
        <v>2</v>
      </c>
      <c r="B38" s="131" t="s">
        <v>41</v>
      </c>
      <c r="C38" s="131"/>
      <c r="D38" s="131"/>
      <c r="E38" s="131"/>
      <c r="F38" s="131"/>
      <c r="G38" s="131"/>
      <c r="H38" s="23">
        <f t="shared" si="0"/>
        <v>0.23076923076923078</v>
      </c>
      <c r="I38" s="24">
        <f>IF(I9=30%,(I37+I45+I46)*I9,0)</f>
        <v>646.50240000000008</v>
      </c>
    </row>
    <row r="39" spans="1:10" ht="15" customHeight="1" x14ac:dyDescent="0.25">
      <c r="A39" s="14">
        <f t="shared" si="1"/>
        <v>3</v>
      </c>
      <c r="B39" s="131" t="s">
        <v>42</v>
      </c>
      <c r="C39" s="131"/>
      <c r="D39" s="131"/>
      <c r="E39" s="131"/>
      <c r="F39" s="131"/>
      <c r="G39" s="131"/>
      <c r="H39" s="23">
        <f t="shared" si="0"/>
        <v>0</v>
      </c>
      <c r="I39" s="24">
        <f>IF(I7=10%,I25*I7,0)</f>
        <v>0</v>
      </c>
    </row>
    <row r="40" spans="1:10" ht="15" customHeight="1" x14ac:dyDescent="0.25">
      <c r="A40" s="14">
        <f t="shared" si="1"/>
        <v>4</v>
      </c>
      <c r="B40" s="131" t="s">
        <v>43</v>
      </c>
      <c r="C40" s="131"/>
      <c r="D40" s="131"/>
      <c r="E40" s="131"/>
      <c r="F40" s="131"/>
      <c r="G40" s="131"/>
      <c r="H40" s="23">
        <f t="shared" si="0"/>
        <v>0</v>
      </c>
      <c r="I40" s="24">
        <f>IF(I7=20%,I25*I7,0)</f>
        <v>0</v>
      </c>
    </row>
    <row r="41" spans="1:10" ht="15" customHeight="1" x14ac:dyDescent="0.25">
      <c r="A41" s="14">
        <f t="shared" si="1"/>
        <v>5</v>
      </c>
      <c r="B41" s="131" t="s">
        <v>44</v>
      </c>
      <c r="C41" s="131"/>
      <c r="D41" s="131"/>
      <c r="E41" s="131"/>
      <c r="F41" s="131"/>
      <c r="G41" s="131"/>
      <c r="H41" s="23">
        <f t="shared" si="0"/>
        <v>0</v>
      </c>
      <c r="I41" s="24">
        <f>IF(I7=40%,I25*I7,0)</f>
        <v>0</v>
      </c>
    </row>
    <row r="42" spans="1:10" ht="15" customHeight="1" x14ac:dyDescent="0.25">
      <c r="A42" s="14">
        <f t="shared" si="1"/>
        <v>6</v>
      </c>
      <c r="B42" s="131" t="s">
        <v>192</v>
      </c>
      <c r="C42" s="131"/>
      <c r="D42" s="131"/>
      <c r="E42" s="131"/>
      <c r="F42" s="131"/>
      <c r="G42" s="131"/>
      <c r="H42" s="23">
        <f t="shared" si="0"/>
        <v>0</v>
      </c>
      <c r="I42" s="24">
        <f>IF(I24="Não aplicável",0,I37*I24)</f>
        <v>0</v>
      </c>
    </row>
    <row r="43" spans="1:10" ht="15" customHeight="1" x14ac:dyDescent="0.25">
      <c r="A43" s="14">
        <f t="shared" si="1"/>
        <v>7</v>
      </c>
      <c r="B43" s="131" t="s">
        <v>45</v>
      </c>
      <c r="C43" s="131"/>
      <c r="D43" s="131"/>
      <c r="E43" s="131"/>
      <c r="F43" s="131"/>
      <c r="G43" s="131"/>
      <c r="H43" s="23">
        <f t="shared" si="0"/>
        <v>0</v>
      </c>
      <c r="I43" s="24">
        <f>IF(I26="Não aplicável",0,(I37+I38+I39+I40+I41+I42+I47)/I5*I26*(1+I27))</f>
        <v>0</v>
      </c>
    </row>
    <row r="44" spans="1:10" ht="23.25" customHeight="1" x14ac:dyDescent="0.25">
      <c r="A44" s="14">
        <f t="shared" si="1"/>
        <v>8</v>
      </c>
      <c r="B44" s="131" t="s">
        <v>46</v>
      </c>
      <c r="C44" s="131"/>
      <c r="D44" s="131"/>
      <c r="E44" s="131"/>
      <c r="F44" s="131"/>
      <c r="G44" s="131"/>
      <c r="H44" s="23">
        <f t="shared" si="0"/>
        <v>0</v>
      </c>
      <c r="I44" s="24">
        <f>IF(I26="Não aplicável",0,I26/I13*5*(I10/H10*(1+I27)))</f>
        <v>0</v>
      </c>
    </row>
    <row r="45" spans="1:10" ht="15" customHeight="1" x14ac:dyDescent="0.25">
      <c r="A45" s="14">
        <f t="shared" si="1"/>
        <v>9</v>
      </c>
      <c r="B45" s="131" t="s">
        <v>47</v>
      </c>
      <c r="C45" s="131"/>
      <c r="D45" s="131"/>
      <c r="E45" s="131"/>
      <c r="F45" s="131"/>
      <c r="G45" s="131"/>
      <c r="H45" s="23">
        <f t="shared" si="0"/>
        <v>1.4756325730577335E-2</v>
      </c>
      <c r="I45" s="24">
        <f>I12*I13</f>
        <v>41.34</v>
      </c>
    </row>
    <row r="46" spans="1:10" ht="15" customHeight="1" x14ac:dyDescent="0.25">
      <c r="A46" s="14">
        <f t="shared" si="1"/>
        <v>10</v>
      </c>
      <c r="B46" s="131" t="s">
        <v>48</v>
      </c>
      <c r="C46" s="131"/>
      <c r="D46" s="131"/>
      <c r="E46" s="131"/>
      <c r="F46" s="131"/>
      <c r="G46" s="131"/>
      <c r="H46" s="23">
        <f t="shared" si="0"/>
        <v>2.9512651461154672E-3</v>
      </c>
      <c r="I46" s="24">
        <f>I45*20%</f>
        <v>8.2680000000000007</v>
      </c>
    </row>
    <row r="47" spans="1:10" ht="15" customHeight="1" x14ac:dyDescent="0.25">
      <c r="A47" s="14">
        <f t="shared" si="1"/>
        <v>11</v>
      </c>
      <c r="B47" s="162" t="str">
        <f>IF(D6="12x36","Para postos 12x36 os feriados são considerados compensados, conforme parágrafo único, Art. 59-A da CLT","Outros")</f>
        <v>Outros</v>
      </c>
      <c r="C47" s="162"/>
      <c r="D47" s="162"/>
      <c r="E47" s="162"/>
      <c r="F47" s="162"/>
      <c r="G47" s="162"/>
      <c r="H47" s="23">
        <f t="shared" si="0"/>
        <v>0</v>
      </c>
      <c r="I47" s="24">
        <v>0</v>
      </c>
    </row>
    <row r="48" spans="1:10" s="28" customFormat="1" ht="15" customHeight="1" x14ac:dyDescent="0.25">
      <c r="A48" s="146" t="s">
        <v>49</v>
      </c>
      <c r="B48" s="146"/>
      <c r="C48" s="146"/>
      <c r="D48" s="146"/>
      <c r="E48" s="146"/>
      <c r="F48" s="146"/>
      <c r="G48" s="146"/>
      <c r="H48" s="25">
        <f>SUM(H37:H47)</f>
        <v>1</v>
      </c>
      <c r="I48" s="26">
        <f>SUM(I37:I47)</f>
        <v>2801.5104000000001</v>
      </c>
      <c r="J48" s="27"/>
    </row>
    <row r="49" spans="1:10" s="28" customFormat="1" ht="1.1499999999999999" customHeight="1" x14ac:dyDescent="0.25">
      <c r="A49" s="163"/>
      <c r="B49" s="163"/>
      <c r="C49" s="163"/>
      <c r="D49" s="163"/>
      <c r="E49" s="163"/>
      <c r="F49" s="163"/>
      <c r="G49" s="163"/>
      <c r="H49" s="163"/>
      <c r="I49" s="163"/>
      <c r="J49" s="27"/>
    </row>
    <row r="50" spans="1:10" s="28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27"/>
    </row>
    <row r="51" spans="1:10" s="28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27"/>
    </row>
    <row r="52" spans="1:10" s="28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27"/>
    </row>
    <row r="53" spans="1:10" s="28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27"/>
    </row>
    <row r="54" spans="1:10" s="28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27"/>
    </row>
    <row r="55" spans="1:10" s="28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27"/>
    </row>
    <row r="56" spans="1:10" ht="1.1499999999999999" customHeight="1" x14ac:dyDescent="0.25">
      <c r="A56" s="165"/>
      <c r="B56" s="165"/>
      <c r="C56" s="165"/>
      <c r="D56" s="165"/>
      <c r="E56" s="165"/>
      <c r="F56" s="165"/>
      <c r="G56" s="165"/>
      <c r="H56" s="165"/>
      <c r="I56" s="165"/>
    </row>
    <row r="57" spans="1:10" ht="33.75" customHeight="1" x14ac:dyDescent="0.25">
      <c r="A57" s="22" t="s">
        <v>50</v>
      </c>
      <c r="B57" s="150" t="s">
        <v>51</v>
      </c>
      <c r="C57" s="150"/>
      <c r="D57" s="150"/>
      <c r="E57" s="150"/>
      <c r="F57" s="150"/>
      <c r="G57" s="150"/>
      <c r="H57" s="22" t="s">
        <v>38</v>
      </c>
      <c r="I57" s="22" t="s">
        <v>39</v>
      </c>
    </row>
    <row r="58" spans="1:10" ht="15" customHeight="1" x14ac:dyDescent="0.25">
      <c r="A58" s="14">
        <v>1</v>
      </c>
      <c r="B58" s="131" t="s">
        <v>52</v>
      </c>
      <c r="C58" s="131"/>
      <c r="D58" s="131"/>
      <c r="E58" s="131"/>
      <c r="F58" s="131"/>
      <c r="G58" s="131"/>
      <c r="H58" s="23">
        <v>0.2</v>
      </c>
      <c r="I58" s="24">
        <f t="shared" ref="I58:I65" si="2">$I$48*H58</f>
        <v>560.30208000000005</v>
      </c>
    </row>
    <row r="59" spans="1:10" ht="15" customHeight="1" x14ac:dyDescent="0.25">
      <c r="A59" s="14">
        <v>2</v>
      </c>
      <c r="B59" s="131" t="s">
        <v>53</v>
      </c>
      <c r="C59" s="131"/>
      <c r="D59" s="131"/>
      <c r="E59" s="131"/>
      <c r="F59" s="131"/>
      <c r="G59" s="131"/>
      <c r="H59" s="23">
        <v>1.4999999999999999E-2</v>
      </c>
      <c r="I59" s="24">
        <f t="shared" si="2"/>
        <v>42.022655999999998</v>
      </c>
    </row>
    <row r="60" spans="1:10" ht="15" customHeight="1" x14ac:dyDescent="0.25">
      <c r="A60" s="14">
        <v>3</v>
      </c>
      <c r="B60" s="131" t="s">
        <v>54</v>
      </c>
      <c r="C60" s="131"/>
      <c r="D60" s="131"/>
      <c r="E60" s="131"/>
      <c r="F60" s="131"/>
      <c r="G60" s="131"/>
      <c r="H60" s="23">
        <v>0.01</v>
      </c>
      <c r="I60" s="24">
        <f t="shared" si="2"/>
        <v>28.015104000000001</v>
      </c>
    </row>
    <row r="61" spans="1:10" ht="15" customHeight="1" x14ac:dyDescent="0.25">
      <c r="A61" s="14">
        <v>4</v>
      </c>
      <c r="B61" s="131" t="s">
        <v>55</v>
      </c>
      <c r="C61" s="131"/>
      <c r="D61" s="131"/>
      <c r="E61" s="131"/>
      <c r="F61" s="131"/>
      <c r="G61" s="131"/>
      <c r="H61" s="23">
        <v>2E-3</v>
      </c>
      <c r="I61" s="24">
        <f t="shared" si="2"/>
        <v>5.6030208000000004</v>
      </c>
    </row>
    <row r="62" spans="1:10" ht="15" customHeight="1" x14ac:dyDescent="0.25">
      <c r="A62" s="14">
        <v>5</v>
      </c>
      <c r="B62" s="131" t="s">
        <v>56</v>
      </c>
      <c r="C62" s="131"/>
      <c r="D62" s="131"/>
      <c r="E62" s="131"/>
      <c r="F62" s="131"/>
      <c r="G62" s="131"/>
      <c r="H62" s="23">
        <v>2.5000000000000001E-2</v>
      </c>
      <c r="I62" s="24">
        <f t="shared" si="2"/>
        <v>70.037760000000006</v>
      </c>
    </row>
    <row r="63" spans="1:10" ht="15" customHeight="1" x14ac:dyDescent="0.25">
      <c r="A63" s="14">
        <v>6</v>
      </c>
      <c r="B63" s="131" t="s">
        <v>57</v>
      </c>
      <c r="C63" s="131"/>
      <c r="D63" s="131"/>
      <c r="E63" s="131"/>
      <c r="F63" s="131"/>
      <c r="G63" s="131"/>
      <c r="H63" s="23">
        <v>0.08</v>
      </c>
      <c r="I63" s="24">
        <f t="shared" si="2"/>
        <v>224.12083200000001</v>
      </c>
    </row>
    <row r="64" spans="1:10" ht="15" customHeight="1" x14ac:dyDescent="0.25">
      <c r="A64" s="14">
        <v>7</v>
      </c>
      <c r="B64" s="131" t="s">
        <v>58</v>
      </c>
      <c r="C64" s="131"/>
      <c r="D64" s="131"/>
      <c r="E64" s="131"/>
      <c r="F64" s="131"/>
      <c r="G64" s="131"/>
      <c r="H64" s="23">
        <v>0.03</v>
      </c>
      <c r="I64" s="24">
        <f t="shared" si="2"/>
        <v>84.045311999999996</v>
      </c>
    </row>
    <row r="65" spans="1:10" ht="15" customHeight="1" x14ac:dyDescent="0.25">
      <c r="A65" s="14">
        <v>8</v>
      </c>
      <c r="B65" s="131" t="s">
        <v>59</v>
      </c>
      <c r="C65" s="131"/>
      <c r="D65" s="131"/>
      <c r="E65" s="131"/>
      <c r="F65" s="131"/>
      <c r="G65" s="131"/>
      <c r="H65" s="23">
        <v>6.0000000000000001E-3</v>
      </c>
      <c r="I65" s="24">
        <f t="shared" si="2"/>
        <v>16.809062400000002</v>
      </c>
    </row>
    <row r="66" spans="1:10" s="28" customFormat="1" ht="15" customHeight="1" x14ac:dyDescent="0.25">
      <c r="A66" s="146" t="s">
        <v>60</v>
      </c>
      <c r="B66" s="146"/>
      <c r="C66" s="146"/>
      <c r="D66" s="146"/>
      <c r="E66" s="146"/>
      <c r="F66" s="146"/>
      <c r="G66" s="146"/>
      <c r="H66" s="25">
        <f>SUM(H58:H65)</f>
        <v>0.3680000000000001</v>
      </c>
      <c r="I66" s="26">
        <f>SUM(I58:I65)</f>
        <v>1030.9558271999999</v>
      </c>
      <c r="J66" s="27"/>
    </row>
    <row r="67" spans="1:10" ht="15" customHeight="1" x14ac:dyDescent="0.25">
      <c r="A67" s="157" t="s">
        <v>61</v>
      </c>
      <c r="B67" s="157"/>
      <c r="C67" s="157"/>
      <c r="D67" s="157"/>
      <c r="E67" s="157"/>
      <c r="F67" s="157"/>
      <c r="G67" s="157"/>
      <c r="H67" s="157"/>
      <c r="I67" s="157"/>
    </row>
    <row r="68" spans="1:10" ht="30.75" customHeight="1" x14ac:dyDescent="0.25">
      <c r="A68" s="161" t="s">
        <v>62</v>
      </c>
      <c r="B68" s="161"/>
      <c r="C68" s="161"/>
      <c r="D68" s="161"/>
      <c r="E68" s="161"/>
      <c r="F68" s="161"/>
      <c r="G68" s="161"/>
      <c r="H68" s="161"/>
      <c r="I68" s="161"/>
    </row>
    <row r="69" spans="1:10" ht="33.75" customHeight="1" x14ac:dyDescent="0.25">
      <c r="A69" s="22" t="s">
        <v>63</v>
      </c>
      <c r="B69" s="150" t="s">
        <v>64</v>
      </c>
      <c r="C69" s="150"/>
      <c r="D69" s="150"/>
      <c r="E69" s="150"/>
      <c r="F69" s="150"/>
      <c r="G69" s="150"/>
      <c r="H69" s="22" t="s">
        <v>38</v>
      </c>
      <c r="I69" s="22" t="s">
        <v>39</v>
      </c>
    </row>
    <row r="70" spans="1:10" ht="15" customHeight="1" x14ac:dyDescent="0.25">
      <c r="A70" s="14">
        <v>1</v>
      </c>
      <c r="B70" s="131" t="s">
        <v>65</v>
      </c>
      <c r="C70" s="131"/>
      <c r="D70" s="131"/>
      <c r="E70" s="131"/>
      <c r="F70" s="131"/>
      <c r="G70" s="131"/>
      <c r="H70" s="23">
        <v>0.119314</v>
      </c>
      <c r="I70" s="24">
        <f t="shared" ref="I70:I77" si="3">$I$48*H70</f>
        <v>334.25941186560004</v>
      </c>
    </row>
    <row r="71" spans="1:10" ht="15" customHeight="1" x14ac:dyDescent="0.25">
      <c r="A71" s="14">
        <v>2</v>
      </c>
      <c r="B71" s="131" t="s">
        <v>66</v>
      </c>
      <c r="C71" s="131"/>
      <c r="D71" s="131"/>
      <c r="E71" s="131"/>
      <c r="F71" s="131"/>
      <c r="G71" s="131"/>
      <c r="H71" s="23">
        <v>2.0485E-2</v>
      </c>
      <c r="I71" s="24">
        <f t="shared" si="3"/>
        <v>57.388940544</v>
      </c>
    </row>
    <row r="72" spans="1:10" ht="15" customHeight="1" x14ac:dyDescent="0.25">
      <c r="A72" s="14">
        <v>3</v>
      </c>
      <c r="B72" s="131" t="s">
        <v>67</v>
      </c>
      <c r="C72" s="131"/>
      <c r="D72" s="131"/>
      <c r="E72" s="131"/>
      <c r="F72" s="131"/>
      <c r="G72" s="131"/>
      <c r="H72" s="23">
        <v>1.2127000000000001E-2</v>
      </c>
      <c r="I72" s="24">
        <f t="shared" si="3"/>
        <v>33.973916620800004</v>
      </c>
    </row>
    <row r="73" spans="1:10" ht="15" customHeight="1" x14ac:dyDescent="0.25">
      <c r="A73" s="14">
        <v>4</v>
      </c>
      <c r="B73" s="131" t="s">
        <v>68</v>
      </c>
      <c r="C73" s="131"/>
      <c r="D73" s="131"/>
      <c r="E73" s="131"/>
      <c r="F73" s="131"/>
      <c r="G73" s="131"/>
      <c r="H73" s="23">
        <v>2.7250793878226798E-3</v>
      </c>
      <c r="I73" s="24">
        <f t="shared" si="3"/>
        <v>7.6343382458108708</v>
      </c>
    </row>
    <row r="74" spans="1:10" ht="15" customHeight="1" x14ac:dyDescent="0.25">
      <c r="A74" s="14">
        <v>5</v>
      </c>
      <c r="B74" s="131" t="s">
        <v>69</v>
      </c>
      <c r="C74" s="131"/>
      <c r="D74" s="131"/>
      <c r="E74" s="131"/>
      <c r="F74" s="131"/>
      <c r="G74" s="131"/>
      <c r="H74" s="23">
        <v>4.7600000000000002E-4</v>
      </c>
      <c r="I74" s="24">
        <f t="shared" si="3"/>
        <v>1.3335189504</v>
      </c>
    </row>
    <row r="75" spans="1:10" ht="15" customHeight="1" x14ac:dyDescent="0.25">
      <c r="A75" s="14">
        <v>6</v>
      </c>
      <c r="B75" s="131" t="s">
        <v>70</v>
      </c>
      <c r="C75" s="131"/>
      <c r="D75" s="131"/>
      <c r="E75" s="131"/>
      <c r="F75" s="131"/>
      <c r="G75" s="131"/>
      <c r="H75" s="23">
        <v>4.4200000000000001E-4</v>
      </c>
      <c r="I75" s="24">
        <f t="shared" si="3"/>
        <v>1.2382675968000001</v>
      </c>
    </row>
    <row r="76" spans="1:10" ht="15" customHeight="1" x14ac:dyDescent="0.25">
      <c r="A76" s="14">
        <v>7</v>
      </c>
      <c r="B76" s="131" t="s">
        <v>71</v>
      </c>
      <c r="C76" s="131"/>
      <c r="D76" s="131"/>
      <c r="E76" s="131"/>
      <c r="F76" s="131"/>
      <c r="G76" s="131"/>
      <c r="H76" s="23">
        <v>1.85E-4</v>
      </c>
      <c r="I76" s="24">
        <f t="shared" si="3"/>
        <v>0.51827942400000004</v>
      </c>
    </row>
    <row r="77" spans="1:10" ht="15" customHeight="1" x14ac:dyDescent="0.25">
      <c r="A77" s="14">
        <v>8</v>
      </c>
      <c r="B77" s="131" t="s">
        <v>72</v>
      </c>
      <c r="C77" s="131"/>
      <c r="D77" s="131"/>
      <c r="E77" s="131"/>
      <c r="F77" s="131"/>
      <c r="G77" s="131"/>
      <c r="H77" s="23">
        <v>9.0789999999999996E-2</v>
      </c>
      <c r="I77" s="24">
        <f t="shared" si="3"/>
        <v>254.34912921599999</v>
      </c>
    </row>
    <row r="78" spans="1:10" s="28" customFormat="1" ht="15" customHeight="1" x14ac:dyDescent="0.25">
      <c r="A78" s="146" t="s">
        <v>73</v>
      </c>
      <c r="B78" s="146"/>
      <c r="C78" s="146"/>
      <c r="D78" s="146"/>
      <c r="E78" s="146"/>
      <c r="F78" s="146"/>
      <c r="G78" s="146"/>
      <c r="H78" s="25">
        <f>SUM(H70:H77)</f>
        <v>0.24654407938782269</v>
      </c>
      <c r="I78" s="26">
        <f>SUM(I70:I77)</f>
        <v>690.69580246341093</v>
      </c>
      <c r="J78" s="27"/>
    </row>
    <row r="79" spans="1:10" ht="11.25" customHeight="1" x14ac:dyDescent="0.25">
      <c r="A79" s="29" t="s">
        <v>74</v>
      </c>
      <c r="B79" s="147" t="s">
        <v>75</v>
      </c>
      <c r="C79" s="147"/>
      <c r="D79" s="147"/>
      <c r="E79" s="147"/>
      <c r="F79" s="147"/>
      <c r="G79" s="147"/>
      <c r="H79" s="147"/>
      <c r="I79" s="147"/>
    </row>
    <row r="80" spans="1:10" ht="15" customHeight="1" x14ac:dyDescent="0.25">
      <c r="A80" s="29" t="s">
        <v>76</v>
      </c>
      <c r="B80" s="160" t="s">
        <v>77</v>
      </c>
      <c r="C80" s="160"/>
      <c r="D80" s="160"/>
      <c r="E80" s="160"/>
      <c r="F80" s="160"/>
      <c r="G80" s="160"/>
      <c r="H80" s="160"/>
      <c r="I80" s="160"/>
    </row>
    <row r="81" spans="1:11" ht="33.75" customHeight="1" x14ac:dyDescent="0.25">
      <c r="A81" s="22" t="s">
        <v>78</v>
      </c>
      <c r="B81" s="150" t="s">
        <v>79</v>
      </c>
      <c r="C81" s="150"/>
      <c r="D81" s="150"/>
      <c r="E81" s="150"/>
      <c r="F81" s="150"/>
      <c r="G81" s="150"/>
      <c r="H81" s="22" t="s">
        <v>38</v>
      </c>
      <c r="I81" s="22" t="s">
        <v>39</v>
      </c>
    </row>
    <row r="82" spans="1:11" ht="15" customHeight="1" x14ac:dyDescent="0.25">
      <c r="A82" s="14">
        <v>1</v>
      </c>
      <c r="B82" s="131" t="s">
        <v>80</v>
      </c>
      <c r="C82" s="131"/>
      <c r="D82" s="131"/>
      <c r="E82" s="131"/>
      <c r="F82" s="131"/>
      <c r="G82" s="131"/>
      <c r="H82" s="23">
        <v>4.8321000000000003E-2</v>
      </c>
      <c r="I82" s="24">
        <f>$I$48*H82</f>
        <v>135.37178403840002</v>
      </c>
    </row>
    <row r="83" spans="1:11" ht="15" customHeight="1" x14ac:dyDescent="0.25">
      <c r="A83" s="14">
        <v>2</v>
      </c>
      <c r="B83" s="131" t="s">
        <v>81</v>
      </c>
      <c r="C83" s="131"/>
      <c r="D83" s="131"/>
      <c r="E83" s="131"/>
      <c r="F83" s="131"/>
      <c r="G83" s="131"/>
      <c r="H83" s="23">
        <v>3.5109999999999998E-3</v>
      </c>
      <c r="I83" s="24">
        <f>$I$48*H83</f>
        <v>9.836103014399999</v>
      </c>
    </row>
    <row r="84" spans="1:11" ht="15" customHeight="1" x14ac:dyDescent="0.25">
      <c r="A84" s="14">
        <v>3</v>
      </c>
      <c r="B84" s="131" t="s">
        <v>82</v>
      </c>
      <c r="C84" s="131"/>
      <c r="D84" s="131"/>
      <c r="E84" s="131"/>
      <c r="F84" s="131"/>
      <c r="G84" s="131"/>
      <c r="H84" s="23">
        <v>1.9328000000000001E-2</v>
      </c>
      <c r="I84" s="24">
        <f>$I$48*H84</f>
        <v>54.147593011200009</v>
      </c>
    </row>
    <row r="85" spans="1:11" s="28" customFormat="1" ht="15" customHeight="1" x14ac:dyDescent="0.25">
      <c r="A85" s="146" t="s">
        <v>83</v>
      </c>
      <c r="B85" s="146"/>
      <c r="C85" s="146"/>
      <c r="D85" s="146"/>
      <c r="E85" s="146"/>
      <c r="F85" s="146"/>
      <c r="G85" s="146"/>
      <c r="H85" s="25">
        <f>SUM(H82:H84)</f>
        <v>7.1160000000000001E-2</v>
      </c>
      <c r="I85" s="26">
        <f>SUM(I82:I84)</f>
        <v>199.35548006400003</v>
      </c>
      <c r="J85" s="27"/>
    </row>
    <row r="86" spans="1:11" ht="4.5" customHeight="1" x14ac:dyDescent="0.25"/>
    <row r="87" spans="1:11" ht="33.75" customHeight="1" x14ac:dyDescent="0.25">
      <c r="A87" s="22" t="s">
        <v>84</v>
      </c>
      <c r="B87" s="150" t="s">
        <v>85</v>
      </c>
      <c r="C87" s="150"/>
      <c r="D87" s="150"/>
      <c r="E87" s="150"/>
      <c r="F87" s="150"/>
      <c r="G87" s="150"/>
      <c r="H87" s="22" t="s">
        <v>38</v>
      </c>
      <c r="I87" s="22" t="s">
        <v>39</v>
      </c>
    </row>
    <row r="88" spans="1:11" ht="15" customHeight="1" x14ac:dyDescent="0.25">
      <c r="A88" s="14">
        <v>1</v>
      </c>
      <c r="B88" s="131" t="s">
        <v>86</v>
      </c>
      <c r="C88" s="131"/>
      <c r="D88" s="131"/>
      <c r="E88" s="131"/>
      <c r="F88" s="131"/>
      <c r="G88" s="131"/>
      <c r="H88" s="23">
        <f>(H66*H78)</f>
        <v>9.0728221214718782E-2</v>
      </c>
      <c r="I88" s="24">
        <f>$I$48*H88</f>
        <v>254.17605530653532</v>
      </c>
    </row>
    <row r="89" spans="1:11" s="28" customFormat="1" ht="15" customHeight="1" x14ac:dyDescent="0.25">
      <c r="A89" s="146" t="s">
        <v>87</v>
      </c>
      <c r="B89" s="146"/>
      <c r="C89" s="146"/>
      <c r="D89" s="146"/>
      <c r="E89" s="146"/>
      <c r="F89" s="146"/>
      <c r="G89" s="146"/>
      <c r="H89" s="25">
        <f>SUM(H88:H88)</f>
        <v>9.0728221214718782E-2</v>
      </c>
      <c r="I89" s="26">
        <f>I88</f>
        <v>254.17605530653532</v>
      </c>
      <c r="J89" s="27"/>
      <c r="K89" s="30"/>
    </row>
    <row r="90" spans="1:11" ht="4.5" customHeight="1" x14ac:dyDescent="0.25">
      <c r="J90" s="31"/>
    </row>
    <row r="91" spans="1:11" s="28" customFormat="1" ht="12" customHeight="1" x14ac:dyDescent="0.25">
      <c r="A91" s="159" t="s">
        <v>203</v>
      </c>
      <c r="B91" s="159"/>
      <c r="C91" s="159"/>
      <c r="D91" s="159"/>
      <c r="E91" s="159"/>
      <c r="F91" s="159"/>
      <c r="G91" s="159"/>
      <c r="H91" s="32">
        <f>H66+H78+H85+H89</f>
        <v>0.77643230060254154</v>
      </c>
      <c r="I91" s="33">
        <f>I66+I78+I85+I89</f>
        <v>2175.1831650339464</v>
      </c>
      <c r="J91" s="27"/>
    </row>
    <row r="92" spans="1:11" ht="4.5" customHeight="1" x14ac:dyDescent="0.25"/>
    <row r="93" spans="1:11" ht="33.75" customHeight="1" x14ac:dyDescent="0.25">
      <c r="A93" s="22" t="s">
        <v>88</v>
      </c>
      <c r="B93" s="150" t="s">
        <v>89</v>
      </c>
      <c r="C93" s="150"/>
      <c r="D93" s="150"/>
      <c r="E93" s="150"/>
      <c r="F93" s="150"/>
      <c r="G93" s="150"/>
      <c r="H93" s="22" t="s">
        <v>38</v>
      </c>
      <c r="I93" s="22" t="s">
        <v>39</v>
      </c>
    </row>
    <row r="94" spans="1:11" ht="15" customHeight="1" x14ac:dyDescent="0.25">
      <c r="A94" s="14">
        <v>1</v>
      </c>
      <c r="B94" s="131" t="s">
        <v>24</v>
      </c>
      <c r="C94" s="131"/>
      <c r="D94" s="131"/>
      <c r="E94" s="131"/>
      <c r="F94" s="131"/>
      <c r="G94" s="131"/>
      <c r="H94" s="23">
        <f>I94/$I$48</f>
        <v>0.18846976259663359</v>
      </c>
      <c r="I94" s="24">
        <f>I111</f>
        <v>528</v>
      </c>
    </row>
    <row r="95" spans="1:11" ht="15" customHeight="1" x14ac:dyDescent="0.25">
      <c r="A95" s="14">
        <v>2</v>
      </c>
      <c r="B95" s="131" t="s">
        <v>25</v>
      </c>
      <c r="C95" s="131"/>
      <c r="D95" s="131"/>
      <c r="E95" s="131"/>
      <c r="F95" s="131"/>
      <c r="G95" s="131"/>
      <c r="H95" s="23">
        <f>I95/$I$48</f>
        <v>0</v>
      </c>
      <c r="I95" s="24">
        <f>I107</f>
        <v>0</v>
      </c>
    </row>
    <row r="96" spans="1:11" ht="15" customHeight="1" x14ac:dyDescent="0.25">
      <c r="A96" s="14">
        <v>3</v>
      </c>
      <c r="B96" s="131" t="s">
        <v>90</v>
      </c>
      <c r="C96" s="131"/>
      <c r="D96" s="131"/>
      <c r="E96" s="131"/>
      <c r="F96" s="131"/>
      <c r="G96" s="131"/>
      <c r="H96" s="23">
        <f>I96/$I$48</f>
        <v>5.1427972567940503E-2</v>
      </c>
      <c r="I96" s="24">
        <f>I103</f>
        <v>144.07600000000002</v>
      </c>
    </row>
    <row r="97" spans="1:10" ht="15" customHeight="1" x14ac:dyDescent="0.25">
      <c r="A97" s="14">
        <v>4</v>
      </c>
      <c r="B97" s="131" t="s">
        <v>91</v>
      </c>
      <c r="C97" s="131"/>
      <c r="D97" s="131"/>
      <c r="E97" s="131"/>
      <c r="F97" s="131"/>
      <c r="G97" s="131"/>
      <c r="H97" s="23">
        <f>I97/$I$48</f>
        <v>0</v>
      </c>
      <c r="I97" s="24">
        <f>IF(I28="Não aplicável",0,((I10/H10)*1.5*I28))</f>
        <v>0</v>
      </c>
    </row>
    <row r="98" spans="1:10" ht="15" customHeight="1" x14ac:dyDescent="0.25">
      <c r="A98" s="14">
        <v>5</v>
      </c>
      <c r="B98" s="131" t="s">
        <v>92</v>
      </c>
      <c r="C98" s="131"/>
      <c r="D98" s="131"/>
      <c r="E98" s="131"/>
      <c r="F98" s="131"/>
      <c r="G98" s="131"/>
      <c r="H98" s="23">
        <f>I98/$I$48</f>
        <v>0</v>
      </c>
      <c r="I98" s="24">
        <f>IF(I23="Não aplicável",0,I23)</f>
        <v>0</v>
      </c>
    </row>
    <row r="99" spans="1:10" ht="15" customHeight="1" x14ac:dyDescent="0.25">
      <c r="A99" s="146" t="s">
        <v>93</v>
      </c>
      <c r="B99" s="146"/>
      <c r="C99" s="146"/>
      <c r="D99" s="146"/>
      <c r="E99" s="146"/>
      <c r="F99" s="146"/>
      <c r="G99" s="146"/>
      <c r="H99" s="25">
        <f>SUM(H94:H98)</f>
        <v>0.23989773516457408</v>
      </c>
      <c r="I99" s="26">
        <f>SUM(I94:I98)</f>
        <v>672.07600000000002</v>
      </c>
      <c r="J99" s="34"/>
    </row>
    <row r="100" spans="1:10" ht="18" customHeight="1" x14ac:dyDescent="0.25">
      <c r="A100" s="29" t="s">
        <v>94</v>
      </c>
      <c r="B100" s="157" t="s">
        <v>95</v>
      </c>
      <c r="C100" s="157"/>
      <c r="D100" s="157"/>
      <c r="E100" s="157"/>
      <c r="F100" s="157"/>
      <c r="G100" s="157"/>
      <c r="H100" s="35"/>
      <c r="I100" s="36"/>
    </row>
    <row r="101" spans="1:10" ht="15" customHeight="1" x14ac:dyDescent="0.25">
      <c r="A101" s="140" t="s">
        <v>96</v>
      </c>
      <c r="B101" s="140"/>
      <c r="C101" s="140"/>
      <c r="D101" s="140"/>
      <c r="E101" s="140"/>
      <c r="F101" s="140"/>
      <c r="G101" s="140"/>
      <c r="H101" s="140"/>
      <c r="I101" s="140"/>
    </row>
    <row r="102" spans="1:10" ht="24" customHeight="1" x14ac:dyDescent="0.25">
      <c r="A102" s="155" t="s">
        <v>97</v>
      </c>
      <c r="B102" s="155"/>
      <c r="C102" s="14" t="s">
        <v>98</v>
      </c>
      <c r="D102" s="14" t="s">
        <v>99</v>
      </c>
      <c r="E102" s="14" t="s">
        <v>100</v>
      </c>
      <c r="F102" s="14" t="s">
        <v>101</v>
      </c>
      <c r="G102" s="14" t="s">
        <v>102</v>
      </c>
      <c r="H102" s="23" t="s">
        <v>103</v>
      </c>
      <c r="I102" s="24" t="s">
        <v>104</v>
      </c>
    </row>
    <row r="103" spans="1:10" ht="15" customHeight="1" x14ac:dyDescent="0.25">
      <c r="A103" s="158">
        <f>IF(I14="Não aplicável",0,I14)</f>
        <v>5.2</v>
      </c>
      <c r="B103" s="158"/>
      <c r="C103" s="14">
        <f>IF(I15="Não aplicável",0,I15)</f>
        <v>26</v>
      </c>
      <c r="D103" s="14">
        <v>2</v>
      </c>
      <c r="E103" s="37">
        <f>A103*C103*D103</f>
        <v>270.40000000000003</v>
      </c>
      <c r="F103" s="37">
        <f>I37</f>
        <v>2105.4</v>
      </c>
      <c r="G103" s="38">
        <f>IF(I16="Não aplicável",0,I16)</f>
        <v>0.06</v>
      </c>
      <c r="H103" s="37">
        <f>F103*G103</f>
        <v>126.324</v>
      </c>
      <c r="I103" s="24">
        <f>IF((E103-H103)&gt;0,E103-H103,0)</f>
        <v>144.07600000000002</v>
      </c>
    </row>
    <row r="104" spans="1:10" ht="3.75" customHeight="1" x14ac:dyDescent="0.25">
      <c r="A104" s="39"/>
      <c r="E104" s="34"/>
      <c r="F104" s="34"/>
      <c r="G104" s="40"/>
      <c r="H104" s="34"/>
      <c r="I104" s="41"/>
    </row>
    <row r="105" spans="1:10" ht="15" customHeight="1" x14ac:dyDescent="0.25">
      <c r="A105" s="140" t="s">
        <v>105</v>
      </c>
      <c r="B105" s="140"/>
      <c r="C105" s="140"/>
      <c r="D105" s="140"/>
      <c r="E105" s="140"/>
      <c r="F105" s="140"/>
      <c r="G105" s="140"/>
      <c r="H105" s="140"/>
      <c r="I105" s="140"/>
    </row>
    <row r="106" spans="1:10" ht="23.25" customHeight="1" x14ac:dyDescent="0.25">
      <c r="A106" s="155" t="s">
        <v>97</v>
      </c>
      <c r="B106" s="155"/>
      <c r="C106" s="14" t="s">
        <v>106</v>
      </c>
      <c r="D106" s="14" t="s">
        <v>99</v>
      </c>
      <c r="E106" s="14" t="s">
        <v>100</v>
      </c>
      <c r="F106" s="14" t="s">
        <v>101</v>
      </c>
      <c r="G106" s="14" t="s">
        <v>102</v>
      </c>
      <c r="H106" s="23" t="s">
        <v>103</v>
      </c>
      <c r="I106" s="24" t="s">
        <v>104</v>
      </c>
    </row>
    <row r="107" spans="1:10" ht="15" customHeight="1" x14ac:dyDescent="0.25">
      <c r="A107" s="156">
        <f>IF(I20="Não aplicável",0,I20)</f>
        <v>0</v>
      </c>
      <c r="B107" s="156"/>
      <c r="C107" s="42">
        <f>IF(I21="Não aplicável",0,I21)</f>
        <v>0</v>
      </c>
      <c r="D107" s="14">
        <v>1</v>
      </c>
      <c r="E107" s="37">
        <f>A107*C107*D107</f>
        <v>0</v>
      </c>
      <c r="F107" s="37">
        <f>E107</f>
        <v>0</v>
      </c>
      <c r="G107" s="43">
        <f>IF(I22="Não aplicável",0,I22)</f>
        <v>0</v>
      </c>
      <c r="H107" s="37">
        <f>F107*G107</f>
        <v>0</v>
      </c>
      <c r="I107" s="24">
        <f>E107-H107</f>
        <v>0</v>
      </c>
    </row>
    <row r="108" spans="1:10" ht="4.5" customHeight="1" x14ac:dyDescent="0.25">
      <c r="A108" s="44"/>
      <c r="B108" s="44"/>
      <c r="C108" s="44"/>
      <c r="D108" s="44"/>
      <c r="E108" s="27"/>
      <c r="F108" s="27"/>
      <c r="G108" s="45"/>
      <c r="H108" s="27"/>
      <c r="I108" s="46"/>
    </row>
    <row r="109" spans="1:10" ht="15" customHeight="1" x14ac:dyDescent="0.25">
      <c r="A109" s="140" t="s">
        <v>107</v>
      </c>
      <c r="B109" s="140"/>
      <c r="C109" s="140"/>
      <c r="D109" s="140"/>
      <c r="E109" s="140"/>
      <c r="F109" s="140"/>
      <c r="G109" s="140"/>
      <c r="H109" s="140"/>
      <c r="I109" s="140"/>
    </row>
    <row r="110" spans="1:10" ht="23.25" customHeight="1" x14ac:dyDescent="0.25">
      <c r="A110" s="155" t="s">
        <v>97</v>
      </c>
      <c r="B110" s="155"/>
      <c r="C110" s="14" t="s">
        <v>106</v>
      </c>
      <c r="D110" s="14" t="s">
        <v>99</v>
      </c>
      <c r="E110" s="14" t="s">
        <v>100</v>
      </c>
      <c r="F110" s="14" t="s">
        <v>101</v>
      </c>
      <c r="G110" s="14" t="s">
        <v>102</v>
      </c>
      <c r="H110" s="23" t="str">
        <f>H102</f>
        <v>Valor desconto</v>
      </c>
      <c r="I110" s="24" t="s">
        <v>104</v>
      </c>
    </row>
    <row r="111" spans="1:10" ht="15" customHeight="1" x14ac:dyDescent="0.25">
      <c r="A111" s="156">
        <f>IF(I17="Não aplicável",0,I17)</f>
        <v>30</v>
      </c>
      <c r="B111" s="156"/>
      <c r="C111" s="42">
        <f>IF(I18="Não aplicável",0,I18)</f>
        <v>22</v>
      </c>
      <c r="D111" s="14">
        <v>1</v>
      </c>
      <c r="E111" s="37">
        <f>A111*C111*D111</f>
        <v>660</v>
      </c>
      <c r="F111" s="37">
        <f>E111</f>
        <v>660</v>
      </c>
      <c r="G111" s="43">
        <f>IF(I19="Não aplicável",0,I19)</f>
        <v>0.2</v>
      </c>
      <c r="H111" s="37">
        <f>F111*G111</f>
        <v>132</v>
      </c>
      <c r="I111" s="24">
        <f>E111-H111</f>
        <v>528</v>
      </c>
    </row>
    <row r="112" spans="1:10" ht="4.5" customHeight="1" x14ac:dyDescent="0.25"/>
    <row r="113" spans="1:12" ht="12" customHeight="1" x14ac:dyDescent="0.25">
      <c r="A113" s="129" t="s">
        <v>108</v>
      </c>
      <c r="B113" s="129"/>
      <c r="C113" s="129"/>
      <c r="D113" s="129"/>
      <c r="E113" s="129"/>
      <c r="F113" s="129"/>
      <c r="G113" s="129"/>
      <c r="H113" s="47">
        <f>H48+H91+H99</f>
        <v>2.0163300357671154</v>
      </c>
      <c r="I113" s="48">
        <f>I48+I91+I99</f>
        <v>5648.7695650339465</v>
      </c>
      <c r="J113" s="34"/>
      <c r="L113" s="34"/>
    </row>
    <row r="114" spans="1:12" s="53" customFormat="1" ht="4.5" customHeight="1" x14ac:dyDescent="0.25">
      <c r="A114" s="49"/>
      <c r="B114" s="49"/>
      <c r="C114" s="49"/>
      <c r="D114" s="49"/>
      <c r="E114" s="49"/>
      <c r="F114" s="49"/>
      <c r="G114" s="49"/>
      <c r="H114" s="50"/>
      <c r="I114" s="51"/>
      <c r="J114" s="52"/>
      <c r="L114" s="52"/>
    </row>
    <row r="115" spans="1:12" ht="11.25" customHeight="1" x14ac:dyDescent="0.25">
      <c r="A115" s="130" t="s">
        <v>109</v>
      </c>
      <c r="B115" s="130"/>
      <c r="C115" s="130"/>
      <c r="D115" s="130"/>
      <c r="E115" s="130"/>
      <c r="F115" s="130"/>
      <c r="G115" s="130"/>
      <c r="H115" s="130"/>
      <c r="I115" s="130"/>
    </row>
    <row r="116" spans="1:12" ht="33.75" customHeight="1" x14ac:dyDescent="0.25">
      <c r="A116" s="22" t="s">
        <v>36</v>
      </c>
      <c r="B116" s="150" t="s">
        <v>110</v>
      </c>
      <c r="C116" s="150"/>
      <c r="D116" s="150"/>
      <c r="E116" s="150"/>
      <c r="F116" s="150"/>
      <c r="G116" s="150"/>
      <c r="H116" s="22" t="s">
        <v>38</v>
      </c>
      <c r="I116" s="22" t="s">
        <v>39</v>
      </c>
    </row>
    <row r="117" spans="1:12" ht="15" customHeight="1" x14ac:dyDescent="0.25">
      <c r="A117" s="14">
        <v>1</v>
      </c>
      <c r="B117" s="131" t="s">
        <v>111</v>
      </c>
      <c r="C117" s="131"/>
      <c r="D117" s="131"/>
      <c r="E117" s="131"/>
      <c r="F117" s="131"/>
      <c r="G117" s="131"/>
      <c r="H117" s="23">
        <f t="shared" ref="H117:H123" si="4">I117/$I$129</f>
        <v>0</v>
      </c>
      <c r="I117" s="24">
        <v>0</v>
      </c>
    </row>
    <row r="118" spans="1:12" ht="15" customHeight="1" x14ac:dyDescent="0.25">
      <c r="A118" s="14">
        <v>2</v>
      </c>
      <c r="B118" s="154" t="s">
        <v>112</v>
      </c>
      <c r="C118" s="154"/>
      <c r="D118" s="154"/>
      <c r="E118" s="154"/>
      <c r="F118" s="154"/>
      <c r="G118" s="154"/>
      <c r="H118" s="23">
        <f t="shared" si="4"/>
        <v>0</v>
      </c>
      <c r="I118" s="24">
        <f>IF(F127=10%,G127,0)</f>
        <v>0</v>
      </c>
    </row>
    <row r="119" spans="1:12" ht="15" customHeight="1" x14ac:dyDescent="0.25">
      <c r="A119" s="14">
        <v>3</v>
      </c>
      <c r="B119" s="131" t="s">
        <v>113</v>
      </c>
      <c r="C119" s="131"/>
      <c r="D119" s="131"/>
      <c r="E119" s="131"/>
      <c r="F119" s="131"/>
      <c r="G119" s="131"/>
      <c r="H119" s="23">
        <f t="shared" si="4"/>
        <v>0</v>
      </c>
      <c r="I119" s="24">
        <v>0</v>
      </c>
    </row>
    <row r="120" spans="1:12" ht="15" customHeight="1" x14ac:dyDescent="0.25">
      <c r="A120" s="14">
        <v>4</v>
      </c>
      <c r="B120" s="131" t="s">
        <v>211</v>
      </c>
      <c r="C120" s="131"/>
      <c r="D120" s="131"/>
      <c r="E120" s="131"/>
      <c r="F120" s="131"/>
      <c r="G120" s="131"/>
      <c r="H120" s="23">
        <f t="shared" si="4"/>
        <v>0.2</v>
      </c>
      <c r="I120" s="24">
        <f>IF(F127=20%,G127,0)</f>
        <v>1100.9387130067894</v>
      </c>
    </row>
    <row r="121" spans="1:12" ht="15" customHeight="1" x14ac:dyDescent="0.25">
      <c r="A121" s="14">
        <v>5</v>
      </c>
      <c r="B121" s="131" t="s">
        <v>212</v>
      </c>
      <c r="C121" s="131"/>
      <c r="D121" s="131"/>
      <c r="E121" s="131"/>
      <c r="F121" s="131"/>
      <c r="G121" s="131"/>
      <c r="H121" s="23">
        <f t="shared" si="4"/>
        <v>0</v>
      </c>
      <c r="I121" s="24">
        <v>0</v>
      </c>
    </row>
    <row r="122" spans="1:12" ht="15" customHeight="1" x14ac:dyDescent="0.25">
      <c r="A122" s="14">
        <v>6</v>
      </c>
      <c r="B122" s="131" t="s">
        <v>213</v>
      </c>
      <c r="C122" s="131"/>
      <c r="D122" s="131"/>
      <c r="E122" s="131"/>
      <c r="F122" s="131"/>
      <c r="G122" s="131"/>
      <c r="H122" s="23">
        <f t="shared" si="4"/>
        <v>0</v>
      </c>
      <c r="I122" s="24">
        <v>0</v>
      </c>
    </row>
    <row r="123" spans="1:12" ht="15" customHeight="1" x14ac:dyDescent="0.25">
      <c r="A123" s="14">
        <v>7</v>
      </c>
      <c r="B123" s="131" t="s">
        <v>114</v>
      </c>
      <c r="C123" s="131"/>
      <c r="D123" s="131"/>
      <c r="E123" s="131"/>
      <c r="F123" s="131"/>
      <c r="G123" s="131"/>
      <c r="H123" s="23">
        <f t="shared" si="4"/>
        <v>0</v>
      </c>
      <c r="I123" s="24">
        <v>0</v>
      </c>
    </row>
    <row r="124" spans="1:12" ht="15" customHeight="1" x14ac:dyDescent="0.25">
      <c r="A124" s="146" t="s">
        <v>115</v>
      </c>
      <c r="B124" s="146"/>
      <c r="C124" s="146"/>
      <c r="D124" s="146"/>
      <c r="E124" s="146"/>
      <c r="F124" s="146"/>
      <c r="G124" s="146"/>
      <c r="H124" s="25">
        <f>H117+H118+H119+H120+H122+H123</f>
        <v>0.2</v>
      </c>
      <c r="I124" s="54">
        <f>SUM(I117:I123)</f>
        <v>1100.9387130067894</v>
      </c>
      <c r="J124" s="34"/>
    </row>
    <row r="125" spans="1:12" ht="43.15" customHeight="1" x14ac:dyDescent="0.25">
      <c r="B125" s="147" t="s">
        <v>214</v>
      </c>
      <c r="C125" s="147"/>
      <c r="D125" s="147"/>
      <c r="E125" s="147"/>
      <c r="F125" s="147"/>
      <c r="G125" s="147"/>
      <c r="H125" s="147"/>
      <c r="I125" s="147"/>
    </row>
    <row r="126" spans="1:12" ht="5.25" customHeight="1" x14ac:dyDescent="0.25"/>
    <row r="127" spans="1:12" ht="48.75" customHeight="1" x14ac:dyDescent="0.25">
      <c r="A127" s="152" t="s">
        <v>116</v>
      </c>
      <c r="B127" s="152"/>
      <c r="C127" s="152"/>
      <c r="D127" s="152"/>
      <c r="E127" s="152"/>
      <c r="F127" s="55">
        <f>I29</f>
        <v>0.2</v>
      </c>
      <c r="G127" s="56">
        <f>I129*F127</f>
        <v>1100.9387130067894</v>
      </c>
      <c r="H127" s="57" t="s">
        <v>117</v>
      </c>
      <c r="I127" s="58">
        <f>I96</f>
        <v>144.07600000000002</v>
      </c>
    </row>
    <row r="128" spans="1:12" s="61" customFormat="1" ht="16.5" customHeight="1" x14ac:dyDescent="0.25">
      <c r="A128" s="148" t="s">
        <v>118</v>
      </c>
      <c r="B128" s="148"/>
      <c r="C128" s="57" t="s">
        <v>119</v>
      </c>
      <c r="D128" s="57" t="s">
        <v>120</v>
      </c>
      <c r="E128" s="57" t="s">
        <v>121</v>
      </c>
      <c r="F128" s="57" t="s">
        <v>122</v>
      </c>
      <c r="G128" s="57" t="s">
        <v>123</v>
      </c>
      <c r="H128" s="57" t="s">
        <v>124</v>
      </c>
      <c r="I128" s="59" t="s">
        <v>125</v>
      </c>
      <c r="J128" s="60"/>
    </row>
    <row r="129" spans="1:12" ht="16.5" customHeight="1" x14ac:dyDescent="0.25">
      <c r="A129" s="149">
        <f>I48</f>
        <v>2801.5104000000001</v>
      </c>
      <c r="B129" s="149"/>
      <c r="C129" s="62">
        <f>I66</f>
        <v>1030.9558271999999</v>
      </c>
      <c r="D129" s="62">
        <f>I78</f>
        <v>690.69580246341093</v>
      </c>
      <c r="E129" s="62">
        <f>I85</f>
        <v>199.35548006400003</v>
      </c>
      <c r="F129" s="62">
        <f>I89</f>
        <v>254.17605530653532</v>
      </c>
      <c r="G129" s="62">
        <f>I99</f>
        <v>672.07600000000002</v>
      </c>
      <c r="H129" s="62">
        <f>A129+C129+D129+E129+F129+G129</f>
        <v>5648.7695650339465</v>
      </c>
      <c r="I129" s="62">
        <f>H129-I127</f>
        <v>5504.6935650339465</v>
      </c>
      <c r="J129" s="34"/>
    </row>
    <row r="130" spans="1:12" ht="4.5" customHeight="1" x14ac:dyDescent="0.25">
      <c r="A130" s="29"/>
      <c r="B130" s="153"/>
      <c r="C130" s="153"/>
      <c r="D130" s="153"/>
      <c r="E130" s="153"/>
      <c r="F130" s="153"/>
      <c r="G130" s="153"/>
      <c r="H130" s="153"/>
      <c r="I130" s="153"/>
    </row>
    <row r="131" spans="1:12" ht="33.75" customHeight="1" x14ac:dyDescent="0.25">
      <c r="A131" s="22" t="s">
        <v>50</v>
      </c>
      <c r="B131" s="150" t="s">
        <v>126</v>
      </c>
      <c r="C131" s="150"/>
      <c r="D131" s="150"/>
      <c r="E131" s="150"/>
      <c r="F131" s="150"/>
      <c r="G131" s="150"/>
      <c r="H131" s="22" t="s">
        <v>38</v>
      </c>
      <c r="I131" s="22" t="s">
        <v>39</v>
      </c>
    </row>
    <row r="132" spans="1:12" ht="15" customHeight="1" x14ac:dyDescent="0.25">
      <c r="A132" s="14">
        <v>1</v>
      </c>
      <c r="B132" s="131" t="s">
        <v>127</v>
      </c>
      <c r="C132" s="131"/>
      <c r="D132" s="131"/>
      <c r="E132" s="131"/>
      <c r="F132" s="131"/>
      <c r="G132" s="131"/>
      <c r="H132" s="23">
        <f>I132/$I$142</f>
        <v>1.816631549396398E-2</v>
      </c>
      <c r="I132" s="24">
        <v>100</v>
      </c>
    </row>
    <row r="133" spans="1:12" ht="15" customHeight="1" x14ac:dyDescent="0.25">
      <c r="A133" s="14">
        <v>2</v>
      </c>
      <c r="B133" s="131" t="s">
        <v>128</v>
      </c>
      <c r="C133" s="131"/>
      <c r="D133" s="131"/>
      <c r="E133" s="131"/>
      <c r="F133" s="131"/>
      <c r="G133" s="131"/>
      <c r="H133" s="23">
        <f>I133/$I$142</f>
        <v>9.0831577469819898E-3</v>
      </c>
      <c r="I133" s="24">
        <v>50</v>
      </c>
    </row>
    <row r="134" spans="1:12" ht="34.5" customHeight="1" x14ac:dyDescent="0.25">
      <c r="A134" s="146" t="s">
        <v>197</v>
      </c>
      <c r="B134" s="146"/>
      <c r="C134" s="146"/>
      <c r="D134" s="146"/>
      <c r="E134" s="146"/>
      <c r="F134" s="146"/>
      <c r="G134" s="146"/>
      <c r="H134" s="25">
        <f>H132+H133</f>
        <v>2.7249473240945968E-2</v>
      </c>
      <c r="I134" s="26">
        <f>SUM(I132:I133)</f>
        <v>150</v>
      </c>
    </row>
    <row r="135" spans="1:12" ht="4.5" customHeight="1" x14ac:dyDescent="0.25"/>
    <row r="136" spans="1:12" ht="33.75" customHeight="1" x14ac:dyDescent="0.25">
      <c r="A136" s="22" t="s">
        <v>63</v>
      </c>
      <c r="B136" s="150" t="s">
        <v>129</v>
      </c>
      <c r="C136" s="150"/>
      <c r="D136" s="150"/>
      <c r="E136" s="150"/>
      <c r="F136" s="150"/>
      <c r="G136" s="150"/>
      <c r="H136" s="22" t="s">
        <v>38</v>
      </c>
      <c r="I136" s="22" t="s">
        <v>39</v>
      </c>
    </row>
    <row r="137" spans="1:12" ht="15" customHeight="1" x14ac:dyDescent="0.25">
      <c r="A137" s="14">
        <v>1</v>
      </c>
      <c r="B137" s="131" t="s">
        <v>129</v>
      </c>
      <c r="C137" s="131"/>
      <c r="D137" s="131"/>
      <c r="E137" s="131"/>
      <c r="F137" s="131"/>
      <c r="G137" s="131"/>
      <c r="H137" s="23">
        <f>I137/I142</f>
        <v>0.15275052675905401</v>
      </c>
      <c r="I137" s="24">
        <f>G140-I134</f>
        <v>840.84484170611029</v>
      </c>
    </row>
    <row r="138" spans="1:12" ht="35.1" customHeight="1" x14ac:dyDescent="0.25">
      <c r="A138" s="146" t="s">
        <v>196</v>
      </c>
      <c r="B138" s="146"/>
      <c r="C138" s="146"/>
      <c r="D138" s="146"/>
      <c r="E138" s="146"/>
      <c r="F138" s="146"/>
      <c r="G138" s="146"/>
      <c r="H138" s="25">
        <f>H137</f>
        <v>0.15275052675905401</v>
      </c>
      <c r="I138" s="26">
        <f>I137</f>
        <v>840.84484170611029</v>
      </c>
      <c r="J138" s="34"/>
      <c r="K138" s="34"/>
      <c r="L138" s="2"/>
    </row>
    <row r="139" spans="1:12" ht="4.5" customHeight="1" x14ac:dyDescent="0.25">
      <c r="A139" s="28"/>
      <c r="B139" s="28"/>
      <c r="C139" s="28"/>
      <c r="D139" s="28"/>
      <c r="E139" s="28"/>
      <c r="F139" s="28"/>
      <c r="G139" s="28"/>
      <c r="H139" s="35"/>
      <c r="I139" s="36"/>
    </row>
    <row r="140" spans="1:12" ht="39" customHeight="1" x14ac:dyDescent="0.25">
      <c r="A140" s="151" t="s">
        <v>130</v>
      </c>
      <c r="B140" s="151"/>
      <c r="C140" s="151"/>
      <c r="D140" s="151"/>
      <c r="E140" s="151"/>
      <c r="F140" s="55">
        <v>0.18</v>
      </c>
      <c r="G140" s="56">
        <f>I142*F140</f>
        <v>990.84484170611029</v>
      </c>
      <c r="H140" s="57" t="s">
        <v>117</v>
      </c>
      <c r="I140" s="58">
        <f>I96</f>
        <v>144.07600000000002</v>
      </c>
      <c r="L140" s="2"/>
    </row>
    <row r="141" spans="1:12" s="61" customFormat="1" ht="16.5" customHeight="1" x14ac:dyDescent="0.25">
      <c r="A141" s="148" t="s">
        <v>118</v>
      </c>
      <c r="B141" s="148"/>
      <c r="C141" s="57" t="s">
        <v>119</v>
      </c>
      <c r="D141" s="57" t="s">
        <v>120</v>
      </c>
      <c r="E141" s="57" t="s">
        <v>121</v>
      </c>
      <c r="F141" s="57" t="s">
        <v>122</v>
      </c>
      <c r="G141" s="57" t="s">
        <v>123</v>
      </c>
      <c r="H141" s="57" t="s">
        <v>124</v>
      </c>
      <c r="I141" s="59" t="s">
        <v>125</v>
      </c>
      <c r="J141" s="60"/>
      <c r="L141" s="60"/>
    </row>
    <row r="142" spans="1:12" ht="16.5" customHeight="1" x14ac:dyDescent="0.25">
      <c r="A142" s="149">
        <f>I48</f>
        <v>2801.5104000000001</v>
      </c>
      <c r="B142" s="149"/>
      <c r="C142" s="62">
        <f>I66</f>
        <v>1030.9558271999999</v>
      </c>
      <c r="D142" s="62">
        <f>I78</f>
        <v>690.69580246341093</v>
      </c>
      <c r="E142" s="62">
        <f>I85</f>
        <v>199.35548006400003</v>
      </c>
      <c r="F142" s="62">
        <f>I89</f>
        <v>254.17605530653532</v>
      </c>
      <c r="G142" s="62">
        <f>I99</f>
        <v>672.07600000000002</v>
      </c>
      <c r="H142" s="62">
        <f>A142+C142+D142+E142+F142+G142</f>
        <v>5648.7695650339465</v>
      </c>
      <c r="I142" s="62">
        <f>H142-I140</f>
        <v>5504.6935650339465</v>
      </c>
      <c r="J142" s="34"/>
      <c r="L142" s="2"/>
    </row>
    <row r="143" spans="1:12" ht="4.5" customHeight="1" x14ac:dyDescent="0.25"/>
    <row r="144" spans="1:12" ht="12" customHeight="1" x14ac:dyDescent="0.25">
      <c r="A144" s="129" t="s">
        <v>131</v>
      </c>
      <c r="B144" s="129"/>
      <c r="C144" s="129"/>
      <c r="D144" s="129"/>
      <c r="E144" s="129"/>
      <c r="F144" s="129"/>
      <c r="G144" s="129"/>
      <c r="H144" s="47">
        <f>H124+H134+H138</f>
        <v>0.38</v>
      </c>
      <c r="I144" s="48">
        <f>I124+I134+I138</f>
        <v>2091.7835547128998</v>
      </c>
    </row>
    <row r="145" spans="1:10" ht="4.5" customHeight="1" x14ac:dyDescent="0.25"/>
    <row r="146" spans="1:10" ht="11.25" customHeight="1" x14ac:dyDescent="0.25">
      <c r="A146" s="130" t="s">
        <v>132</v>
      </c>
      <c r="B146" s="130"/>
      <c r="C146" s="130"/>
      <c r="D146" s="130"/>
      <c r="E146" s="130"/>
      <c r="F146" s="130"/>
      <c r="G146" s="130"/>
      <c r="H146" s="130"/>
      <c r="I146" s="130"/>
    </row>
    <row r="147" spans="1:10" ht="33.75" customHeight="1" x14ac:dyDescent="0.25">
      <c r="A147" s="22" t="s">
        <v>36</v>
      </c>
      <c r="B147" s="150" t="s">
        <v>133</v>
      </c>
      <c r="C147" s="150"/>
      <c r="D147" s="150"/>
      <c r="E147" s="150"/>
      <c r="F147" s="150"/>
      <c r="G147" s="150"/>
      <c r="H147" s="22" t="s">
        <v>38</v>
      </c>
      <c r="I147" s="22" t="s">
        <v>39</v>
      </c>
    </row>
    <row r="148" spans="1:10" ht="15" customHeight="1" x14ac:dyDescent="0.25">
      <c r="A148" s="14">
        <v>1</v>
      </c>
      <c r="B148" s="131" t="s">
        <v>134</v>
      </c>
      <c r="C148" s="131"/>
      <c r="D148" s="131"/>
      <c r="E148" s="131"/>
      <c r="F148" s="131"/>
      <c r="G148" s="131"/>
      <c r="H148" s="23">
        <f>I148/$I$113</f>
        <v>9.5415113477462857E-3</v>
      </c>
      <c r="I148" s="24">
        <f>($D$158/$E$160)*H158</f>
        <v>53.89779890557525</v>
      </c>
    </row>
    <row r="149" spans="1:10" ht="15" customHeight="1" x14ac:dyDescent="0.25">
      <c r="A149" s="14">
        <v>2</v>
      </c>
      <c r="B149" s="131" t="s">
        <v>135</v>
      </c>
      <c r="C149" s="131"/>
      <c r="D149" s="131"/>
      <c r="E149" s="131"/>
      <c r="F149" s="131"/>
      <c r="G149" s="131"/>
      <c r="H149" s="23">
        <f>I149/$I$113</f>
        <v>4.4037744681905931E-2</v>
      </c>
      <c r="I149" s="24">
        <f>($D$158/$E$160)*H159</f>
        <v>248.75907187188577</v>
      </c>
    </row>
    <row r="150" spans="1:10" ht="15" customHeight="1" x14ac:dyDescent="0.25">
      <c r="A150" s="14">
        <v>3</v>
      </c>
      <c r="B150" s="131" t="s">
        <v>14</v>
      </c>
      <c r="C150" s="131"/>
      <c r="D150" s="131"/>
      <c r="E150" s="131"/>
      <c r="F150" s="131"/>
      <c r="G150" s="131"/>
      <c r="H150" s="23">
        <f>I150/$I$113</f>
        <v>4.4037744681905931E-2</v>
      </c>
      <c r="I150" s="24">
        <f>($D$158/$E$160)*H160</f>
        <v>248.75907187188577</v>
      </c>
    </row>
    <row r="151" spans="1:10" ht="15" customHeight="1" x14ac:dyDescent="0.25">
      <c r="A151" s="14">
        <v>4</v>
      </c>
      <c r="B151" s="131" t="s">
        <v>136</v>
      </c>
      <c r="C151" s="131"/>
      <c r="D151" s="131"/>
      <c r="E151" s="131"/>
      <c r="F151" s="131"/>
      <c r="G151" s="131"/>
      <c r="H151" s="23">
        <f>I151/$I$113</f>
        <v>0</v>
      </c>
      <c r="I151" s="24">
        <f>($D$158/$E$160)*H161</f>
        <v>0</v>
      </c>
    </row>
    <row r="152" spans="1:10" ht="15" customHeight="1" x14ac:dyDescent="0.25">
      <c r="A152" s="14">
        <v>5</v>
      </c>
      <c r="B152" s="131" t="s">
        <v>137</v>
      </c>
      <c r="C152" s="131"/>
      <c r="D152" s="131"/>
      <c r="E152" s="131"/>
      <c r="F152" s="131"/>
      <c r="G152" s="131"/>
      <c r="H152" s="23">
        <f>I152/$I$113</f>
        <v>0</v>
      </c>
      <c r="I152" s="24">
        <f>($D$158/$E$160)*H162</f>
        <v>0</v>
      </c>
    </row>
    <row r="153" spans="1:10" ht="15" customHeight="1" x14ac:dyDescent="0.25">
      <c r="A153" s="146" t="s">
        <v>138</v>
      </c>
      <c r="B153" s="146"/>
      <c r="C153" s="146"/>
      <c r="D153" s="146"/>
      <c r="E153" s="146"/>
      <c r="F153" s="146"/>
      <c r="G153" s="146"/>
      <c r="H153" s="25">
        <f>H148+H149+H150+H151+H152</f>
        <v>9.7617000711558155E-2</v>
      </c>
      <c r="I153" s="26">
        <f>SUM(I148:I152)</f>
        <v>551.41594264934679</v>
      </c>
    </row>
    <row r="154" spans="1:10" ht="11.25" customHeight="1" x14ac:dyDescent="0.25">
      <c r="A154" s="29" t="s">
        <v>139</v>
      </c>
      <c r="B154" s="147" t="s">
        <v>140</v>
      </c>
      <c r="C154" s="147"/>
      <c r="D154" s="147"/>
      <c r="E154" s="147"/>
      <c r="F154" s="147"/>
      <c r="G154" s="147"/>
      <c r="H154" s="147"/>
      <c r="I154" s="147"/>
    </row>
    <row r="155" spans="1:10" ht="20.25" customHeight="1" x14ac:dyDescent="0.25">
      <c r="A155" s="29" t="s">
        <v>141</v>
      </c>
      <c r="B155" s="138" t="s">
        <v>142</v>
      </c>
      <c r="C155" s="138"/>
      <c r="D155" s="138"/>
      <c r="E155" s="138"/>
      <c r="F155" s="138"/>
      <c r="G155" s="138"/>
      <c r="H155" s="138"/>
      <c r="I155" s="138"/>
    </row>
    <row r="156" spans="1:10" ht="13.5" customHeight="1" x14ac:dyDescent="0.25">
      <c r="A156" s="140" t="s">
        <v>143</v>
      </c>
      <c r="B156" s="140"/>
      <c r="C156" s="140"/>
      <c r="D156" s="140"/>
      <c r="E156" s="140"/>
      <c r="F156" s="140"/>
      <c r="G156" s="140"/>
      <c r="H156" s="140"/>
      <c r="I156" s="140"/>
    </row>
    <row r="157" spans="1:10" ht="13.5" customHeight="1" x14ac:dyDescent="0.25">
      <c r="A157" s="141" t="s">
        <v>144</v>
      </c>
      <c r="B157" s="141"/>
      <c r="C157" s="3" t="s">
        <v>145</v>
      </c>
      <c r="D157" s="142" t="s">
        <v>146</v>
      </c>
      <c r="E157" s="142"/>
      <c r="F157" s="3" t="s">
        <v>147</v>
      </c>
      <c r="G157" s="3" t="s">
        <v>148</v>
      </c>
      <c r="H157" s="143" t="s">
        <v>149</v>
      </c>
      <c r="I157" s="143"/>
    </row>
    <row r="158" spans="1:10" ht="13.5" customHeight="1" x14ac:dyDescent="0.25">
      <c r="A158" s="144">
        <f>I113</f>
        <v>5648.7695650339465</v>
      </c>
      <c r="B158" s="144"/>
      <c r="C158" s="24">
        <f>I144</f>
        <v>2091.7835547128998</v>
      </c>
      <c r="D158" s="145">
        <f>A158+C158</f>
        <v>7740.5531197468463</v>
      </c>
      <c r="E158" s="145"/>
      <c r="F158" s="14" t="s">
        <v>134</v>
      </c>
      <c r="G158" s="43">
        <v>1.6500000000000001E-2</v>
      </c>
      <c r="H158" s="135">
        <v>6.4999999999999997E-3</v>
      </c>
      <c r="I158" s="135"/>
      <c r="J158" s="34"/>
    </row>
    <row r="159" spans="1:10" ht="13.5" customHeight="1" x14ac:dyDescent="0.25">
      <c r="A159" s="131" t="s">
        <v>150</v>
      </c>
      <c r="B159" s="131"/>
      <c r="C159" s="14">
        <v>1</v>
      </c>
      <c r="D159" s="63">
        <f>G163/1</f>
        <v>0.1225</v>
      </c>
      <c r="E159" s="64">
        <f>C159-D159</f>
        <v>0.87749999999999995</v>
      </c>
      <c r="F159" s="14" t="s">
        <v>135</v>
      </c>
      <c r="G159" s="43">
        <v>7.5999999999999998E-2</v>
      </c>
      <c r="H159" s="135">
        <v>0.03</v>
      </c>
      <c r="I159" s="135"/>
    </row>
    <row r="160" spans="1:10" ht="13.5" customHeight="1" x14ac:dyDescent="0.25">
      <c r="A160" s="139" t="s">
        <v>151</v>
      </c>
      <c r="B160" s="139"/>
      <c r="C160" s="14">
        <v>1</v>
      </c>
      <c r="D160" s="63">
        <f>H163</f>
        <v>6.6500000000000004E-2</v>
      </c>
      <c r="E160" s="65">
        <f>C160-D160</f>
        <v>0.9335</v>
      </c>
      <c r="F160" s="14" t="s">
        <v>14</v>
      </c>
      <c r="G160" s="43">
        <f>I11</f>
        <v>0.03</v>
      </c>
      <c r="H160" s="135">
        <f>I11</f>
        <v>0.03</v>
      </c>
      <c r="I160" s="135"/>
    </row>
    <row r="161" spans="1:10" ht="13.5" customHeight="1" x14ac:dyDescent="0.25">
      <c r="A161" s="139" t="s">
        <v>152</v>
      </c>
      <c r="B161" s="139"/>
      <c r="C161" s="14">
        <v>1</v>
      </c>
      <c r="D161" s="66">
        <v>0.09</v>
      </c>
      <c r="E161" s="67">
        <f>C161-D161</f>
        <v>0.91</v>
      </c>
      <c r="F161" s="14" t="s">
        <v>153</v>
      </c>
      <c r="G161" s="43">
        <v>0</v>
      </c>
      <c r="H161" s="135">
        <v>0</v>
      </c>
      <c r="I161" s="135"/>
    </row>
    <row r="162" spans="1:10" ht="13.5" customHeight="1" x14ac:dyDescent="0.25">
      <c r="A162" s="134" t="s">
        <v>154</v>
      </c>
      <c r="B162" s="134" t="s">
        <v>155</v>
      </c>
      <c r="C162" s="134"/>
      <c r="D162" s="134"/>
      <c r="E162" s="134"/>
      <c r="F162" s="12" t="s">
        <v>156</v>
      </c>
      <c r="G162" s="43">
        <v>0</v>
      </c>
      <c r="H162" s="135">
        <v>0</v>
      </c>
      <c r="I162" s="135"/>
    </row>
    <row r="163" spans="1:10" ht="18" customHeight="1" x14ac:dyDescent="0.25">
      <c r="A163" s="134"/>
      <c r="B163" s="134"/>
      <c r="C163" s="134"/>
      <c r="D163" s="134"/>
      <c r="E163" s="134"/>
      <c r="F163" s="3" t="s">
        <v>157</v>
      </c>
      <c r="G163" s="68">
        <f>SUM(G158:G162)</f>
        <v>0.1225</v>
      </c>
      <c r="H163" s="136">
        <f>SUM(H158:I162)</f>
        <v>6.6500000000000004E-2</v>
      </c>
      <c r="I163" s="136"/>
    </row>
    <row r="164" spans="1:10" ht="48.75" customHeight="1" x14ac:dyDescent="0.25">
      <c r="A164" s="137" t="s">
        <v>158</v>
      </c>
      <c r="B164" s="137"/>
      <c r="C164" s="137"/>
      <c r="D164" s="137"/>
      <c r="E164" s="137"/>
      <c r="F164" s="137"/>
      <c r="G164" s="137"/>
      <c r="H164" s="137"/>
      <c r="I164" s="137"/>
    </row>
    <row r="165" spans="1:10" ht="12" customHeight="1" x14ac:dyDescent="0.25">
      <c r="A165" s="29" t="s">
        <v>159</v>
      </c>
      <c r="B165" s="138" t="s">
        <v>160</v>
      </c>
      <c r="C165" s="138"/>
      <c r="D165" s="138"/>
      <c r="E165" s="138"/>
      <c r="F165" s="138"/>
      <c r="G165" s="138"/>
      <c r="H165" s="138"/>
      <c r="I165" s="138"/>
    </row>
    <row r="166" spans="1:10" ht="4.5" customHeight="1" x14ac:dyDescent="0.25">
      <c r="A166" s="69"/>
      <c r="B166" s="132"/>
      <c r="C166" s="132"/>
      <c r="D166" s="132"/>
      <c r="E166" s="132"/>
      <c r="F166" s="132"/>
      <c r="G166" s="132"/>
      <c r="H166" s="132"/>
      <c r="I166" s="132"/>
    </row>
    <row r="167" spans="1:10" ht="12" customHeight="1" x14ac:dyDescent="0.25">
      <c r="A167" s="129" t="s">
        <v>161</v>
      </c>
      <c r="B167" s="129"/>
      <c r="C167" s="129"/>
      <c r="D167" s="129"/>
      <c r="E167" s="129"/>
      <c r="F167" s="129"/>
      <c r="G167" s="129"/>
      <c r="H167" s="47">
        <f>H153</f>
        <v>9.7617000711558155E-2</v>
      </c>
      <c r="I167" s="48">
        <f>I153</f>
        <v>551.41594264934679</v>
      </c>
    </row>
    <row r="168" spans="1:10" ht="4.5" customHeight="1" x14ac:dyDescent="0.25"/>
    <row r="169" spans="1:10" ht="11.25" customHeight="1" x14ac:dyDescent="0.25">
      <c r="A169" s="133" t="s">
        <v>162</v>
      </c>
      <c r="B169" s="133"/>
      <c r="C169" s="133"/>
      <c r="D169" s="133"/>
      <c r="E169" s="133"/>
      <c r="F169" s="133"/>
      <c r="G169" s="133"/>
      <c r="H169" s="133"/>
      <c r="I169" s="133"/>
    </row>
    <row r="170" spans="1:10" ht="11.25" customHeight="1" x14ac:dyDescent="0.25">
      <c r="A170" s="130" t="s">
        <v>35</v>
      </c>
      <c r="B170" s="130"/>
      <c r="C170" s="130"/>
      <c r="D170" s="130"/>
      <c r="E170" s="130"/>
      <c r="F170" s="130"/>
      <c r="G170" s="130"/>
      <c r="H170" s="130"/>
      <c r="I170" s="130"/>
    </row>
    <row r="171" spans="1:10" ht="15" customHeight="1" x14ac:dyDescent="0.25">
      <c r="A171" s="14">
        <v>1</v>
      </c>
      <c r="B171" s="131" t="s">
        <v>163</v>
      </c>
      <c r="C171" s="131"/>
      <c r="D171" s="131"/>
      <c r="E171" s="131"/>
      <c r="F171" s="131"/>
      <c r="G171" s="131"/>
      <c r="H171" s="23">
        <f>I171/$G$194</f>
        <v>0.3378582793687398</v>
      </c>
      <c r="I171" s="70">
        <f>I48</f>
        <v>2801.5104000000001</v>
      </c>
    </row>
    <row r="172" spans="1:10" ht="15" customHeight="1" x14ac:dyDescent="0.25">
      <c r="A172" s="14">
        <v>2</v>
      </c>
      <c r="B172" s="131" t="s">
        <v>164</v>
      </c>
      <c r="C172" s="131"/>
      <c r="D172" s="131"/>
      <c r="E172" s="131"/>
      <c r="F172" s="131"/>
      <c r="G172" s="131"/>
      <c r="H172" s="23">
        <f>I172/$G$194</f>
        <v>0.2623240811278868</v>
      </c>
      <c r="I172" s="70">
        <f>I66+I78+I85+I89</f>
        <v>2175.1831650339464</v>
      </c>
    </row>
    <row r="173" spans="1:10" ht="15" customHeight="1" x14ac:dyDescent="0.25">
      <c r="A173" s="14">
        <v>3</v>
      </c>
      <c r="B173" s="131" t="s">
        <v>165</v>
      </c>
      <c r="C173" s="131"/>
      <c r="D173" s="131"/>
      <c r="E173" s="131"/>
      <c r="F173" s="131"/>
      <c r="G173" s="131"/>
      <c r="H173" s="23">
        <f>I173/$G$194</f>
        <v>8.1051436027160625E-2</v>
      </c>
      <c r="I173" s="70">
        <f>I99</f>
        <v>672.07600000000002</v>
      </c>
    </row>
    <row r="174" spans="1:10" s="28" customFormat="1" ht="15" customHeight="1" x14ac:dyDescent="0.25">
      <c r="A174" s="129" t="s">
        <v>166</v>
      </c>
      <c r="B174" s="129"/>
      <c r="C174" s="129"/>
      <c r="D174" s="129"/>
      <c r="E174" s="129"/>
      <c r="F174" s="129"/>
      <c r="G174" s="129"/>
      <c r="H174" s="47">
        <f>H171+H172+H173</f>
        <v>0.68123379652378713</v>
      </c>
      <c r="I174" s="48">
        <f>SUM(I171:I173)</f>
        <v>5648.7695650339465</v>
      </c>
      <c r="J174" s="35"/>
    </row>
    <row r="175" spans="1:10" ht="4.5" customHeight="1" x14ac:dyDescent="0.25"/>
    <row r="176" spans="1:10" ht="11.25" customHeight="1" x14ac:dyDescent="0.25">
      <c r="A176" s="130" t="s">
        <v>109</v>
      </c>
      <c r="B176" s="130"/>
      <c r="C176" s="130"/>
      <c r="D176" s="130"/>
      <c r="E176" s="130"/>
      <c r="F176" s="130"/>
      <c r="G176" s="130"/>
      <c r="H176" s="130"/>
      <c r="I176" s="130"/>
    </row>
    <row r="177" spans="1:11" ht="15" customHeight="1" x14ac:dyDescent="0.25">
      <c r="A177" s="14">
        <v>1</v>
      </c>
      <c r="B177" s="131" t="s">
        <v>167</v>
      </c>
      <c r="C177" s="131"/>
      <c r="D177" s="131"/>
      <c r="E177" s="131"/>
      <c r="F177" s="131"/>
      <c r="G177" s="131"/>
      <c r="H177" s="23">
        <f t="shared" ref="H177:H179" si="5">I177/$G$194</f>
        <v>0.13277168604011202</v>
      </c>
      <c r="I177" s="24">
        <f>I124</f>
        <v>1100.9387130067894</v>
      </c>
    </row>
    <row r="178" spans="1:11" ht="15" customHeight="1" x14ac:dyDescent="0.25">
      <c r="A178" s="14">
        <v>2</v>
      </c>
      <c r="B178" s="131" t="s">
        <v>168</v>
      </c>
      <c r="C178" s="131"/>
      <c r="D178" s="131"/>
      <c r="E178" s="131"/>
      <c r="F178" s="131"/>
      <c r="G178" s="131"/>
      <c r="H178" s="23">
        <f t="shared" si="5"/>
        <v>1.8089792529526562E-2</v>
      </c>
      <c r="I178" s="24">
        <f>I134</f>
        <v>150</v>
      </c>
    </row>
    <row r="179" spans="1:11" ht="15" customHeight="1" x14ac:dyDescent="0.25">
      <c r="A179" s="14">
        <v>3</v>
      </c>
      <c r="B179" s="131" t="s">
        <v>169</v>
      </c>
      <c r="C179" s="131"/>
      <c r="D179" s="131"/>
      <c r="E179" s="131"/>
      <c r="F179" s="131"/>
      <c r="G179" s="131"/>
      <c r="H179" s="23">
        <f t="shared" si="5"/>
        <v>0.10140472490657425</v>
      </c>
      <c r="I179" s="24">
        <f>I138</f>
        <v>840.84484170611029</v>
      </c>
    </row>
    <row r="180" spans="1:11" ht="15" customHeight="1" x14ac:dyDescent="0.25">
      <c r="A180" s="129" t="s">
        <v>170</v>
      </c>
      <c r="B180" s="129"/>
      <c r="C180" s="129"/>
      <c r="D180" s="129"/>
      <c r="E180" s="129"/>
      <c r="F180" s="129"/>
      <c r="G180" s="129"/>
      <c r="H180" s="47">
        <f>H177+H178+H179</f>
        <v>0.25226620347621281</v>
      </c>
      <c r="I180" s="48">
        <f>I177+I178+I179</f>
        <v>2091.7835547128998</v>
      </c>
    </row>
    <row r="181" spans="1:11" ht="4.5" customHeight="1" x14ac:dyDescent="0.25"/>
    <row r="182" spans="1:11" ht="11.25" customHeight="1" x14ac:dyDescent="0.25">
      <c r="A182" s="130" t="s">
        <v>132</v>
      </c>
      <c r="B182" s="130"/>
      <c r="C182" s="130"/>
      <c r="D182" s="130"/>
      <c r="E182" s="130"/>
      <c r="F182" s="130"/>
      <c r="G182" s="130"/>
      <c r="H182" s="130"/>
      <c r="I182" s="130"/>
    </row>
    <row r="183" spans="1:11" ht="15" customHeight="1" x14ac:dyDescent="0.25">
      <c r="A183" s="14">
        <v>1</v>
      </c>
      <c r="B183" s="131" t="s">
        <v>171</v>
      </c>
      <c r="C183" s="131"/>
      <c r="D183" s="131"/>
      <c r="E183" s="131"/>
      <c r="F183" s="131"/>
      <c r="G183" s="131"/>
      <c r="H183" s="23">
        <f>I183/$G$194</f>
        <v>6.6500000000000004E-2</v>
      </c>
      <c r="I183" s="24">
        <f>I153</f>
        <v>551.41594264934679</v>
      </c>
    </row>
    <row r="184" spans="1:11" ht="15" customHeight="1" x14ac:dyDescent="0.25">
      <c r="A184" s="129" t="s">
        <v>172</v>
      </c>
      <c r="B184" s="129"/>
      <c r="C184" s="129"/>
      <c r="D184" s="129"/>
      <c r="E184" s="129"/>
      <c r="F184" s="129"/>
      <c r="G184" s="129"/>
      <c r="H184" s="47">
        <f>H183</f>
        <v>6.6500000000000004E-2</v>
      </c>
      <c r="I184" s="48">
        <f>I153</f>
        <v>551.41594264934679</v>
      </c>
      <c r="K184" s="41"/>
    </row>
    <row r="185" spans="1:11" ht="4.5" customHeight="1" x14ac:dyDescent="0.25"/>
    <row r="186" spans="1:11" ht="11.25" customHeight="1" x14ac:dyDescent="0.25">
      <c r="A186" s="118" t="s">
        <v>205</v>
      </c>
      <c r="B186" s="118"/>
      <c r="C186" s="118"/>
      <c r="D186" s="118"/>
      <c r="E186" s="118"/>
      <c r="F186" s="118"/>
      <c r="G186" s="118"/>
      <c r="H186" s="118"/>
      <c r="I186" s="118"/>
    </row>
    <row r="187" spans="1:11" ht="4.9000000000000004" customHeight="1" x14ac:dyDescent="0.25">
      <c r="A187" s="122"/>
      <c r="B187" s="122"/>
      <c r="C187" s="122"/>
      <c r="D187" s="122"/>
      <c r="E187" s="122"/>
      <c r="F187" s="122"/>
      <c r="G187" s="122"/>
      <c r="H187" s="122"/>
      <c r="I187" s="122"/>
    </row>
    <row r="188" spans="1:11" ht="22.5" customHeight="1" x14ac:dyDescent="0.25">
      <c r="A188" s="115" t="s">
        <v>210</v>
      </c>
      <c r="B188" s="116"/>
      <c r="C188" s="116"/>
      <c r="D188" s="116"/>
      <c r="E188" s="116"/>
      <c r="F188" s="116"/>
      <c r="G188" s="116"/>
      <c r="H188" s="117"/>
      <c r="I188" s="91">
        <f>I120*H194</f>
        <v>1100.9387130067894</v>
      </c>
    </row>
    <row r="189" spans="1:11" ht="4.5" customHeight="1" x14ac:dyDescent="0.25">
      <c r="A189" s="92"/>
      <c r="B189" s="92"/>
      <c r="C189" s="92"/>
      <c r="D189" s="92"/>
      <c r="E189" s="92"/>
      <c r="F189" s="92"/>
      <c r="G189" s="93"/>
      <c r="H189" s="93"/>
      <c r="I189" s="93"/>
    </row>
    <row r="190" spans="1:11" ht="63.75" customHeight="1" x14ac:dyDescent="0.25">
      <c r="A190" s="118" t="s">
        <v>206</v>
      </c>
      <c r="B190" s="118"/>
      <c r="C190" s="118"/>
      <c r="D190" s="118"/>
      <c r="E190" s="118"/>
      <c r="F190" s="118"/>
      <c r="G190" s="119" t="s">
        <v>208</v>
      </c>
      <c r="H190" s="120"/>
      <c r="I190" s="121"/>
    </row>
    <row r="191" spans="1:11" ht="11.25" customHeight="1" x14ac:dyDescent="0.25">
      <c r="A191" s="118"/>
      <c r="B191" s="118"/>
      <c r="C191" s="118"/>
      <c r="D191" s="118"/>
      <c r="E191" s="118"/>
      <c r="F191" s="118"/>
      <c r="G191" s="90"/>
      <c r="H191" s="91"/>
      <c r="I191" s="91">
        <f>((H70+H76+H77+H82+H83+H84)+((H70+H76+H77+H82+H83+H84)*H66))*I48*H194</f>
        <v>1078.6437871792129</v>
      </c>
    </row>
    <row r="192" spans="1:11" ht="4.9000000000000004" customHeight="1" x14ac:dyDescent="0.25">
      <c r="A192" s="122"/>
      <c r="B192" s="122"/>
      <c r="C192" s="122"/>
      <c r="D192" s="122"/>
      <c r="E192" s="122"/>
      <c r="F192" s="122"/>
      <c r="G192" s="122"/>
      <c r="H192" s="122"/>
      <c r="I192" s="122"/>
    </row>
    <row r="193" spans="1:9" ht="35.450000000000003" customHeight="1" x14ac:dyDescent="0.25">
      <c r="A193" s="123" t="s">
        <v>207</v>
      </c>
      <c r="B193" s="124"/>
      <c r="C193" s="124"/>
      <c r="D193" s="124"/>
      <c r="E193" s="124"/>
      <c r="F193" s="125"/>
      <c r="G193" s="86" t="s">
        <v>173</v>
      </c>
      <c r="H193" s="86" t="s">
        <v>174</v>
      </c>
      <c r="I193" s="86" t="s">
        <v>175</v>
      </c>
    </row>
    <row r="194" spans="1:9" ht="14.45" customHeight="1" x14ac:dyDescent="0.25">
      <c r="A194" s="126"/>
      <c r="B194" s="127"/>
      <c r="C194" s="127"/>
      <c r="D194" s="127"/>
      <c r="E194" s="127"/>
      <c r="F194" s="128"/>
      <c r="G194" s="87">
        <f>I174+I180+I184</f>
        <v>8291.9690623961924</v>
      </c>
      <c r="H194" s="88">
        <f>IF(D6="12x36",2,1)</f>
        <v>1</v>
      </c>
      <c r="I194" s="89">
        <f>G194*H194</f>
        <v>8291.9690623961924</v>
      </c>
    </row>
  </sheetData>
  <mergeCells count="181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2"/>
    <mergeCell ref="D6:F6"/>
    <mergeCell ref="A7:C7"/>
    <mergeCell ref="D7:F7"/>
    <mergeCell ref="G7:H8"/>
    <mergeCell ref="A23:F23"/>
    <mergeCell ref="A24:F24"/>
    <mergeCell ref="A25:F25"/>
    <mergeCell ref="A26:F27"/>
    <mergeCell ref="A28:F28"/>
    <mergeCell ref="A29:F29"/>
    <mergeCell ref="A13:F13"/>
    <mergeCell ref="A14:F16"/>
    <mergeCell ref="G14:G16"/>
    <mergeCell ref="A17:F19"/>
    <mergeCell ref="G17:G19"/>
    <mergeCell ref="A20:F22"/>
    <mergeCell ref="G20:G22"/>
    <mergeCell ref="B40:G40"/>
    <mergeCell ref="B41:G41"/>
    <mergeCell ref="B42:G42"/>
    <mergeCell ref="B43:G43"/>
    <mergeCell ref="B44:G44"/>
    <mergeCell ref="B45:G45"/>
    <mergeCell ref="A30:I34"/>
    <mergeCell ref="A35:I35"/>
    <mergeCell ref="B36:G36"/>
    <mergeCell ref="B37:G37"/>
    <mergeCell ref="B38:G38"/>
    <mergeCell ref="B39:G39"/>
    <mergeCell ref="B59:G59"/>
    <mergeCell ref="B60:G60"/>
    <mergeCell ref="B61:G61"/>
    <mergeCell ref="B62:G62"/>
    <mergeCell ref="B63:G63"/>
    <mergeCell ref="B64:G64"/>
    <mergeCell ref="B46:G46"/>
    <mergeCell ref="B47:G47"/>
    <mergeCell ref="A48:G48"/>
    <mergeCell ref="A49:I56"/>
    <mergeCell ref="B57:G57"/>
    <mergeCell ref="B58:G58"/>
    <mergeCell ref="B71:G71"/>
    <mergeCell ref="B72:G72"/>
    <mergeCell ref="B73:G73"/>
    <mergeCell ref="B74:G74"/>
    <mergeCell ref="B75:G75"/>
    <mergeCell ref="B76:G76"/>
    <mergeCell ref="B65:G65"/>
    <mergeCell ref="A66:G66"/>
    <mergeCell ref="A67:I67"/>
    <mergeCell ref="A68:I68"/>
    <mergeCell ref="B69:G69"/>
    <mergeCell ref="B70:G70"/>
    <mergeCell ref="B83:G83"/>
    <mergeCell ref="B84:G84"/>
    <mergeCell ref="A85:G85"/>
    <mergeCell ref="B87:G87"/>
    <mergeCell ref="B88:G88"/>
    <mergeCell ref="A89:G89"/>
    <mergeCell ref="B77:G77"/>
    <mergeCell ref="A78:G78"/>
    <mergeCell ref="B79:I79"/>
    <mergeCell ref="B80:I80"/>
    <mergeCell ref="B81:G81"/>
    <mergeCell ref="B82:G82"/>
    <mergeCell ref="B98:G98"/>
    <mergeCell ref="A99:G99"/>
    <mergeCell ref="B100:G100"/>
    <mergeCell ref="A101:I101"/>
    <mergeCell ref="A102:B102"/>
    <mergeCell ref="A103:B103"/>
    <mergeCell ref="A91:G91"/>
    <mergeCell ref="B93:G93"/>
    <mergeCell ref="B94:G94"/>
    <mergeCell ref="B95:G95"/>
    <mergeCell ref="B96:G96"/>
    <mergeCell ref="B97:G97"/>
    <mergeCell ref="A113:G113"/>
    <mergeCell ref="A115:I115"/>
    <mergeCell ref="B116:G116"/>
    <mergeCell ref="B117:G117"/>
    <mergeCell ref="B118:G118"/>
    <mergeCell ref="B119:G119"/>
    <mergeCell ref="A105:I105"/>
    <mergeCell ref="A106:B106"/>
    <mergeCell ref="A107:B107"/>
    <mergeCell ref="A109:I109"/>
    <mergeCell ref="A110:B110"/>
    <mergeCell ref="A111:B111"/>
    <mergeCell ref="A127:E127"/>
    <mergeCell ref="A128:B128"/>
    <mergeCell ref="A129:B129"/>
    <mergeCell ref="B130:I130"/>
    <mergeCell ref="B131:G131"/>
    <mergeCell ref="B132:G132"/>
    <mergeCell ref="B120:G120"/>
    <mergeCell ref="B121:G121"/>
    <mergeCell ref="B122:G122"/>
    <mergeCell ref="B123:G123"/>
    <mergeCell ref="A124:G124"/>
    <mergeCell ref="B125:I125"/>
    <mergeCell ref="A141:B141"/>
    <mergeCell ref="A142:B142"/>
    <mergeCell ref="A144:G144"/>
    <mergeCell ref="A146:I146"/>
    <mergeCell ref="B147:G147"/>
    <mergeCell ref="B148:G148"/>
    <mergeCell ref="B133:G133"/>
    <mergeCell ref="A134:G134"/>
    <mergeCell ref="B136:G136"/>
    <mergeCell ref="B137:G137"/>
    <mergeCell ref="A138:G138"/>
    <mergeCell ref="A140:E140"/>
    <mergeCell ref="B155:I155"/>
    <mergeCell ref="A156:I156"/>
    <mergeCell ref="A157:B157"/>
    <mergeCell ref="D157:E157"/>
    <mergeCell ref="H157:I157"/>
    <mergeCell ref="A158:B158"/>
    <mergeCell ref="D158:E158"/>
    <mergeCell ref="H158:I158"/>
    <mergeCell ref="B149:G149"/>
    <mergeCell ref="B150:G150"/>
    <mergeCell ref="B151:G151"/>
    <mergeCell ref="B152:G152"/>
    <mergeCell ref="A153:G153"/>
    <mergeCell ref="B154:I154"/>
    <mergeCell ref="A162:A163"/>
    <mergeCell ref="B162:E163"/>
    <mergeCell ref="H162:I162"/>
    <mergeCell ref="H163:I163"/>
    <mergeCell ref="A164:I164"/>
    <mergeCell ref="B165:I165"/>
    <mergeCell ref="A159:B159"/>
    <mergeCell ref="H159:I159"/>
    <mergeCell ref="A160:B160"/>
    <mergeCell ref="H160:I160"/>
    <mergeCell ref="A161:B161"/>
    <mergeCell ref="H161:I161"/>
    <mergeCell ref="B173:G173"/>
    <mergeCell ref="A174:G174"/>
    <mergeCell ref="A176:I176"/>
    <mergeCell ref="B177:G177"/>
    <mergeCell ref="B178:G178"/>
    <mergeCell ref="B179:G179"/>
    <mergeCell ref="B166:I166"/>
    <mergeCell ref="A167:G167"/>
    <mergeCell ref="A169:I169"/>
    <mergeCell ref="A170:I170"/>
    <mergeCell ref="B171:G171"/>
    <mergeCell ref="B172:G172"/>
    <mergeCell ref="A188:H188"/>
    <mergeCell ref="A190:F191"/>
    <mergeCell ref="G190:I190"/>
    <mergeCell ref="A192:I192"/>
    <mergeCell ref="A193:F194"/>
    <mergeCell ref="A180:G180"/>
    <mergeCell ref="A182:I182"/>
    <mergeCell ref="B183:G183"/>
    <mergeCell ref="A184:G184"/>
    <mergeCell ref="A186:I186"/>
    <mergeCell ref="A187:I187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D36"/>
  <sheetViews>
    <sheetView view="pageBreakPreview" zoomScaleNormal="100" workbookViewId="0">
      <selection activeCell="C39" sqref="C39"/>
    </sheetView>
  </sheetViews>
  <sheetFormatPr defaultColWidth="8.42578125" defaultRowHeight="15" x14ac:dyDescent="0.25"/>
  <cols>
    <col min="1" max="1" width="31.5703125" style="74" customWidth="1"/>
    <col min="2" max="2" width="24.42578125" style="74" customWidth="1"/>
    <col min="3" max="3" width="16.5703125" style="74" customWidth="1"/>
    <col min="4" max="4" width="17.42578125" style="74" customWidth="1"/>
    <col min="5" max="16384" width="8.42578125" style="74"/>
  </cols>
  <sheetData>
    <row r="1" spans="1:4" ht="44.25" customHeight="1" x14ac:dyDescent="0.25">
      <c r="A1" s="198" t="s">
        <v>228</v>
      </c>
      <c r="B1" s="199"/>
      <c r="C1" s="199"/>
      <c r="D1" s="200"/>
    </row>
    <row r="2" spans="1:4" ht="28.15" customHeight="1" x14ac:dyDescent="0.25">
      <c r="A2" s="191" t="s">
        <v>229</v>
      </c>
      <c r="B2" s="192"/>
      <c r="C2" s="192"/>
      <c r="D2" s="193"/>
    </row>
    <row r="3" spans="1:4" ht="30" x14ac:dyDescent="0.25">
      <c r="A3" s="94" t="s">
        <v>230</v>
      </c>
      <c r="B3" s="94" t="s">
        <v>215</v>
      </c>
      <c r="C3" s="94" t="s">
        <v>216</v>
      </c>
      <c r="D3" s="94" t="s">
        <v>217</v>
      </c>
    </row>
    <row r="4" spans="1:4" x14ac:dyDescent="0.25">
      <c r="A4" s="95"/>
      <c r="B4" s="96"/>
      <c r="C4" s="97"/>
      <c r="D4" s="97"/>
    </row>
    <row r="5" spans="1:4" x14ac:dyDescent="0.25">
      <c r="A5" s="98"/>
      <c r="B5" s="99"/>
      <c r="C5" s="100"/>
      <c r="D5" s="100"/>
    </row>
    <row r="6" spans="1:4" x14ac:dyDescent="0.25">
      <c r="A6" s="95"/>
      <c r="B6" s="96"/>
      <c r="C6" s="97"/>
      <c r="D6" s="97"/>
    </row>
    <row r="7" spans="1:4" x14ac:dyDescent="0.25">
      <c r="A7" s="95"/>
      <c r="B7" s="96"/>
      <c r="C7" s="97"/>
      <c r="D7" s="97"/>
    </row>
    <row r="8" spans="1:4" x14ac:dyDescent="0.25">
      <c r="A8" s="95"/>
      <c r="B8" s="96"/>
      <c r="C8" s="97"/>
      <c r="D8" s="97"/>
    </row>
    <row r="9" spans="1:4" x14ac:dyDescent="0.25">
      <c r="A9" s="95"/>
      <c r="B9" s="96"/>
      <c r="C9" s="97"/>
      <c r="D9" s="97"/>
    </row>
    <row r="10" spans="1:4" x14ac:dyDescent="0.25">
      <c r="A10" s="95"/>
      <c r="B10" s="96"/>
      <c r="C10" s="97"/>
      <c r="D10" s="97"/>
    </row>
    <row r="11" spans="1:4" x14ac:dyDescent="0.25">
      <c r="A11" s="95"/>
      <c r="B11" s="96"/>
      <c r="C11" s="97"/>
      <c r="D11" s="97"/>
    </row>
    <row r="12" spans="1:4" x14ac:dyDescent="0.25">
      <c r="A12" s="95"/>
      <c r="B12" s="96"/>
      <c r="C12" s="97"/>
      <c r="D12" s="97"/>
    </row>
    <row r="13" spans="1:4" x14ac:dyDescent="0.25">
      <c r="A13" s="95"/>
      <c r="B13" s="96"/>
      <c r="C13" s="97"/>
      <c r="D13" s="97"/>
    </row>
    <row r="14" spans="1:4" x14ac:dyDescent="0.25">
      <c r="A14" s="95"/>
      <c r="B14" s="96"/>
      <c r="C14" s="97"/>
      <c r="D14" s="97"/>
    </row>
    <row r="15" spans="1:4" x14ac:dyDescent="0.25">
      <c r="A15" s="95"/>
      <c r="B15" s="96"/>
      <c r="C15" s="97"/>
      <c r="D15" s="97"/>
    </row>
    <row r="16" spans="1:4" x14ac:dyDescent="0.25">
      <c r="A16" s="95"/>
      <c r="B16" s="96"/>
      <c r="C16" s="97"/>
      <c r="D16" s="97"/>
    </row>
    <row r="17" spans="1:4" x14ac:dyDescent="0.25">
      <c r="A17" s="95"/>
      <c r="B17" s="96"/>
      <c r="C17" s="97"/>
      <c r="D17" s="97"/>
    </row>
    <row r="18" spans="1:4" x14ac:dyDescent="0.25">
      <c r="A18" s="95"/>
      <c r="B18" s="96"/>
      <c r="C18" s="97"/>
      <c r="D18" s="97"/>
    </row>
    <row r="19" spans="1:4" x14ac:dyDescent="0.25">
      <c r="A19" s="95"/>
      <c r="B19" s="96"/>
      <c r="C19" s="97"/>
      <c r="D19" s="97"/>
    </row>
    <row r="20" spans="1:4" x14ac:dyDescent="0.25">
      <c r="A20" s="95"/>
      <c r="B20" s="96"/>
      <c r="C20" s="97"/>
      <c r="D20" s="97"/>
    </row>
    <row r="21" spans="1:4" x14ac:dyDescent="0.25">
      <c r="A21" s="95"/>
      <c r="B21" s="96"/>
      <c r="C21" s="97"/>
      <c r="D21" s="97"/>
    </row>
    <row r="22" spans="1:4" x14ac:dyDescent="0.25">
      <c r="A22" s="95"/>
      <c r="B22" s="96"/>
      <c r="C22" s="97"/>
      <c r="D22" s="97"/>
    </row>
    <row r="23" spans="1:4" x14ac:dyDescent="0.25">
      <c r="A23" s="95"/>
      <c r="B23" s="96"/>
      <c r="C23" s="97"/>
      <c r="D23" s="97"/>
    </row>
    <row r="24" spans="1:4" x14ac:dyDescent="0.25">
      <c r="A24" s="95"/>
      <c r="B24" s="96"/>
      <c r="C24" s="97"/>
      <c r="D24" s="97"/>
    </row>
    <row r="25" spans="1:4" x14ac:dyDescent="0.25">
      <c r="A25" s="95"/>
      <c r="B25" s="96"/>
      <c r="C25" s="97"/>
      <c r="D25" s="97"/>
    </row>
    <row r="26" spans="1:4" x14ac:dyDescent="0.25">
      <c r="A26" s="95"/>
      <c r="B26" s="96"/>
      <c r="C26" s="97"/>
      <c r="D26" s="97"/>
    </row>
    <row r="27" spans="1:4" x14ac:dyDescent="0.25">
      <c r="A27" s="95"/>
      <c r="B27" s="96"/>
      <c r="C27" s="97"/>
      <c r="D27" s="97"/>
    </row>
    <row r="28" spans="1:4" x14ac:dyDescent="0.25">
      <c r="A28" s="95"/>
      <c r="B28" s="96"/>
      <c r="C28" s="97"/>
      <c r="D28" s="97"/>
    </row>
    <row r="29" spans="1:4" x14ac:dyDescent="0.25">
      <c r="A29" s="95"/>
      <c r="B29" s="96"/>
      <c r="C29" s="97"/>
      <c r="D29" s="97"/>
    </row>
    <row r="30" spans="1:4" x14ac:dyDescent="0.25">
      <c r="A30" s="95"/>
      <c r="B30" s="96"/>
      <c r="C30" s="97"/>
      <c r="D30" s="97"/>
    </row>
    <row r="31" spans="1:4" x14ac:dyDescent="0.25">
      <c r="A31" s="95"/>
      <c r="B31" s="96"/>
      <c r="C31" s="97"/>
      <c r="D31" s="97"/>
    </row>
    <row r="32" spans="1:4" x14ac:dyDescent="0.25">
      <c r="A32" s="95"/>
      <c r="B32" s="96"/>
      <c r="C32" s="97"/>
      <c r="D32" s="97"/>
    </row>
    <row r="33" spans="1:4" x14ac:dyDescent="0.25">
      <c r="A33" s="95"/>
      <c r="B33" s="96"/>
      <c r="C33" s="97"/>
      <c r="D33" s="101"/>
    </row>
    <row r="34" spans="1:4" ht="6" customHeight="1" x14ac:dyDescent="0.25">
      <c r="A34" s="194"/>
      <c r="B34" s="195"/>
      <c r="C34" s="195"/>
      <c r="D34" s="195"/>
    </row>
    <row r="35" spans="1:4" ht="27.75" customHeight="1" x14ac:dyDescent="0.25">
      <c r="A35" s="196" t="s">
        <v>218</v>
      </c>
      <c r="B35" s="197"/>
      <c r="C35" s="197"/>
      <c r="D35" s="102">
        <f>SUM(D3:D33)</f>
        <v>0</v>
      </c>
    </row>
    <row r="36" spans="1:4" ht="6.75" customHeight="1" x14ac:dyDescent="0.25">
      <c r="A36" s="194"/>
      <c r="B36" s="195"/>
      <c r="C36" s="195"/>
      <c r="D36" s="195"/>
    </row>
  </sheetData>
  <mergeCells count="5">
    <mergeCell ref="A2:D2"/>
    <mergeCell ref="A34:D34"/>
    <mergeCell ref="A35:C35"/>
    <mergeCell ref="A36:D36"/>
    <mergeCell ref="A1:D1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9"/>
  <sheetViews>
    <sheetView view="pageBreakPreview" zoomScaleNormal="100" workbookViewId="0">
      <selection activeCell="A11" sqref="A11"/>
    </sheetView>
  </sheetViews>
  <sheetFormatPr defaultColWidth="8.42578125" defaultRowHeight="15" x14ac:dyDescent="0.25"/>
  <cols>
    <col min="1" max="1" width="28" style="74" customWidth="1"/>
    <col min="2" max="2" width="32.28515625" style="74" customWidth="1"/>
    <col min="3" max="3" width="12.7109375" style="74" customWidth="1"/>
    <col min="4" max="4" width="11.5703125" style="74" customWidth="1"/>
    <col min="5" max="5" width="7.28515625" style="74" customWidth="1"/>
    <col min="6" max="6" width="16.140625" style="74" customWidth="1"/>
    <col min="7" max="7" width="12.85546875" style="74" customWidth="1"/>
    <col min="8" max="8" width="14.5703125" style="74" customWidth="1"/>
    <col min="9" max="9" width="14.85546875" style="74" customWidth="1"/>
    <col min="10" max="10" width="18.42578125" style="74" customWidth="1"/>
    <col min="11" max="11" width="15" style="74" customWidth="1"/>
    <col min="12" max="16384" width="8.42578125" style="74"/>
  </cols>
  <sheetData>
    <row r="1" spans="1:11" ht="76.5" customHeight="1" x14ac:dyDescent="0.25">
      <c r="A1" s="78" t="s">
        <v>187</v>
      </c>
      <c r="B1" s="78" t="s">
        <v>188</v>
      </c>
      <c r="C1" s="79" t="s">
        <v>189</v>
      </c>
      <c r="D1" s="79" t="s">
        <v>190</v>
      </c>
      <c r="E1" s="80" t="s">
        <v>191</v>
      </c>
      <c r="F1" s="80" t="s">
        <v>219</v>
      </c>
      <c r="G1" s="80" t="s">
        <v>220</v>
      </c>
      <c r="H1" s="81" t="s">
        <v>221</v>
      </c>
      <c r="I1" s="82" t="s">
        <v>222</v>
      </c>
      <c r="J1" s="82" t="s">
        <v>204</v>
      </c>
      <c r="K1" s="81" t="s">
        <v>227</v>
      </c>
    </row>
    <row r="2" spans="1:11" x14ac:dyDescent="0.25">
      <c r="A2" s="75" t="s">
        <v>261</v>
      </c>
      <c r="B2" s="75" t="s">
        <v>233</v>
      </c>
      <c r="C2" s="83" t="s">
        <v>234</v>
      </c>
      <c r="D2" s="83" t="s">
        <v>235</v>
      </c>
      <c r="E2" s="84">
        <v>2</v>
      </c>
      <c r="F2" s="103">
        <f t="shared" ref="F2:F14" ca="1" si="0">OFFSET(INDIRECT(SUBSTITUTE(_xlfn.FORMULATEXT(J2),"=","")), -6, 0)</f>
        <v>1100.9387130067894</v>
      </c>
      <c r="G2" s="104">
        <f t="shared" ref="G2:G14" ca="1" si="1">F2*E2</f>
        <v>2201.8774260135788</v>
      </c>
      <c r="H2" s="105">
        <f t="shared" ref="H2:H14" ca="1" si="2">OFFSET(INDIRECT(SUBSTITUTE(_xlfn.FORMULATEXT(J2),"=","")), -3, 0)</f>
        <v>1078.6437871792129</v>
      </c>
      <c r="I2" s="105">
        <f ca="1">H2*E2</f>
        <v>2157.2875743584259</v>
      </c>
      <c r="J2" s="106">
        <f>Canoas!I194</f>
        <v>8225.7467458005922</v>
      </c>
      <c r="K2" s="106">
        <f t="shared" ref="K2:K14" si="3">E2*J2</f>
        <v>16451.493491601184</v>
      </c>
    </row>
    <row r="3" spans="1:11" x14ac:dyDescent="0.25">
      <c r="A3" s="75" t="s">
        <v>231</v>
      </c>
      <c r="B3" s="75" t="s">
        <v>236</v>
      </c>
      <c r="C3" s="76" t="s">
        <v>234</v>
      </c>
      <c r="D3" s="83" t="s">
        <v>235</v>
      </c>
      <c r="E3" s="84">
        <v>2</v>
      </c>
      <c r="F3" s="103">
        <f t="shared" ca="1" si="0"/>
        <v>1093.8661470790337</v>
      </c>
      <c r="G3" s="104">
        <f t="shared" ca="1" si="1"/>
        <v>2187.7322941580674</v>
      </c>
      <c r="H3" s="105">
        <f t="shared" ca="1" si="2"/>
        <v>1053.81354942864</v>
      </c>
      <c r="I3" s="105">
        <f t="shared" ref="I3:I14" ca="1" si="4">H3*E3</f>
        <v>2107.6270988572801</v>
      </c>
      <c r="J3" s="107">
        <f>Caxias!I194</f>
        <v>8503.467693389639</v>
      </c>
      <c r="K3" s="107">
        <f t="shared" si="3"/>
        <v>17006.935386779278</v>
      </c>
    </row>
    <row r="4" spans="1:11" x14ac:dyDescent="0.25">
      <c r="A4" s="75" t="s">
        <v>231</v>
      </c>
      <c r="B4" s="75" t="s">
        <v>238</v>
      </c>
      <c r="C4" s="76" t="s">
        <v>239</v>
      </c>
      <c r="D4" s="83" t="s">
        <v>235</v>
      </c>
      <c r="E4" s="77">
        <v>2</v>
      </c>
      <c r="F4" s="103">
        <f t="shared" ca="1" si="0"/>
        <v>1100.9387130067894</v>
      </c>
      <c r="G4" s="104">
        <f t="shared" ca="1" si="1"/>
        <v>2201.8774260135788</v>
      </c>
      <c r="H4" s="105">
        <f t="shared" ca="1" si="2"/>
        <v>1078.6437871792129</v>
      </c>
      <c r="I4" s="105">
        <f t="shared" ca="1" si="4"/>
        <v>2157.2875743584259</v>
      </c>
      <c r="J4" s="107">
        <f>Gravataí!I194</f>
        <v>8369.6889928043111</v>
      </c>
      <c r="K4" s="107">
        <f t="shared" si="3"/>
        <v>16739.377985608622</v>
      </c>
    </row>
    <row r="5" spans="1:11" x14ac:dyDescent="0.25">
      <c r="A5" s="75" t="s">
        <v>231</v>
      </c>
      <c r="B5" s="75" t="s">
        <v>240</v>
      </c>
      <c r="C5" s="76" t="s">
        <v>234</v>
      </c>
      <c r="D5" s="76" t="s">
        <v>235</v>
      </c>
      <c r="E5" s="77">
        <v>2</v>
      </c>
      <c r="F5" s="103">
        <f t="shared" ca="1" si="0"/>
        <v>1177.4252717579318</v>
      </c>
      <c r="G5" s="104">
        <f t="shared" ca="1" si="1"/>
        <v>2354.8505435158636</v>
      </c>
      <c r="H5" s="105">
        <f t="shared" ca="1" si="2"/>
        <v>1132.7489593265666</v>
      </c>
      <c r="I5" s="105">
        <f t="shared" ca="1" si="4"/>
        <v>2265.4979186531332</v>
      </c>
      <c r="J5" s="107">
        <f>Lajeado!I194</f>
        <v>8916.9679010439304</v>
      </c>
      <c r="K5" s="107">
        <f t="shared" si="3"/>
        <v>17833.935802087861</v>
      </c>
    </row>
    <row r="6" spans="1:11" x14ac:dyDescent="0.25">
      <c r="A6" s="75" t="s">
        <v>231</v>
      </c>
      <c r="B6" s="75" t="s">
        <v>243</v>
      </c>
      <c r="C6" s="76" t="s">
        <v>234</v>
      </c>
      <c r="D6" s="76" t="s">
        <v>235</v>
      </c>
      <c r="E6" s="77">
        <v>2</v>
      </c>
      <c r="F6" s="103">
        <f t="shared" ca="1" si="0"/>
        <v>1100.9387130067894</v>
      </c>
      <c r="G6" s="104">
        <f t="shared" ca="1" si="1"/>
        <v>2201.8774260135788</v>
      </c>
      <c r="H6" s="105">
        <f t="shared" ca="1" si="2"/>
        <v>1078.6437871792129</v>
      </c>
      <c r="I6" s="105">
        <f t="shared" ca="1" si="4"/>
        <v>2157.2875743584259</v>
      </c>
      <c r="J6" s="107">
        <f>'Passo Fundo'!I194</f>
        <v>8248.175007680813</v>
      </c>
      <c r="K6" s="107">
        <f t="shared" si="3"/>
        <v>16496.350015361626</v>
      </c>
    </row>
    <row r="7" spans="1:11" x14ac:dyDescent="0.25">
      <c r="A7" s="75" t="s">
        <v>231</v>
      </c>
      <c r="B7" s="75" t="s">
        <v>246</v>
      </c>
      <c r="C7" s="76" t="s">
        <v>234</v>
      </c>
      <c r="D7" s="76" t="s">
        <v>235</v>
      </c>
      <c r="E7" s="77">
        <v>4</v>
      </c>
      <c r="F7" s="103">
        <f t="shared" ca="1" si="0"/>
        <v>1100.9387130067894</v>
      </c>
      <c r="G7" s="104">
        <f t="shared" ca="1" si="1"/>
        <v>4403.7548520271575</v>
      </c>
      <c r="H7" s="105">
        <f t="shared" ca="1" si="2"/>
        <v>1078.6437871792129</v>
      </c>
      <c r="I7" s="105">
        <f t="shared" ca="1" si="4"/>
        <v>4314.5751487168518</v>
      </c>
      <c r="J7" s="107">
        <f>Pelotas!I194</f>
        <v>8440.8804761741703</v>
      </c>
      <c r="K7" s="107">
        <f t="shared" si="3"/>
        <v>33763.521904696681</v>
      </c>
    </row>
    <row r="8" spans="1:11" x14ac:dyDescent="0.25">
      <c r="A8" s="75" t="s">
        <v>231</v>
      </c>
      <c r="B8" s="75" t="s">
        <v>248</v>
      </c>
      <c r="C8" s="76" t="s">
        <v>234</v>
      </c>
      <c r="D8" s="76" t="s">
        <v>235</v>
      </c>
      <c r="E8" s="77">
        <v>2</v>
      </c>
      <c r="F8" s="103">
        <f t="shared" ca="1" si="0"/>
        <v>1100.9387130067894</v>
      </c>
      <c r="G8" s="104">
        <f t="shared" ca="1" si="1"/>
        <v>2201.8774260135788</v>
      </c>
      <c r="H8" s="105">
        <f t="shared" ca="1" si="2"/>
        <v>1078.6437871792129</v>
      </c>
      <c r="I8" s="105">
        <f t="shared" ca="1" si="4"/>
        <v>2157.2875743584259</v>
      </c>
      <c r="J8" s="107">
        <f>'Rio Grande'!I194</f>
        <v>8415.5420896013493</v>
      </c>
      <c r="K8" s="107">
        <f t="shared" si="3"/>
        <v>16831.084179202699</v>
      </c>
    </row>
    <row r="9" spans="1:11" x14ac:dyDescent="0.25">
      <c r="A9" s="75" t="s">
        <v>231</v>
      </c>
      <c r="B9" s="75" t="s">
        <v>250</v>
      </c>
      <c r="C9" s="76" t="s">
        <v>234</v>
      </c>
      <c r="D9" s="76" t="s">
        <v>235</v>
      </c>
      <c r="E9" s="77">
        <v>2</v>
      </c>
      <c r="F9" s="103">
        <f t="shared" ca="1" si="0"/>
        <v>1100.9387130067894</v>
      </c>
      <c r="G9" s="104">
        <f t="shared" ca="1" si="1"/>
        <v>2201.8774260135788</v>
      </c>
      <c r="H9" s="105">
        <f t="shared" ca="1" si="2"/>
        <v>1078.6437871792129</v>
      </c>
      <c r="I9" s="105">
        <f t="shared" ca="1" si="4"/>
        <v>2157.2875743584259</v>
      </c>
      <c r="J9" s="107">
        <f>'Santa Maria'!I194</f>
        <v>8463.4034864611222</v>
      </c>
      <c r="K9" s="107">
        <f t="shared" si="3"/>
        <v>16926.806972922244</v>
      </c>
    </row>
    <row r="10" spans="1:11" x14ac:dyDescent="0.25">
      <c r="A10" s="75" t="s">
        <v>231</v>
      </c>
      <c r="B10" s="75" t="s">
        <v>251</v>
      </c>
      <c r="C10" s="76" t="s">
        <v>234</v>
      </c>
      <c r="D10" s="76" t="s">
        <v>235</v>
      </c>
      <c r="E10" s="77">
        <v>2</v>
      </c>
      <c r="F10" s="103">
        <f t="shared" ca="1" si="0"/>
        <v>1100.9387130067894</v>
      </c>
      <c r="G10" s="104">
        <f t="shared" ca="1" si="1"/>
        <v>2201.8774260135788</v>
      </c>
      <c r="H10" s="105">
        <f t="shared" ca="1" si="2"/>
        <v>1078.6437871792129</v>
      </c>
      <c r="I10" s="105">
        <f t="shared" ca="1" si="4"/>
        <v>2157.2875743584259</v>
      </c>
      <c r="J10" s="107">
        <f>Tramandaí!I194</f>
        <v>8291.9690623961924</v>
      </c>
      <c r="K10" s="107">
        <f t="shared" si="3"/>
        <v>16583.938124792385</v>
      </c>
    </row>
    <row r="11" spans="1:11" x14ac:dyDescent="0.25">
      <c r="A11" s="75" t="s">
        <v>231</v>
      </c>
      <c r="B11" s="75" t="s">
        <v>253</v>
      </c>
      <c r="C11" s="76" t="s">
        <v>234</v>
      </c>
      <c r="D11" s="76" t="s">
        <v>235</v>
      </c>
      <c r="E11" s="77">
        <v>7</v>
      </c>
      <c r="F11" s="103">
        <f t="shared" ca="1" si="0"/>
        <v>1100.9387130067894</v>
      </c>
      <c r="G11" s="104">
        <f t="shared" ca="1" si="1"/>
        <v>7706.5709910475252</v>
      </c>
      <c r="H11" s="105">
        <f t="shared" ca="1" si="2"/>
        <v>1078.6437871792129</v>
      </c>
      <c r="I11" s="105">
        <f t="shared" ca="1" si="4"/>
        <v>7550.5065102544904</v>
      </c>
      <c r="J11" s="107">
        <f>'Poa Zona Norte e Centro 44h'!I194</f>
        <v>8253.333105750502</v>
      </c>
      <c r="K11" s="107">
        <f t="shared" si="3"/>
        <v>57773.331740253518</v>
      </c>
    </row>
    <row r="12" spans="1:11" x14ac:dyDescent="0.25">
      <c r="A12" s="75" t="s">
        <v>231</v>
      </c>
      <c r="B12" s="75" t="s">
        <v>254</v>
      </c>
      <c r="C12" s="76" t="s">
        <v>256</v>
      </c>
      <c r="D12" s="76" t="s">
        <v>255</v>
      </c>
      <c r="E12" s="77">
        <v>1</v>
      </c>
      <c r="F12" s="103">
        <f t="shared" ca="1" si="0"/>
        <v>1009.0113258568726</v>
      </c>
      <c r="G12" s="104">
        <f t="shared" ca="1" si="1"/>
        <v>1009.0113258568726</v>
      </c>
      <c r="H12" s="105">
        <f t="shared" ca="1" si="2"/>
        <v>979.02251883596171</v>
      </c>
      <c r="I12" s="105">
        <f t="shared" ca="1" si="4"/>
        <v>979.02251883596171</v>
      </c>
      <c r="J12" s="107">
        <f>'Poa Zona Sul 40h'!I194</f>
        <v>7544.5265300079081</v>
      </c>
      <c r="K12" s="107">
        <f t="shared" si="3"/>
        <v>7544.5265300079081</v>
      </c>
    </row>
    <row r="13" spans="1:11" x14ac:dyDescent="0.25">
      <c r="A13" s="75" t="s">
        <v>257</v>
      </c>
      <c r="B13" s="75" t="s">
        <v>260</v>
      </c>
      <c r="C13" s="76" t="s">
        <v>258</v>
      </c>
      <c r="D13" s="76" t="s">
        <v>259</v>
      </c>
      <c r="E13" s="77">
        <v>2</v>
      </c>
      <c r="F13" s="103">
        <f t="shared" ca="1" si="0"/>
        <v>2602.3757645037253</v>
      </c>
      <c r="G13" s="104">
        <f t="shared" ca="1" si="1"/>
        <v>5204.7515290074507</v>
      </c>
      <c r="H13" s="105">
        <f t="shared" ca="1" si="2"/>
        <v>2554.2706752343543</v>
      </c>
      <c r="I13" s="105">
        <f t="shared" ca="1" si="4"/>
        <v>5108.5413504687085</v>
      </c>
      <c r="J13" s="107">
        <f>'Poa Zona Sul Noturno 12x36'!I194</f>
        <v>19202.71153444401</v>
      </c>
      <c r="K13" s="107">
        <f t="shared" si="3"/>
        <v>38405.42306888802</v>
      </c>
    </row>
    <row r="14" spans="1:11" x14ac:dyDescent="0.25">
      <c r="A14" s="75" t="s">
        <v>261</v>
      </c>
      <c r="B14" s="75" t="s">
        <v>260</v>
      </c>
      <c r="C14" s="76" t="s">
        <v>258</v>
      </c>
      <c r="D14" s="76" t="s">
        <v>259</v>
      </c>
      <c r="E14" s="77">
        <v>2</v>
      </c>
      <c r="F14" s="103">
        <f t="shared" ca="1" si="0"/>
        <v>2115.2898702285543</v>
      </c>
      <c r="G14" s="104">
        <f t="shared" ca="1" si="1"/>
        <v>4230.5797404571085</v>
      </c>
      <c r="H14" s="105">
        <f t="shared" ca="1" si="2"/>
        <v>2136.2773731848642</v>
      </c>
      <c r="I14" s="105">
        <f t="shared" ca="1" si="4"/>
        <v>4272.5547463697285</v>
      </c>
      <c r="J14" s="107">
        <f>'Poa Zona Sul Diurno 12x36'!I194</f>
        <v>15621.579227039983</v>
      </c>
      <c r="K14" s="107">
        <f t="shared" si="3"/>
        <v>31243.158454079967</v>
      </c>
    </row>
    <row r="15" spans="1:11" ht="6" customHeight="1" x14ac:dyDescent="0.25">
      <c r="A15" s="194"/>
      <c r="B15" s="195"/>
      <c r="C15" s="195"/>
      <c r="D15" s="195"/>
      <c r="E15" s="195"/>
      <c r="F15" s="195"/>
      <c r="G15" s="195"/>
      <c r="H15" s="195"/>
      <c r="I15" s="195"/>
      <c r="J15" s="195"/>
      <c r="K15" s="201"/>
    </row>
    <row r="16" spans="1:11" ht="78" customHeight="1" x14ac:dyDescent="0.25">
      <c r="A16" s="205" t="s">
        <v>224</v>
      </c>
      <c r="B16" s="206"/>
      <c r="C16" s="206"/>
      <c r="D16" s="207"/>
      <c r="E16" s="114">
        <f>SUM(E2:E14)</f>
        <v>32</v>
      </c>
      <c r="F16" s="108" t="s">
        <v>218</v>
      </c>
      <c r="G16" s="109">
        <f ca="1">SUM(G2:G14)</f>
        <v>40308.515832151519</v>
      </c>
      <c r="H16" s="110" t="s">
        <v>226</v>
      </c>
      <c r="I16" s="111">
        <f ca="1">SUM(I2:I14)</f>
        <v>39542.050738306709</v>
      </c>
      <c r="J16" s="112" t="s">
        <v>223</v>
      </c>
      <c r="K16" s="113">
        <f ca="1">I16/K18</f>
        <v>0.1302439587989892</v>
      </c>
    </row>
    <row r="17" spans="1:11" ht="6" customHeight="1" x14ac:dyDescent="0.25">
      <c r="A17" s="202"/>
      <c r="B17" s="203"/>
      <c r="C17" s="203"/>
      <c r="D17" s="203"/>
      <c r="E17" s="203"/>
      <c r="F17" s="203"/>
      <c r="G17" s="203"/>
      <c r="H17" s="203"/>
      <c r="I17" s="203"/>
      <c r="J17" s="203"/>
      <c r="K17" s="204"/>
    </row>
    <row r="18" spans="1:11" ht="26.45" customHeight="1" x14ac:dyDescent="0.25">
      <c r="A18" s="205" t="s">
        <v>225</v>
      </c>
      <c r="B18" s="206"/>
      <c r="C18" s="206"/>
      <c r="D18" s="206"/>
      <c r="E18" s="206"/>
      <c r="F18" s="206"/>
      <c r="G18" s="206"/>
      <c r="H18" s="206"/>
      <c r="I18" s="206"/>
      <c r="J18" s="207"/>
      <c r="K18" s="85">
        <f>SUM(K2:K14)</f>
        <v>303599.88365628198</v>
      </c>
    </row>
    <row r="19" spans="1:11" ht="6" customHeight="1" x14ac:dyDescent="0.25">
      <c r="A19" s="194"/>
      <c r="B19" s="195"/>
      <c r="C19" s="195"/>
      <c r="D19" s="195"/>
      <c r="E19" s="195"/>
      <c r="F19" s="195"/>
      <c r="G19" s="195"/>
      <c r="H19" s="195"/>
      <c r="I19" s="195"/>
      <c r="J19" s="195"/>
      <c r="K19" s="201"/>
    </row>
  </sheetData>
  <mergeCells count="5">
    <mergeCell ref="A19:K19"/>
    <mergeCell ref="A15:K15"/>
    <mergeCell ref="A17:K17"/>
    <mergeCell ref="A16:D16"/>
    <mergeCell ref="A18:J18"/>
  </mergeCells>
  <pageMargins left="0.51180555555555596" right="0.51180555555555596" top="0.78749999999999998" bottom="0.78749999999999998" header="0.511811023622047" footer="0.511811023622047"/>
  <pageSetup paperSize="9" scale="51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15</vt:i4>
      </vt:variant>
      <vt:variant>
        <vt:lpstr>Intervalos Nomeados</vt:lpstr>
      </vt:variant>
      <vt:variant>
        <vt:i4>13</vt:i4>
      </vt:variant>
    </vt:vector>
  </HeadingPairs>
  <TitlesOfParts>
    <vt:vector size="28" baseType="lpstr">
      <vt:lpstr>Canoas</vt:lpstr>
      <vt:lpstr>Caxias</vt:lpstr>
      <vt:lpstr>Gravataí</vt:lpstr>
      <vt:lpstr>Lajeado</vt:lpstr>
      <vt:lpstr>Pelotas</vt:lpstr>
      <vt:lpstr>Passo Fundo</vt:lpstr>
      <vt:lpstr>Poa Zona Norte e Centro 44h</vt:lpstr>
      <vt:lpstr>Poa Zona Sul Diurno 12x36</vt:lpstr>
      <vt:lpstr>Poa Zona Sul Noturno 12x36</vt:lpstr>
      <vt:lpstr>Poa Zona Sul 40h</vt:lpstr>
      <vt:lpstr>Rio Grande</vt:lpstr>
      <vt:lpstr>Santa Maria</vt:lpstr>
      <vt:lpstr>Tramandaí</vt:lpstr>
      <vt:lpstr>Materiais Equipamentos</vt:lpstr>
      <vt:lpstr>Resumo</vt:lpstr>
      <vt:lpstr>Canoas!Area_de_impressao</vt:lpstr>
      <vt:lpstr>Caxias!Area_de_impressao</vt:lpstr>
      <vt:lpstr>Gravataí!Area_de_impressao</vt:lpstr>
      <vt:lpstr>Lajeado!Area_de_impressao</vt:lpstr>
      <vt:lpstr>'Passo Fundo'!Area_de_impressao</vt:lpstr>
      <vt:lpstr>Pelotas!Area_de_impressao</vt:lpstr>
      <vt:lpstr>'Poa Zona Norte e Centro 44h'!Area_de_impressao</vt:lpstr>
      <vt:lpstr>'Poa Zona Sul 40h'!Area_de_impressao</vt:lpstr>
      <vt:lpstr>'Poa Zona Sul Diurno 12x36'!Area_de_impressao</vt:lpstr>
      <vt:lpstr>'Poa Zona Sul Noturno 12x36'!Area_de_impressao</vt:lpstr>
      <vt:lpstr>'Rio Grande'!Area_de_impressao</vt:lpstr>
      <vt:lpstr>'Santa Maria'!Area_de_impressao</vt:lpstr>
      <vt:lpstr>Tramandaí!Area_de_impressao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Vanessa Tamires Borba</cp:lastModifiedBy>
  <cp:revision>1</cp:revision>
  <cp:lastPrinted>2021-01-28T12:18:46Z</cp:lastPrinted>
  <dcterms:created xsi:type="dcterms:W3CDTF">2019-04-12T20:03:09Z</dcterms:created>
  <dcterms:modified xsi:type="dcterms:W3CDTF">2026-05-27T16:47:57Z</dcterms:modified>
  <dc:language>pt-BR</dc:language>
</cp:coreProperties>
</file>