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-105" yWindow="-105" windowWidth="23250" windowHeight="12450" tabRatio="760" activeTab="6"/>
  </bookViews>
  <sheets>
    <sheet name="Porteiro - POA Diurno" sheetId="11" r:id="rId1"/>
    <sheet name="Porteiro - Canoas Diurno" sheetId="15" r:id="rId2"/>
    <sheet name="Porteiro - Taquari Diurno" sheetId="13" r:id="rId3"/>
    <sheet name="Porteiro - POA Noturno" sheetId="2" r:id="rId4"/>
    <sheet name="Porteiro - Canoas Noturno" sheetId="16" r:id="rId5"/>
    <sheet name="Porteiro - Taquari Noturno" sheetId="14" r:id="rId6"/>
    <sheet name="Resumo" sheetId="3" r:id="rId7"/>
  </sheets>
  <externalReferences>
    <externalReference r:id="rId8"/>
    <externalReference r:id="rId9"/>
  </externalReferences>
  <definedNames>
    <definedName name="_xlnm.Print_Area" localSheetId="1">'Porteiro - Canoas Diurno'!$A$1:$I$196</definedName>
    <definedName name="_xlnm.Print_Area" localSheetId="4">'Porteiro - Canoas Noturno'!$A$1:$I$196</definedName>
    <definedName name="_xlnm.Print_Area" localSheetId="0">'Porteiro - POA Diurno'!$A$1:$I$196</definedName>
    <definedName name="_xlnm.Print_Area" localSheetId="3">'Porteiro - POA Noturno'!$A$1:$I$196</definedName>
    <definedName name="_xlnm.Print_Area" localSheetId="2">'Porteiro - Taquari Diurno'!$A$1:$I$196</definedName>
    <definedName name="_xlnm.Print_Area" localSheetId="5">'Porteiro - Taquari Noturno'!$A$1:$I$196</definedName>
    <definedName name="Auxiliar" localSheetId="1">#REF!</definedName>
    <definedName name="Auxiliar" localSheetId="4">#REF!</definedName>
    <definedName name="Auxiliar" localSheetId="0">#REF!</definedName>
    <definedName name="Auxiliar" localSheetId="3">#REF!</definedName>
    <definedName name="Auxiliar" localSheetId="2">#REF!</definedName>
    <definedName name="Auxiliar" localSheetId="5">#REF!</definedName>
    <definedName name="Auxiliar">#REF!</definedName>
    <definedName name="CUSTO_VALE_TRANSPORTE" localSheetId="1">#REF!</definedName>
    <definedName name="CUSTO_VALE_TRANSPORTE" localSheetId="4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 localSheetId="5">#REF!</definedName>
    <definedName name="CUSTO_VALE_TRANSPORTE">#REF!</definedName>
    <definedName name="ecwece4c" localSheetId="1">#REF!</definedName>
    <definedName name="ecwece4c" localSheetId="4">#REF!</definedName>
    <definedName name="ecwece4c" localSheetId="0">#REF!</definedName>
    <definedName name="ecwece4c" localSheetId="3">#REF!</definedName>
    <definedName name="ecwece4c" localSheetId="2">#REF!</definedName>
    <definedName name="ecwece4c" localSheetId="5">#REF!</definedName>
    <definedName name="ecwece4c">#REF!</definedName>
    <definedName name="MOMB4">'[1]SERVENTE MANUTENCAO'!$I$144</definedName>
    <definedName name="MONA1" localSheetId="1">#REF!</definedName>
    <definedName name="MONA1" localSheetId="4">#REF!</definedName>
    <definedName name="MONA1" localSheetId="0">#REF!</definedName>
    <definedName name="MONA1" localSheetId="3">#REF!</definedName>
    <definedName name="MONA1" localSheetId="2">#REF!</definedName>
    <definedName name="MONA1" localSheetId="5">#REF!</definedName>
    <definedName name="MONA1">#REF!</definedName>
    <definedName name="MONA2" localSheetId="1">#REF!</definedName>
    <definedName name="MONA2" localSheetId="4">#REF!</definedName>
    <definedName name="MONA2" localSheetId="0">#REF!</definedName>
    <definedName name="MONA2" localSheetId="3">#REF!</definedName>
    <definedName name="MONA2" localSheetId="2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4">#REF!</definedName>
    <definedName name="MONA5" localSheetId="0">#REF!</definedName>
    <definedName name="MONA5" localSheetId="3">#REF!</definedName>
    <definedName name="MONA5" localSheetId="2">#REF!</definedName>
    <definedName name="MONA5" localSheetId="5">#REF!</definedName>
    <definedName name="MONA5">#REF!</definedName>
    <definedName name="MONA6" localSheetId="1">#REF!</definedName>
    <definedName name="MONA6" localSheetId="4">#REF!</definedName>
    <definedName name="MONA6" localSheetId="0">#REF!</definedName>
    <definedName name="MONA6" localSheetId="3">#REF!</definedName>
    <definedName name="MONA6" localSheetId="2">#REF!</definedName>
    <definedName name="MONA6" localSheetId="5">#REF!</definedName>
    <definedName name="MONA6">#REF!</definedName>
    <definedName name="MONA7" localSheetId="1">#REF!</definedName>
    <definedName name="MONA7" localSheetId="4">#REF!</definedName>
    <definedName name="MONA7" localSheetId="0">#REF!</definedName>
    <definedName name="MONA7" localSheetId="3">#REF!</definedName>
    <definedName name="MONA7" localSheetId="2">#REF!</definedName>
    <definedName name="MONA7" localSheetId="5">#REF!</definedName>
    <definedName name="MONA7">#REF!</definedName>
    <definedName name="MONA8">[2]MECANICO_REFRIGERACAO!$I$138</definedName>
    <definedName name="MONB1" localSheetId="1">#REF!</definedName>
    <definedName name="MONB1" localSheetId="4">#REF!</definedName>
    <definedName name="MONB1" localSheetId="0">#REF!</definedName>
    <definedName name="MONB1" localSheetId="3">#REF!</definedName>
    <definedName name="MONB1" localSheetId="2">#REF!</definedName>
    <definedName name="MONB1" localSheetId="5">#REF!</definedName>
    <definedName name="MONB1">#REF!</definedName>
    <definedName name="MONB2" localSheetId="1">#REF!</definedName>
    <definedName name="MONB2" localSheetId="4">#REF!</definedName>
    <definedName name="MONB2" localSheetId="0">#REF!</definedName>
    <definedName name="MONB2" localSheetId="3">#REF!</definedName>
    <definedName name="MONB2" localSheetId="2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4">#REF!</definedName>
    <definedName name="MONB5" localSheetId="0">#REF!</definedName>
    <definedName name="MONB5" localSheetId="3">#REF!</definedName>
    <definedName name="MONB5" localSheetId="2">#REF!</definedName>
    <definedName name="MONB5" localSheetId="5">#REF!</definedName>
    <definedName name="MONB5">#REF!</definedName>
    <definedName name="MONB6" localSheetId="1">#REF!</definedName>
    <definedName name="MONB6" localSheetId="4">#REF!</definedName>
    <definedName name="MONB6" localSheetId="0">#REF!</definedName>
    <definedName name="MONB6" localSheetId="3">#REF!</definedName>
    <definedName name="MONB6" localSheetId="2">#REF!</definedName>
    <definedName name="MONB6" localSheetId="5">#REF!</definedName>
    <definedName name="MONB6">#REF!</definedName>
    <definedName name="MONB7" localSheetId="1">#REF!</definedName>
    <definedName name="MONB7" localSheetId="4">#REF!</definedName>
    <definedName name="MONB7" localSheetId="0">#REF!</definedName>
    <definedName name="MONB7" localSheetId="3">#REF!</definedName>
    <definedName name="MONB7" localSheetId="2">#REF!</definedName>
    <definedName name="MONB7" localSheetId="5">#REF!</definedName>
    <definedName name="MONB7">#REF!</definedName>
    <definedName name="MONB8">[2]MECANICO_REFRIGERACAO!$I$144</definedName>
    <definedName name="MONC1" localSheetId="1">#REF!</definedName>
    <definedName name="MONC1" localSheetId="4">#REF!</definedName>
    <definedName name="MONC1" localSheetId="0">#REF!</definedName>
    <definedName name="MONC1" localSheetId="3">#REF!</definedName>
    <definedName name="MONC1" localSheetId="2">#REF!</definedName>
    <definedName name="MONC1" localSheetId="5">#REF!</definedName>
    <definedName name="MONC1">#REF!</definedName>
    <definedName name="MONC2" localSheetId="1">#REF!</definedName>
    <definedName name="MONC2" localSheetId="4">#REF!</definedName>
    <definedName name="MONC2" localSheetId="0">#REF!</definedName>
    <definedName name="MONC2" localSheetId="3">#REF!</definedName>
    <definedName name="MONC2" localSheetId="2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4">#REF!</definedName>
    <definedName name="MONC5" localSheetId="0">#REF!</definedName>
    <definedName name="MONC5" localSheetId="3">#REF!</definedName>
    <definedName name="MONC5" localSheetId="2">#REF!</definedName>
    <definedName name="MONC5" localSheetId="5">#REF!</definedName>
    <definedName name="MONC5">#REF!</definedName>
    <definedName name="MONC6" localSheetId="1">#REF!</definedName>
    <definedName name="MONC6" localSheetId="4">#REF!</definedName>
    <definedName name="MONC6" localSheetId="0">#REF!</definedName>
    <definedName name="MONC6" localSheetId="3">#REF!</definedName>
    <definedName name="MONC6" localSheetId="2">#REF!</definedName>
    <definedName name="MONC6" localSheetId="5">#REF!</definedName>
    <definedName name="MONC6">#REF!</definedName>
    <definedName name="MONC7" localSheetId="1">#REF!</definedName>
    <definedName name="MONC7" localSheetId="4">#REF!</definedName>
    <definedName name="MONC7" localSheetId="0">#REF!</definedName>
    <definedName name="MONC7" localSheetId="3">#REF!</definedName>
    <definedName name="MONC7" localSheetId="2">#REF!</definedName>
    <definedName name="MONC7" localSheetId="5">#REF!</definedName>
    <definedName name="MONC7">#REF!</definedName>
    <definedName name="MONC8">[2]MECANICO_REFRIGERACAO!$I$148</definedName>
    <definedName name="mont" localSheetId="1">#REF!</definedName>
    <definedName name="mont" localSheetId="4">#REF!</definedName>
    <definedName name="mont" localSheetId="0">#REF!</definedName>
    <definedName name="mont" localSheetId="3">#REF!</definedName>
    <definedName name="mont" localSheetId="2">#REF!</definedName>
    <definedName name="mont" localSheetId="5">#REF!</definedName>
    <definedName name="mont">#REF!</definedName>
    <definedName name="MONTANTEA" localSheetId="1">#REF!</definedName>
    <definedName name="MONTANTEA" localSheetId="4">#REF!</definedName>
    <definedName name="MONTANTEA" localSheetId="0">#REF!</definedName>
    <definedName name="MONTANTEA" localSheetId="3">#REF!</definedName>
    <definedName name="MONTANTEA" localSheetId="2">#REF!</definedName>
    <definedName name="MONTANTEA" localSheetId="5">#REF!</definedName>
    <definedName name="MONTANTEA">#REF!</definedName>
    <definedName name="MONTANTEA1" localSheetId="1">#REF!</definedName>
    <definedName name="MONTANTEA1" localSheetId="4">#REF!</definedName>
    <definedName name="MONTANTEA1" localSheetId="0">#REF!</definedName>
    <definedName name="MONTANTEA1" localSheetId="3">#REF!</definedName>
    <definedName name="MONTANTEA1" localSheetId="2">#REF!</definedName>
    <definedName name="MONTANTEA1" localSheetId="5">#REF!</definedName>
    <definedName name="MONTANTEA1">#REF!</definedName>
    <definedName name="MONTANTEA2" localSheetId="1">#REF!</definedName>
    <definedName name="MONTANTEA2" localSheetId="4">#REF!</definedName>
    <definedName name="MONTANTEA2" localSheetId="0">#REF!</definedName>
    <definedName name="MONTANTEA2" localSheetId="3">#REF!</definedName>
    <definedName name="MONTANTEA2" localSheetId="2">#REF!</definedName>
    <definedName name="MONTANTEA2" localSheetId="5">#REF!</definedName>
    <definedName name="MONTANTEA2">#REF!</definedName>
    <definedName name="MONTANTEB" localSheetId="1">#REF!</definedName>
    <definedName name="MONTANTEB" localSheetId="4">#REF!</definedName>
    <definedName name="MONTANTEB" localSheetId="0">#REF!</definedName>
    <definedName name="MONTANTEB" localSheetId="3">#REF!</definedName>
    <definedName name="MONTANTEB" localSheetId="2">#REF!</definedName>
    <definedName name="MONTANTEB" localSheetId="5">#REF!</definedName>
    <definedName name="MONTANTEB">#REF!</definedName>
    <definedName name="MONTANTEB1" localSheetId="1">#REF!</definedName>
    <definedName name="MONTANTEB1" localSheetId="4">#REF!</definedName>
    <definedName name="MONTANTEB1" localSheetId="0">#REF!</definedName>
    <definedName name="MONTANTEB1" localSheetId="3">#REF!</definedName>
    <definedName name="MONTANTEB1" localSheetId="2">#REF!</definedName>
    <definedName name="MONTANTEB1" localSheetId="5">#REF!</definedName>
    <definedName name="MONTANTEB1">#REF!</definedName>
    <definedName name="MONTANTEB2" localSheetId="1">#REF!</definedName>
    <definedName name="MONTANTEB2" localSheetId="4">#REF!</definedName>
    <definedName name="MONTANTEB2" localSheetId="0">#REF!</definedName>
    <definedName name="MONTANTEB2" localSheetId="3">#REF!</definedName>
    <definedName name="MONTANTEB2" localSheetId="2">#REF!</definedName>
    <definedName name="MONTANTEB2" localSheetId="5">#REF!</definedName>
    <definedName name="MONTANTEB2">#REF!</definedName>
    <definedName name="MONTANTEC" localSheetId="1">#REF!</definedName>
    <definedName name="MONTANTEC" localSheetId="4">#REF!</definedName>
    <definedName name="MONTANTEC" localSheetId="0">#REF!</definedName>
    <definedName name="MONTANTEC" localSheetId="3">#REF!</definedName>
    <definedName name="MONTANTEC" localSheetId="2">#REF!</definedName>
    <definedName name="MONTANTEC" localSheetId="5">#REF!</definedName>
    <definedName name="MONTANTEC">#REF!</definedName>
    <definedName name="MONTANTEC1" localSheetId="1">#REF!</definedName>
    <definedName name="MONTANTEC1" localSheetId="4">#REF!</definedName>
    <definedName name="MONTANTEC1" localSheetId="0">#REF!</definedName>
    <definedName name="MONTANTEC1" localSheetId="3">#REF!</definedName>
    <definedName name="MONTANTEC1" localSheetId="2">#REF!</definedName>
    <definedName name="MONTANTEC1" localSheetId="5">#REF!</definedName>
    <definedName name="MONTANTEC1">#REF!</definedName>
    <definedName name="MONTANTEC2" localSheetId="1">#REF!</definedName>
    <definedName name="MONTANTEC2" localSheetId="4">#REF!</definedName>
    <definedName name="MONTANTEC2" localSheetId="0">#REF!</definedName>
    <definedName name="MONTANTEC2" localSheetId="3">#REF!</definedName>
    <definedName name="MONTANTEC2" localSheetId="2">#REF!</definedName>
    <definedName name="MONTANTEC2" localSheetId="5">#REF!</definedName>
    <definedName name="MONTANTEC2">#REF!</definedName>
    <definedName name="ok" localSheetId="1">#REF!</definedName>
    <definedName name="ok" localSheetId="4">#REF!</definedName>
    <definedName name="ok" localSheetId="0">#REF!</definedName>
    <definedName name="ok" localSheetId="3">#REF!</definedName>
    <definedName name="ok" localSheetId="2">#REF!</definedName>
    <definedName name="ok" localSheetId="5">#REF!</definedName>
    <definedName name="ok">#REF!</definedName>
    <definedName name="REMUNERACAO1" localSheetId="1">#REF!</definedName>
    <definedName name="REMUNERACAO1" localSheetId="4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 localSheetId="5">#REF!</definedName>
    <definedName name="REMUNERACAO1">#REF!</definedName>
    <definedName name="REMUNERACAO2" localSheetId="1">#REF!</definedName>
    <definedName name="REMUNERACAO2" localSheetId="4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4">#REF!</definedName>
    <definedName name="REMUNERACAO5" localSheetId="0">#REF!</definedName>
    <definedName name="REMUNERACAO5" localSheetId="3">#REF!</definedName>
    <definedName name="REMUNERACAO5" localSheetId="2">#REF!</definedName>
    <definedName name="REMUNERACAO5" localSheetId="5">#REF!</definedName>
    <definedName name="REMUNERACAO5">#REF!</definedName>
    <definedName name="REMUNERACAO6" localSheetId="1">#REF!</definedName>
    <definedName name="REMUNERACAO6" localSheetId="4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 localSheetId="5">#REF!</definedName>
    <definedName name="REMUNERACAO6">#REF!</definedName>
    <definedName name="REMUNERACAO7" localSheetId="1">#REF!</definedName>
    <definedName name="REMUNERACAO7" localSheetId="4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4">#REF!</definedName>
    <definedName name="TOTAL_MONT_A" localSheetId="0">#REF!</definedName>
    <definedName name="TOTAL_MONT_A" localSheetId="3">#REF!</definedName>
    <definedName name="TOTAL_MONT_A" localSheetId="2">#REF!</definedName>
    <definedName name="TOTAL_MONT_A" localSheetId="5">#REF!</definedName>
    <definedName name="TOTAL_MONT_A">#REF!</definedName>
    <definedName name="TOTAL1" localSheetId="1">#REF!</definedName>
    <definedName name="TOTAL1" localSheetId="4">#REF!</definedName>
    <definedName name="TOTAL1" localSheetId="0">#REF!</definedName>
    <definedName name="TOTAL1" localSheetId="3">#REF!</definedName>
    <definedName name="TOTAL1" localSheetId="2">#REF!</definedName>
    <definedName name="TOTAL1" localSheetId="5">#REF!</definedName>
    <definedName name="TOTAL1">#REF!</definedName>
    <definedName name="TOTAL2" localSheetId="1">#REF!</definedName>
    <definedName name="TOTAL2" localSheetId="4">#REF!</definedName>
    <definedName name="TOTAL2" localSheetId="0">#REF!</definedName>
    <definedName name="TOTAL2" localSheetId="3">#REF!</definedName>
    <definedName name="TOTAL2" localSheetId="2">#REF!</definedName>
    <definedName name="TOTAL2" localSheetId="5">#REF!</definedName>
    <definedName name="TOTAL2">#REF!</definedName>
    <definedName name="VALE_TRANSPORTE" localSheetId="1">#REF!</definedName>
    <definedName name="VALE_TRANSPORTE" localSheetId="4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 localSheetId="5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6" l="1"/>
  <c r="E164" i="16"/>
  <c r="H163" i="16"/>
  <c r="H166" i="16" s="1"/>
  <c r="D163" i="16" s="1"/>
  <c r="E163" i="16" s="1"/>
  <c r="G163" i="16"/>
  <c r="G166" i="16" s="1"/>
  <c r="D162" i="16" s="1"/>
  <c r="E162" i="16" s="1"/>
  <c r="I137" i="16"/>
  <c r="I180" i="16" s="1"/>
  <c r="F130" i="16"/>
  <c r="G114" i="16"/>
  <c r="C114" i="16"/>
  <c r="A114" i="16"/>
  <c r="E114" i="16" s="1"/>
  <c r="H113" i="16"/>
  <c r="G110" i="16"/>
  <c r="E110" i="16"/>
  <c r="C110" i="16"/>
  <c r="A110" i="16"/>
  <c r="G106" i="16"/>
  <c r="F106" i="16"/>
  <c r="H106" i="16" s="1"/>
  <c r="C106" i="16"/>
  <c r="A106" i="16"/>
  <c r="I101" i="16"/>
  <c r="I100" i="16"/>
  <c r="I99" i="16"/>
  <c r="I98" i="16"/>
  <c r="A95" i="16"/>
  <c r="A96" i="16" s="1"/>
  <c r="A97" i="16" s="1"/>
  <c r="A98" i="16" s="1"/>
  <c r="H88" i="16"/>
  <c r="H89" i="16" s="1"/>
  <c r="H91" i="16" s="1"/>
  <c r="H85" i="16"/>
  <c r="H78" i="16"/>
  <c r="H66" i="16"/>
  <c r="B54" i="16"/>
  <c r="I52" i="16"/>
  <c r="I51" i="16"/>
  <c r="I49" i="16"/>
  <c r="I48" i="16"/>
  <c r="I46" i="16"/>
  <c r="I45" i="16"/>
  <c r="I44" i="16"/>
  <c r="I43" i="16"/>
  <c r="I42" i="16"/>
  <c r="I41" i="16"/>
  <c r="I40" i="16"/>
  <c r="A40" i="16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39" i="16"/>
  <c r="I38" i="16"/>
  <c r="I34" i="16"/>
  <c r="I33" i="16"/>
  <c r="I47" i="16" s="1"/>
  <c r="I31" i="16"/>
  <c r="I30" i="16"/>
  <c r="I50" i="16" s="1"/>
  <c r="I25" i="16"/>
  <c r="G11" i="16"/>
  <c r="A6" i="16"/>
  <c r="I5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3" i="15"/>
  <c r="I190" i="15" s="1"/>
  <c r="G114" i="15"/>
  <c r="C114" i="15"/>
  <c r="A114" i="15"/>
  <c r="E114" i="15" s="1"/>
  <c r="H113" i="15"/>
  <c r="F112" i="15"/>
  <c r="G110" i="15"/>
  <c r="C110" i="15"/>
  <c r="A110" i="15"/>
  <c r="E110" i="15" s="1"/>
  <c r="G106" i="15"/>
  <c r="F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I46" i="15" s="1"/>
  <c r="I39" i="15"/>
  <c r="A39" i="15"/>
  <c r="A40" i="15" s="1"/>
  <c r="A41" i="15" s="1"/>
  <c r="A42" i="15" s="1"/>
  <c r="A43" i="15" s="1"/>
  <c r="A44" i="15" s="1"/>
  <c r="A45" i="15" s="1"/>
  <c r="I38" i="15"/>
  <c r="I25" i="15"/>
  <c r="G11" i="15"/>
  <c r="A6" i="15"/>
  <c r="I5" i="15"/>
  <c r="G5" i="15"/>
  <c r="F3" i="3"/>
  <c r="F6" i="3"/>
  <c r="H3" i="3"/>
  <c r="H6" i="3"/>
  <c r="I6" i="3" l="1"/>
  <c r="G6" i="3"/>
  <c r="E106" i="16"/>
  <c r="I106" i="16" s="1"/>
  <c r="I97" i="16" s="1"/>
  <c r="I143" i="16" s="1"/>
  <c r="F114" i="16"/>
  <c r="H114" i="16" s="1"/>
  <c r="I114" i="16" s="1"/>
  <c r="I94" i="16" s="1"/>
  <c r="I53" i="16"/>
  <c r="I55" i="16"/>
  <c r="H50" i="16" s="1"/>
  <c r="H51" i="16"/>
  <c r="F110" i="16"/>
  <c r="H110" i="16" s="1"/>
  <c r="I110" i="16" s="1"/>
  <c r="I95" i="16" s="1"/>
  <c r="H95" i="16" s="1"/>
  <c r="I123" i="16"/>
  <c r="I3" i="3"/>
  <c r="G3" i="3"/>
  <c r="H106" i="15"/>
  <c r="E106" i="15"/>
  <c r="I106" i="15" s="1"/>
  <c r="I97" i="15" s="1"/>
  <c r="H97" i="15" s="1"/>
  <c r="I76" i="15"/>
  <c r="I62" i="15"/>
  <c r="I75" i="15"/>
  <c r="I60" i="15"/>
  <c r="H96" i="15"/>
  <c r="I73" i="15"/>
  <c r="I72" i="15"/>
  <c r="I71" i="15"/>
  <c r="H42" i="15"/>
  <c r="H100" i="15"/>
  <c r="I70" i="15"/>
  <c r="I78" i="15" s="1"/>
  <c r="H41" i="15"/>
  <c r="H44" i="15"/>
  <c r="I61" i="15"/>
  <c r="H39" i="15"/>
  <c r="I83" i="15"/>
  <c r="I82" i="15"/>
  <c r="I85" i="15" s="1"/>
  <c r="A132" i="15"/>
  <c r="H98" i="15"/>
  <c r="I64" i="15"/>
  <c r="I173" i="15"/>
  <c r="I63" i="15"/>
  <c r="I88" i="15"/>
  <c r="I89" i="15" s="1"/>
  <c r="I74" i="15"/>
  <c r="H43" i="15"/>
  <c r="H101" i="15"/>
  <c r="I58" i="15"/>
  <c r="I84" i="15"/>
  <c r="H40" i="15"/>
  <c r="A145" i="15"/>
  <c r="I59" i="15"/>
  <c r="H38" i="15"/>
  <c r="H99" i="15"/>
  <c r="H45" i="15"/>
  <c r="I65" i="15"/>
  <c r="I77" i="15"/>
  <c r="I193" i="15"/>
  <c r="F110" i="15"/>
  <c r="H110" i="15" s="1"/>
  <c r="I110" i="15" s="1"/>
  <c r="I95" i="15" s="1"/>
  <c r="H95" i="15" s="1"/>
  <c r="F114" i="15"/>
  <c r="H114" i="15" s="1"/>
  <c r="I114" i="15"/>
  <c r="I94" i="15" s="1"/>
  <c r="H88" i="15"/>
  <c r="H89" i="15" s="1"/>
  <c r="H91" i="15" s="1"/>
  <c r="H196" i="14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E110" i="14" s="1"/>
  <c r="F110" i="14" s="1"/>
  <c r="H110" i="14" s="1"/>
  <c r="G106" i="14"/>
  <c r="C106" i="14"/>
  <c r="A106" i="14"/>
  <c r="I101" i="14"/>
  <c r="I100" i="14"/>
  <c r="I99" i="14"/>
  <c r="I98" i="14"/>
  <c r="A97" i="14"/>
  <c r="A98" i="14" s="1"/>
  <c r="A96" i="14"/>
  <c r="A95" i="14"/>
  <c r="H88" i="14"/>
  <c r="H89" i="14" s="1"/>
  <c r="H85" i="14"/>
  <c r="H91" i="14" s="1"/>
  <c r="H78" i="14"/>
  <c r="H66" i="14"/>
  <c r="B54" i="14"/>
  <c r="I52" i="14"/>
  <c r="I51" i="14"/>
  <c r="I49" i="14"/>
  <c r="I48" i="14"/>
  <c r="I47" i="14"/>
  <c r="I46" i="14"/>
  <c r="I45" i="14"/>
  <c r="I44" i="14"/>
  <c r="I43" i="14"/>
  <c r="I42" i="14"/>
  <c r="I41" i="14"/>
  <c r="I40" i="14"/>
  <c r="A40" i="14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39" i="14"/>
  <c r="I38" i="14"/>
  <c r="I25" i="14" s="1"/>
  <c r="I34" i="14"/>
  <c r="I33" i="14"/>
  <c r="I31" i="14"/>
  <c r="I30" i="14"/>
  <c r="I50" i="14" s="1"/>
  <c r="G11" i="14"/>
  <c r="A6" i="14"/>
  <c r="I5" i="14"/>
  <c r="G5" i="14"/>
  <c r="I25" i="2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I190" i="13" s="1"/>
  <c r="G114" i="13"/>
  <c r="C114" i="13"/>
  <c r="A114" i="13"/>
  <c r="E114" i="13" s="1"/>
  <c r="H113" i="13"/>
  <c r="F112" i="13"/>
  <c r="G110" i="13"/>
  <c r="C110" i="13"/>
  <c r="A110" i="13"/>
  <c r="G106" i="13"/>
  <c r="F106" i="13"/>
  <c r="H106" i="13" s="1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I43" i="13" s="1"/>
  <c r="I25" i="13"/>
  <c r="G11" i="13"/>
  <c r="A6" i="13"/>
  <c r="I5" i="13"/>
  <c r="G5" i="13"/>
  <c r="I130" i="16" l="1"/>
  <c r="I102" i="16"/>
  <c r="H94" i="16"/>
  <c r="I190" i="16"/>
  <c r="A145" i="16"/>
  <c r="I72" i="16"/>
  <c r="I58" i="16"/>
  <c r="H39" i="16"/>
  <c r="H99" i="16"/>
  <c r="I82" i="16"/>
  <c r="I85" i="16" s="1"/>
  <c r="H98" i="16"/>
  <c r="I64" i="16"/>
  <c r="I77" i="16"/>
  <c r="I74" i="16"/>
  <c r="H48" i="16"/>
  <c r="I59" i="16"/>
  <c r="I71" i="16"/>
  <c r="I83" i="16"/>
  <c r="H46" i="16"/>
  <c r="I63" i="16"/>
  <c r="H49" i="16"/>
  <c r="H41" i="16"/>
  <c r="I62" i="16"/>
  <c r="I75" i="16"/>
  <c r="I88" i="16"/>
  <c r="I89" i="16" s="1"/>
  <c r="H44" i="16"/>
  <c r="H96" i="16"/>
  <c r="H100" i="16"/>
  <c r="I84" i="16"/>
  <c r="I70" i="16"/>
  <c r="H54" i="16"/>
  <c r="H38" i="16"/>
  <c r="H42" i="16"/>
  <c r="I65" i="16"/>
  <c r="A132" i="16"/>
  <c r="H45" i="16"/>
  <c r="I76" i="16"/>
  <c r="I61" i="16"/>
  <c r="I60" i="16"/>
  <c r="H52" i="16"/>
  <c r="H40" i="16"/>
  <c r="I173" i="16"/>
  <c r="I73" i="16"/>
  <c r="H101" i="16"/>
  <c r="H47" i="16"/>
  <c r="H53" i="16"/>
  <c r="I193" i="16"/>
  <c r="H97" i="16"/>
  <c r="H43" i="16"/>
  <c r="I130" i="15"/>
  <c r="I143" i="15"/>
  <c r="D145" i="15"/>
  <c r="D132" i="15"/>
  <c r="I102" i="15"/>
  <c r="H94" i="15"/>
  <c r="H102" i="15" s="1"/>
  <c r="F132" i="15"/>
  <c r="F145" i="15"/>
  <c r="H46" i="15"/>
  <c r="H116" i="15" s="1"/>
  <c r="E145" i="15"/>
  <c r="E132" i="15"/>
  <c r="I66" i="15"/>
  <c r="E106" i="14"/>
  <c r="I106" i="14" s="1"/>
  <c r="I97" i="14" s="1"/>
  <c r="F106" i="14"/>
  <c r="H106" i="14" s="1"/>
  <c r="F114" i="14"/>
  <c r="H114" i="14" s="1"/>
  <c r="I114" i="14"/>
  <c r="I94" i="14" s="1"/>
  <c r="I110" i="14"/>
  <c r="I95" i="14" s="1"/>
  <c r="I123" i="14"/>
  <c r="I53" i="14"/>
  <c r="I55" i="14" s="1"/>
  <c r="E110" i="13"/>
  <c r="E106" i="13"/>
  <c r="I106" i="13"/>
  <c r="I97" i="13" s="1"/>
  <c r="I143" i="13" s="1"/>
  <c r="F110" i="13"/>
  <c r="H110" i="13" s="1"/>
  <c r="I110" i="13"/>
  <c r="I95" i="13" s="1"/>
  <c r="I44" i="13"/>
  <c r="F114" i="13"/>
  <c r="H114" i="13" s="1"/>
  <c r="I114" i="13" s="1"/>
  <c r="I94" i="13" s="1"/>
  <c r="H88" i="13"/>
  <c r="H89" i="13" s="1"/>
  <c r="H91" i="13" s="1"/>
  <c r="E145" i="16" l="1"/>
  <c r="E132" i="16"/>
  <c r="H55" i="16"/>
  <c r="I66" i="16"/>
  <c r="I78" i="16"/>
  <c r="H102" i="16"/>
  <c r="F145" i="16"/>
  <c r="F132" i="16"/>
  <c r="G132" i="16"/>
  <c r="G145" i="16"/>
  <c r="I175" i="16"/>
  <c r="I175" i="15"/>
  <c r="G145" i="15"/>
  <c r="G132" i="15"/>
  <c r="I174" i="15"/>
  <c r="I91" i="15"/>
  <c r="I116" i="15" s="1"/>
  <c r="A161" i="15" s="1"/>
  <c r="C145" i="15"/>
  <c r="C132" i="15"/>
  <c r="I143" i="14"/>
  <c r="I130" i="14"/>
  <c r="A145" i="14"/>
  <c r="I72" i="14"/>
  <c r="I58" i="14"/>
  <c r="H39" i="14"/>
  <c r="I71" i="14"/>
  <c r="I173" i="14"/>
  <c r="H96" i="14"/>
  <c r="I84" i="14"/>
  <c r="I70" i="14"/>
  <c r="H38" i="14"/>
  <c r="I82" i="14"/>
  <c r="H98" i="14"/>
  <c r="H41" i="14"/>
  <c r="I76" i="14"/>
  <c r="I88" i="14"/>
  <c r="I89" i="14" s="1"/>
  <c r="I74" i="14"/>
  <c r="I60" i="14"/>
  <c r="H52" i="14"/>
  <c r="H40" i="14"/>
  <c r="I73" i="14"/>
  <c r="I59" i="14"/>
  <c r="I83" i="14"/>
  <c r="H54" i="14"/>
  <c r="I65" i="14"/>
  <c r="I64" i="14"/>
  <c r="I63" i="14"/>
  <c r="H45" i="14"/>
  <c r="I75" i="14"/>
  <c r="H48" i="14"/>
  <c r="H99" i="14"/>
  <c r="H46" i="14"/>
  <c r="H42" i="14"/>
  <c r="A132" i="14"/>
  <c r="I77" i="14"/>
  <c r="H49" i="14"/>
  <c r="I62" i="14"/>
  <c r="I61" i="14"/>
  <c r="H43" i="14"/>
  <c r="H101" i="14"/>
  <c r="H51" i="14"/>
  <c r="H47" i="14"/>
  <c r="I193" i="14"/>
  <c r="H97" i="14"/>
  <c r="H53" i="14"/>
  <c r="I190" i="14"/>
  <c r="H95" i="14"/>
  <c r="H100" i="14"/>
  <c r="H50" i="14"/>
  <c r="H94" i="14"/>
  <c r="I102" i="14"/>
  <c r="H44" i="14"/>
  <c r="I130" i="13"/>
  <c r="I102" i="13"/>
  <c r="I46" i="13"/>
  <c r="E9" i="3"/>
  <c r="D132" i="16" l="1"/>
  <c r="D145" i="16"/>
  <c r="H116" i="16"/>
  <c r="C132" i="16"/>
  <c r="I91" i="16"/>
  <c r="I116" i="16" s="1"/>
  <c r="A161" i="16" s="1"/>
  <c r="I174" i="16"/>
  <c r="C145" i="16"/>
  <c r="H145" i="16" s="1"/>
  <c r="I145" i="16" s="1"/>
  <c r="H132" i="15"/>
  <c r="I132" i="15" s="1"/>
  <c r="H125" i="15" s="1"/>
  <c r="H145" i="15"/>
  <c r="I145" i="15" s="1"/>
  <c r="G143" i="15" s="1"/>
  <c r="H136" i="15"/>
  <c r="H135" i="15"/>
  <c r="I176" i="15"/>
  <c r="I85" i="14"/>
  <c r="I78" i="14"/>
  <c r="E145" i="14"/>
  <c r="E132" i="14"/>
  <c r="H55" i="14"/>
  <c r="G132" i="14"/>
  <c r="I175" i="14"/>
  <c r="G145" i="14"/>
  <c r="F132" i="14"/>
  <c r="F145" i="14"/>
  <c r="H102" i="14"/>
  <c r="I66" i="14"/>
  <c r="I76" i="13"/>
  <c r="I62" i="13"/>
  <c r="I75" i="13"/>
  <c r="I61" i="13"/>
  <c r="I59" i="13"/>
  <c r="H101" i="13"/>
  <c r="I71" i="13"/>
  <c r="H38" i="13"/>
  <c r="I84" i="13"/>
  <c r="H41" i="13"/>
  <c r="A132" i="13"/>
  <c r="I64" i="13"/>
  <c r="I77" i="13"/>
  <c r="H40" i="13"/>
  <c r="I88" i="13"/>
  <c r="I89" i="13" s="1"/>
  <c r="I60" i="13"/>
  <c r="H39" i="13"/>
  <c r="H96" i="13"/>
  <c r="I73" i="13"/>
  <c r="I72" i="13"/>
  <c r="H100" i="13"/>
  <c r="I70" i="13"/>
  <c r="H99" i="13"/>
  <c r="I65" i="13"/>
  <c r="I63" i="13"/>
  <c r="I74" i="13"/>
  <c r="A145" i="13"/>
  <c r="I58" i="13"/>
  <c r="H42" i="13"/>
  <c r="I83" i="13"/>
  <c r="I82" i="13"/>
  <c r="H45" i="13"/>
  <c r="H98" i="13"/>
  <c r="I173" i="13"/>
  <c r="H97" i="13"/>
  <c r="I193" i="13"/>
  <c r="H43" i="13"/>
  <c r="H95" i="13"/>
  <c r="H44" i="13"/>
  <c r="H94" i="13"/>
  <c r="G132" i="13"/>
  <c r="I175" i="13"/>
  <c r="G145" i="13"/>
  <c r="I100" i="11"/>
  <c r="I99" i="11"/>
  <c r="I100" i="2"/>
  <c r="I99" i="2"/>
  <c r="F5" i="3"/>
  <c r="H7" i="3"/>
  <c r="F7" i="3"/>
  <c r="H2" i="3"/>
  <c r="H4" i="3"/>
  <c r="F2" i="3"/>
  <c r="H5" i="3"/>
  <c r="F4" i="3"/>
  <c r="H137" i="15" l="1"/>
  <c r="H132" i="16"/>
  <c r="I132" i="16" s="1"/>
  <c r="H136" i="16"/>
  <c r="H135" i="16"/>
  <c r="H137" i="16" s="1"/>
  <c r="G143" i="16"/>
  <c r="I176" i="16"/>
  <c r="H126" i="16"/>
  <c r="H122" i="16"/>
  <c r="G130" i="16"/>
  <c r="H125" i="16"/>
  <c r="H120" i="16"/>
  <c r="H124" i="16"/>
  <c r="H123" i="16"/>
  <c r="H122" i="15"/>
  <c r="H124" i="15"/>
  <c r="G130" i="15"/>
  <c r="H123" i="15"/>
  <c r="H126" i="15"/>
  <c r="H120" i="15"/>
  <c r="H121" i="15"/>
  <c r="I127" i="15"/>
  <c r="H127" i="15"/>
  <c r="H140" i="15"/>
  <c r="H141" i="15" s="1"/>
  <c r="I141" i="15"/>
  <c r="I181" i="15" s="1"/>
  <c r="H116" i="14"/>
  <c r="I174" i="14"/>
  <c r="C145" i="14"/>
  <c r="I91" i="14"/>
  <c r="I116" i="14" s="1"/>
  <c r="A161" i="14" s="1"/>
  <c r="C132" i="14"/>
  <c r="D145" i="14"/>
  <c r="D132" i="14"/>
  <c r="H46" i="13"/>
  <c r="H102" i="13"/>
  <c r="I78" i="13"/>
  <c r="D145" i="13" s="1"/>
  <c r="I85" i="13"/>
  <c r="E145" i="13" s="1"/>
  <c r="I66" i="13"/>
  <c r="C145" i="13"/>
  <c r="C132" i="13"/>
  <c r="F132" i="13"/>
  <c r="F145" i="13"/>
  <c r="G2" i="3"/>
  <c r="I127" i="16" l="1"/>
  <c r="H121" i="16"/>
  <c r="H127" i="16" s="1"/>
  <c r="H140" i="16"/>
  <c r="H141" i="16" s="1"/>
  <c r="I141" i="16"/>
  <c r="I181" i="16" s="1"/>
  <c r="I147" i="15"/>
  <c r="C161" i="15" s="1"/>
  <c r="D161" i="15" s="1"/>
  <c r="I179" i="15"/>
  <c r="H147" i="15"/>
  <c r="I176" i="14"/>
  <c r="H132" i="14"/>
  <c r="I132" i="14" s="1"/>
  <c r="H145" i="14"/>
  <c r="I145" i="14" s="1"/>
  <c r="H116" i="13"/>
  <c r="I91" i="13"/>
  <c r="I116" i="13" s="1"/>
  <c r="A161" i="13" s="1"/>
  <c r="I174" i="13"/>
  <c r="I176" i="13" s="1"/>
  <c r="E132" i="13"/>
  <c r="D132" i="13"/>
  <c r="H132" i="13"/>
  <c r="I132" i="13" s="1"/>
  <c r="H122" i="13" s="1"/>
  <c r="H145" i="13"/>
  <c r="I145" i="13" s="1"/>
  <c r="H136" i="13" s="1"/>
  <c r="G7" i="3"/>
  <c r="G5" i="3"/>
  <c r="G4" i="3"/>
  <c r="I2" i="3"/>
  <c r="H147" i="16" l="1"/>
  <c r="I179" i="16"/>
  <c r="I147" i="16"/>
  <c r="C161" i="16" s="1"/>
  <c r="D161" i="16" s="1"/>
  <c r="I182" i="15"/>
  <c r="I153" i="15"/>
  <c r="H153" i="15" s="1"/>
  <c r="I151" i="15"/>
  <c r="I154" i="15"/>
  <c r="H154" i="15" s="1"/>
  <c r="I152" i="15"/>
  <c r="H152" i="15" s="1"/>
  <c r="I155" i="15"/>
  <c r="H155" i="15" s="1"/>
  <c r="G143" i="14"/>
  <c r="H135" i="14"/>
  <c r="H136" i="14"/>
  <c r="H126" i="14"/>
  <c r="H125" i="14"/>
  <c r="H124" i="14"/>
  <c r="H122" i="14"/>
  <c r="G130" i="14"/>
  <c r="H120" i="14"/>
  <c r="H123" i="14"/>
  <c r="G9" i="3"/>
  <c r="H123" i="13"/>
  <c r="H125" i="13"/>
  <c r="H126" i="13"/>
  <c r="H120" i="13"/>
  <c r="H124" i="13"/>
  <c r="G143" i="13"/>
  <c r="I141" i="13" s="1"/>
  <c r="H135" i="13"/>
  <c r="H137" i="13" s="1"/>
  <c r="G130" i="13"/>
  <c r="I127" i="13" s="1"/>
  <c r="I179" i="13" s="1"/>
  <c r="H121" i="13"/>
  <c r="I152" i="16" l="1"/>
  <c r="H152" i="16" s="1"/>
  <c r="I151" i="16"/>
  <c r="I155" i="16"/>
  <c r="H155" i="16" s="1"/>
  <c r="I154" i="16"/>
  <c r="H154" i="16" s="1"/>
  <c r="I153" i="16"/>
  <c r="H153" i="16" s="1"/>
  <c r="I182" i="16"/>
  <c r="H151" i="15"/>
  <c r="H156" i="15" s="1"/>
  <c r="H169" i="15" s="1"/>
  <c r="I156" i="15"/>
  <c r="H137" i="14"/>
  <c r="I127" i="14"/>
  <c r="H121" i="14"/>
  <c r="H127" i="14"/>
  <c r="I141" i="14"/>
  <c r="I181" i="14" s="1"/>
  <c r="H140" i="14"/>
  <c r="H141" i="14" s="1"/>
  <c r="H127" i="13"/>
  <c r="H140" i="13"/>
  <c r="H141" i="13" s="1"/>
  <c r="I181" i="13"/>
  <c r="I147" i="13"/>
  <c r="C161" i="13" s="1"/>
  <c r="D161" i="13" s="1"/>
  <c r="I7" i="3"/>
  <c r="I5" i="3"/>
  <c r="I4" i="3"/>
  <c r="I156" i="16" l="1"/>
  <c r="H151" i="16"/>
  <c r="H156" i="16" s="1"/>
  <c r="H169" i="16" s="1"/>
  <c r="I169" i="15"/>
  <c r="I185" i="15"/>
  <c r="I186" i="15"/>
  <c r="G196" i="15" s="1"/>
  <c r="H147" i="14"/>
  <c r="I179" i="14"/>
  <c r="I147" i="14"/>
  <c r="C161" i="14" s="1"/>
  <c r="D161" i="14" s="1"/>
  <c r="I9" i="3"/>
  <c r="H147" i="13"/>
  <c r="I153" i="13"/>
  <c r="H153" i="13" s="1"/>
  <c r="I152" i="13"/>
  <c r="H152" i="13" s="1"/>
  <c r="I151" i="13"/>
  <c r="I155" i="13"/>
  <c r="H155" i="13" s="1"/>
  <c r="I154" i="13"/>
  <c r="H154" i="13" s="1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169" i="16" l="1"/>
  <c r="I186" i="16"/>
  <c r="G196" i="16" s="1"/>
  <c r="I185" i="16"/>
  <c r="H185" i="16" s="1"/>
  <c r="H186" i="16" s="1"/>
  <c r="H185" i="15"/>
  <c r="H186" i="15" s="1"/>
  <c r="I196" i="15"/>
  <c r="J3" i="3" s="1"/>
  <c r="K3" i="3" s="1"/>
  <c r="H180" i="15"/>
  <c r="H173" i="15"/>
  <c r="H175" i="15"/>
  <c r="H174" i="15"/>
  <c r="H181" i="15"/>
  <c r="H179" i="15"/>
  <c r="I151" i="14"/>
  <c r="I152" i="14"/>
  <c r="H152" i="14" s="1"/>
  <c r="I155" i="14"/>
  <c r="H155" i="14" s="1"/>
  <c r="I153" i="14"/>
  <c r="H153" i="14" s="1"/>
  <c r="I154" i="14"/>
  <c r="H154" i="14" s="1"/>
  <c r="I182" i="14"/>
  <c r="H151" i="13"/>
  <c r="H156" i="13" s="1"/>
  <c r="H169" i="13" s="1"/>
  <c r="I156" i="13"/>
  <c r="I42" i="11"/>
  <c r="I25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31" i="2"/>
  <c r="H182" i="15" l="1"/>
  <c r="I196" i="16"/>
  <c r="J6" i="3" s="1"/>
  <c r="K6" i="3" s="1"/>
  <c r="H180" i="16"/>
  <c r="H173" i="16"/>
  <c r="H175" i="16"/>
  <c r="H174" i="16"/>
  <c r="H181" i="16"/>
  <c r="H179" i="16"/>
  <c r="H182" i="16" s="1"/>
  <c r="H176" i="15"/>
  <c r="H151" i="14"/>
  <c r="H156" i="14" s="1"/>
  <c r="H169" i="14" s="1"/>
  <c r="I156" i="14"/>
  <c r="I186" i="13"/>
  <c r="G196" i="13" s="1"/>
  <c r="I169" i="13"/>
  <c r="I185" i="13"/>
  <c r="I106" i="11"/>
  <c r="I97" i="11" s="1"/>
  <c r="I102" i="11" s="1"/>
  <c r="I46" i="11"/>
  <c r="I77" i="11"/>
  <c r="H176" i="16" l="1"/>
  <c r="I169" i="14"/>
  <c r="I186" i="14"/>
  <c r="G196" i="14" s="1"/>
  <c r="I185" i="14"/>
  <c r="H185" i="14" s="1"/>
  <c r="H186" i="14" s="1"/>
  <c r="H185" i="13"/>
  <c r="H186" i="13" s="1"/>
  <c r="I196" i="13"/>
  <c r="J4" i="3" s="1"/>
  <c r="H180" i="13"/>
  <c r="H179" i="13"/>
  <c r="H173" i="13"/>
  <c r="H175" i="13"/>
  <c r="H174" i="13"/>
  <c r="H181" i="13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I196" i="14" l="1"/>
  <c r="J7" i="3" s="1"/>
  <c r="K7" i="3" s="1"/>
  <c r="H180" i="14"/>
  <c r="H173" i="14"/>
  <c r="H175" i="14"/>
  <c r="H174" i="14"/>
  <c r="H181" i="14"/>
  <c r="H179" i="14"/>
  <c r="H182" i="14" s="1"/>
  <c r="H176" i="13"/>
  <c r="H182" i="13"/>
  <c r="H46" i="11"/>
  <c r="H102" i="11"/>
  <c r="I85" i="11"/>
  <c r="E145" i="11" s="1"/>
  <c r="I78" i="11"/>
  <c r="D145" i="11" s="1"/>
  <c r="I66" i="11"/>
  <c r="F145" i="11"/>
  <c r="H176" i="14" l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A95" i="2"/>
  <c r="A96" i="2" s="1"/>
  <c r="A97" i="2" s="1"/>
  <c r="A98" i="2" s="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I33" i="2"/>
  <c r="I30" i="2"/>
  <c r="G11" i="2"/>
  <c r="A6" i="2"/>
  <c r="I5" i="2"/>
  <c r="I38" i="2" s="1"/>
  <c r="G5" i="2"/>
  <c r="I127" i="11" l="1"/>
  <c r="I179" i="11" s="1"/>
  <c r="I182" i="11" s="1"/>
  <c r="H127" i="11"/>
  <c r="H147" i="11" s="1"/>
  <c r="I147" i="11"/>
  <c r="C161" i="11" s="1"/>
  <c r="D161" i="11" s="1"/>
  <c r="I154" i="11" s="1"/>
  <c r="H154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I151" i="11" l="1"/>
  <c r="H151" i="11" s="1"/>
  <c r="I152" i="11"/>
  <c r="H152" i="11" s="1"/>
  <c r="I155" i="11"/>
  <c r="H155" i="11" s="1"/>
  <c r="I153" i="11"/>
  <c r="H153" i="11" s="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I55" i="2"/>
  <c r="G145" i="2"/>
  <c r="G132" i="2"/>
  <c r="I175" i="2"/>
  <c r="H180" i="11" l="1"/>
  <c r="H179" i="11"/>
  <c r="H181" i="11"/>
  <c r="I169" i="11"/>
  <c r="H175" i="11"/>
  <c r="I185" i="11"/>
  <c r="H185" i="11" s="1"/>
  <c r="H186" i="11" s="1"/>
  <c r="H173" i="11"/>
  <c r="H174" i="11"/>
  <c r="I193" i="2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176" i="11" l="1"/>
  <c r="H182" i="11"/>
  <c r="H55" i="2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H140" i="2" s="1"/>
  <c r="H141" i="2" s="1"/>
  <c r="I123" i="2" l="1"/>
  <c r="I190" i="2" s="1"/>
  <c r="H121" i="2"/>
  <c r="I141" i="2"/>
  <c r="H123" i="2" l="1"/>
  <c r="H127" i="2"/>
  <c r="H147" i="2" s="1"/>
  <c r="I127" i="2"/>
  <c r="I179" i="2" s="1"/>
  <c r="I181" i="2"/>
  <c r="I182" i="2" l="1"/>
  <c r="I147" i="2"/>
  <c r="C161" i="2" s="1"/>
  <c r="D161" i="2" s="1"/>
  <c r="I155" i="2" l="1"/>
  <c r="H155" i="2" s="1"/>
  <c r="I153" i="2"/>
  <c r="H153" i="2" s="1"/>
  <c r="I152" i="2"/>
  <c r="H152" i="2" s="1"/>
  <c r="I151" i="2"/>
  <c r="I154" i="2"/>
  <c r="H154" i="2" s="1"/>
  <c r="I156" i="2" l="1"/>
  <c r="H151" i="2"/>
  <c r="H156" i="2" s="1"/>
  <c r="H169" i="2" s="1"/>
  <c r="I185" i="2" l="1"/>
  <c r="I169" i="2"/>
  <c r="I186" i="2"/>
  <c r="G196" i="2" s="1"/>
  <c r="H181" i="2" l="1"/>
  <c r="H179" i="2"/>
  <c r="H175" i="2"/>
  <c r="H180" i="2"/>
  <c r="H173" i="2"/>
  <c r="I196" i="2"/>
  <c r="J5" i="3" s="1"/>
  <c r="K5" i="3" s="1"/>
  <c r="K11" i="3" s="1"/>
  <c r="K9" i="3" s="1"/>
  <c r="H174" i="2"/>
  <c r="H185" i="2"/>
  <c r="H186" i="2" s="1"/>
  <c r="H176" i="2" l="1"/>
  <c r="H182" i="2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<sst xmlns="http://schemas.openxmlformats.org/spreadsheetml/2006/main" count="1732" uniqueCount="254">
  <si>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</si>
  <si>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</si>
  <si>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</si>
  <si>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</si>
  <si>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</si>
  <si>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</si>
  <si>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</si>
  <si>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</si>
  <si>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</si>
  <si>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</si>
  <si>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</si>
  <si>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</si>
  <si>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</si>
  <si>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</si>
  <si>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</si>
  <si>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</si>
  <si>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</si>
  <si>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</si>
  <si>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</si>
  <si>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</si>
  <si>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</si>
  <si>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</si>
  <si>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</si>
  <si>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</si>
  <si>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</si>
  <si>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</si>
  <si>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</si>
  <si>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</si>
  <si>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</si>
  <si>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</si>
  <si>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</si>
  <si>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</si>
  <si>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</si>
  <si>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</si>
  <si>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</si>
  <si>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</si>
  <si>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</si>
  <si>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</si>
  <si>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</si>
  <si>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</si>
  <si>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</si>
  <si>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</si>
  <si>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</si>
  <si>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</si>
  <si>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</si>
  <si>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</si>
  <si>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</si>
  <si>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</si>
  <si>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</si>
  <si>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</si>
  <si>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</si>
  <si>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</si>
  <si>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</si>
  <si>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</si>
  <si>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</si>
  <si>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</si>
  <si>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</si>
  <si>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</si>
  <si>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</si>
  <si>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</si>
  <si>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</si>
  <si>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</si>
  <si>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</si>
  <si>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</si>
  <si>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</si>
  <si>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</si>
  <si>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</si>
  <si>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</si>
  <si>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</si>
  <si>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</si>
  <si>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</si>
  <si>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</si>
  <si>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</si>
  <si>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</si>
  <si>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</si>
  <si>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</si>
  <si>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</si>
  <si>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</si>
  <si>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</si>
  <si>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</si>
  <si>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</si>
  <si>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</si>
  <si>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</si>
  <si>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</si>
  <si>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</si>
  <si>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</si>
  <si>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</si>
  <si>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</si>
  <si>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</si>
  <si>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</si>
  <si>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</si>
  <si>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</si>
  <si>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</si>
  <si>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</si>
  <si>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</si>
  <si>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</si>
  <si>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</si>
  <si>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</si>
  <si>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</si>
  <si>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</si>
  <si>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</si>
  <si>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</si>
  <si>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</si>
  <si>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</si>
  <si>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</si>
  <si>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</si>
  <si>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</si>
  <si>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</si>
  <si>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</si>
  <si>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</si>
  <si>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</si>
  <si>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</si>
  <si>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</si>
  <si>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</si>
  <si>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</si>
  <si>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</si>
  <si>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</si>
  <si>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</si>
  <si>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</si>
  <si>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</si>
  <si>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</si>
  <si>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</si>
  <si>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</si>
  <si>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</si>
  <si>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</si>
  <si>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</si>
  <si>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</si>
  <si>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</si>
  <si>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</si>
  <si>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</si>
  <si>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</si>
  <si>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</si>
  <si>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</si>
  <si>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</si>
  <si>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</si>
  <si>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</si>
  <si>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</si>
  <si>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</si>
  <si>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</si>
  <si>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</si>
  <si>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</si>
  <si>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</si>
  <si>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</si>
  <si>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</si>
  <si>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</si>
  <si>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</si>
  <si>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</si>
  <si>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</si>
  <si>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</si>
  <si>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</si>
  <si>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</si>
  <si>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</si>
  <si>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</si>
  <si>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</si>
  <si>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</si>
  <si>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</si>
  <si>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</si>
  <si>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</si>
  <si>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</si>
  <si>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</si>
  <si>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</si>
  <si>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</si>
  <si>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</si>
  <si>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</si>
  <si>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</si>
  <si>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</si>
  <si>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</si>
  <si>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</si>
  <si>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</si>
  <si>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</si>
  <si>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</si>
  <si>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</si>
  <si>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</si>
  <si>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</si>
  <si>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</si>
  <si>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</si>
  <si>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</si>
  <si>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</si>
  <si>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</si>
  <si>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</si>
  <si>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</si>
  <si>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</si>
  <si>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</si>
  <si>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</si>
  <si>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</si>
  <si>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</si>
  <si>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</si>
  <si>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</si>
  <si>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</si>
  <si>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</si>
  <si>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</si>
  <si>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</si>
  <si>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</si>
  <si>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</si>
  <si>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</si>
  <si>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</si>
  <si>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</si>
  <si>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</si>
  <si>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</si>
  <si>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</si>
  <si>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</si>
  <si>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</si>
  <si>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</si>
  <si>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</si>
  <si>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</si>
  <si>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</si>
  <si>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</si>
  <si>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</si>
  <si>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</si>
  <si>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</si>
  <si>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</si>
  <si>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</si>
  <si>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</si>
  <si>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</si>
  <si>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</si>
  <si>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</si>
  <si>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</si>
  <si>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</si>
  <si>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</si>
  <si>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</si>
  <si>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</si>
  <si>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</si>
  <si>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</si>
  <si>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</si>
  <si>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</si>
  <si>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</si>
  <si>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</si>
  <si>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</si>
  <si>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</si>
  <si>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</si>
  <si>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</si>
  <si>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</si>
  <si>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</si>
  <si>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25/2148-0001140-5</t>
  </si>
  <si>
    <t>Porteiro - POA Diurno</t>
  </si>
  <si>
    <t>12x36</t>
  </si>
  <si>
    <t>Porto Alegre</t>
  </si>
  <si>
    <t>RS000041/2026</t>
  </si>
  <si>
    <t>LOTE 1 - Porteiro - POA Diurno</t>
  </si>
  <si>
    <t>Segunda a Domingo, inclusive feriados e pontos facultativos</t>
  </si>
  <si>
    <t>LOTE 1 - Porteiro Taquari Diurno</t>
  </si>
  <si>
    <t>Taquari</t>
  </si>
  <si>
    <t>LOTE 1 - Porteiro POA Noturno</t>
  </si>
  <si>
    <t>LOTE 1 - Porteiro Taquari Noturno</t>
  </si>
  <si>
    <t>Porteiro - Taquari Diurno</t>
  </si>
  <si>
    <t>RS000095/2026</t>
  </si>
  <si>
    <t>Porteiro - POA Noturno</t>
  </si>
  <si>
    <t>Porteiro - Taquari Noturno</t>
  </si>
  <si>
    <t>LOTE 1 - Porteiro - Canoas Diurno</t>
  </si>
  <si>
    <t>LOTE 1 - Porteiro Canoas Noturno</t>
  </si>
  <si>
    <t>Porteiro - Canoas Diurno</t>
  </si>
  <si>
    <t>Canoas</t>
  </si>
  <si>
    <t>12x37</t>
  </si>
  <si>
    <t>Porteiro - Canoas Noturno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</si>
</sst>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44" fontId="32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4" applyFont="1" applyBorder="1" applyAlignment="1">
      <alignment vertical="center"/>
    </xf>
    <xf numFmtId="0" fontId="0" fillId="0" borderId="2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57" zoomScale="160" zoomScaleNormal="130" zoomScaleSheetLayoutView="16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7" t="s">
        <v>0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234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237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236</v>
      </c>
      <c r="E9" s="188"/>
      <c r="F9" s="188"/>
      <c r="G9" s="189" t="s">
        <v>10</v>
      </c>
      <c r="H9" s="189"/>
      <c r="I9" s="9" t="s">
        <v>198</v>
      </c>
    </row>
    <row r="10" spans="1:11" ht="32.25" customHeight="1" x14ac:dyDescent="0.25">
      <c r="A10" s="196" t="s">
        <v>188</v>
      </c>
      <c r="B10" s="196"/>
      <c r="C10" s="196"/>
      <c r="D10" s="196"/>
      <c r="E10" s="196"/>
      <c r="F10" s="196"/>
      <c r="G10" s="8" t="s">
        <v>12</v>
      </c>
      <c r="H10" s="10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0" t="s">
        <v>17</v>
      </c>
      <c r="I12" s="11">
        <v>5.3</v>
      </c>
    </row>
    <row r="13" spans="1:11" x14ac:dyDescent="0.25">
      <c r="A13" s="191"/>
      <c r="B13" s="191"/>
      <c r="C13" s="191"/>
      <c r="D13" s="191"/>
      <c r="E13" s="191"/>
      <c r="F13" s="191"/>
      <c r="G13" s="192"/>
      <c r="H13" s="10" t="s">
        <v>18</v>
      </c>
      <c r="I13" s="14">
        <v>15</v>
      </c>
    </row>
    <row r="14" spans="1:11" x14ac:dyDescent="0.25">
      <c r="A14" s="191"/>
      <c r="B14" s="191"/>
      <c r="C14" s="191"/>
      <c r="D14" s="191"/>
      <c r="E14" s="191"/>
      <c r="F14" s="191"/>
      <c r="G14" s="192"/>
      <c r="H14" s="10" t="s">
        <v>19</v>
      </c>
      <c r="I14" s="9">
        <v>0.06</v>
      </c>
    </row>
    <row r="15" spans="1:11" ht="11.25" customHeight="1" x14ac:dyDescent="0.25">
      <c r="A15" s="191" t="s">
        <v>187</v>
      </c>
      <c r="B15" s="191"/>
      <c r="C15" s="191"/>
      <c r="D15" s="191"/>
      <c r="E15" s="191"/>
      <c r="F15" s="191"/>
      <c r="G15" s="192" t="s">
        <v>16</v>
      </c>
      <c r="H15" s="10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0" t="s">
        <v>18</v>
      </c>
      <c r="I16" s="14">
        <v>15</v>
      </c>
    </row>
    <row r="17" spans="1:9" x14ac:dyDescent="0.25">
      <c r="A17" s="191"/>
      <c r="B17" s="191"/>
      <c r="C17" s="191"/>
      <c r="D17" s="191"/>
      <c r="E17" s="191"/>
      <c r="F17" s="191"/>
      <c r="G17" s="192"/>
      <c r="H17" s="10" t="s">
        <v>19</v>
      </c>
      <c r="I17" s="9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0" t="s">
        <v>17</v>
      </c>
      <c r="I18" s="11">
        <v>0</v>
      </c>
    </row>
    <row r="19" spans="1:9" x14ac:dyDescent="0.25">
      <c r="A19" s="191"/>
      <c r="B19" s="191"/>
      <c r="C19" s="191"/>
      <c r="D19" s="191"/>
      <c r="E19" s="191"/>
      <c r="F19" s="191"/>
      <c r="G19" s="192"/>
      <c r="H19" s="10" t="s">
        <v>18</v>
      </c>
      <c r="I19" s="14">
        <v>0</v>
      </c>
    </row>
    <row r="20" spans="1:9" x14ac:dyDescent="0.25">
      <c r="A20" s="193"/>
      <c r="B20" s="193"/>
      <c r="C20" s="193"/>
      <c r="D20" s="193"/>
      <c r="E20" s="193"/>
      <c r="F20" s="193"/>
      <c r="G20" s="192"/>
      <c r="H20" s="10" t="s">
        <v>19</v>
      </c>
      <c r="I20" s="9">
        <v>0</v>
      </c>
    </row>
    <row r="21" spans="1:9" ht="14.25" customHeight="1" x14ac:dyDescent="0.25">
      <c r="A21" s="163" t="s">
        <v>217</v>
      </c>
      <c r="B21" s="163"/>
      <c r="C21" s="163"/>
      <c r="D21" s="163"/>
      <c r="E21" s="163"/>
      <c r="F21" s="163"/>
      <c r="G21" s="10" t="s">
        <v>16</v>
      </c>
      <c r="H21" s="15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0" t="s">
        <v>16</v>
      </c>
      <c r="H22" s="15" t="s">
        <v>22</v>
      </c>
      <c r="I22" s="109">
        <v>25.52</v>
      </c>
    </row>
    <row r="23" spans="1:9" ht="14.25" customHeight="1" x14ac:dyDescent="0.25">
      <c r="A23" s="191" t="s">
        <v>190</v>
      </c>
      <c r="B23" s="194"/>
      <c r="C23" s="194"/>
      <c r="D23" s="194"/>
      <c r="E23" s="194"/>
      <c r="F23" s="195"/>
      <c r="G23" s="108" t="s">
        <v>16</v>
      </c>
      <c r="H23" s="15" t="s">
        <v>22</v>
      </c>
      <c r="I23" s="16" t="s">
        <v>198</v>
      </c>
    </row>
    <row r="24" spans="1:9" ht="22.5" customHeight="1" x14ac:dyDescent="0.25">
      <c r="A24" s="171" t="s">
        <v>23</v>
      </c>
      <c r="B24" s="171"/>
      <c r="C24" s="171"/>
      <c r="D24" s="171"/>
      <c r="E24" s="171"/>
      <c r="F24" s="171"/>
      <c r="G24" s="15"/>
      <c r="H24" s="15" t="s">
        <v>24</v>
      </c>
      <c r="I24" s="18" t="s">
        <v>198</v>
      </c>
    </row>
    <row r="25" spans="1:9" ht="34.5" customHeight="1" x14ac:dyDescent="0.25">
      <c r="A25" s="163" t="s">
        <v>25</v>
      </c>
      <c r="B25" s="163"/>
      <c r="C25" s="163"/>
      <c r="D25" s="163"/>
      <c r="E25" s="163"/>
      <c r="F25" s="163"/>
      <c r="G25" s="10"/>
      <c r="H25" s="10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5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5"/>
      <c r="H27" s="21" t="s">
        <v>29</v>
      </c>
      <c r="I27" s="9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5"/>
      <c r="H28" s="10" t="s">
        <v>28</v>
      </c>
      <c r="I28" s="20">
        <v>15</v>
      </c>
    </row>
    <row r="29" spans="1:9" ht="35.25" customHeight="1" x14ac:dyDescent="0.25">
      <c r="A29" s="163" t="s">
        <v>31</v>
      </c>
      <c r="B29" s="163"/>
      <c r="C29" s="163"/>
      <c r="D29" s="163"/>
      <c r="E29" s="163"/>
      <c r="F29" s="163"/>
      <c r="G29" s="10"/>
      <c r="H29" s="8" t="s">
        <v>24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198</v>
      </c>
    </row>
    <row r="31" spans="1:9" ht="1.1499999999999999" customHeight="1" x14ac:dyDescent="0.25">
      <c r="A31" s="185"/>
      <c r="B31" s="185"/>
      <c r="C31" s="185"/>
      <c r="D31" s="185"/>
      <c r="E31" s="185"/>
      <c r="F31" s="185"/>
      <c r="G31" s="185"/>
      <c r="H31" s="185"/>
      <c r="I31" s="185"/>
    </row>
    <row r="32" spans="1:9" ht="1.1499999999999999" customHeight="1" x14ac:dyDescent="0.25">
      <c r="A32" s="185"/>
      <c r="B32" s="185"/>
      <c r="C32" s="185"/>
      <c r="D32" s="185"/>
      <c r="E32" s="185"/>
      <c r="F32" s="185"/>
      <c r="G32" s="185"/>
      <c r="H32" s="185"/>
      <c r="I32" s="185"/>
    </row>
    <row r="33" spans="1:10" ht="1.1499999999999999" customHeight="1" x14ac:dyDescent="0.25">
      <c r="A33" s="185"/>
      <c r="B33" s="185"/>
      <c r="C33" s="185"/>
      <c r="D33" s="185"/>
      <c r="E33" s="185"/>
      <c r="F33" s="185"/>
      <c r="G33" s="185"/>
      <c r="H33" s="185"/>
      <c r="I33" s="185"/>
    </row>
    <row r="34" spans="1:10" ht="1.1499999999999999" customHeight="1" x14ac:dyDescent="0.25">
      <c r="A34" s="185"/>
      <c r="B34" s="185"/>
      <c r="C34" s="185"/>
      <c r="D34" s="185"/>
      <c r="E34" s="185"/>
      <c r="F34" s="185"/>
      <c r="G34" s="185"/>
      <c r="H34" s="185"/>
      <c r="I34" s="185"/>
    </row>
    <row r="35" spans="1:10" ht="1.1499999999999999" customHeight="1" x14ac:dyDescent="0.25">
      <c r="A35" s="186"/>
      <c r="B35" s="186"/>
      <c r="C35" s="186"/>
      <c r="D35" s="186"/>
      <c r="E35" s="186"/>
      <c r="F35" s="186"/>
      <c r="G35" s="186"/>
      <c r="H35" s="186"/>
      <c r="I35" s="186"/>
    </row>
    <row r="36" spans="1:10" ht="8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45" si="0">I38/$I$46</f>
        <v>1</v>
      </c>
      <c r="I38" s="24">
        <f>IF(D6="12x36",I10,I10/H10*I5)</f>
        <v>2126.25</v>
      </c>
    </row>
    <row r="39" spans="1:10" ht="15" customHeight="1" x14ac:dyDescent="0.25">
      <c r="A39" s="17">
        <f t="shared" ref="A39:A45" si="1">A38+1</f>
        <v>2</v>
      </c>
      <c r="B39" s="162" t="s">
        <v>38</v>
      </c>
      <c r="C39" s="162"/>
      <c r="D39" s="162"/>
      <c r="E39" s="162"/>
      <c r="F39" s="162"/>
      <c r="G39" s="162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62" t="s">
        <v>222</v>
      </c>
      <c r="C40" s="162"/>
      <c r="D40" s="162"/>
      <c r="E40" s="162"/>
      <c r="F40" s="162"/>
      <c r="G40" s="16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62" t="s">
        <v>221</v>
      </c>
      <c r="C41" s="162"/>
      <c r="D41" s="162"/>
      <c r="E41" s="162"/>
      <c r="F41" s="162"/>
      <c r="G41" s="16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62" t="s">
        <v>220</v>
      </c>
      <c r="C42" s="162"/>
      <c r="D42" s="162"/>
      <c r="E42" s="162"/>
      <c r="F42" s="162"/>
      <c r="G42" s="16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62" t="s">
        <v>176</v>
      </c>
      <c r="C43" s="162"/>
      <c r="D43" s="162"/>
      <c r="E43" s="162"/>
      <c r="F43" s="162"/>
      <c r="G43" s="162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62" t="s">
        <v>39</v>
      </c>
      <c r="C44" s="162"/>
      <c r="D44" s="162"/>
      <c r="E44" s="162"/>
      <c r="F44" s="162"/>
      <c r="G44" s="162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62" t="s">
        <v>40</v>
      </c>
      <c r="C45" s="162"/>
      <c r="D45" s="162"/>
      <c r="E45" s="162"/>
      <c r="F45" s="162"/>
      <c r="G45" s="162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5" t="s">
        <v>41</v>
      </c>
      <c r="B46" s="175"/>
      <c r="C46" s="175"/>
      <c r="D46" s="175"/>
      <c r="E46" s="175"/>
      <c r="F46" s="175"/>
      <c r="G46" s="175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7" t="s">
        <v>145</v>
      </c>
      <c r="B47" s="172" t="s">
        <v>219</v>
      </c>
      <c r="C47" s="172"/>
      <c r="D47" s="172"/>
      <c r="E47" s="172"/>
      <c r="F47" s="172"/>
      <c r="G47" s="172"/>
      <c r="H47" s="172"/>
      <c r="I47" s="172"/>
      <c r="J47" s="27"/>
    </row>
    <row r="48" spans="1:10" s="28" customFormat="1" ht="1.1499999999999999" customHeight="1" x14ac:dyDescent="0.25">
      <c r="A48" s="158"/>
      <c r="B48" s="173"/>
      <c r="C48" s="173"/>
      <c r="D48" s="173"/>
      <c r="E48" s="173"/>
      <c r="F48" s="173"/>
      <c r="G48" s="173"/>
      <c r="H48" s="173"/>
      <c r="I48" s="173"/>
      <c r="J48" s="27"/>
    </row>
    <row r="49" spans="1:10" s="28" customFormat="1" ht="1.1499999999999999" customHeight="1" x14ac:dyDescent="0.25">
      <c r="A49" s="158"/>
      <c r="B49" s="173"/>
      <c r="C49" s="173"/>
      <c r="D49" s="173"/>
      <c r="E49" s="173"/>
      <c r="F49" s="173"/>
      <c r="G49" s="173"/>
      <c r="H49" s="173"/>
      <c r="I49" s="173"/>
      <c r="J49" s="27"/>
    </row>
    <row r="50" spans="1:10" s="28" customFormat="1" ht="1.1499999999999999" customHeight="1" x14ac:dyDescent="0.25">
      <c r="A50" s="158"/>
      <c r="B50" s="173"/>
      <c r="C50" s="173"/>
      <c r="D50" s="173"/>
      <c r="E50" s="173"/>
      <c r="F50" s="173"/>
      <c r="G50" s="173"/>
      <c r="H50" s="173"/>
      <c r="I50" s="173"/>
      <c r="J50" s="27"/>
    </row>
    <row r="51" spans="1:10" s="28" customFormat="1" ht="1.1499999999999999" customHeight="1" x14ac:dyDescent="0.25">
      <c r="A51" s="158"/>
      <c r="B51" s="173"/>
      <c r="C51" s="173"/>
      <c r="D51" s="173"/>
      <c r="E51" s="173"/>
      <c r="F51" s="173"/>
      <c r="G51" s="173"/>
      <c r="H51" s="173"/>
      <c r="I51" s="173"/>
      <c r="J51" s="27"/>
    </row>
    <row r="52" spans="1:10" s="28" customFormat="1" ht="1.1499999999999999" customHeight="1" x14ac:dyDescent="0.25">
      <c r="A52" s="158"/>
      <c r="B52" s="173"/>
      <c r="C52" s="173"/>
      <c r="D52" s="173"/>
      <c r="E52" s="173"/>
      <c r="F52" s="173"/>
      <c r="G52" s="173"/>
      <c r="H52" s="173"/>
      <c r="I52" s="173"/>
      <c r="J52" s="27"/>
    </row>
    <row r="53" spans="1:10" s="28" customFormat="1" ht="1.1499999999999999" customHeight="1" x14ac:dyDescent="0.25">
      <c r="A53" s="158"/>
      <c r="B53" s="173"/>
      <c r="C53" s="173"/>
      <c r="D53" s="173"/>
      <c r="E53" s="173"/>
      <c r="F53" s="173"/>
      <c r="G53" s="173"/>
      <c r="H53" s="173"/>
      <c r="I53" s="173"/>
      <c r="J53" s="27"/>
    </row>
    <row r="54" spans="1:10" s="28" customFormat="1" ht="1.1499999999999999" customHeight="1" x14ac:dyDescent="0.25">
      <c r="A54" s="158"/>
      <c r="B54" s="173"/>
      <c r="C54" s="173"/>
      <c r="D54" s="173"/>
      <c r="E54" s="173"/>
      <c r="F54" s="173"/>
      <c r="G54" s="173"/>
      <c r="H54" s="173"/>
      <c r="I54" s="173"/>
      <c r="J54" s="27"/>
    </row>
    <row r="55" spans="1:10" s="28" customFormat="1" ht="1.1499999999999999" customHeight="1" x14ac:dyDescent="0.25">
      <c r="A55" s="158"/>
      <c r="B55" s="173"/>
      <c r="C55" s="173"/>
      <c r="D55" s="173"/>
      <c r="E55" s="173"/>
      <c r="F55" s="173"/>
      <c r="G55" s="173"/>
      <c r="H55" s="173"/>
      <c r="I55" s="173"/>
      <c r="J55" s="27"/>
    </row>
    <row r="56" spans="1:10" ht="1.1499999999999999" customHeight="1" x14ac:dyDescent="0.25">
      <c r="A56" s="159"/>
      <c r="B56" s="174"/>
      <c r="C56" s="174"/>
      <c r="D56" s="174"/>
      <c r="E56" s="174"/>
      <c r="F56" s="174"/>
      <c r="G56" s="174"/>
      <c r="H56" s="174"/>
      <c r="I56" s="174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24">
        <f t="shared" ref="I58:I65" si="2">$I$46*H58</f>
        <v>425.25</v>
      </c>
    </row>
    <row r="59" spans="1:10" ht="15" customHeight="1" x14ac:dyDescent="0.25">
      <c r="A59" s="17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24">
        <f t="shared" si="2"/>
        <v>31.893749999999997</v>
      </c>
    </row>
    <row r="60" spans="1:10" ht="15" customHeight="1" x14ac:dyDescent="0.25">
      <c r="A60" s="17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24">
        <f t="shared" si="2"/>
        <v>21.262499999999999</v>
      </c>
    </row>
    <row r="61" spans="1:10" ht="15" customHeight="1" x14ac:dyDescent="0.25">
      <c r="A61" s="17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24">
        <f t="shared" si="2"/>
        <v>4.2525000000000004</v>
      </c>
    </row>
    <row r="62" spans="1:10" ht="15" customHeight="1" x14ac:dyDescent="0.25">
      <c r="A62" s="17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24">
        <f t="shared" si="2"/>
        <v>53.15625</v>
      </c>
    </row>
    <row r="63" spans="1:10" ht="15" customHeight="1" x14ac:dyDescent="0.25">
      <c r="A63" s="17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24">
        <f t="shared" si="2"/>
        <v>170.1</v>
      </c>
    </row>
    <row r="64" spans="1:10" ht="15" customHeight="1" x14ac:dyDescent="0.25">
      <c r="A64" s="17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24">
        <f t="shared" si="2"/>
        <v>63.787499999999994</v>
      </c>
    </row>
    <row r="65" spans="1:10" ht="15" customHeight="1" x14ac:dyDescent="0.25">
      <c r="A65" s="17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24">
        <f t="shared" si="2"/>
        <v>12.7575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7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24">
        <f t="shared" ref="I70:I77" si="3">$I$46*H70</f>
        <v>253.69139250000001</v>
      </c>
    </row>
    <row r="71" spans="1:10" ht="15" customHeight="1" x14ac:dyDescent="0.25">
      <c r="A71" s="17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24">
        <f t="shared" si="3"/>
        <v>43.543473750000004</v>
      </c>
    </row>
    <row r="72" spans="1:10" ht="15" customHeight="1" x14ac:dyDescent="0.25">
      <c r="A72" s="17">
        <v>3</v>
      </c>
      <c r="B72" s="162" t="s">
        <v>204</v>
      </c>
      <c r="C72" s="162"/>
      <c r="D72" s="162"/>
      <c r="E72" s="162"/>
      <c r="F72" s="162"/>
      <c r="G72" s="162"/>
      <c r="H72" s="23">
        <v>1.2123E-2</v>
      </c>
      <c r="I72" s="24">
        <f t="shared" si="3"/>
        <v>25.776528750000001</v>
      </c>
    </row>
    <row r="73" spans="1:10" ht="15" customHeight="1" x14ac:dyDescent="0.25">
      <c r="A73" s="17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24">
        <f t="shared" si="3"/>
        <v>24.315795000000001</v>
      </c>
    </row>
    <row r="74" spans="1:10" ht="15" customHeight="1" x14ac:dyDescent="0.25">
      <c r="A74" s="17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24">
        <f t="shared" si="3"/>
        <v>0.3699675</v>
      </c>
    </row>
    <row r="75" spans="1:10" ht="15" customHeight="1" x14ac:dyDescent="0.25">
      <c r="A75" s="17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24">
        <f t="shared" si="3"/>
        <v>0.93980249999999999</v>
      </c>
    </row>
    <row r="76" spans="1:10" ht="15" customHeight="1" x14ac:dyDescent="0.25">
      <c r="A76" s="17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24">
        <f t="shared" si="3"/>
        <v>0.39335625000000002</v>
      </c>
    </row>
    <row r="77" spans="1:10" ht="15" customHeight="1" x14ac:dyDescent="0.25">
      <c r="A77" s="17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24">
        <f t="shared" si="3"/>
        <v>193.0422375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24">
        <f>$I$46*H82</f>
        <v>102.74252625000001</v>
      </c>
    </row>
    <row r="83" spans="1:11" ht="15" customHeight="1" x14ac:dyDescent="0.25">
      <c r="A83" s="17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24">
        <f>$I$46*H83</f>
        <v>7.4652637499999992</v>
      </c>
    </row>
    <row r="84" spans="1:11" ht="15" customHeight="1" x14ac:dyDescent="0.25">
      <c r="A84" s="17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24">
        <f>$I$46*H84</f>
        <v>41.096160000000005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24">
        <f>$I$46*H88</f>
        <v>199.48269978000002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I94/$I$46</f>
        <v>0.15514285714285714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62" t="s">
        <v>80</v>
      </c>
      <c r="C97" s="162"/>
      <c r="D97" s="162"/>
      <c r="E97" s="162"/>
      <c r="F97" s="162"/>
      <c r="G97" s="162"/>
      <c r="H97" s="23">
        <f t="shared" si="4"/>
        <v>1.4779541446208118E-2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0.10227272727272727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62" t="s">
        <v>215</v>
      </c>
      <c r="C99" s="162"/>
      <c r="D99" s="162"/>
      <c r="E99" s="162"/>
      <c r="F99" s="162"/>
      <c r="G99" s="162"/>
      <c r="H99" s="23">
        <f>I99/$I$46</f>
        <v>3.7624926513815403E-2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62" t="s">
        <v>216</v>
      </c>
      <c r="C100" s="162"/>
      <c r="D100" s="162"/>
      <c r="E100" s="162"/>
      <c r="F100" s="162"/>
      <c r="G100" s="162"/>
      <c r="H100" s="23">
        <f>I100/$I$46</f>
        <v>1.2002351557907113E-2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0.32182240393351502</v>
      </c>
      <c r="I102" s="26">
        <f>SUM(I94:I101)</f>
        <v>684.27488636363637</v>
      </c>
      <c r="J102" s="34"/>
    </row>
    <row r="103" spans="1:10" ht="18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35"/>
      <c r="I103" s="36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7" t="s">
        <v>88</v>
      </c>
      <c r="D105" s="17" t="s">
        <v>89</v>
      </c>
      <c r="E105" s="17" t="s">
        <v>90</v>
      </c>
      <c r="F105" s="17" t="s">
        <v>91</v>
      </c>
      <c r="G105" s="17" t="s">
        <v>92</v>
      </c>
      <c r="H105" s="23" t="s">
        <v>93</v>
      </c>
      <c r="I105" s="24" t="s">
        <v>94</v>
      </c>
    </row>
    <row r="106" spans="1:10" ht="15" customHeight="1" x14ac:dyDescent="0.25">
      <c r="A106" s="214">
        <f>IF(I12="Não aplicável",0,I12)</f>
        <v>5.3</v>
      </c>
      <c r="B106" s="214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3.25" customHeight="1" x14ac:dyDescent="0.25">
      <c r="A109" s="163" t="s">
        <v>87</v>
      </c>
      <c r="B109" s="163"/>
      <c r="C109" s="17" t="s">
        <v>96</v>
      </c>
      <c r="D109" s="17" t="s">
        <v>89</v>
      </c>
      <c r="E109" s="17" t="s">
        <v>90</v>
      </c>
      <c r="F109" s="17" t="s">
        <v>91</v>
      </c>
      <c r="G109" s="17" t="s">
        <v>92</v>
      </c>
      <c r="H109" s="23" t="s">
        <v>93</v>
      </c>
      <c r="I109" s="24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9" t="s">
        <v>177</v>
      </c>
      <c r="B112" s="210"/>
      <c r="C112" s="210"/>
      <c r="D112" s="210"/>
      <c r="E112" s="210"/>
      <c r="F112" s="211" t="str">
        <f>A15</f>
        <v xml:space="preserve">Auxílio Alimentação </v>
      </c>
      <c r="G112" s="211"/>
      <c r="H112" s="211"/>
      <c r="I112" s="212"/>
    </row>
    <row r="113" spans="1:12" ht="23.25" customHeight="1" x14ac:dyDescent="0.25">
      <c r="A113" s="171" t="s">
        <v>87</v>
      </c>
      <c r="B113" s="171"/>
      <c r="C113" s="79" t="s">
        <v>96</v>
      </c>
      <c r="D113" s="79" t="s">
        <v>89</v>
      </c>
      <c r="E113" s="79" t="s">
        <v>90</v>
      </c>
      <c r="F113" s="79" t="s">
        <v>91</v>
      </c>
      <c r="G113" s="79" t="s">
        <v>92</v>
      </c>
      <c r="H113" s="77" t="str">
        <f>H105</f>
        <v>Valor desconto</v>
      </c>
      <c r="I113" s="78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H46+H91+H102</f>
        <v>2.1097444279335149</v>
      </c>
      <c r="I116" s="48">
        <f>I46+I91+I102</f>
        <v>4485.8440898936369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7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62" t="s">
        <v>201</v>
      </c>
      <c r="C125" s="162"/>
      <c r="D125" s="162"/>
      <c r="E125" s="162"/>
      <c r="F125" s="162"/>
      <c r="G125" s="162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24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445.4419089893637</v>
      </c>
      <c r="H130" s="57" t="s">
        <v>108</v>
      </c>
      <c r="I130" s="58">
        <f>I97</f>
        <v>31.425000000000011</v>
      </c>
    </row>
    <row r="131" spans="1:12" s="61" customFormat="1" ht="16.5" customHeight="1" x14ac:dyDescent="0.25">
      <c r="A131" s="218" t="s">
        <v>109</v>
      </c>
      <c r="B131" s="218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219">
        <f>I46</f>
        <v>2126.25</v>
      </c>
      <c r="B132" s="219"/>
      <c r="C132" s="62">
        <f>I66</f>
        <v>782.46000000000015</v>
      </c>
      <c r="D132" s="62">
        <f>I78</f>
        <v>542.07255375</v>
      </c>
      <c r="E132" s="62">
        <f>I85</f>
        <v>151.30395000000001</v>
      </c>
      <c r="F132" s="62">
        <f>I89</f>
        <v>199.48269978000002</v>
      </c>
      <c r="G132" s="62">
        <f>I102</f>
        <v>684.27488636363637</v>
      </c>
      <c r="H132" s="62">
        <f>A132+C132+D132+E132+F132+G132</f>
        <v>4485.8440898936369</v>
      </c>
      <c r="I132" s="62">
        <f>H132-I130</f>
        <v>4454.4190898936367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7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24">
        <v>0</v>
      </c>
    </row>
    <row r="137" spans="1:12" ht="35.65" customHeight="1" x14ac:dyDescent="0.25">
      <c r="A137" s="175" t="s">
        <v>182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24">
        <v>0</v>
      </c>
    </row>
    <row r="141" spans="1:12" ht="36.6" customHeight="1" x14ac:dyDescent="0.25">
      <c r="A141" s="175" t="s">
        <v>181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801.79543618085461</v>
      </c>
      <c r="H143" s="57" t="s">
        <v>108</v>
      </c>
      <c r="I143" s="58">
        <f>I97</f>
        <v>31.425000000000011</v>
      </c>
      <c r="L143" s="2"/>
    </row>
    <row r="144" spans="1:12" s="61" customFormat="1" ht="16.5" customHeight="1" x14ac:dyDescent="0.25">
      <c r="A144" s="218" t="s">
        <v>109</v>
      </c>
      <c r="B144" s="218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I46</f>
        <v>2126.25</v>
      </c>
      <c r="B145" s="219"/>
      <c r="C145" s="62">
        <f>I66</f>
        <v>782.46000000000015</v>
      </c>
      <c r="D145" s="62">
        <f>I78</f>
        <v>542.07255375</v>
      </c>
      <c r="E145" s="62">
        <f>I85</f>
        <v>151.30395000000001</v>
      </c>
      <c r="F145" s="62">
        <f>I89</f>
        <v>199.48269978000002</v>
      </c>
      <c r="G145" s="62">
        <f>I102</f>
        <v>684.27488636363637</v>
      </c>
      <c r="H145" s="62">
        <f>A145+C145+D145+E145+F145+G145</f>
        <v>4485.8440898936369</v>
      </c>
      <c r="I145" s="62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7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1.8696883852691217E-2</v>
      </c>
      <c r="I151" s="24">
        <f>($D$161/$E$162)*G161</f>
        <v>83.871305930022672</v>
      </c>
    </row>
    <row r="152" spans="1:12" ht="15" customHeight="1" x14ac:dyDescent="0.25">
      <c r="A152" s="17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8.6118980169971659E-2</v>
      </c>
      <c r="I152" s="24">
        <f>($D$161/$E$162)*G162</f>
        <v>386.31631822313472</v>
      </c>
    </row>
    <row r="153" spans="1:12" ht="15" customHeight="1" x14ac:dyDescent="0.25">
      <c r="A153" s="17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2.8328611898016998E-2</v>
      </c>
      <c r="I153" s="24">
        <f>($D$161/$E$162)*G163</f>
        <v>127.07773625761011</v>
      </c>
    </row>
    <row r="154" spans="1:12" ht="15" customHeight="1" x14ac:dyDescent="0.25">
      <c r="A154" s="17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0.13314447592067988</v>
      </c>
      <c r="I156" s="26">
        <f>SUM(I151:I155)</f>
        <v>597.26536041076747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7" t="s">
        <v>133</v>
      </c>
      <c r="D160" s="191" t="s">
        <v>134</v>
      </c>
      <c r="E160" s="191"/>
      <c r="F160" s="17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4485.8440898936369</v>
      </c>
      <c r="B161" s="226"/>
      <c r="C161" s="24">
        <f>I147</f>
        <v>0</v>
      </c>
      <c r="D161" s="227">
        <f>A161+C161</f>
        <v>4485.8440898936369</v>
      </c>
      <c r="E161" s="227"/>
      <c r="F161" s="17" t="str">
        <f>B151</f>
        <v>PIS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222">
        <f>I11</f>
        <v>2.5000000000000001E-2</v>
      </c>
      <c r="I163" s="222"/>
    </row>
    <row r="164" spans="1:10" ht="13.5" customHeight="1" x14ac:dyDescent="0.25">
      <c r="A164" s="224" t="s">
        <v>140</v>
      </c>
      <c r="B164" s="224"/>
      <c r="C164" s="17">
        <v>1</v>
      </c>
      <c r="D164" s="69">
        <v>0.09</v>
      </c>
      <c r="E164" s="70">
        <f>C164-D164</f>
        <v>0.91</v>
      </c>
      <c r="F164" s="17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2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3" t="s">
        <v>144</v>
      </c>
      <c r="G166" s="71">
        <f>SUM(G161:G165)</f>
        <v>0.11749999999999999</v>
      </c>
      <c r="H166" s="230">
        <f>SUM(H161:I165)</f>
        <v>6.1499999999999999E-2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0.13314447592067988</v>
      </c>
      <c r="I169" s="48">
        <f>I156</f>
        <v>597.26536041076747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7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0.41829711140150022</v>
      </c>
      <c r="I173" s="73">
        <f>I46</f>
        <v>2126.25</v>
      </c>
    </row>
    <row r="174" spans="1:10" ht="15" customHeight="1" x14ac:dyDescent="0.25">
      <c r="A174" s="17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0.32958550664882363</v>
      </c>
      <c r="I174" s="73">
        <f>I66+I78+I85+I89</f>
        <v>1675.3192035300003</v>
      </c>
    </row>
    <row r="175" spans="1:10" ht="15" customHeight="1" x14ac:dyDescent="0.25">
      <c r="A175" s="17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0.13461738194967615</v>
      </c>
      <c r="I175" s="73">
        <f>I102</f>
        <v>684.27488636363637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0.88250000000000006</v>
      </c>
      <c r="I176" s="48">
        <f>SUM(I173:I175)</f>
        <v>4485.8440898936369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7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24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7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0.11749999999999999</v>
      </c>
      <c r="I185" s="24">
        <f>I156</f>
        <v>597.26536041076747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0.11749999999999999</v>
      </c>
      <c r="I186" s="48">
        <f>I156</f>
        <v>597.26536041076747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99"/>
      <c r="H191" s="99"/>
      <c r="I191" s="99"/>
    </row>
    <row r="192" spans="1:11" ht="40.5" customHeight="1" x14ac:dyDescent="0.25">
      <c r="A192" s="177" t="s">
        <v>195</v>
      </c>
      <c r="B192" s="177"/>
      <c r="C192" s="177"/>
      <c r="D192" s="177"/>
      <c r="E192" s="177"/>
      <c r="F192" s="164"/>
      <c r="G192" s="167" t="s">
        <v>199</v>
      </c>
      <c r="H192" s="168"/>
      <c r="I192" s="169"/>
    </row>
    <row r="193" spans="1:9" ht="11.25" customHeight="1" x14ac:dyDescent="0.25">
      <c r="A193" s="177"/>
      <c r="B193" s="177"/>
      <c r="C193" s="177"/>
      <c r="D193" s="177"/>
      <c r="E193" s="177"/>
      <c r="F193" s="177"/>
      <c r="G193" s="100"/>
      <c r="H193" s="101"/>
      <c r="I193" s="102">
        <f>((H70+H76+H77+H82+H83+H84)+((H70+H76+H77+H82+H83+H84)*H66))*I46*H196</f>
        <v>1637.30704158</v>
      </c>
    </row>
    <row r="194" spans="1:9" ht="4.9000000000000004" customHeight="1" x14ac:dyDescent="0.25">
      <c r="A194" s="170"/>
      <c r="B194" s="170"/>
      <c r="C194" s="170"/>
      <c r="D194" s="170"/>
      <c r="E194" s="170"/>
      <c r="F194" s="170"/>
      <c r="G194" s="170"/>
      <c r="H194" s="170"/>
      <c r="I194" s="170"/>
    </row>
    <row r="195" spans="1:9" ht="35.450000000000003" customHeight="1" x14ac:dyDescent="0.25">
      <c r="A195" s="178" t="s">
        <v>196</v>
      </c>
      <c r="B195" s="179"/>
      <c r="C195" s="179"/>
      <c r="D195" s="179"/>
      <c r="E195" s="179"/>
      <c r="F195" s="180"/>
      <c r="G195" s="81" t="s">
        <v>159</v>
      </c>
      <c r="H195" s="81" t="s">
        <v>160</v>
      </c>
      <c r="I195" s="81" t="s">
        <v>161</v>
      </c>
    </row>
    <row r="196" spans="1:9" ht="14.45" customHeight="1" x14ac:dyDescent="0.25">
      <c r="A196" s="181"/>
      <c r="B196" s="182"/>
      <c r="C196" s="182"/>
      <c r="D196" s="182"/>
      <c r="E196" s="182"/>
      <c r="F196" s="183"/>
      <c r="G196" s="88">
        <f>I176+I182+I186</f>
        <v>5083.1094503044042</v>
      </c>
      <c r="H196" s="80">
        <f>IF(D6="12x36",2,1)</f>
        <v>2</v>
      </c>
      <c r="I196" s="89">
        <f>G196*H196</f>
        <v>10166.218900608808</v>
      </c>
    </row>
  </sheetData>
  <mergeCells count="183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66" zoomScale="160" zoomScaleNormal="130" zoomScaleSheetLayoutView="160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50" customWidth="1"/>
    <col min="2" max="2" width="11.42578125" style="150" customWidth="1"/>
    <col min="3" max="3" width="12.28515625" style="150" customWidth="1"/>
    <col min="4" max="4" width="12.7109375" style="150" customWidth="1"/>
    <col min="5" max="5" width="12.28515625" style="150" customWidth="1"/>
    <col min="6" max="6" width="11.5703125" style="150" customWidth="1"/>
    <col min="7" max="7" width="11.42578125" style="150" customWidth="1"/>
    <col min="8" max="8" width="9.42578125" style="150" customWidth="1"/>
    <col min="9" max="9" width="11.5703125" style="150" customWidth="1"/>
    <col min="10" max="10" width="11.28515625" style="2" customWidth="1"/>
    <col min="11" max="11" width="10" style="150" customWidth="1"/>
    <col min="12" max="12" width="9.28515625" style="150"/>
    <col min="13" max="15" width="22.42578125" style="150" customWidth="1"/>
    <col min="16" max="16384" width="9.28515625" style="150"/>
  </cols>
  <sheetData>
    <row r="1" spans="1:11" ht="27.75" customHeight="1" x14ac:dyDescent="0.25">
      <c r="A1" s="197" t="s">
        <v>0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151"/>
      <c r="E3" s="7" t="s">
        <v>4</v>
      </c>
      <c r="F3" s="5"/>
      <c r="G3" s="151"/>
      <c r="H3" s="151"/>
      <c r="I3" s="151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250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237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251</v>
      </c>
      <c r="E9" s="188"/>
      <c r="F9" s="188"/>
      <c r="G9" s="189" t="s">
        <v>10</v>
      </c>
      <c r="H9" s="189"/>
      <c r="I9" s="147" t="s">
        <v>198</v>
      </c>
    </row>
    <row r="10" spans="1:11" ht="32.25" customHeight="1" x14ac:dyDescent="0.25">
      <c r="A10" s="196" t="s">
        <v>188</v>
      </c>
      <c r="B10" s="196"/>
      <c r="C10" s="196"/>
      <c r="D10" s="196"/>
      <c r="E10" s="196"/>
      <c r="F10" s="196"/>
      <c r="G10" s="146" t="s">
        <v>12</v>
      </c>
      <c r="H10" s="148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48" t="str">
        <f>D9</f>
        <v>Canoas</v>
      </c>
      <c r="H11" s="148" t="s">
        <v>14</v>
      </c>
      <c r="I11" s="13">
        <v>0.04</v>
      </c>
    </row>
    <row r="12" spans="1:11" ht="1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48" t="s">
        <v>17</v>
      </c>
      <c r="I12" s="11">
        <v>0</v>
      </c>
    </row>
    <row r="13" spans="1:11" x14ac:dyDescent="0.25">
      <c r="A13" s="191"/>
      <c r="B13" s="191"/>
      <c r="C13" s="191"/>
      <c r="D13" s="191"/>
      <c r="E13" s="191"/>
      <c r="F13" s="191"/>
      <c r="G13" s="192"/>
      <c r="H13" s="148" t="s">
        <v>18</v>
      </c>
      <c r="I13" s="14">
        <v>0</v>
      </c>
    </row>
    <row r="14" spans="1:11" x14ac:dyDescent="0.25">
      <c r="A14" s="191"/>
      <c r="B14" s="191"/>
      <c r="C14" s="191"/>
      <c r="D14" s="191"/>
      <c r="E14" s="191"/>
      <c r="F14" s="191"/>
      <c r="G14" s="192"/>
      <c r="H14" s="148" t="s">
        <v>19</v>
      </c>
      <c r="I14" s="147">
        <v>0</v>
      </c>
    </row>
    <row r="15" spans="1:11" ht="11.25" customHeight="1" x14ac:dyDescent="0.25">
      <c r="A15" s="191" t="s">
        <v>187</v>
      </c>
      <c r="B15" s="191"/>
      <c r="C15" s="191"/>
      <c r="D15" s="191"/>
      <c r="E15" s="191"/>
      <c r="F15" s="191"/>
      <c r="G15" s="192" t="s">
        <v>16</v>
      </c>
      <c r="H15" s="148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48" t="s">
        <v>18</v>
      </c>
      <c r="I16" s="14">
        <v>15</v>
      </c>
    </row>
    <row r="17" spans="1:9" x14ac:dyDescent="0.25">
      <c r="A17" s="191"/>
      <c r="B17" s="191"/>
      <c r="C17" s="191"/>
      <c r="D17" s="191"/>
      <c r="E17" s="191"/>
      <c r="F17" s="191"/>
      <c r="G17" s="192"/>
      <c r="H17" s="148" t="s">
        <v>19</v>
      </c>
      <c r="I17" s="147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48" t="s">
        <v>17</v>
      </c>
      <c r="I18" s="11">
        <v>0</v>
      </c>
    </row>
    <row r="19" spans="1:9" x14ac:dyDescent="0.25">
      <c r="A19" s="191"/>
      <c r="B19" s="191"/>
      <c r="C19" s="191"/>
      <c r="D19" s="191"/>
      <c r="E19" s="191"/>
      <c r="F19" s="191"/>
      <c r="G19" s="192"/>
      <c r="H19" s="148" t="s">
        <v>18</v>
      </c>
      <c r="I19" s="14">
        <v>0</v>
      </c>
    </row>
    <row r="20" spans="1:9" x14ac:dyDescent="0.25">
      <c r="A20" s="193"/>
      <c r="B20" s="193"/>
      <c r="C20" s="193"/>
      <c r="D20" s="193"/>
      <c r="E20" s="193"/>
      <c r="F20" s="193"/>
      <c r="G20" s="192"/>
      <c r="H20" s="148" t="s">
        <v>19</v>
      </c>
      <c r="I20" s="147">
        <v>0</v>
      </c>
    </row>
    <row r="21" spans="1:9" ht="14.25" customHeight="1" x14ac:dyDescent="0.25">
      <c r="A21" s="163" t="s">
        <v>217</v>
      </c>
      <c r="B21" s="163"/>
      <c r="C21" s="163"/>
      <c r="D21" s="163"/>
      <c r="E21" s="163"/>
      <c r="F21" s="163"/>
      <c r="G21" s="148" t="s">
        <v>16</v>
      </c>
      <c r="H21" s="145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48" t="s">
        <v>16</v>
      </c>
      <c r="H22" s="145" t="s">
        <v>22</v>
      </c>
      <c r="I22" s="109">
        <v>25.52</v>
      </c>
    </row>
    <row r="23" spans="1:9" ht="14.25" customHeight="1" x14ac:dyDescent="0.25">
      <c r="A23" s="191" t="s">
        <v>190</v>
      </c>
      <c r="B23" s="194"/>
      <c r="C23" s="194"/>
      <c r="D23" s="194"/>
      <c r="E23" s="194"/>
      <c r="F23" s="195"/>
      <c r="G23" s="108" t="s">
        <v>16</v>
      </c>
      <c r="H23" s="145" t="s">
        <v>22</v>
      </c>
      <c r="I23" s="16" t="s">
        <v>198</v>
      </c>
    </row>
    <row r="24" spans="1:9" ht="22.5" customHeight="1" x14ac:dyDescent="0.25">
      <c r="A24" s="171" t="s">
        <v>23</v>
      </c>
      <c r="B24" s="171"/>
      <c r="C24" s="171"/>
      <c r="D24" s="171"/>
      <c r="E24" s="171"/>
      <c r="F24" s="171"/>
      <c r="G24" s="145"/>
      <c r="H24" s="145" t="s">
        <v>24</v>
      </c>
      <c r="I24" s="18" t="s">
        <v>198</v>
      </c>
    </row>
    <row r="25" spans="1:9" ht="34.5" customHeight="1" x14ac:dyDescent="0.25">
      <c r="A25" s="163" t="s">
        <v>25</v>
      </c>
      <c r="B25" s="163"/>
      <c r="C25" s="163"/>
      <c r="D25" s="163"/>
      <c r="E25" s="163"/>
      <c r="F25" s="163"/>
      <c r="G25" s="148"/>
      <c r="H25" s="148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45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45"/>
      <c r="H27" s="21" t="s">
        <v>29</v>
      </c>
      <c r="I27" s="147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45"/>
      <c r="H28" s="148" t="s">
        <v>28</v>
      </c>
      <c r="I28" s="20">
        <v>15</v>
      </c>
    </row>
    <row r="29" spans="1:9" ht="35.25" customHeight="1" x14ac:dyDescent="0.25">
      <c r="A29" s="163" t="s">
        <v>31</v>
      </c>
      <c r="B29" s="163"/>
      <c r="C29" s="163"/>
      <c r="D29" s="163"/>
      <c r="E29" s="163"/>
      <c r="F29" s="163"/>
      <c r="G29" s="148"/>
      <c r="H29" s="146" t="s">
        <v>24</v>
      </c>
      <c r="I29" s="147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198</v>
      </c>
    </row>
    <row r="31" spans="1:9" ht="1.1499999999999999" customHeight="1" x14ac:dyDescent="0.25">
      <c r="A31" s="185"/>
      <c r="B31" s="185"/>
      <c r="C31" s="185"/>
      <c r="D31" s="185"/>
      <c r="E31" s="185"/>
      <c r="F31" s="185"/>
      <c r="G31" s="185"/>
      <c r="H31" s="185"/>
      <c r="I31" s="185"/>
    </row>
    <row r="32" spans="1:9" ht="1.1499999999999999" customHeight="1" x14ac:dyDescent="0.25">
      <c r="A32" s="185"/>
      <c r="B32" s="185"/>
      <c r="C32" s="185"/>
      <c r="D32" s="185"/>
      <c r="E32" s="185"/>
      <c r="F32" s="185"/>
      <c r="G32" s="185"/>
      <c r="H32" s="185"/>
      <c r="I32" s="185"/>
    </row>
    <row r="33" spans="1:10" ht="1.1499999999999999" customHeight="1" x14ac:dyDescent="0.25">
      <c r="A33" s="185"/>
      <c r="B33" s="185"/>
      <c r="C33" s="185"/>
      <c r="D33" s="185"/>
      <c r="E33" s="185"/>
      <c r="F33" s="185"/>
      <c r="G33" s="185"/>
      <c r="H33" s="185"/>
      <c r="I33" s="185"/>
    </row>
    <row r="34" spans="1:10" ht="1.1499999999999999" customHeight="1" x14ac:dyDescent="0.25">
      <c r="A34" s="185"/>
      <c r="B34" s="185"/>
      <c r="C34" s="185"/>
      <c r="D34" s="185"/>
      <c r="E34" s="185"/>
      <c r="F34" s="185"/>
      <c r="G34" s="185"/>
      <c r="H34" s="185"/>
      <c r="I34" s="185"/>
    </row>
    <row r="35" spans="1:10" ht="1.1499999999999999" customHeight="1" x14ac:dyDescent="0.25">
      <c r="A35" s="186"/>
      <c r="B35" s="186"/>
      <c r="C35" s="186"/>
      <c r="D35" s="186"/>
      <c r="E35" s="186"/>
      <c r="F35" s="186"/>
      <c r="G35" s="186"/>
      <c r="H35" s="186"/>
      <c r="I35" s="186"/>
    </row>
    <row r="36" spans="1:10" ht="8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37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45" si="0">I38/$I$46</f>
        <v>1</v>
      </c>
      <c r="I38" s="139">
        <f>IF(D6="12x36",I10,I10/H10*I5)</f>
        <v>2126.25</v>
      </c>
    </row>
    <row r="39" spans="1:10" ht="15" customHeight="1" x14ac:dyDescent="0.25">
      <c r="A39" s="137">
        <f t="shared" ref="A39:A45" si="1">A38+1</f>
        <v>2</v>
      </c>
      <c r="B39" s="162" t="s">
        <v>38</v>
      </c>
      <c r="C39" s="162"/>
      <c r="D39" s="162"/>
      <c r="E39" s="162"/>
      <c r="F39" s="162"/>
      <c r="G39" s="162"/>
      <c r="H39" s="23">
        <f t="shared" si="0"/>
        <v>0</v>
      </c>
      <c r="I39" s="139">
        <f>IF(I9=30%,I38*I9,0)</f>
        <v>0</v>
      </c>
    </row>
    <row r="40" spans="1:10" ht="15" customHeight="1" x14ac:dyDescent="0.25">
      <c r="A40" s="137">
        <f t="shared" si="1"/>
        <v>3</v>
      </c>
      <c r="B40" s="162" t="s">
        <v>222</v>
      </c>
      <c r="C40" s="162"/>
      <c r="D40" s="162"/>
      <c r="E40" s="162"/>
      <c r="F40" s="162"/>
      <c r="G40" s="162"/>
      <c r="H40" s="23">
        <f t="shared" si="0"/>
        <v>0</v>
      </c>
      <c r="I40" s="139">
        <f>IF(I7=10%,I25*I7,0)</f>
        <v>0</v>
      </c>
    </row>
    <row r="41" spans="1:10" ht="15" customHeight="1" x14ac:dyDescent="0.25">
      <c r="A41" s="137">
        <f t="shared" si="1"/>
        <v>4</v>
      </c>
      <c r="B41" s="162" t="s">
        <v>221</v>
      </c>
      <c r="C41" s="162"/>
      <c r="D41" s="162"/>
      <c r="E41" s="162"/>
      <c r="F41" s="162"/>
      <c r="G41" s="162"/>
      <c r="H41" s="23">
        <f t="shared" si="0"/>
        <v>0</v>
      </c>
      <c r="I41" s="139">
        <f>IF(I7=20%,I25*I7,0)</f>
        <v>0</v>
      </c>
    </row>
    <row r="42" spans="1:10" ht="15" customHeight="1" x14ac:dyDescent="0.25">
      <c r="A42" s="137">
        <f t="shared" si="1"/>
        <v>5</v>
      </c>
      <c r="B42" s="162" t="s">
        <v>220</v>
      </c>
      <c r="C42" s="162"/>
      <c r="D42" s="162"/>
      <c r="E42" s="162"/>
      <c r="F42" s="162"/>
      <c r="G42" s="162"/>
      <c r="H42" s="23">
        <f t="shared" si="0"/>
        <v>0</v>
      </c>
      <c r="I42" s="139">
        <f>IF(I7=40%,I25*I7,0)</f>
        <v>0</v>
      </c>
    </row>
    <row r="43" spans="1:10" ht="15" customHeight="1" x14ac:dyDescent="0.25">
      <c r="A43" s="137">
        <f t="shared" si="1"/>
        <v>6</v>
      </c>
      <c r="B43" s="162" t="s">
        <v>176</v>
      </c>
      <c r="C43" s="162"/>
      <c r="D43" s="162"/>
      <c r="E43" s="162"/>
      <c r="F43" s="162"/>
      <c r="G43" s="162"/>
      <c r="H43" s="23">
        <f t="shared" si="0"/>
        <v>0</v>
      </c>
      <c r="I43" s="139">
        <f>IF(I24="Não aplicável",0,I38*I24)</f>
        <v>0</v>
      </c>
    </row>
    <row r="44" spans="1:10" ht="15" customHeight="1" x14ac:dyDescent="0.25">
      <c r="A44" s="137">
        <f t="shared" si="1"/>
        <v>7</v>
      </c>
      <c r="B44" s="162" t="s">
        <v>39</v>
      </c>
      <c r="C44" s="162"/>
      <c r="D44" s="162"/>
      <c r="E44" s="162"/>
      <c r="F44" s="162"/>
      <c r="G44" s="162"/>
      <c r="H44" s="23">
        <f t="shared" si="0"/>
        <v>0</v>
      </c>
      <c r="I44" s="139">
        <f>IF(I26="Não aplicável",0,(I38+I39+I40+I41+I42+I43)/I5*I26*(1+I27))</f>
        <v>0</v>
      </c>
    </row>
    <row r="45" spans="1:10" ht="23.25" customHeight="1" x14ac:dyDescent="0.25">
      <c r="A45" s="137">
        <f t="shared" si="1"/>
        <v>8</v>
      </c>
      <c r="B45" s="162" t="s">
        <v>40</v>
      </c>
      <c r="C45" s="162"/>
      <c r="D45" s="162"/>
      <c r="E45" s="162"/>
      <c r="F45" s="162"/>
      <c r="G45" s="162"/>
      <c r="H45" s="23">
        <f t="shared" si="0"/>
        <v>0</v>
      </c>
      <c r="I45" s="139">
        <f>IF(I26="Não aplicável",0,I26/I13*5*(I10/H10*(1+I27)))</f>
        <v>0</v>
      </c>
    </row>
    <row r="46" spans="1:10" s="28" customFormat="1" ht="15" customHeight="1" x14ac:dyDescent="0.25">
      <c r="A46" s="175" t="s">
        <v>41</v>
      </c>
      <c r="B46" s="175"/>
      <c r="C46" s="175"/>
      <c r="D46" s="175"/>
      <c r="E46" s="175"/>
      <c r="F46" s="175"/>
      <c r="G46" s="175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7" t="s">
        <v>145</v>
      </c>
      <c r="B47" s="172" t="s">
        <v>219</v>
      </c>
      <c r="C47" s="172"/>
      <c r="D47" s="172"/>
      <c r="E47" s="172"/>
      <c r="F47" s="172"/>
      <c r="G47" s="172"/>
      <c r="H47" s="172"/>
      <c r="I47" s="172"/>
      <c r="J47" s="27"/>
    </row>
    <row r="48" spans="1:10" s="28" customFormat="1" ht="1.1499999999999999" customHeight="1" x14ac:dyDescent="0.25">
      <c r="A48" s="158"/>
      <c r="B48" s="173"/>
      <c r="C48" s="173"/>
      <c r="D48" s="173"/>
      <c r="E48" s="173"/>
      <c r="F48" s="173"/>
      <c r="G48" s="173"/>
      <c r="H48" s="173"/>
      <c r="I48" s="173"/>
      <c r="J48" s="27"/>
    </row>
    <row r="49" spans="1:10" s="28" customFormat="1" ht="1.1499999999999999" customHeight="1" x14ac:dyDescent="0.25">
      <c r="A49" s="158"/>
      <c r="B49" s="173"/>
      <c r="C49" s="173"/>
      <c r="D49" s="173"/>
      <c r="E49" s="173"/>
      <c r="F49" s="173"/>
      <c r="G49" s="173"/>
      <c r="H49" s="173"/>
      <c r="I49" s="173"/>
      <c r="J49" s="27"/>
    </row>
    <row r="50" spans="1:10" s="28" customFormat="1" ht="1.1499999999999999" customHeight="1" x14ac:dyDescent="0.25">
      <c r="A50" s="158"/>
      <c r="B50" s="173"/>
      <c r="C50" s="173"/>
      <c r="D50" s="173"/>
      <c r="E50" s="173"/>
      <c r="F50" s="173"/>
      <c r="G50" s="173"/>
      <c r="H50" s="173"/>
      <c r="I50" s="173"/>
      <c r="J50" s="27"/>
    </row>
    <row r="51" spans="1:10" s="28" customFormat="1" ht="1.1499999999999999" customHeight="1" x14ac:dyDescent="0.25">
      <c r="A51" s="158"/>
      <c r="B51" s="173"/>
      <c r="C51" s="173"/>
      <c r="D51" s="173"/>
      <c r="E51" s="173"/>
      <c r="F51" s="173"/>
      <c r="G51" s="173"/>
      <c r="H51" s="173"/>
      <c r="I51" s="173"/>
      <c r="J51" s="27"/>
    </row>
    <row r="52" spans="1:10" s="28" customFormat="1" ht="1.1499999999999999" customHeight="1" x14ac:dyDescent="0.25">
      <c r="A52" s="158"/>
      <c r="B52" s="173"/>
      <c r="C52" s="173"/>
      <c r="D52" s="173"/>
      <c r="E52" s="173"/>
      <c r="F52" s="173"/>
      <c r="G52" s="173"/>
      <c r="H52" s="173"/>
      <c r="I52" s="173"/>
      <c r="J52" s="27"/>
    </row>
    <row r="53" spans="1:10" s="28" customFormat="1" ht="1.1499999999999999" customHeight="1" x14ac:dyDescent="0.25">
      <c r="A53" s="158"/>
      <c r="B53" s="173"/>
      <c r="C53" s="173"/>
      <c r="D53" s="173"/>
      <c r="E53" s="173"/>
      <c r="F53" s="173"/>
      <c r="G53" s="173"/>
      <c r="H53" s="173"/>
      <c r="I53" s="173"/>
      <c r="J53" s="27"/>
    </row>
    <row r="54" spans="1:10" s="28" customFormat="1" ht="1.1499999999999999" customHeight="1" x14ac:dyDescent="0.25">
      <c r="A54" s="158"/>
      <c r="B54" s="173"/>
      <c r="C54" s="173"/>
      <c r="D54" s="173"/>
      <c r="E54" s="173"/>
      <c r="F54" s="173"/>
      <c r="G54" s="173"/>
      <c r="H54" s="173"/>
      <c r="I54" s="173"/>
      <c r="J54" s="27"/>
    </row>
    <row r="55" spans="1:10" s="28" customFormat="1" ht="1.1499999999999999" customHeight="1" x14ac:dyDescent="0.25">
      <c r="A55" s="158"/>
      <c r="B55" s="173"/>
      <c r="C55" s="173"/>
      <c r="D55" s="173"/>
      <c r="E55" s="173"/>
      <c r="F55" s="173"/>
      <c r="G55" s="173"/>
      <c r="H55" s="173"/>
      <c r="I55" s="173"/>
      <c r="J55" s="27"/>
    </row>
    <row r="56" spans="1:10" ht="1.1499999999999999" customHeight="1" x14ac:dyDescent="0.25">
      <c r="A56" s="159"/>
      <c r="B56" s="174"/>
      <c r="C56" s="174"/>
      <c r="D56" s="174"/>
      <c r="E56" s="174"/>
      <c r="F56" s="174"/>
      <c r="G56" s="174"/>
      <c r="H56" s="174"/>
      <c r="I56" s="174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37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139">
        <f t="shared" ref="I58:I65" si="2">$I$46*H58</f>
        <v>425.25</v>
      </c>
    </row>
    <row r="59" spans="1:10" ht="15" customHeight="1" x14ac:dyDescent="0.25">
      <c r="A59" s="137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139">
        <f t="shared" si="2"/>
        <v>31.893749999999997</v>
      </c>
    </row>
    <row r="60" spans="1:10" ht="15" customHeight="1" x14ac:dyDescent="0.25">
      <c r="A60" s="137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139">
        <f t="shared" si="2"/>
        <v>21.262499999999999</v>
      </c>
    </row>
    <row r="61" spans="1:10" ht="15" customHeight="1" x14ac:dyDescent="0.25">
      <c r="A61" s="137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139">
        <f t="shared" si="2"/>
        <v>4.2525000000000004</v>
      </c>
    </row>
    <row r="62" spans="1:10" ht="15" customHeight="1" x14ac:dyDescent="0.25">
      <c r="A62" s="137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139">
        <f t="shared" si="2"/>
        <v>53.15625</v>
      </c>
    </row>
    <row r="63" spans="1:10" ht="15" customHeight="1" x14ac:dyDescent="0.25">
      <c r="A63" s="137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139">
        <f t="shared" si="2"/>
        <v>170.1</v>
      </c>
    </row>
    <row r="64" spans="1:10" ht="15" customHeight="1" x14ac:dyDescent="0.25">
      <c r="A64" s="137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139">
        <f t="shared" si="2"/>
        <v>63.787499999999994</v>
      </c>
    </row>
    <row r="65" spans="1:10" ht="15" customHeight="1" x14ac:dyDescent="0.25">
      <c r="A65" s="137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139">
        <f t="shared" si="2"/>
        <v>12.7575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37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139">
        <f t="shared" ref="I70:I77" si="3">$I$46*H70</f>
        <v>253.69139250000001</v>
      </c>
    </row>
    <row r="71" spans="1:10" ht="15" customHeight="1" x14ac:dyDescent="0.25">
      <c r="A71" s="137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139">
        <f t="shared" si="3"/>
        <v>43.543473750000004</v>
      </c>
    </row>
    <row r="72" spans="1:10" ht="15" customHeight="1" x14ac:dyDescent="0.25">
      <c r="A72" s="137">
        <v>3</v>
      </c>
      <c r="B72" s="162" t="s">
        <v>204</v>
      </c>
      <c r="C72" s="162"/>
      <c r="D72" s="162"/>
      <c r="E72" s="162"/>
      <c r="F72" s="162"/>
      <c r="G72" s="162"/>
      <c r="H72" s="23">
        <v>1.2123E-2</v>
      </c>
      <c r="I72" s="139">
        <f t="shared" si="3"/>
        <v>25.776528750000001</v>
      </c>
    </row>
    <row r="73" spans="1:10" ht="15" customHeight="1" x14ac:dyDescent="0.25">
      <c r="A73" s="137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139">
        <f t="shared" si="3"/>
        <v>24.315795000000001</v>
      </c>
    </row>
    <row r="74" spans="1:10" ht="15" customHeight="1" x14ac:dyDescent="0.25">
      <c r="A74" s="137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139">
        <f t="shared" si="3"/>
        <v>0.3699675</v>
      </c>
    </row>
    <row r="75" spans="1:10" ht="15" customHeight="1" x14ac:dyDescent="0.25">
      <c r="A75" s="137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139">
        <f t="shared" si="3"/>
        <v>0.93980249999999999</v>
      </c>
    </row>
    <row r="76" spans="1:10" ht="15" customHeight="1" x14ac:dyDescent="0.25">
      <c r="A76" s="137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139">
        <f t="shared" si="3"/>
        <v>0.39335625000000002</v>
      </c>
    </row>
    <row r="77" spans="1:10" ht="15" customHeight="1" x14ac:dyDescent="0.25">
      <c r="A77" s="137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139">
        <f t="shared" si="3"/>
        <v>193.0422375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37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139">
        <f>$I$46*H82</f>
        <v>102.74252625000001</v>
      </c>
    </row>
    <row r="83" spans="1:11" ht="15" customHeight="1" x14ac:dyDescent="0.25">
      <c r="A83" s="137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139">
        <f>$I$46*H83</f>
        <v>7.4652637499999992</v>
      </c>
    </row>
    <row r="84" spans="1:11" ht="15" customHeight="1" x14ac:dyDescent="0.25">
      <c r="A84" s="137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139">
        <f>$I$46*H84</f>
        <v>41.096160000000005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37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139">
        <f>$I$46*H88</f>
        <v>199.48269978000002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37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I94/$I$46</f>
        <v>0.15514285714285714</v>
      </c>
      <c r="I94" s="139">
        <f>I114</f>
        <v>329.8725</v>
      </c>
    </row>
    <row r="95" spans="1:11" ht="15" customHeight="1" x14ac:dyDescent="0.25">
      <c r="A95" s="137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139">
        <f>I110</f>
        <v>0</v>
      </c>
    </row>
    <row r="96" spans="1:11" ht="15" customHeight="1" x14ac:dyDescent="0.25">
      <c r="A96" s="137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139">
        <v>0</v>
      </c>
    </row>
    <row r="97" spans="1:10" ht="15" customHeight="1" x14ac:dyDescent="0.25">
      <c r="A97" s="137">
        <f t="shared" si="5"/>
        <v>4</v>
      </c>
      <c r="B97" s="162" t="s">
        <v>80</v>
      </c>
      <c r="C97" s="162"/>
      <c r="D97" s="162"/>
      <c r="E97" s="162"/>
      <c r="F97" s="162"/>
      <c r="G97" s="162"/>
      <c r="H97" s="23">
        <f t="shared" si="4"/>
        <v>0</v>
      </c>
      <c r="I97" s="139">
        <f>I106</f>
        <v>0</v>
      </c>
    </row>
    <row r="98" spans="1:10" ht="15" customHeight="1" x14ac:dyDescent="0.25">
      <c r="A98" s="137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0.10227272727272727</v>
      </c>
      <c r="I98" s="139">
        <f>IF(I28="Não aplicável",0,((I10/H10)*1.5*I28))</f>
        <v>217.45738636363635</v>
      </c>
    </row>
    <row r="99" spans="1:10" ht="15" customHeight="1" x14ac:dyDescent="0.25">
      <c r="A99" s="137">
        <v>6</v>
      </c>
      <c r="B99" s="162" t="s">
        <v>215</v>
      </c>
      <c r="C99" s="162"/>
      <c r="D99" s="162"/>
      <c r="E99" s="162"/>
      <c r="F99" s="162"/>
      <c r="G99" s="162"/>
      <c r="H99" s="23">
        <f>I99/$I$46</f>
        <v>3.7624926513815403E-2</v>
      </c>
      <c r="I99" s="139">
        <f>IF(I21="Não aplicável",0,I21)</f>
        <v>80</v>
      </c>
    </row>
    <row r="100" spans="1:10" ht="15" customHeight="1" x14ac:dyDescent="0.25">
      <c r="A100" s="137">
        <v>7</v>
      </c>
      <c r="B100" s="162" t="s">
        <v>216</v>
      </c>
      <c r="C100" s="162"/>
      <c r="D100" s="162"/>
      <c r="E100" s="162"/>
      <c r="F100" s="162"/>
      <c r="G100" s="162"/>
      <c r="H100" s="23">
        <f>I100/$I$46</f>
        <v>1.2002351557907113E-2</v>
      </c>
      <c r="I100" s="139">
        <f>IF(I22="Não aplicável",0,I22)</f>
        <v>25.52</v>
      </c>
    </row>
    <row r="101" spans="1:10" ht="15" customHeight="1" x14ac:dyDescent="0.25">
      <c r="A101" s="137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139">
        <f>IF(I23="Não aplicável",0,I23)</f>
        <v>0</v>
      </c>
    </row>
    <row r="102" spans="1:10" ht="1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0.30704286248730694</v>
      </c>
      <c r="I102" s="26">
        <f>SUM(I94:I101)</f>
        <v>652.8498863636363</v>
      </c>
      <c r="J102" s="34"/>
    </row>
    <row r="103" spans="1:10" ht="18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35"/>
      <c r="I103" s="36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37" t="s">
        <v>88</v>
      </c>
      <c r="D105" s="137" t="s">
        <v>89</v>
      </c>
      <c r="E105" s="137" t="s">
        <v>90</v>
      </c>
      <c r="F105" s="137" t="s">
        <v>91</v>
      </c>
      <c r="G105" s="137" t="s">
        <v>92</v>
      </c>
      <c r="H105" s="23" t="s">
        <v>93</v>
      </c>
      <c r="I105" s="139" t="s">
        <v>94</v>
      </c>
    </row>
    <row r="106" spans="1:10" ht="15" customHeight="1" x14ac:dyDescent="0.25">
      <c r="A106" s="214">
        <f>IF(I12="Não aplicável",0,I12)</f>
        <v>0</v>
      </c>
      <c r="B106" s="214"/>
      <c r="C106" s="137">
        <f>IF(I13="Não aplicável",0,I13)</f>
        <v>0</v>
      </c>
      <c r="D106" s="137">
        <v>2</v>
      </c>
      <c r="E106" s="142">
        <f>A106*C106*D106</f>
        <v>0</v>
      </c>
      <c r="F106" s="142">
        <f>I38</f>
        <v>2126.25</v>
      </c>
      <c r="G106" s="38">
        <f>IF(I14="Não aplicável",0,I14)</f>
        <v>0</v>
      </c>
      <c r="H106" s="142">
        <f>F106*G106</f>
        <v>0</v>
      </c>
      <c r="I106" s="139">
        <f>IF((E106-H106)&gt;0,E106-H106,0)</f>
        <v>0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3.25" customHeight="1" x14ac:dyDescent="0.25">
      <c r="A109" s="163" t="s">
        <v>87</v>
      </c>
      <c r="B109" s="163"/>
      <c r="C109" s="137" t="s">
        <v>96</v>
      </c>
      <c r="D109" s="137" t="s">
        <v>89</v>
      </c>
      <c r="E109" s="137" t="s">
        <v>90</v>
      </c>
      <c r="F109" s="137" t="s">
        <v>91</v>
      </c>
      <c r="G109" s="137" t="s">
        <v>92</v>
      </c>
      <c r="H109" s="23" t="s">
        <v>93</v>
      </c>
      <c r="I109" s="139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37">
        <v>1</v>
      </c>
      <c r="E110" s="142">
        <f>A110*C110*D110</f>
        <v>0</v>
      </c>
      <c r="F110" s="142">
        <f>E110</f>
        <v>0</v>
      </c>
      <c r="G110" s="136">
        <f>IF(I20="Não aplicável",0,I20)</f>
        <v>0</v>
      </c>
      <c r="H110" s="142">
        <f>F110*G110</f>
        <v>0</v>
      </c>
      <c r="I110" s="139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9" t="s">
        <v>177</v>
      </c>
      <c r="B112" s="210"/>
      <c r="C112" s="210"/>
      <c r="D112" s="210"/>
      <c r="E112" s="210"/>
      <c r="F112" s="211" t="str">
        <f>A15</f>
        <v xml:space="preserve">Auxílio Alimentação </v>
      </c>
      <c r="G112" s="211"/>
      <c r="H112" s="211"/>
      <c r="I112" s="212"/>
    </row>
    <row r="113" spans="1:12" ht="23.25" customHeight="1" x14ac:dyDescent="0.25">
      <c r="A113" s="171" t="s">
        <v>87</v>
      </c>
      <c r="B113" s="171"/>
      <c r="C113" s="143" t="s">
        <v>96</v>
      </c>
      <c r="D113" s="143" t="s">
        <v>89</v>
      </c>
      <c r="E113" s="143" t="s">
        <v>90</v>
      </c>
      <c r="F113" s="143" t="s">
        <v>91</v>
      </c>
      <c r="G113" s="143" t="s">
        <v>92</v>
      </c>
      <c r="H113" s="77" t="str">
        <f>H105</f>
        <v>Valor desconto</v>
      </c>
      <c r="I113" s="78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37">
        <v>1</v>
      </c>
      <c r="E114" s="142">
        <f>A114*C114*D114</f>
        <v>407.25</v>
      </c>
      <c r="F114" s="142">
        <f>E114</f>
        <v>407.25</v>
      </c>
      <c r="G114" s="136">
        <f>IF(I17="Não aplicável",0,I17)</f>
        <v>0.19</v>
      </c>
      <c r="H114" s="142">
        <f>F114*G114</f>
        <v>77.377499999999998</v>
      </c>
      <c r="I114" s="139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H46+H91+H102</f>
        <v>2.0949648864873067</v>
      </c>
      <c r="I116" s="48">
        <f>I46+I91+I102</f>
        <v>4454.4190898936367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37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139">
        <v>0</v>
      </c>
    </row>
    <row r="121" spans="1:12" ht="15" customHeight="1" x14ac:dyDescent="0.25">
      <c r="A121" s="137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139">
        <v>0</v>
      </c>
    </row>
    <row r="122" spans="1:12" ht="15" customHeight="1" x14ac:dyDescent="0.25">
      <c r="A122" s="137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139">
        <v>0</v>
      </c>
    </row>
    <row r="123" spans="1:12" ht="15" customHeight="1" x14ac:dyDescent="0.25">
      <c r="A123" s="137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139">
        <f>IF(F130=20%,G130,0)</f>
        <v>0</v>
      </c>
    </row>
    <row r="124" spans="1:12" ht="15" customHeight="1" x14ac:dyDescent="0.25">
      <c r="A124" s="137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139">
        <v>0</v>
      </c>
    </row>
    <row r="125" spans="1:12" ht="15" customHeight="1" x14ac:dyDescent="0.25">
      <c r="A125" s="137">
        <v>6</v>
      </c>
      <c r="B125" s="162" t="s">
        <v>201</v>
      </c>
      <c r="C125" s="162"/>
      <c r="D125" s="162"/>
      <c r="E125" s="162"/>
      <c r="F125" s="162"/>
      <c r="G125" s="162"/>
      <c r="H125" s="23">
        <f t="shared" si="6"/>
        <v>0</v>
      </c>
      <c r="I125" s="139">
        <v>0</v>
      </c>
    </row>
    <row r="126" spans="1:12" ht="15" customHeight="1" x14ac:dyDescent="0.25">
      <c r="A126" s="137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139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445.4419089893637</v>
      </c>
      <c r="H130" s="140" t="s">
        <v>108</v>
      </c>
      <c r="I130" s="58">
        <f>I97</f>
        <v>0</v>
      </c>
    </row>
    <row r="131" spans="1:12" s="61" customFormat="1" ht="16.5" customHeight="1" x14ac:dyDescent="0.25">
      <c r="A131" s="218" t="s">
        <v>109</v>
      </c>
      <c r="B131" s="218"/>
      <c r="C131" s="140" t="s">
        <v>110</v>
      </c>
      <c r="D131" s="140" t="s">
        <v>111</v>
      </c>
      <c r="E131" s="140" t="s">
        <v>112</v>
      </c>
      <c r="F131" s="140" t="s">
        <v>113</v>
      </c>
      <c r="G131" s="140" t="s">
        <v>114</v>
      </c>
      <c r="H131" s="140" t="s">
        <v>115</v>
      </c>
      <c r="I131" s="59" t="s">
        <v>116</v>
      </c>
      <c r="J131" s="60"/>
    </row>
    <row r="132" spans="1:12" ht="16.5" customHeight="1" x14ac:dyDescent="0.25">
      <c r="A132" s="219">
        <f>I46</f>
        <v>2126.25</v>
      </c>
      <c r="B132" s="219"/>
      <c r="C132" s="141">
        <f>I66</f>
        <v>782.46000000000015</v>
      </c>
      <c r="D132" s="141">
        <f>I78</f>
        <v>542.07255375</v>
      </c>
      <c r="E132" s="141">
        <f>I85</f>
        <v>151.30395000000001</v>
      </c>
      <c r="F132" s="141">
        <f>I89</f>
        <v>199.48269978000002</v>
      </c>
      <c r="G132" s="141">
        <f>I102</f>
        <v>652.8498863636363</v>
      </c>
      <c r="H132" s="141">
        <f>A132+C132+D132+E132+F132+G132</f>
        <v>4454.4190898936367</v>
      </c>
      <c r="I132" s="141">
        <f>H132-I130</f>
        <v>4454.4190898936367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37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139">
        <v>0</v>
      </c>
    </row>
    <row r="136" spans="1:12" ht="15" customHeight="1" x14ac:dyDescent="0.25">
      <c r="A136" s="137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139">
        <v>0</v>
      </c>
    </row>
    <row r="137" spans="1:12" ht="35.65" customHeight="1" x14ac:dyDescent="0.25">
      <c r="A137" s="175" t="s">
        <v>182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37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139">
        <v>0</v>
      </c>
    </row>
    <row r="141" spans="1:12" ht="36.6" customHeight="1" x14ac:dyDescent="0.25">
      <c r="A141" s="175" t="s">
        <v>181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801.79543618085461</v>
      </c>
      <c r="H143" s="140" t="s">
        <v>108</v>
      </c>
      <c r="I143" s="58">
        <f>I97</f>
        <v>0</v>
      </c>
      <c r="L143" s="2"/>
    </row>
    <row r="144" spans="1:12" s="61" customFormat="1" ht="16.5" customHeight="1" x14ac:dyDescent="0.25">
      <c r="A144" s="218" t="s">
        <v>109</v>
      </c>
      <c r="B144" s="218"/>
      <c r="C144" s="140" t="s">
        <v>110</v>
      </c>
      <c r="D144" s="140" t="s">
        <v>111</v>
      </c>
      <c r="E144" s="140" t="s">
        <v>112</v>
      </c>
      <c r="F144" s="140" t="s">
        <v>113</v>
      </c>
      <c r="G144" s="140" t="s">
        <v>114</v>
      </c>
      <c r="H144" s="140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I46</f>
        <v>2126.25</v>
      </c>
      <c r="B145" s="219"/>
      <c r="C145" s="141">
        <f>I66</f>
        <v>782.46000000000015</v>
      </c>
      <c r="D145" s="141">
        <f>I78</f>
        <v>542.07255375</v>
      </c>
      <c r="E145" s="141">
        <f>I85</f>
        <v>151.30395000000001</v>
      </c>
      <c r="F145" s="141">
        <f>I89</f>
        <v>199.48269978000002</v>
      </c>
      <c r="G145" s="141">
        <f>I102</f>
        <v>652.8498863636363</v>
      </c>
      <c r="H145" s="141">
        <f>A145+C145+D145+E145+F145+G145</f>
        <v>4454.4190898936367</v>
      </c>
      <c r="I145" s="141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37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1.9020172910662825E-2</v>
      </c>
      <c r="I151" s="139">
        <f>($D$161/$E$162)*G161</f>
        <v>84.723821306334301</v>
      </c>
    </row>
    <row r="152" spans="1:12" ht="15" customHeight="1" x14ac:dyDescent="0.25">
      <c r="A152" s="137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8.7608069164265126E-2</v>
      </c>
      <c r="I152" s="139">
        <f>($D$161/$E$162)*G162</f>
        <v>390.24305571402465</v>
      </c>
    </row>
    <row r="153" spans="1:12" ht="15" customHeight="1" x14ac:dyDescent="0.25">
      <c r="A153" s="137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4.6109510086455335E-2</v>
      </c>
      <c r="I153" s="139">
        <f>($D$161/$E$162)*G163</f>
        <v>205.39108195474984</v>
      </c>
    </row>
    <row r="154" spans="1:12" ht="15" customHeight="1" x14ac:dyDescent="0.25">
      <c r="A154" s="137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139">
        <f>($D$161/$E$162)*G164</f>
        <v>0</v>
      </c>
    </row>
    <row r="155" spans="1:12" ht="15" customHeight="1" x14ac:dyDescent="0.25">
      <c r="A155" s="137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139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0.1527377521613833</v>
      </c>
      <c r="I156" s="26">
        <f>SUM(I151:I155)</f>
        <v>680.35795897510877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37" t="s">
        <v>133</v>
      </c>
      <c r="D160" s="191" t="s">
        <v>134</v>
      </c>
      <c r="E160" s="191"/>
      <c r="F160" s="137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4454.4190898936367</v>
      </c>
      <c r="B161" s="226"/>
      <c r="C161" s="139">
        <f>I147</f>
        <v>0</v>
      </c>
      <c r="D161" s="227">
        <f>A161+C161</f>
        <v>4454.4190898936367</v>
      </c>
      <c r="E161" s="227"/>
      <c r="F161" s="137" t="str">
        <f>B151</f>
        <v>PIS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0.13250000000000001</v>
      </c>
      <c r="E162" s="66">
        <f>C162-D162</f>
        <v>0.86749999999999994</v>
      </c>
      <c r="F162" s="137" t="str">
        <f>B152</f>
        <v>COFINS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37">
        <v>1</v>
      </c>
      <c r="D163" s="67">
        <f>H166</f>
        <v>7.6499999999999999E-2</v>
      </c>
      <c r="E163" s="68">
        <f>C163-D163</f>
        <v>0.92349999999999999</v>
      </c>
      <c r="F163" s="137" t="str">
        <f>B153</f>
        <v>ISS</v>
      </c>
      <c r="G163" s="64">
        <f>I11</f>
        <v>0.04</v>
      </c>
      <c r="H163" s="222">
        <f>I11</f>
        <v>0.04</v>
      </c>
      <c r="I163" s="222"/>
    </row>
    <row r="164" spans="1:10" ht="13.5" customHeight="1" x14ac:dyDescent="0.25">
      <c r="A164" s="224" t="s">
        <v>140</v>
      </c>
      <c r="B164" s="224"/>
      <c r="C164" s="137">
        <v>1</v>
      </c>
      <c r="D164" s="69">
        <v>0.09</v>
      </c>
      <c r="E164" s="70">
        <f>C164-D164</f>
        <v>0.91</v>
      </c>
      <c r="F164" s="137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38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144" t="s">
        <v>144</v>
      </c>
      <c r="G166" s="71">
        <f>SUM(G161:G165)</f>
        <v>0.13250000000000001</v>
      </c>
      <c r="H166" s="230">
        <f>SUM(H161:I165)</f>
        <v>7.6499999999999999E-2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0.1527377521613833</v>
      </c>
      <c r="I169" s="48">
        <f>I156</f>
        <v>680.35795897510877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37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0.41408808596050706</v>
      </c>
      <c r="I173" s="73">
        <f>I46</f>
        <v>2126.25</v>
      </c>
    </row>
    <row r="174" spans="1:10" ht="15" customHeight="1" x14ac:dyDescent="0.25">
      <c r="A174" s="137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0.32626912280428877</v>
      </c>
      <c r="I174" s="73">
        <f>I66+I78+I85+I89</f>
        <v>1675.3192035300003</v>
      </c>
    </row>
    <row r="175" spans="1:10" ht="15" customHeight="1" x14ac:dyDescent="0.25">
      <c r="A175" s="137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0.12714279123520408</v>
      </c>
      <c r="I175" s="73">
        <f>I102</f>
        <v>652.8498863636363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0.86749999999999994</v>
      </c>
      <c r="I176" s="48">
        <f>SUM(I173:I175)</f>
        <v>4454.4190898936367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37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139">
        <f>I127</f>
        <v>0</v>
      </c>
    </row>
    <row r="180" spans="1:11" ht="15" customHeight="1" x14ac:dyDescent="0.25">
      <c r="A180" s="137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139">
        <f>I137</f>
        <v>0</v>
      </c>
    </row>
    <row r="181" spans="1:11" ht="15" customHeight="1" x14ac:dyDescent="0.25">
      <c r="A181" s="137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139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37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0.13250000000000001</v>
      </c>
      <c r="I185" s="139">
        <f>I156</f>
        <v>680.35795897510877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0.13250000000000001</v>
      </c>
      <c r="I186" s="48">
        <f>I156</f>
        <v>680.35795897510877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4.5" customHeight="1" x14ac:dyDescent="0.25">
      <c r="A191" s="149"/>
      <c r="B191" s="149"/>
      <c r="C191" s="149"/>
      <c r="D191" s="149"/>
      <c r="E191" s="149"/>
      <c r="F191" s="149"/>
      <c r="G191" s="99"/>
      <c r="H191" s="99"/>
      <c r="I191" s="99"/>
    </row>
    <row r="192" spans="1:11" ht="40.5" customHeight="1" x14ac:dyDescent="0.25">
      <c r="A192" s="177" t="s">
        <v>195</v>
      </c>
      <c r="B192" s="177"/>
      <c r="C192" s="177"/>
      <c r="D192" s="177"/>
      <c r="E192" s="177"/>
      <c r="F192" s="164"/>
      <c r="G192" s="167" t="s">
        <v>199</v>
      </c>
      <c r="H192" s="168"/>
      <c r="I192" s="169"/>
    </row>
    <row r="193" spans="1:9" ht="11.25" customHeight="1" x14ac:dyDescent="0.25">
      <c r="A193" s="177"/>
      <c r="B193" s="177"/>
      <c r="C193" s="177"/>
      <c r="D193" s="177"/>
      <c r="E193" s="177"/>
      <c r="F193" s="177"/>
      <c r="G193" s="100"/>
      <c r="H193" s="101"/>
      <c r="I193" s="102">
        <f>((H70+H76+H77+H82+H83+H84)+((H70+H76+H77+H82+H83+H84)*H66))*I46*H196</f>
        <v>1637.30704158</v>
      </c>
    </row>
    <row r="194" spans="1:9" ht="4.9000000000000004" customHeight="1" x14ac:dyDescent="0.25">
      <c r="A194" s="170"/>
      <c r="B194" s="170"/>
      <c r="C194" s="170"/>
      <c r="D194" s="170"/>
      <c r="E194" s="170"/>
      <c r="F194" s="170"/>
      <c r="G194" s="170"/>
      <c r="H194" s="170"/>
      <c r="I194" s="170"/>
    </row>
    <row r="195" spans="1:9" ht="35.450000000000003" customHeight="1" x14ac:dyDescent="0.25">
      <c r="A195" s="178" t="s">
        <v>196</v>
      </c>
      <c r="B195" s="179"/>
      <c r="C195" s="179"/>
      <c r="D195" s="179"/>
      <c r="E195" s="179"/>
      <c r="F195" s="180"/>
      <c r="G195" s="81" t="s">
        <v>159</v>
      </c>
      <c r="H195" s="81" t="s">
        <v>160</v>
      </c>
      <c r="I195" s="81" t="s">
        <v>161</v>
      </c>
    </row>
    <row r="196" spans="1:9" ht="14.45" customHeight="1" x14ac:dyDescent="0.25">
      <c r="A196" s="181"/>
      <c r="B196" s="182"/>
      <c r="C196" s="182"/>
      <c r="D196" s="182"/>
      <c r="E196" s="182"/>
      <c r="F196" s="183"/>
      <c r="G196" s="88">
        <f>I176+I182+I186</f>
        <v>5134.7770488687456</v>
      </c>
      <c r="H196" s="135">
        <f>IF(D6="12x36",2,1)</f>
        <v>2</v>
      </c>
      <c r="I196" s="89">
        <f>G196*H196</f>
        <v>10269.554097737491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57" zoomScale="160" zoomScaleNormal="130" zoomScaleSheetLayoutView="16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22" customWidth="1"/>
    <col min="2" max="2" width="11.42578125" style="122" customWidth="1"/>
    <col min="3" max="3" width="12.28515625" style="122" customWidth="1"/>
    <col min="4" max="4" width="12.7109375" style="122" customWidth="1"/>
    <col min="5" max="5" width="12.28515625" style="122" customWidth="1"/>
    <col min="6" max="6" width="11.5703125" style="122" customWidth="1"/>
    <col min="7" max="7" width="11.42578125" style="122" customWidth="1"/>
    <col min="8" max="8" width="9.42578125" style="122" customWidth="1"/>
    <col min="9" max="9" width="11.5703125" style="122" customWidth="1"/>
    <col min="10" max="10" width="11.28515625" style="2" customWidth="1"/>
    <col min="11" max="11" width="10" style="122" customWidth="1"/>
    <col min="12" max="12" width="9.28515625" style="122"/>
    <col min="13" max="15" width="22.42578125" style="122" customWidth="1"/>
    <col min="16" max="16384" width="9.28515625" style="122"/>
  </cols>
  <sheetData>
    <row r="1" spans="1:11" ht="27.75" customHeight="1" x14ac:dyDescent="0.25">
      <c r="A1" s="197" t="s">
        <v>0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134"/>
      <c r="E3" s="7" t="s">
        <v>4</v>
      </c>
      <c r="F3" s="5"/>
      <c r="G3" s="134"/>
      <c r="H3" s="134"/>
      <c r="I3" s="134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244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245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241</v>
      </c>
      <c r="E9" s="188"/>
      <c r="F9" s="188"/>
      <c r="G9" s="189" t="s">
        <v>10</v>
      </c>
      <c r="H9" s="189"/>
      <c r="I9" s="124" t="s">
        <v>198</v>
      </c>
    </row>
    <row r="10" spans="1:11" ht="32.25" customHeight="1" x14ac:dyDescent="0.25">
      <c r="A10" s="196" t="s">
        <v>188</v>
      </c>
      <c r="B10" s="196"/>
      <c r="C10" s="196"/>
      <c r="D10" s="196"/>
      <c r="E10" s="196"/>
      <c r="F10" s="196"/>
      <c r="G10" s="123" t="s">
        <v>12</v>
      </c>
      <c r="H10" s="126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26" t="str">
        <f>D9</f>
        <v>Taquari</v>
      </c>
      <c r="H11" s="126" t="s">
        <v>14</v>
      </c>
      <c r="I11" s="13">
        <v>0.02</v>
      </c>
    </row>
    <row r="12" spans="1:11" ht="1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26" t="s">
        <v>17</v>
      </c>
      <c r="I12" s="11">
        <v>5</v>
      </c>
    </row>
    <row r="13" spans="1:11" x14ac:dyDescent="0.25">
      <c r="A13" s="191"/>
      <c r="B13" s="191"/>
      <c r="C13" s="191"/>
      <c r="D13" s="191"/>
      <c r="E13" s="191"/>
      <c r="F13" s="191"/>
      <c r="G13" s="192"/>
      <c r="H13" s="126" t="s">
        <v>18</v>
      </c>
      <c r="I13" s="14">
        <v>15</v>
      </c>
    </row>
    <row r="14" spans="1:11" x14ac:dyDescent="0.25">
      <c r="A14" s="191"/>
      <c r="B14" s="191"/>
      <c r="C14" s="191"/>
      <c r="D14" s="191"/>
      <c r="E14" s="191"/>
      <c r="F14" s="191"/>
      <c r="G14" s="192"/>
      <c r="H14" s="126" t="s">
        <v>19</v>
      </c>
      <c r="I14" s="124">
        <v>0.06</v>
      </c>
    </row>
    <row r="15" spans="1:11" ht="11.25" customHeight="1" x14ac:dyDescent="0.25">
      <c r="A15" s="191" t="s">
        <v>187</v>
      </c>
      <c r="B15" s="191"/>
      <c r="C15" s="191"/>
      <c r="D15" s="191"/>
      <c r="E15" s="191"/>
      <c r="F15" s="191"/>
      <c r="G15" s="192" t="s">
        <v>16</v>
      </c>
      <c r="H15" s="126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26" t="s">
        <v>18</v>
      </c>
      <c r="I16" s="14">
        <v>15</v>
      </c>
    </row>
    <row r="17" spans="1:9" x14ac:dyDescent="0.25">
      <c r="A17" s="191"/>
      <c r="B17" s="191"/>
      <c r="C17" s="191"/>
      <c r="D17" s="191"/>
      <c r="E17" s="191"/>
      <c r="F17" s="191"/>
      <c r="G17" s="192"/>
      <c r="H17" s="126" t="s">
        <v>19</v>
      </c>
      <c r="I17" s="124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26" t="s">
        <v>17</v>
      </c>
      <c r="I18" s="11">
        <v>0</v>
      </c>
    </row>
    <row r="19" spans="1:9" x14ac:dyDescent="0.25">
      <c r="A19" s="191"/>
      <c r="B19" s="191"/>
      <c r="C19" s="191"/>
      <c r="D19" s="191"/>
      <c r="E19" s="191"/>
      <c r="F19" s="191"/>
      <c r="G19" s="192"/>
      <c r="H19" s="126" t="s">
        <v>18</v>
      </c>
      <c r="I19" s="14">
        <v>0</v>
      </c>
    </row>
    <row r="20" spans="1:9" x14ac:dyDescent="0.25">
      <c r="A20" s="193"/>
      <c r="B20" s="193"/>
      <c r="C20" s="193"/>
      <c r="D20" s="193"/>
      <c r="E20" s="193"/>
      <c r="F20" s="193"/>
      <c r="G20" s="192"/>
      <c r="H20" s="126" t="s">
        <v>19</v>
      </c>
      <c r="I20" s="124">
        <v>0</v>
      </c>
    </row>
    <row r="21" spans="1:9" ht="14.25" customHeight="1" x14ac:dyDescent="0.25">
      <c r="A21" s="163" t="s">
        <v>217</v>
      </c>
      <c r="B21" s="163"/>
      <c r="C21" s="163"/>
      <c r="D21" s="163"/>
      <c r="E21" s="163"/>
      <c r="F21" s="163"/>
      <c r="G21" s="126" t="s">
        <v>16</v>
      </c>
      <c r="H21" s="128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26" t="s">
        <v>16</v>
      </c>
      <c r="H22" s="128" t="s">
        <v>22</v>
      </c>
      <c r="I22" s="109">
        <v>25.52</v>
      </c>
    </row>
    <row r="23" spans="1:9" ht="14.25" customHeight="1" x14ac:dyDescent="0.25">
      <c r="A23" s="191" t="s">
        <v>190</v>
      </c>
      <c r="B23" s="194"/>
      <c r="C23" s="194"/>
      <c r="D23" s="194"/>
      <c r="E23" s="194"/>
      <c r="F23" s="195"/>
      <c r="G23" s="108" t="s">
        <v>16</v>
      </c>
      <c r="H23" s="128" t="s">
        <v>22</v>
      </c>
      <c r="I23" s="16" t="s">
        <v>198</v>
      </c>
    </row>
    <row r="24" spans="1:9" ht="22.5" customHeight="1" x14ac:dyDescent="0.25">
      <c r="A24" s="171" t="s">
        <v>23</v>
      </c>
      <c r="B24" s="171"/>
      <c r="C24" s="171"/>
      <c r="D24" s="171"/>
      <c r="E24" s="171"/>
      <c r="F24" s="171"/>
      <c r="G24" s="128"/>
      <c r="H24" s="128" t="s">
        <v>24</v>
      </c>
      <c r="I24" s="18" t="s">
        <v>198</v>
      </c>
    </row>
    <row r="25" spans="1:9" ht="34.5" customHeight="1" x14ac:dyDescent="0.25">
      <c r="A25" s="163" t="s">
        <v>25</v>
      </c>
      <c r="B25" s="163"/>
      <c r="C25" s="163"/>
      <c r="D25" s="163"/>
      <c r="E25" s="163"/>
      <c r="F25" s="163"/>
      <c r="G25" s="126"/>
      <c r="H25" s="126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28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28"/>
      <c r="H27" s="21" t="s">
        <v>29</v>
      </c>
      <c r="I27" s="124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28"/>
      <c r="H28" s="126" t="s">
        <v>28</v>
      </c>
      <c r="I28" s="20">
        <v>15</v>
      </c>
    </row>
    <row r="29" spans="1:9" ht="35.25" customHeight="1" x14ac:dyDescent="0.25">
      <c r="A29" s="163" t="s">
        <v>31</v>
      </c>
      <c r="B29" s="163"/>
      <c r="C29" s="163"/>
      <c r="D29" s="163"/>
      <c r="E29" s="163"/>
      <c r="F29" s="163"/>
      <c r="G29" s="126"/>
      <c r="H29" s="123" t="s">
        <v>24</v>
      </c>
      <c r="I29" s="124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198</v>
      </c>
    </row>
    <row r="31" spans="1:9" ht="1.1499999999999999" customHeight="1" x14ac:dyDescent="0.25">
      <c r="A31" s="185"/>
      <c r="B31" s="185"/>
      <c r="C31" s="185"/>
      <c r="D31" s="185"/>
      <c r="E31" s="185"/>
      <c r="F31" s="185"/>
      <c r="G31" s="185"/>
      <c r="H31" s="185"/>
      <c r="I31" s="185"/>
    </row>
    <row r="32" spans="1:9" ht="1.1499999999999999" customHeight="1" x14ac:dyDescent="0.25">
      <c r="A32" s="185"/>
      <c r="B32" s="185"/>
      <c r="C32" s="185"/>
      <c r="D32" s="185"/>
      <c r="E32" s="185"/>
      <c r="F32" s="185"/>
      <c r="G32" s="185"/>
      <c r="H32" s="185"/>
      <c r="I32" s="185"/>
    </row>
    <row r="33" spans="1:10" ht="1.1499999999999999" customHeight="1" x14ac:dyDescent="0.25">
      <c r="A33" s="185"/>
      <c r="B33" s="185"/>
      <c r="C33" s="185"/>
      <c r="D33" s="185"/>
      <c r="E33" s="185"/>
      <c r="F33" s="185"/>
      <c r="G33" s="185"/>
      <c r="H33" s="185"/>
      <c r="I33" s="185"/>
    </row>
    <row r="34" spans="1:10" ht="1.1499999999999999" customHeight="1" x14ac:dyDescent="0.25">
      <c r="A34" s="185"/>
      <c r="B34" s="185"/>
      <c r="C34" s="185"/>
      <c r="D34" s="185"/>
      <c r="E34" s="185"/>
      <c r="F34" s="185"/>
      <c r="G34" s="185"/>
      <c r="H34" s="185"/>
      <c r="I34" s="185"/>
    </row>
    <row r="35" spans="1:10" ht="1.1499999999999999" customHeight="1" x14ac:dyDescent="0.25">
      <c r="A35" s="186"/>
      <c r="B35" s="186"/>
      <c r="C35" s="186"/>
      <c r="D35" s="186"/>
      <c r="E35" s="186"/>
      <c r="F35" s="186"/>
      <c r="G35" s="186"/>
      <c r="H35" s="186"/>
      <c r="I35" s="186"/>
    </row>
    <row r="36" spans="1:10" ht="8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18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45" si="0">I38/$I$46</f>
        <v>1</v>
      </c>
      <c r="I38" s="133">
        <f>IF(D6="12x36",I10,I10/H10*I5)</f>
        <v>2126.25</v>
      </c>
    </row>
    <row r="39" spans="1:10" ht="15" customHeight="1" x14ac:dyDescent="0.25">
      <c r="A39" s="118">
        <f t="shared" ref="A39:A45" si="1">A38+1</f>
        <v>2</v>
      </c>
      <c r="B39" s="162" t="s">
        <v>38</v>
      </c>
      <c r="C39" s="162"/>
      <c r="D39" s="162"/>
      <c r="E39" s="162"/>
      <c r="F39" s="162"/>
      <c r="G39" s="162"/>
      <c r="H39" s="23">
        <f t="shared" si="0"/>
        <v>0</v>
      </c>
      <c r="I39" s="133">
        <f>IF(I9=30%,I38*I9,0)</f>
        <v>0</v>
      </c>
    </row>
    <row r="40" spans="1:10" ht="15" customHeight="1" x14ac:dyDescent="0.25">
      <c r="A40" s="118">
        <f t="shared" si="1"/>
        <v>3</v>
      </c>
      <c r="B40" s="162" t="s">
        <v>222</v>
      </c>
      <c r="C40" s="162"/>
      <c r="D40" s="162"/>
      <c r="E40" s="162"/>
      <c r="F40" s="162"/>
      <c r="G40" s="162"/>
      <c r="H40" s="23">
        <f t="shared" si="0"/>
        <v>0</v>
      </c>
      <c r="I40" s="133">
        <f>IF(I7=10%,I25*I7,0)</f>
        <v>0</v>
      </c>
    </row>
    <row r="41" spans="1:10" ht="15" customHeight="1" x14ac:dyDescent="0.25">
      <c r="A41" s="118">
        <f t="shared" si="1"/>
        <v>4</v>
      </c>
      <c r="B41" s="162" t="s">
        <v>221</v>
      </c>
      <c r="C41" s="162"/>
      <c r="D41" s="162"/>
      <c r="E41" s="162"/>
      <c r="F41" s="162"/>
      <c r="G41" s="162"/>
      <c r="H41" s="23">
        <f t="shared" si="0"/>
        <v>0</v>
      </c>
      <c r="I41" s="133">
        <f>IF(I7=20%,I25*I7,0)</f>
        <v>0</v>
      </c>
    </row>
    <row r="42" spans="1:10" ht="15" customHeight="1" x14ac:dyDescent="0.25">
      <c r="A42" s="118">
        <f t="shared" si="1"/>
        <v>5</v>
      </c>
      <c r="B42" s="162" t="s">
        <v>220</v>
      </c>
      <c r="C42" s="162"/>
      <c r="D42" s="162"/>
      <c r="E42" s="162"/>
      <c r="F42" s="162"/>
      <c r="G42" s="162"/>
      <c r="H42" s="23">
        <f t="shared" si="0"/>
        <v>0</v>
      </c>
      <c r="I42" s="133">
        <f>IF(I7=40%,I25*I7,0)</f>
        <v>0</v>
      </c>
    </row>
    <row r="43" spans="1:10" ht="15" customHeight="1" x14ac:dyDescent="0.25">
      <c r="A43" s="118">
        <f t="shared" si="1"/>
        <v>6</v>
      </c>
      <c r="B43" s="162" t="s">
        <v>176</v>
      </c>
      <c r="C43" s="162"/>
      <c r="D43" s="162"/>
      <c r="E43" s="162"/>
      <c r="F43" s="162"/>
      <c r="G43" s="162"/>
      <c r="H43" s="23">
        <f t="shared" si="0"/>
        <v>0</v>
      </c>
      <c r="I43" s="133">
        <f>IF(I24="Não aplicável",0,I38*I24)</f>
        <v>0</v>
      </c>
    </row>
    <row r="44" spans="1:10" ht="15" customHeight="1" x14ac:dyDescent="0.25">
      <c r="A44" s="118">
        <f t="shared" si="1"/>
        <v>7</v>
      </c>
      <c r="B44" s="162" t="s">
        <v>39</v>
      </c>
      <c r="C44" s="162"/>
      <c r="D44" s="162"/>
      <c r="E44" s="162"/>
      <c r="F44" s="162"/>
      <c r="G44" s="162"/>
      <c r="H44" s="23">
        <f t="shared" si="0"/>
        <v>0</v>
      </c>
      <c r="I44" s="133">
        <f>IF(I26="Não aplicável",0,(I38+I39+I40+I41+I42+I43)/I5*I26*(1+I27))</f>
        <v>0</v>
      </c>
    </row>
    <row r="45" spans="1:10" ht="23.25" customHeight="1" x14ac:dyDescent="0.25">
      <c r="A45" s="118">
        <f t="shared" si="1"/>
        <v>8</v>
      </c>
      <c r="B45" s="162" t="s">
        <v>40</v>
      </c>
      <c r="C45" s="162"/>
      <c r="D45" s="162"/>
      <c r="E45" s="162"/>
      <c r="F45" s="162"/>
      <c r="G45" s="162"/>
      <c r="H45" s="23">
        <f t="shared" si="0"/>
        <v>0</v>
      </c>
      <c r="I45" s="133">
        <f>IF(I26="Não aplicável",0,I26/I13*5*(I10/H10*(1+I27)))</f>
        <v>0</v>
      </c>
    </row>
    <row r="46" spans="1:10" s="28" customFormat="1" ht="15" customHeight="1" x14ac:dyDescent="0.25">
      <c r="A46" s="175" t="s">
        <v>41</v>
      </c>
      <c r="B46" s="175"/>
      <c r="C46" s="175"/>
      <c r="D46" s="175"/>
      <c r="E46" s="175"/>
      <c r="F46" s="175"/>
      <c r="G46" s="175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7" t="s">
        <v>145</v>
      </c>
      <c r="B47" s="172" t="s">
        <v>219</v>
      </c>
      <c r="C47" s="172"/>
      <c r="D47" s="172"/>
      <c r="E47" s="172"/>
      <c r="F47" s="172"/>
      <c r="G47" s="172"/>
      <c r="H47" s="172"/>
      <c r="I47" s="172"/>
      <c r="J47" s="27"/>
    </row>
    <row r="48" spans="1:10" s="28" customFormat="1" ht="1.1499999999999999" customHeight="1" x14ac:dyDescent="0.25">
      <c r="A48" s="158"/>
      <c r="B48" s="173"/>
      <c r="C48" s="173"/>
      <c r="D48" s="173"/>
      <c r="E48" s="173"/>
      <c r="F48" s="173"/>
      <c r="G48" s="173"/>
      <c r="H48" s="173"/>
      <c r="I48" s="173"/>
      <c r="J48" s="27"/>
    </row>
    <row r="49" spans="1:10" s="28" customFormat="1" ht="1.1499999999999999" customHeight="1" x14ac:dyDescent="0.25">
      <c r="A49" s="158"/>
      <c r="B49" s="173"/>
      <c r="C49" s="173"/>
      <c r="D49" s="173"/>
      <c r="E49" s="173"/>
      <c r="F49" s="173"/>
      <c r="G49" s="173"/>
      <c r="H49" s="173"/>
      <c r="I49" s="173"/>
      <c r="J49" s="27"/>
    </row>
    <row r="50" spans="1:10" s="28" customFormat="1" ht="1.1499999999999999" customHeight="1" x14ac:dyDescent="0.25">
      <c r="A50" s="158"/>
      <c r="B50" s="173"/>
      <c r="C50" s="173"/>
      <c r="D50" s="173"/>
      <c r="E50" s="173"/>
      <c r="F50" s="173"/>
      <c r="G50" s="173"/>
      <c r="H50" s="173"/>
      <c r="I50" s="173"/>
      <c r="J50" s="27"/>
    </row>
    <row r="51" spans="1:10" s="28" customFormat="1" ht="1.1499999999999999" customHeight="1" x14ac:dyDescent="0.25">
      <c r="A51" s="158"/>
      <c r="B51" s="173"/>
      <c r="C51" s="173"/>
      <c r="D51" s="173"/>
      <c r="E51" s="173"/>
      <c r="F51" s="173"/>
      <c r="G51" s="173"/>
      <c r="H51" s="173"/>
      <c r="I51" s="173"/>
      <c r="J51" s="27"/>
    </row>
    <row r="52" spans="1:10" s="28" customFormat="1" ht="1.1499999999999999" customHeight="1" x14ac:dyDescent="0.25">
      <c r="A52" s="158"/>
      <c r="B52" s="173"/>
      <c r="C52" s="173"/>
      <c r="D52" s="173"/>
      <c r="E52" s="173"/>
      <c r="F52" s="173"/>
      <c r="G52" s="173"/>
      <c r="H52" s="173"/>
      <c r="I52" s="173"/>
      <c r="J52" s="27"/>
    </row>
    <row r="53" spans="1:10" s="28" customFormat="1" ht="1.1499999999999999" customHeight="1" x14ac:dyDescent="0.25">
      <c r="A53" s="158"/>
      <c r="B53" s="173"/>
      <c r="C53" s="173"/>
      <c r="D53" s="173"/>
      <c r="E53" s="173"/>
      <c r="F53" s="173"/>
      <c r="G53" s="173"/>
      <c r="H53" s="173"/>
      <c r="I53" s="173"/>
      <c r="J53" s="27"/>
    </row>
    <row r="54" spans="1:10" s="28" customFormat="1" ht="1.1499999999999999" customHeight="1" x14ac:dyDescent="0.25">
      <c r="A54" s="158"/>
      <c r="B54" s="173"/>
      <c r="C54" s="173"/>
      <c r="D54" s="173"/>
      <c r="E54" s="173"/>
      <c r="F54" s="173"/>
      <c r="G54" s="173"/>
      <c r="H54" s="173"/>
      <c r="I54" s="173"/>
      <c r="J54" s="27"/>
    </row>
    <row r="55" spans="1:10" s="28" customFormat="1" ht="1.1499999999999999" customHeight="1" x14ac:dyDescent="0.25">
      <c r="A55" s="158"/>
      <c r="B55" s="173"/>
      <c r="C55" s="173"/>
      <c r="D55" s="173"/>
      <c r="E55" s="173"/>
      <c r="F55" s="173"/>
      <c r="G55" s="173"/>
      <c r="H55" s="173"/>
      <c r="I55" s="173"/>
      <c r="J55" s="27"/>
    </row>
    <row r="56" spans="1:10" ht="1.1499999999999999" customHeight="1" x14ac:dyDescent="0.25">
      <c r="A56" s="159"/>
      <c r="B56" s="174"/>
      <c r="C56" s="174"/>
      <c r="D56" s="174"/>
      <c r="E56" s="174"/>
      <c r="F56" s="174"/>
      <c r="G56" s="174"/>
      <c r="H56" s="174"/>
      <c r="I56" s="174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18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133">
        <f t="shared" ref="I58:I65" si="2">$I$46*H58</f>
        <v>425.25</v>
      </c>
    </row>
    <row r="59" spans="1:10" ht="15" customHeight="1" x14ac:dyDescent="0.25">
      <c r="A59" s="118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133">
        <f t="shared" si="2"/>
        <v>31.893749999999997</v>
      </c>
    </row>
    <row r="60" spans="1:10" ht="15" customHeight="1" x14ac:dyDescent="0.25">
      <c r="A60" s="118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133">
        <f t="shared" si="2"/>
        <v>21.262499999999999</v>
      </c>
    </row>
    <row r="61" spans="1:10" ht="15" customHeight="1" x14ac:dyDescent="0.25">
      <c r="A61" s="118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133">
        <f t="shared" si="2"/>
        <v>4.2525000000000004</v>
      </c>
    </row>
    <row r="62" spans="1:10" ht="15" customHeight="1" x14ac:dyDescent="0.25">
      <c r="A62" s="118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133">
        <f t="shared" si="2"/>
        <v>53.15625</v>
      </c>
    </row>
    <row r="63" spans="1:10" ht="15" customHeight="1" x14ac:dyDescent="0.25">
      <c r="A63" s="118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133">
        <f t="shared" si="2"/>
        <v>170.1</v>
      </c>
    </row>
    <row r="64" spans="1:10" ht="15" customHeight="1" x14ac:dyDescent="0.25">
      <c r="A64" s="118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133">
        <f t="shared" si="2"/>
        <v>63.787499999999994</v>
      </c>
    </row>
    <row r="65" spans="1:10" ht="15" customHeight="1" x14ac:dyDescent="0.25">
      <c r="A65" s="118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133">
        <f t="shared" si="2"/>
        <v>12.7575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18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133">
        <f t="shared" ref="I70:I77" si="3">$I$46*H70</f>
        <v>253.69139250000001</v>
      </c>
    </row>
    <row r="71" spans="1:10" ht="15" customHeight="1" x14ac:dyDescent="0.25">
      <c r="A71" s="118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133">
        <f t="shared" si="3"/>
        <v>43.543473750000004</v>
      </c>
    </row>
    <row r="72" spans="1:10" ht="15" customHeight="1" x14ac:dyDescent="0.25">
      <c r="A72" s="118">
        <v>3</v>
      </c>
      <c r="B72" s="162" t="s">
        <v>204</v>
      </c>
      <c r="C72" s="162"/>
      <c r="D72" s="162"/>
      <c r="E72" s="162"/>
      <c r="F72" s="162"/>
      <c r="G72" s="162"/>
      <c r="H72" s="23">
        <v>1.2123E-2</v>
      </c>
      <c r="I72" s="133">
        <f t="shared" si="3"/>
        <v>25.776528750000001</v>
      </c>
    </row>
    <row r="73" spans="1:10" ht="15" customHeight="1" x14ac:dyDescent="0.25">
      <c r="A73" s="118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133">
        <f t="shared" si="3"/>
        <v>24.315795000000001</v>
      </c>
    </row>
    <row r="74" spans="1:10" ht="15" customHeight="1" x14ac:dyDescent="0.25">
      <c r="A74" s="118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133">
        <f t="shared" si="3"/>
        <v>0.3699675</v>
      </c>
    </row>
    <row r="75" spans="1:10" ht="15" customHeight="1" x14ac:dyDescent="0.25">
      <c r="A75" s="118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133">
        <f t="shared" si="3"/>
        <v>0.93980249999999999</v>
      </c>
    </row>
    <row r="76" spans="1:10" ht="15" customHeight="1" x14ac:dyDescent="0.25">
      <c r="A76" s="118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133">
        <f t="shared" si="3"/>
        <v>0.39335625000000002</v>
      </c>
    </row>
    <row r="77" spans="1:10" ht="15" customHeight="1" x14ac:dyDescent="0.25">
      <c r="A77" s="118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133">
        <f t="shared" si="3"/>
        <v>193.0422375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18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133">
        <f>$I$46*H82</f>
        <v>102.74252625000001</v>
      </c>
    </row>
    <row r="83" spans="1:11" ht="15" customHeight="1" x14ac:dyDescent="0.25">
      <c r="A83" s="118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133">
        <f>$I$46*H83</f>
        <v>7.4652637499999992</v>
      </c>
    </row>
    <row r="84" spans="1:11" ht="15" customHeight="1" x14ac:dyDescent="0.25">
      <c r="A84" s="118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133">
        <f>$I$46*H84</f>
        <v>41.096160000000005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18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133">
        <f>$I$46*H88</f>
        <v>199.48269978000002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18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I94/$I$46</f>
        <v>0.15514285714285714</v>
      </c>
      <c r="I94" s="133">
        <f>I114</f>
        <v>329.8725</v>
      </c>
    </row>
    <row r="95" spans="1:11" ht="15" customHeight="1" x14ac:dyDescent="0.25">
      <c r="A95" s="118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133">
        <f>I110</f>
        <v>0</v>
      </c>
    </row>
    <row r="96" spans="1:11" ht="15" customHeight="1" x14ac:dyDescent="0.25">
      <c r="A96" s="118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133">
        <v>0</v>
      </c>
    </row>
    <row r="97" spans="1:10" ht="15" customHeight="1" x14ac:dyDescent="0.25">
      <c r="A97" s="118">
        <f t="shared" si="5"/>
        <v>4</v>
      </c>
      <c r="B97" s="162" t="s">
        <v>80</v>
      </c>
      <c r="C97" s="162"/>
      <c r="D97" s="162"/>
      <c r="E97" s="162"/>
      <c r="F97" s="162"/>
      <c r="G97" s="162"/>
      <c r="H97" s="23">
        <f t="shared" si="4"/>
        <v>1.0546737213403885E-2</v>
      </c>
      <c r="I97" s="133">
        <f>I106</f>
        <v>22.425000000000011</v>
      </c>
    </row>
    <row r="98" spans="1:10" ht="15" customHeight="1" x14ac:dyDescent="0.25">
      <c r="A98" s="118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0.10227272727272727</v>
      </c>
      <c r="I98" s="133">
        <f>IF(I28="Não aplicável",0,((I10/H10)*1.5*I28))</f>
        <v>217.45738636363635</v>
      </c>
    </row>
    <row r="99" spans="1:10" ht="15" customHeight="1" x14ac:dyDescent="0.25">
      <c r="A99" s="118">
        <v>6</v>
      </c>
      <c r="B99" s="162" t="s">
        <v>215</v>
      </c>
      <c r="C99" s="162"/>
      <c r="D99" s="162"/>
      <c r="E99" s="162"/>
      <c r="F99" s="162"/>
      <c r="G99" s="162"/>
      <c r="H99" s="23">
        <f>I99/$I$46</f>
        <v>3.7624926513815403E-2</v>
      </c>
      <c r="I99" s="133">
        <f>IF(I21="Não aplicável",0,I21)</f>
        <v>80</v>
      </c>
    </row>
    <row r="100" spans="1:10" ht="15" customHeight="1" x14ac:dyDescent="0.25">
      <c r="A100" s="118">
        <v>7</v>
      </c>
      <c r="B100" s="162" t="s">
        <v>216</v>
      </c>
      <c r="C100" s="162"/>
      <c r="D100" s="162"/>
      <c r="E100" s="162"/>
      <c r="F100" s="162"/>
      <c r="G100" s="162"/>
      <c r="H100" s="23">
        <f>I100/$I$46</f>
        <v>1.2002351557907113E-2</v>
      </c>
      <c r="I100" s="133">
        <f>IF(I22="Não aplicável",0,I22)</f>
        <v>25.52</v>
      </c>
    </row>
    <row r="101" spans="1:10" ht="15" customHeight="1" x14ac:dyDescent="0.25">
      <c r="A101" s="118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133">
        <f>IF(I23="Não aplicável",0,I23)</f>
        <v>0</v>
      </c>
    </row>
    <row r="102" spans="1:10" ht="1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0.31758959970071077</v>
      </c>
      <c r="I102" s="26">
        <f>SUM(I94:I101)</f>
        <v>675.27488636363637</v>
      </c>
      <c r="J102" s="34"/>
    </row>
    <row r="103" spans="1:10" ht="18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35"/>
      <c r="I103" s="36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18" t="s">
        <v>88</v>
      </c>
      <c r="D105" s="118" t="s">
        <v>89</v>
      </c>
      <c r="E105" s="118" t="s">
        <v>90</v>
      </c>
      <c r="F105" s="118" t="s">
        <v>91</v>
      </c>
      <c r="G105" s="118" t="s">
        <v>92</v>
      </c>
      <c r="H105" s="23" t="s">
        <v>93</v>
      </c>
      <c r="I105" s="133" t="s">
        <v>94</v>
      </c>
    </row>
    <row r="106" spans="1:10" ht="15" customHeight="1" x14ac:dyDescent="0.25">
      <c r="A106" s="214">
        <f>IF(I12="Não aplicável",0,I12)</f>
        <v>5</v>
      </c>
      <c r="B106" s="214"/>
      <c r="C106" s="118">
        <f>IF(I13="Não aplicável",0,I13)</f>
        <v>15</v>
      </c>
      <c r="D106" s="118">
        <v>2</v>
      </c>
      <c r="E106" s="129">
        <f>A106*C106*D106</f>
        <v>150</v>
      </c>
      <c r="F106" s="129">
        <f>I38</f>
        <v>2126.25</v>
      </c>
      <c r="G106" s="38">
        <f>IF(I14="Não aplicável",0,I14)</f>
        <v>0.06</v>
      </c>
      <c r="H106" s="129">
        <f>F106*G106</f>
        <v>127.57499999999999</v>
      </c>
      <c r="I106" s="133">
        <f>IF((E106-H106)&gt;0,E106-H106,0)</f>
        <v>22.425000000000011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3.25" customHeight="1" x14ac:dyDescent="0.25">
      <c r="A109" s="163" t="s">
        <v>87</v>
      </c>
      <c r="B109" s="163"/>
      <c r="C109" s="118" t="s">
        <v>96</v>
      </c>
      <c r="D109" s="118" t="s">
        <v>89</v>
      </c>
      <c r="E109" s="118" t="s">
        <v>90</v>
      </c>
      <c r="F109" s="118" t="s">
        <v>91</v>
      </c>
      <c r="G109" s="118" t="s">
        <v>92</v>
      </c>
      <c r="H109" s="23" t="s">
        <v>93</v>
      </c>
      <c r="I109" s="133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18">
        <v>1</v>
      </c>
      <c r="E110" s="129">
        <f>A110*C110*D110</f>
        <v>0</v>
      </c>
      <c r="F110" s="129">
        <f>E110</f>
        <v>0</v>
      </c>
      <c r="G110" s="132">
        <f>IF(I20="Não aplicável",0,I20)</f>
        <v>0</v>
      </c>
      <c r="H110" s="129">
        <f>F110*G110</f>
        <v>0</v>
      </c>
      <c r="I110" s="133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9" t="s">
        <v>177</v>
      </c>
      <c r="B112" s="210"/>
      <c r="C112" s="210"/>
      <c r="D112" s="210"/>
      <c r="E112" s="210"/>
      <c r="F112" s="211" t="str">
        <f>A15</f>
        <v xml:space="preserve">Auxílio Alimentação </v>
      </c>
      <c r="G112" s="211"/>
      <c r="H112" s="211"/>
      <c r="I112" s="212"/>
    </row>
    <row r="113" spans="1:12" ht="23.25" customHeight="1" x14ac:dyDescent="0.25">
      <c r="A113" s="171" t="s">
        <v>87</v>
      </c>
      <c r="B113" s="171"/>
      <c r="C113" s="121" t="s">
        <v>96</v>
      </c>
      <c r="D113" s="121" t="s">
        <v>89</v>
      </c>
      <c r="E113" s="121" t="s">
        <v>90</v>
      </c>
      <c r="F113" s="121" t="s">
        <v>91</v>
      </c>
      <c r="G113" s="121" t="s">
        <v>92</v>
      </c>
      <c r="H113" s="77" t="str">
        <f>H105</f>
        <v>Valor desconto</v>
      </c>
      <c r="I113" s="78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18">
        <v>1</v>
      </c>
      <c r="E114" s="129">
        <f>A114*C114*D114</f>
        <v>407.25</v>
      </c>
      <c r="F114" s="129">
        <f>E114</f>
        <v>407.25</v>
      </c>
      <c r="G114" s="132">
        <f>IF(I17="Não aplicável",0,I17)</f>
        <v>0.19</v>
      </c>
      <c r="H114" s="129">
        <f>F114*G114</f>
        <v>77.377499999999998</v>
      </c>
      <c r="I114" s="133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H46+H91+H102</f>
        <v>2.1055116237007105</v>
      </c>
      <c r="I116" s="48">
        <f>I46+I91+I102</f>
        <v>4476.8440898936369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18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133">
        <v>0</v>
      </c>
    </row>
    <row r="121" spans="1:12" ht="15" customHeight="1" x14ac:dyDescent="0.25">
      <c r="A121" s="118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133">
        <v>0</v>
      </c>
    </row>
    <row r="122" spans="1:12" ht="15" customHeight="1" x14ac:dyDescent="0.25">
      <c r="A122" s="118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133">
        <v>0</v>
      </c>
    </row>
    <row r="123" spans="1:12" ht="15" customHeight="1" x14ac:dyDescent="0.25">
      <c r="A123" s="118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133">
        <f>IF(F130=20%,G130,0)</f>
        <v>0</v>
      </c>
    </row>
    <row r="124" spans="1:12" ht="15" customHeight="1" x14ac:dyDescent="0.25">
      <c r="A124" s="118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133">
        <v>0</v>
      </c>
    </row>
    <row r="125" spans="1:12" ht="15" customHeight="1" x14ac:dyDescent="0.25">
      <c r="A125" s="118">
        <v>6</v>
      </c>
      <c r="B125" s="162" t="s">
        <v>201</v>
      </c>
      <c r="C125" s="162"/>
      <c r="D125" s="162"/>
      <c r="E125" s="162"/>
      <c r="F125" s="162"/>
      <c r="G125" s="162"/>
      <c r="H125" s="23">
        <f t="shared" si="6"/>
        <v>0</v>
      </c>
      <c r="I125" s="133">
        <v>0</v>
      </c>
    </row>
    <row r="126" spans="1:12" ht="15" customHeight="1" x14ac:dyDescent="0.25">
      <c r="A126" s="118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133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445.4419089893637</v>
      </c>
      <c r="H130" s="130" t="s">
        <v>108</v>
      </c>
      <c r="I130" s="58">
        <f>I97</f>
        <v>22.425000000000011</v>
      </c>
    </row>
    <row r="131" spans="1:12" s="61" customFormat="1" ht="16.5" customHeight="1" x14ac:dyDescent="0.25">
      <c r="A131" s="218" t="s">
        <v>109</v>
      </c>
      <c r="B131" s="218"/>
      <c r="C131" s="130" t="s">
        <v>110</v>
      </c>
      <c r="D131" s="130" t="s">
        <v>111</v>
      </c>
      <c r="E131" s="130" t="s">
        <v>112</v>
      </c>
      <c r="F131" s="130" t="s">
        <v>113</v>
      </c>
      <c r="G131" s="130" t="s">
        <v>114</v>
      </c>
      <c r="H131" s="130" t="s">
        <v>115</v>
      </c>
      <c r="I131" s="59" t="s">
        <v>116</v>
      </c>
      <c r="J131" s="60"/>
    </row>
    <row r="132" spans="1:12" ht="16.5" customHeight="1" x14ac:dyDescent="0.25">
      <c r="A132" s="219">
        <f>I46</f>
        <v>2126.25</v>
      </c>
      <c r="B132" s="219"/>
      <c r="C132" s="131">
        <f>I66</f>
        <v>782.46000000000015</v>
      </c>
      <c r="D132" s="131">
        <f>I78</f>
        <v>542.07255375</v>
      </c>
      <c r="E132" s="131">
        <f>I85</f>
        <v>151.30395000000001</v>
      </c>
      <c r="F132" s="131">
        <f>I89</f>
        <v>199.48269978000002</v>
      </c>
      <c r="G132" s="131">
        <f>I102</f>
        <v>675.27488636363637</v>
      </c>
      <c r="H132" s="131">
        <f>A132+C132+D132+E132+F132+G132</f>
        <v>4476.8440898936369</v>
      </c>
      <c r="I132" s="131">
        <f>H132-I130</f>
        <v>4454.4190898936367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18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133">
        <v>0</v>
      </c>
    </row>
    <row r="136" spans="1:12" ht="15" customHeight="1" x14ac:dyDescent="0.25">
      <c r="A136" s="118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133">
        <v>0</v>
      </c>
    </row>
    <row r="137" spans="1:12" ht="35.65" customHeight="1" x14ac:dyDescent="0.25">
      <c r="A137" s="175" t="s">
        <v>182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18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133">
        <v>0</v>
      </c>
    </row>
    <row r="141" spans="1:12" ht="36.6" customHeight="1" x14ac:dyDescent="0.25">
      <c r="A141" s="175" t="s">
        <v>181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801.79543618085461</v>
      </c>
      <c r="H143" s="130" t="s">
        <v>108</v>
      </c>
      <c r="I143" s="58">
        <f>I97</f>
        <v>22.425000000000011</v>
      </c>
      <c r="L143" s="2"/>
    </row>
    <row r="144" spans="1:12" s="61" customFormat="1" ht="16.5" customHeight="1" x14ac:dyDescent="0.25">
      <c r="A144" s="218" t="s">
        <v>109</v>
      </c>
      <c r="B144" s="218"/>
      <c r="C144" s="130" t="s">
        <v>110</v>
      </c>
      <c r="D144" s="130" t="s">
        <v>111</v>
      </c>
      <c r="E144" s="130" t="s">
        <v>112</v>
      </c>
      <c r="F144" s="130" t="s">
        <v>113</v>
      </c>
      <c r="G144" s="130" t="s">
        <v>114</v>
      </c>
      <c r="H144" s="130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I46</f>
        <v>2126.25</v>
      </c>
      <c r="B145" s="219"/>
      <c r="C145" s="131">
        <f>I66</f>
        <v>782.46000000000015</v>
      </c>
      <c r="D145" s="131">
        <f>I78</f>
        <v>542.07255375</v>
      </c>
      <c r="E145" s="131">
        <f>I85</f>
        <v>151.30395000000001</v>
      </c>
      <c r="F145" s="131">
        <f>I89</f>
        <v>199.48269978000002</v>
      </c>
      <c r="G145" s="131">
        <f>I102</f>
        <v>675.27488636363637</v>
      </c>
      <c r="H145" s="131">
        <f>A145+C145+D145+E145+F145+G145</f>
        <v>4476.8440898936369</v>
      </c>
      <c r="I145" s="131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18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1.859154929577465E-2</v>
      </c>
      <c r="I151" s="133">
        <f>($D$161/$E$162)*G161</f>
        <v>83.231467586754945</v>
      </c>
    </row>
    <row r="152" spans="1:12" ht="15" customHeight="1" x14ac:dyDescent="0.25">
      <c r="A152" s="118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8.5633802816901416E-2</v>
      </c>
      <c r="I152" s="133">
        <f>($D$161/$E$162)*G162</f>
        <v>383.36918403596218</v>
      </c>
    </row>
    <row r="153" spans="1:12" ht="15" customHeight="1" x14ac:dyDescent="0.25">
      <c r="A153" s="118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2.2535211267605635E-2</v>
      </c>
      <c r="I153" s="133">
        <f>($D$161/$E$162)*G163</f>
        <v>100.88662737788478</v>
      </c>
    </row>
    <row r="154" spans="1:12" ht="15" customHeight="1" x14ac:dyDescent="0.25">
      <c r="A154" s="118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133">
        <f>($D$161/$E$162)*G164</f>
        <v>0</v>
      </c>
    </row>
    <row r="155" spans="1:12" ht="15" customHeight="1" x14ac:dyDescent="0.25">
      <c r="A155" s="118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133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0.12676056338028172</v>
      </c>
      <c r="I156" s="26">
        <f>SUM(I151:I155)</f>
        <v>567.48727900060192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18" t="s">
        <v>133</v>
      </c>
      <c r="D160" s="191" t="s">
        <v>134</v>
      </c>
      <c r="E160" s="191"/>
      <c r="F160" s="118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4476.8440898936369</v>
      </c>
      <c r="B161" s="226"/>
      <c r="C161" s="133">
        <f>I147</f>
        <v>0</v>
      </c>
      <c r="D161" s="227">
        <f>A161+C161</f>
        <v>4476.8440898936369</v>
      </c>
      <c r="E161" s="227"/>
      <c r="F161" s="118" t="str">
        <f>B151</f>
        <v>PIS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0.1125</v>
      </c>
      <c r="E162" s="66">
        <f>C162-D162</f>
        <v>0.88749999999999996</v>
      </c>
      <c r="F162" s="118" t="str">
        <f>B152</f>
        <v>COFINS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18">
        <v>1</v>
      </c>
      <c r="D163" s="67">
        <f>H166</f>
        <v>5.6499999999999995E-2</v>
      </c>
      <c r="E163" s="68">
        <f>C163-D163</f>
        <v>0.94350000000000001</v>
      </c>
      <c r="F163" s="118" t="str">
        <f>B153</f>
        <v>ISS</v>
      </c>
      <c r="G163" s="64">
        <f>I11</f>
        <v>0.02</v>
      </c>
      <c r="H163" s="222">
        <f>I11</f>
        <v>0.02</v>
      </c>
      <c r="I163" s="222"/>
    </row>
    <row r="164" spans="1:10" ht="13.5" customHeight="1" x14ac:dyDescent="0.25">
      <c r="A164" s="224" t="s">
        <v>140</v>
      </c>
      <c r="B164" s="224"/>
      <c r="C164" s="118">
        <v>1</v>
      </c>
      <c r="D164" s="69">
        <v>0.09</v>
      </c>
      <c r="E164" s="70">
        <f>C164-D164</f>
        <v>0.91</v>
      </c>
      <c r="F164" s="118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25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127" t="s">
        <v>144</v>
      </c>
      <c r="G166" s="71">
        <f>SUM(G161:G165)</f>
        <v>0.1125</v>
      </c>
      <c r="H166" s="230">
        <f>SUM(H161:I165)</f>
        <v>5.6499999999999995E-2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0.12676056338028172</v>
      </c>
      <c r="I169" s="48">
        <f>I156</f>
        <v>567.48727900060192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18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0.42151275253475118</v>
      </c>
      <c r="I173" s="73">
        <f>I46</f>
        <v>2126.25</v>
      </c>
    </row>
    <row r="174" spans="1:10" ht="15" customHeight="1" x14ac:dyDescent="0.25">
      <c r="A174" s="118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0.33211918111899236</v>
      </c>
      <c r="I174" s="73">
        <f>I66+I78+I85+I89</f>
        <v>1675.3192035300003</v>
      </c>
    </row>
    <row r="175" spans="1:10" ht="15" customHeight="1" x14ac:dyDescent="0.25">
      <c r="A175" s="118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0.13386806634625639</v>
      </c>
      <c r="I175" s="73">
        <f>I102</f>
        <v>675.27488636363637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0.88749999999999996</v>
      </c>
      <c r="I176" s="48">
        <f>SUM(I173:I175)</f>
        <v>4476.8440898936369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18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133">
        <f>I127</f>
        <v>0</v>
      </c>
    </row>
    <row r="180" spans="1:11" ht="15" customHeight="1" x14ac:dyDescent="0.25">
      <c r="A180" s="118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133">
        <f>I137</f>
        <v>0</v>
      </c>
    </row>
    <row r="181" spans="1:11" ht="15" customHeight="1" x14ac:dyDescent="0.25">
      <c r="A181" s="118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133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18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0.1125</v>
      </c>
      <c r="I185" s="133">
        <f>I156</f>
        <v>567.48727900060192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0.1125</v>
      </c>
      <c r="I186" s="48">
        <f>I156</f>
        <v>567.48727900060192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4.5" customHeight="1" x14ac:dyDescent="0.25">
      <c r="A191" s="119"/>
      <c r="B191" s="119"/>
      <c r="C191" s="119"/>
      <c r="D191" s="119"/>
      <c r="E191" s="119"/>
      <c r="F191" s="119"/>
      <c r="G191" s="99"/>
      <c r="H191" s="99"/>
      <c r="I191" s="99"/>
    </row>
    <row r="192" spans="1:11" ht="40.5" customHeight="1" x14ac:dyDescent="0.25">
      <c r="A192" s="177" t="s">
        <v>195</v>
      </c>
      <c r="B192" s="177"/>
      <c r="C192" s="177"/>
      <c r="D192" s="177"/>
      <c r="E192" s="177"/>
      <c r="F192" s="164"/>
      <c r="G192" s="167" t="s">
        <v>199</v>
      </c>
      <c r="H192" s="168"/>
      <c r="I192" s="169"/>
    </row>
    <row r="193" spans="1:9" ht="11.25" customHeight="1" x14ac:dyDescent="0.25">
      <c r="A193" s="177"/>
      <c r="B193" s="177"/>
      <c r="C193" s="177"/>
      <c r="D193" s="177"/>
      <c r="E193" s="177"/>
      <c r="F193" s="177"/>
      <c r="G193" s="100"/>
      <c r="H193" s="101"/>
      <c r="I193" s="102">
        <f>((H70+H76+H77+H82+H83+H84)+((H70+H76+H77+H82+H83+H84)*H66))*I46*H196</f>
        <v>1637.30704158</v>
      </c>
    </row>
    <row r="194" spans="1:9" ht="4.9000000000000004" customHeight="1" x14ac:dyDescent="0.25">
      <c r="A194" s="170"/>
      <c r="B194" s="170"/>
      <c r="C194" s="170"/>
      <c r="D194" s="170"/>
      <c r="E194" s="170"/>
      <c r="F194" s="170"/>
      <c r="G194" s="170"/>
      <c r="H194" s="170"/>
      <c r="I194" s="170"/>
    </row>
    <row r="195" spans="1:9" ht="35.450000000000003" customHeight="1" x14ac:dyDescent="0.25">
      <c r="A195" s="178" t="s">
        <v>196</v>
      </c>
      <c r="B195" s="179"/>
      <c r="C195" s="179"/>
      <c r="D195" s="179"/>
      <c r="E195" s="179"/>
      <c r="F195" s="180"/>
      <c r="G195" s="81" t="s">
        <v>159</v>
      </c>
      <c r="H195" s="81" t="s">
        <v>160</v>
      </c>
      <c r="I195" s="81" t="s">
        <v>161</v>
      </c>
    </row>
    <row r="196" spans="1:9" ht="14.45" customHeight="1" x14ac:dyDescent="0.25">
      <c r="A196" s="181"/>
      <c r="B196" s="182"/>
      <c r="C196" s="182"/>
      <c r="D196" s="182"/>
      <c r="E196" s="182"/>
      <c r="F196" s="183"/>
      <c r="G196" s="88">
        <f>I176+I182+I186</f>
        <v>5044.3313688942389</v>
      </c>
      <c r="H196" s="120">
        <f>IF(D6="12x36",2,1)</f>
        <v>2</v>
      </c>
      <c r="I196" s="89">
        <f>G196*H196</f>
        <v>10088.662737788478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63" zoomScale="130" zoomScaleNormal="130" zoomScalePageLayoutView="130" workbookViewId="0">
      <selection activeCell="K141" sqref="K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7" t="s">
        <v>162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246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237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236</v>
      </c>
      <c r="E9" s="188"/>
      <c r="F9" s="188"/>
      <c r="G9" s="189" t="s">
        <v>10</v>
      </c>
      <c r="H9" s="189"/>
      <c r="I9" s="9" t="s">
        <v>198</v>
      </c>
    </row>
    <row r="10" spans="1:11" ht="32.25" customHeight="1" x14ac:dyDescent="0.25">
      <c r="A10" s="196" t="s">
        <v>11</v>
      </c>
      <c r="B10" s="196"/>
      <c r="C10" s="196"/>
      <c r="D10" s="196"/>
      <c r="E10" s="196"/>
      <c r="F10" s="196"/>
      <c r="G10" s="8" t="s">
        <v>12</v>
      </c>
      <c r="H10" s="10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0" t="str">
        <f>D9</f>
        <v>Porto Alegre</v>
      </c>
      <c r="H11" s="10" t="s">
        <v>14</v>
      </c>
      <c r="I11" s="13">
        <v>2.5000000000000001E-2</v>
      </c>
    </row>
    <row r="12" spans="1:11" ht="11.2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0" t="s">
        <v>17</v>
      </c>
      <c r="I12" s="11">
        <v>5.3</v>
      </c>
    </row>
    <row r="13" spans="1:11" ht="11.25" customHeight="1" x14ac:dyDescent="0.25">
      <c r="A13" s="191"/>
      <c r="B13" s="191"/>
      <c r="C13" s="191"/>
      <c r="D13" s="191"/>
      <c r="E13" s="191"/>
      <c r="F13" s="191"/>
      <c r="G13" s="192"/>
      <c r="H13" s="10" t="s">
        <v>18</v>
      </c>
      <c r="I13" s="14">
        <v>15</v>
      </c>
    </row>
    <row r="14" spans="1:11" ht="11.25" customHeight="1" x14ac:dyDescent="0.25">
      <c r="A14" s="191"/>
      <c r="B14" s="191"/>
      <c r="C14" s="191"/>
      <c r="D14" s="191"/>
      <c r="E14" s="191"/>
      <c r="F14" s="191"/>
      <c r="G14" s="192"/>
      <c r="H14" s="10" t="s">
        <v>19</v>
      </c>
      <c r="I14" s="124">
        <v>0.06</v>
      </c>
    </row>
    <row r="15" spans="1:11" ht="11.25" customHeight="1" x14ac:dyDescent="0.25">
      <c r="A15" s="191" t="s">
        <v>163</v>
      </c>
      <c r="B15" s="191"/>
      <c r="C15" s="191"/>
      <c r="D15" s="191"/>
      <c r="E15" s="191"/>
      <c r="F15" s="191"/>
      <c r="G15" s="192" t="s">
        <v>16</v>
      </c>
      <c r="H15" s="10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0" t="s">
        <v>18</v>
      </c>
      <c r="I16" s="14">
        <v>15</v>
      </c>
    </row>
    <row r="17" spans="1:9" ht="11.25" customHeight="1" x14ac:dyDescent="0.25">
      <c r="A17" s="191"/>
      <c r="B17" s="191"/>
      <c r="C17" s="191"/>
      <c r="D17" s="191"/>
      <c r="E17" s="191"/>
      <c r="F17" s="191"/>
      <c r="G17" s="192"/>
      <c r="H17" s="10" t="s">
        <v>19</v>
      </c>
      <c r="I17" s="124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0" t="s">
        <v>17</v>
      </c>
      <c r="I18" s="11">
        <v>0</v>
      </c>
    </row>
    <row r="19" spans="1:9" ht="11.25" customHeight="1" x14ac:dyDescent="0.25">
      <c r="A19" s="191"/>
      <c r="B19" s="191"/>
      <c r="C19" s="191"/>
      <c r="D19" s="191"/>
      <c r="E19" s="191"/>
      <c r="F19" s="191"/>
      <c r="G19" s="192"/>
      <c r="H19" s="10" t="s">
        <v>18</v>
      </c>
      <c r="I19" s="14">
        <v>0</v>
      </c>
    </row>
    <row r="20" spans="1:9" ht="11.25" customHeight="1" x14ac:dyDescent="0.25">
      <c r="A20" s="191"/>
      <c r="B20" s="191"/>
      <c r="C20" s="191"/>
      <c r="D20" s="191"/>
      <c r="E20" s="191"/>
      <c r="F20" s="191"/>
      <c r="G20" s="192"/>
      <c r="H20" s="10" t="s">
        <v>19</v>
      </c>
      <c r="I20" s="124">
        <v>0</v>
      </c>
    </row>
    <row r="21" spans="1:9" ht="14.25" customHeight="1" x14ac:dyDescent="0.25">
      <c r="A21" s="163" t="s">
        <v>215</v>
      </c>
      <c r="B21" s="163"/>
      <c r="C21" s="163"/>
      <c r="D21" s="163"/>
      <c r="E21" s="163"/>
      <c r="F21" s="163"/>
      <c r="G21" s="10" t="s">
        <v>16</v>
      </c>
      <c r="H21" s="15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0" t="s">
        <v>16</v>
      </c>
      <c r="H22" s="15" t="s">
        <v>22</v>
      </c>
      <c r="I22" s="109">
        <v>25.52</v>
      </c>
    </row>
    <row r="23" spans="1:9" ht="13.5" customHeight="1" x14ac:dyDescent="0.25">
      <c r="A23" s="193" t="s">
        <v>189</v>
      </c>
      <c r="B23" s="193"/>
      <c r="C23" s="193"/>
      <c r="D23" s="193"/>
      <c r="E23" s="193"/>
      <c r="F23" s="193"/>
      <c r="G23" s="15" t="s">
        <v>16</v>
      </c>
      <c r="H23" s="15" t="s">
        <v>22</v>
      </c>
      <c r="I23" s="16" t="s">
        <v>198</v>
      </c>
    </row>
    <row r="24" spans="1:9" ht="22.5" customHeight="1" x14ac:dyDescent="0.25">
      <c r="A24" s="163" t="s">
        <v>23</v>
      </c>
      <c r="B24" s="163"/>
      <c r="C24" s="163"/>
      <c r="D24" s="163"/>
      <c r="E24" s="163"/>
      <c r="F24" s="163"/>
      <c r="G24" s="15"/>
      <c r="H24" s="15" t="s">
        <v>24</v>
      </c>
      <c r="I24" s="18" t="s">
        <v>198</v>
      </c>
    </row>
    <row r="25" spans="1:9" ht="36" customHeight="1" x14ac:dyDescent="0.25">
      <c r="A25" s="163" t="s">
        <v>25</v>
      </c>
      <c r="B25" s="163"/>
      <c r="C25" s="163"/>
      <c r="D25" s="163"/>
      <c r="E25" s="163"/>
      <c r="F25" s="163"/>
      <c r="G25" s="10"/>
      <c r="H25" s="10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5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5"/>
      <c r="H27" s="21" t="s">
        <v>29</v>
      </c>
      <c r="I27" s="124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5"/>
      <c r="H28" s="10" t="s">
        <v>28</v>
      </c>
      <c r="I28" s="20">
        <v>15</v>
      </c>
    </row>
    <row r="29" spans="1:9" ht="36.75" customHeight="1" x14ac:dyDescent="0.25">
      <c r="A29" s="163" t="s">
        <v>31</v>
      </c>
      <c r="B29" s="163"/>
      <c r="C29" s="163"/>
      <c r="D29" s="163"/>
      <c r="E29" s="163"/>
      <c r="F29" s="163"/>
      <c r="G29" s="10"/>
      <c r="H29" s="8" t="s">
        <v>24</v>
      </c>
      <c r="I29" s="124">
        <v>0.1</v>
      </c>
    </row>
    <row r="30" spans="1:9" ht="18.75" customHeight="1" x14ac:dyDescent="0.25">
      <c r="A30" s="252" t="s">
        <v>191</v>
      </c>
      <c r="B30" s="253"/>
      <c r="C30" s="253"/>
      <c r="D30" s="253"/>
      <c r="E30" s="253"/>
      <c r="F30" s="254"/>
      <c r="G30" s="201" t="s">
        <v>16</v>
      </c>
      <c r="H30" s="15" t="s">
        <v>164</v>
      </c>
      <c r="I30" s="74">
        <f>((60/52.5)*7)*15</f>
        <v>120</v>
      </c>
    </row>
    <row r="31" spans="1:9" ht="16.5" customHeight="1" x14ac:dyDescent="0.25">
      <c r="A31" s="255"/>
      <c r="B31" s="256"/>
      <c r="C31" s="256"/>
      <c r="D31" s="256"/>
      <c r="E31" s="256"/>
      <c r="F31" s="257"/>
      <c r="G31" s="261"/>
      <c r="H31" s="15" t="s">
        <v>165</v>
      </c>
      <c r="I31" s="16">
        <f>I10/H10*I32</f>
        <v>1.9329545454545454</v>
      </c>
    </row>
    <row r="32" spans="1:9" ht="33.75" customHeight="1" x14ac:dyDescent="0.25">
      <c r="A32" s="258"/>
      <c r="B32" s="259"/>
      <c r="C32" s="259"/>
      <c r="D32" s="259"/>
      <c r="E32" s="259"/>
      <c r="F32" s="260"/>
      <c r="G32" s="262"/>
      <c r="H32" s="15" t="s">
        <v>193</v>
      </c>
      <c r="I32" s="18">
        <v>0.2</v>
      </c>
    </row>
    <row r="33" spans="1:10" ht="24.75" customHeight="1" x14ac:dyDescent="0.25">
      <c r="A33" s="251" t="s">
        <v>166</v>
      </c>
      <c r="B33" s="251"/>
      <c r="C33" s="251"/>
      <c r="D33" s="251"/>
      <c r="E33" s="251"/>
      <c r="F33" s="251"/>
      <c r="G33" s="192" t="s">
        <v>16</v>
      </c>
      <c r="H33" s="10" t="s">
        <v>164</v>
      </c>
      <c r="I33" s="20">
        <f>(((60/52.5)*7)-7)*15</f>
        <v>15</v>
      </c>
    </row>
    <row r="34" spans="1:10" ht="24.75" customHeight="1" x14ac:dyDescent="0.25">
      <c r="A34" s="251"/>
      <c r="B34" s="251"/>
      <c r="C34" s="251"/>
      <c r="D34" s="251"/>
      <c r="E34" s="251"/>
      <c r="F34" s="251"/>
      <c r="G34" s="192"/>
      <c r="H34" s="10" t="s">
        <v>165</v>
      </c>
      <c r="I34" s="11">
        <f>(I10/H10)*1.5</f>
        <v>14.49715909090909</v>
      </c>
    </row>
    <row r="35" spans="1:10" ht="6.75" customHeight="1" x14ac:dyDescent="0.25">
      <c r="I35" s="94" t="s">
        <v>198</v>
      </c>
    </row>
    <row r="36" spans="1:10" ht="17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54" si="0">I38/$I$55</f>
        <v>0.79767947788252358</v>
      </c>
      <c r="I38" s="24">
        <f>IF(D6="12x36",I10,I10/H10*I5)</f>
        <v>2126.25</v>
      </c>
    </row>
    <row r="39" spans="1:10" ht="15" customHeight="1" x14ac:dyDescent="0.25">
      <c r="A39" s="17">
        <f t="shared" ref="A39:A54" si="1">A38+1</f>
        <v>2</v>
      </c>
      <c r="B39" s="162" t="s">
        <v>167</v>
      </c>
      <c r="C39" s="162"/>
      <c r="D39" s="162"/>
      <c r="E39" s="162"/>
      <c r="F39" s="162"/>
      <c r="G39" s="162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62" t="s">
        <v>38</v>
      </c>
      <c r="C40" s="162"/>
      <c r="D40" s="162"/>
      <c r="E40" s="162"/>
      <c r="F40" s="162"/>
      <c r="G40" s="162"/>
      <c r="H40" s="23">
        <f t="shared" si="0"/>
        <v>0</v>
      </c>
      <c r="I40" s="24">
        <f>IF(I9=30%,I38*I9,0)</f>
        <v>0</v>
      </c>
    </row>
    <row r="41" spans="1:10" ht="15" customHeight="1" x14ac:dyDescent="0.25">
      <c r="A41" s="17">
        <f t="shared" si="1"/>
        <v>4</v>
      </c>
      <c r="B41" s="162" t="s">
        <v>231</v>
      </c>
      <c r="C41" s="162"/>
      <c r="D41" s="162"/>
      <c r="E41" s="162"/>
      <c r="F41" s="162"/>
      <c r="G41" s="162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62" t="s">
        <v>221</v>
      </c>
      <c r="C42" s="162"/>
      <c r="D42" s="162"/>
      <c r="E42" s="162"/>
      <c r="F42" s="162"/>
      <c r="G42" s="162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62" t="s">
        <v>220</v>
      </c>
      <c r="C43" s="162"/>
      <c r="D43" s="162"/>
      <c r="E43" s="162"/>
      <c r="F43" s="162"/>
      <c r="G43" s="162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62" t="s">
        <v>176</v>
      </c>
      <c r="C44" s="162"/>
      <c r="D44" s="162"/>
      <c r="E44" s="162"/>
      <c r="F44" s="162"/>
      <c r="G44" s="162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62" t="s">
        <v>39</v>
      </c>
      <c r="C45" s="162"/>
      <c r="D45" s="162"/>
      <c r="E45" s="162"/>
      <c r="F45" s="162"/>
      <c r="G45" s="162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62" t="s">
        <v>40</v>
      </c>
      <c r="C46" s="162"/>
      <c r="D46" s="162"/>
      <c r="E46" s="162"/>
      <c r="F46" s="162"/>
      <c r="G46" s="162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62" t="s">
        <v>168</v>
      </c>
      <c r="C47" s="162"/>
      <c r="D47" s="162"/>
      <c r="E47" s="162"/>
      <c r="F47" s="162"/>
      <c r="G47" s="162"/>
      <c r="H47" s="23">
        <f t="shared" si="0"/>
        <v>8.1580855692530818E-2</v>
      </c>
      <c r="I47" s="24">
        <f>I33*I34</f>
        <v>217.45738636363635</v>
      </c>
    </row>
    <row r="48" spans="1:10" ht="15" customHeight="1" x14ac:dyDescent="0.25">
      <c r="A48" s="17">
        <f t="shared" si="1"/>
        <v>11</v>
      </c>
      <c r="B48" s="247" t="s">
        <v>183</v>
      </c>
      <c r="C48" s="248"/>
      <c r="D48" s="248"/>
      <c r="E48" s="248"/>
      <c r="F48" s="248"/>
      <c r="G48" s="249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47" t="s">
        <v>185</v>
      </c>
      <c r="C49" s="248"/>
      <c r="D49" s="248"/>
      <c r="E49" s="248"/>
      <c r="F49" s="248"/>
      <c r="G49" s="249"/>
      <c r="H49" s="23">
        <f t="shared" si="0"/>
        <v>0</v>
      </c>
      <c r="I49" s="24">
        <f>IF(I9=30%,I47*I9,0)</f>
        <v>0</v>
      </c>
    </row>
    <row r="50" spans="1:10" ht="15" customHeight="1" x14ac:dyDescent="0.25">
      <c r="A50" s="17">
        <f t="shared" si="1"/>
        <v>13</v>
      </c>
      <c r="B50" s="245" t="s">
        <v>169</v>
      </c>
      <c r="C50" s="245"/>
      <c r="D50" s="245"/>
      <c r="E50" s="245"/>
      <c r="F50" s="245"/>
      <c r="G50" s="245"/>
      <c r="H50" s="23">
        <f t="shared" si="0"/>
        <v>8.7019579405366199E-2</v>
      </c>
      <c r="I50" s="24">
        <f>I30*I31</f>
        <v>231.95454545454544</v>
      </c>
    </row>
    <row r="51" spans="1:10" ht="15" customHeight="1" x14ac:dyDescent="0.25">
      <c r="A51" s="17">
        <f t="shared" si="1"/>
        <v>14</v>
      </c>
      <c r="B51" s="247" t="s">
        <v>184</v>
      </c>
      <c r="C51" s="248"/>
      <c r="D51" s="248"/>
      <c r="E51" s="248"/>
      <c r="F51" s="248"/>
      <c r="G51" s="249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47" t="s">
        <v>186</v>
      </c>
      <c r="C52" s="248"/>
      <c r="D52" s="248"/>
      <c r="E52" s="248"/>
      <c r="F52" s="248"/>
      <c r="G52" s="249"/>
      <c r="H52" s="23">
        <f t="shared" si="0"/>
        <v>0</v>
      </c>
      <c r="I52" s="24">
        <f>IF(I9=30%,I50*I9,0)</f>
        <v>0</v>
      </c>
    </row>
    <row r="53" spans="1:10" ht="24" customHeight="1" x14ac:dyDescent="0.25">
      <c r="A53" s="17">
        <f t="shared" si="1"/>
        <v>16</v>
      </c>
      <c r="B53" s="246" t="s">
        <v>170</v>
      </c>
      <c r="C53" s="246"/>
      <c r="D53" s="246"/>
      <c r="E53" s="246"/>
      <c r="F53" s="246"/>
      <c r="G53" s="246"/>
      <c r="H53" s="23">
        <f t="shared" si="0"/>
        <v>3.3720087019579403E-2</v>
      </c>
      <c r="I53" s="24">
        <f>(I47+I50)*0.2</f>
        <v>89.882386363636357</v>
      </c>
    </row>
    <row r="54" spans="1:10" ht="15" customHeight="1" x14ac:dyDescent="0.25">
      <c r="A54" s="17">
        <f t="shared" si="1"/>
        <v>17</v>
      </c>
      <c r="B54" s="24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6"/>
      <c r="D54" s="246"/>
      <c r="E54" s="246"/>
      <c r="F54" s="246"/>
      <c r="G54" s="246"/>
      <c r="H54" s="23">
        <f t="shared" si="0"/>
        <v>0</v>
      </c>
      <c r="I54" s="24">
        <v>0</v>
      </c>
    </row>
    <row r="55" spans="1:10" s="28" customFormat="1" ht="15" customHeight="1" x14ac:dyDescent="0.25">
      <c r="A55" s="175" t="s">
        <v>41</v>
      </c>
      <c r="B55" s="175"/>
      <c r="C55" s="175"/>
      <c r="D55" s="175"/>
      <c r="E55" s="175"/>
      <c r="F55" s="175"/>
      <c r="G55" s="175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16" t="s">
        <v>145</v>
      </c>
      <c r="B56" s="250" t="s">
        <v>219</v>
      </c>
      <c r="C56" s="250"/>
      <c r="D56" s="250"/>
      <c r="E56" s="250"/>
      <c r="F56" s="250"/>
      <c r="G56" s="250"/>
      <c r="H56" s="250"/>
      <c r="I56" s="250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24">
        <f t="shared" ref="I58:I65" si="2">$I$55*H58</f>
        <v>533.10886363636371</v>
      </c>
    </row>
    <row r="59" spans="1:10" ht="15" customHeight="1" x14ac:dyDescent="0.25">
      <c r="A59" s="17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24">
        <f t="shared" si="2"/>
        <v>39.983164772727271</v>
      </c>
    </row>
    <row r="60" spans="1:10" ht="15" customHeight="1" x14ac:dyDescent="0.25">
      <c r="A60" s="17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24">
        <f t="shared" si="2"/>
        <v>26.655443181818182</v>
      </c>
    </row>
    <row r="61" spans="1:10" ht="15" customHeight="1" x14ac:dyDescent="0.25">
      <c r="A61" s="17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24">
        <f t="shared" si="2"/>
        <v>5.3310886363636367</v>
      </c>
    </row>
    <row r="62" spans="1:10" ht="15" customHeight="1" x14ac:dyDescent="0.25">
      <c r="A62" s="17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24">
        <f t="shared" si="2"/>
        <v>66.638607954545463</v>
      </c>
    </row>
    <row r="63" spans="1:10" ht="15" customHeight="1" x14ac:dyDescent="0.25">
      <c r="A63" s="17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24">
        <f t="shared" si="2"/>
        <v>213.24354545454545</v>
      </c>
    </row>
    <row r="64" spans="1:10" ht="15" customHeight="1" x14ac:dyDescent="0.25">
      <c r="A64" s="17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24">
        <f t="shared" si="2"/>
        <v>79.966329545454542</v>
      </c>
    </row>
    <row r="65" spans="1:10" ht="15" customHeight="1" x14ac:dyDescent="0.25">
      <c r="A65" s="17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24">
        <f t="shared" si="2"/>
        <v>15.99326590909091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7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24">
        <f t="shared" ref="I70:I77" si="3">$I$55*H70</f>
        <v>318.03675477954545</v>
      </c>
    </row>
    <row r="71" spans="1:10" ht="15" customHeight="1" x14ac:dyDescent="0.25">
      <c r="A71" s="17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24">
        <f t="shared" si="3"/>
        <v>54.587682092045455</v>
      </c>
    </row>
    <row r="72" spans="1:10" ht="15" customHeight="1" x14ac:dyDescent="0.25">
      <c r="A72" s="17">
        <v>3</v>
      </c>
      <c r="B72" s="162" t="s">
        <v>57</v>
      </c>
      <c r="C72" s="162"/>
      <c r="D72" s="162"/>
      <c r="E72" s="162"/>
      <c r="F72" s="162"/>
      <c r="G72" s="162"/>
      <c r="H72" s="23">
        <v>1.2123E-2</v>
      </c>
      <c r="I72" s="24">
        <f t="shared" si="3"/>
        <v>32.31439376931818</v>
      </c>
    </row>
    <row r="73" spans="1:10" ht="15" customHeight="1" x14ac:dyDescent="0.25">
      <c r="A73" s="17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24">
        <f t="shared" si="3"/>
        <v>30.483164822727272</v>
      </c>
    </row>
    <row r="74" spans="1:10" ht="15" customHeight="1" x14ac:dyDescent="0.25">
      <c r="A74" s="17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24">
        <f t="shared" si="3"/>
        <v>0.46380471136363638</v>
      </c>
    </row>
    <row r="75" spans="1:10" ht="15" customHeight="1" x14ac:dyDescent="0.25">
      <c r="A75" s="17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24">
        <f t="shared" si="3"/>
        <v>1.1781705886363636</v>
      </c>
    </row>
    <row r="76" spans="1:10" ht="15" customHeight="1" x14ac:dyDescent="0.25">
      <c r="A76" s="17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24">
        <f t="shared" si="3"/>
        <v>0.49312569886363639</v>
      </c>
    </row>
    <row r="77" spans="1:10" ht="15" customHeight="1" x14ac:dyDescent="0.25">
      <c r="A77" s="17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24">
        <f t="shared" si="3"/>
        <v>242.00476864772727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24">
        <f>$I$55*H82</f>
        <v>128.80176699886366</v>
      </c>
    </row>
    <row r="83" spans="1:11" ht="15" customHeight="1" x14ac:dyDescent="0.25">
      <c r="A83" s="17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24">
        <f>$I$55*H83</f>
        <v>9.3587261011363623</v>
      </c>
    </row>
    <row r="84" spans="1:11" ht="15" customHeight="1" x14ac:dyDescent="0.25">
      <c r="A84" s="17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24">
        <f>$I$55*H84</f>
        <v>51.519640581818187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24">
        <f>$I$55*H88</f>
        <v>250.07876636056369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I94/$I$55</f>
        <v>0.12375427328291723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62" t="s">
        <v>232</v>
      </c>
      <c r="C97" s="162"/>
      <c r="D97" s="162"/>
      <c r="E97" s="162"/>
      <c r="F97" s="162"/>
      <c r="G97" s="162"/>
      <c r="H97" s="23">
        <f t="shared" si="4"/>
        <v>1.1789336904154409E-2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8.1580855692530818E-2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62" t="s">
        <v>215</v>
      </c>
      <c r="C99" s="162"/>
      <c r="D99" s="162"/>
      <c r="E99" s="162"/>
      <c r="F99" s="162"/>
      <c r="G99" s="162"/>
      <c r="H99" s="23">
        <f>I99/$I$55</f>
        <v>3.0012631736908588E-2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62" t="s">
        <v>216</v>
      </c>
      <c r="C100" s="162"/>
      <c r="D100" s="162"/>
      <c r="E100" s="162"/>
      <c r="F100" s="162"/>
      <c r="G100" s="162"/>
      <c r="H100" s="23">
        <f>I100/$I$55</f>
        <v>9.5740295240738394E-3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0.25671112714058486</v>
      </c>
      <c r="I102" s="26">
        <f>SUM(I94:I101)</f>
        <v>684.27488636363637</v>
      </c>
      <c r="J102" s="34"/>
    </row>
    <row r="103" spans="1:10" ht="14.45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213"/>
      <c r="I103" s="213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7" t="s">
        <v>88</v>
      </c>
      <c r="D105" s="17" t="s">
        <v>89</v>
      </c>
      <c r="E105" s="17" t="s">
        <v>90</v>
      </c>
      <c r="F105" s="17" t="s">
        <v>91</v>
      </c>
      <c r="G105" s="17" t="s">
        <v>92</v>
      </c>
      <c r="H105" s="23" t="s">
        <v>93</v>
      </c>
      <c r="I105" s="24" t="s">
        <v>94</v>
      </c>
    </row>
    <row r="106" spans="1:10" ht="15" customHeight="1" x14ac:dyDescent="0.25">
      <c r="A106" s="214">
        <f>IF(I12="Não aplicável",0,I12)</f>
        <v>5.3</v>
      </c>
      <c r="B106" s="214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4" customHeight="1" x14ac:dyDescent="0.25">
      <c r="A109" s="163" t="s">
        <v>87</v>
      </c>
      <c r="B109" s="163"/>
      <c r="C109" s="17" t="s">
        <v>96</v>
      </c>
      <c r="D109" s="17" t="s">
        <v>89</v>
      </c>
      <c r="E109" s="17" t="s">
        <v>90</v>
      </c>
      <c r="F109" s="17" t="s">
        <v>91</v>
      </c>
      <c r="G109" s="17" t="s">
        <v>92</v>
      </c>
      <c r="H109" s="23" t="s">
        <v>93</v>
      </c>
      <c r="I109" s="24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7" t="s">
        <v>97</v>
      </c>
      <c r="B112" s="207"/>
      <c r="C112" s="207"/>
      <c r="D112" s="207"/>
      <c r="E112" s="207"/>
      <c r="F112" s="207"/>
      <c r="G112" s="207"/>
      <c r="H112" s="207"/>
      <c r="I112" s="207"/>
    </row>
    <row r="113" spans="1:12" ht="23.25" customHeight="1" x14ac:dyDescent="0.25">
      <c r="A113" s="163" t="s">
        <v>87</v>
      </c>
      <c r="B113" s="163"/>
      <c r="C113" s="17" t="s">
        <v>96</v>
      </c>
      <c r="D113" s="17" t="s">
        <v>89</v>
      </c>
      <c r="E113" s="17" t="s">
        <v>90</v>
      </c>
      <c r="F113" s="17" t="s">
        <v>91</v>
      </c>
      <c r="G113" s="17" t="s">
        <v>92</v>
      </c>
      <c r="H113" s="23" t="str">
        <f>H105</f>
        <v>Valor desconto</v>
      </c>
      <c r="I113" s="24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H55+H91+H102</f>
        <v>2.0446331511405846</v>
      </c>
      <c r="I116" s="48">
        <f>I55+I91+I102</f>
        <v>5450.0602787889729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7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62" t="s">
        <v>104</v>
      </c>
      <c r="C125" s="162"/>
      <c r="D125" s="162"/>
      <c r="E125" s="162"/>
      <c r="F125" s="162"/>
      <c r="G125" s="162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24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541.86352787889723</v>
      </c>
      <c r="H130" s="57" t="s">
        <v>108</v>
      </c>
      <c r="I130" s="58">
        <f>I97</f>
        <v>31.425000000000011</v>
      </c>
    </row>
    <row r="131" spans="1:12" s="61" customFormat="1" ht="16.5" customHeight="1" x14ac:dyDescent="0.25">
      <c r="A131" s="218" t="s">
        <v>109</v>
      </c>
      <c r="B131" s="218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219">
        <f>I55</f>
        <v>2665.5443181818182</v>
      </c>
      <c r="B132" s="219"/>
      <c r="C132" s="62">
        <f>I66</f>
        <v>980.92030909090931</v>
      </c>
      <c r="D132" s="62">
        <f>I78</f>
        <v>679.56186511022725</v>
      </c>
      <c r="E132" s="62">
        <f>I85</f>
        <v>189.68013368181821</v>
      </c>
      <c r="F132" s="62">
        <f>I89</f>
        <v>250.07876636056369</v>
      </c>
      <c r="G132" s="62">
        <f>I102</f>
        <v>684.27488636363637</v>
      </c>
      <c r="H132" s="62">
        <f>A132+C132+D132+E132+F132+G132</f>
        <v>5450.060278788972</v>
      </c>
      <c r="I132" s="62">
        <f>H132-I130</f>
        <v>5418.6352787889718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7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24">
        <v>0</v>
      </c>
    </row>
    <row r="137" spans="1:12" ht="34.5" customHeight="1" x14ac:dyDescent="0.25">
      <c r="A137" s="175" t="s">
        <v>179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24">
        <v>0</v>
      </c>
    </row>
    <row r="141" spans="1:12" ht="34.5" customHeight="1" x14ac:dyDescent="0.25">
      <c r="A141" s="175" t="s">
        <v>178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975.35435018201485</v>
      </c>
      <c r="H143" s="57" t="s">
        <v>108</v>
      </c>
      <c r="I143" s="58">
        <f>I97</f>
        <v>31.425000000000011</v>
      </c>
      <c r="L143" s="2"/>
    </row>
    <row r="144" spans="1:12" s="61" customFormat="1" ht="16.5" customHeight="1" x14ac:dyDescent="0.25">
      <c r="A144" s="218" t="s">
        <v>109</v>
      </c>
      <c r="B144" s="218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I55</f>
        <v>2665.5443181818182</v>
      </c>
      <c r="B145" s="219"/>
      <c r="C145" s="62">
        <f>I66</f>
        <v>980.92030909090931</v>
      </c>
      <c r="D145" s="62">
        <f>I78</f>
        <v>679.56186511022725</v>
      </c>
      <c r="E145" s="62">
        <f>I85</f>
        <v>189.68013368181821</v>
      </c>
      <c r="F145" s="62">
        <f>I89</f>
        <v>250.07876636056369</v>
      </c>
      <c r="G145" s="62">
        <f>I102</f>
        <v>684.27488636363637</v>
      </c>
      <c r="H145" s="62">
        <f>A145+C145+D145+E145+F145+G145</f>
        <v>5450.060278788972</v>
      </c>
      <c r="I145" s="62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7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1.8696883852691217E-2</v>
      </c>
      <c r="I151" s="24">
        <f>($D$161/$E$162)*G161</f>
        <v>101.89914402268334</v>
      </c>
    </row>
    <row r="152" spans="1:12" ht="15" customHeight="1" x14ac:dyDescent="0.25">
      <c r="A152" s="17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8.6118980169971659E-2</v>
      </c>
      <c r="I152" s="24">
        <f>($D$161/$E$162)*G162</f>
        <v>469.35363307417776</v>
      </c>
    </row>
    <row r="153" spans="1:12" ht="15" customHeight="1" x14ac:dyDescent="0.25">
      <c r="A153" s="17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2.8328611898016998E-2</v>
      </c>
      <c r="I153" s="24">
        <f>($D$161/$E$162)*G163</f>
        <v>154.39264245861114</v>
      </c>
    </row>
    <row r="154" spans="1:12" ht="15" customHeight="1" x14ac:dyDescent="0.25">
      <c r="A154" s="17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0.13314447592067988</v>
      </c>
      <c r="I156" s="26">
        <f>SUM(I151:I155)</f>
        <v>725.64541955547224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20.2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7" t="s">
        <v>133</v>
      </c>
      <c r="D160" s="191" t="s">
        <v>134</v>
      </c>
      <c r="E160" s="191"/>
      <c r="F160" s="17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5450.0602787889729</v>
      </c>
      <c r="B161" s="226"/>
      <c r="C161" s="24">
        <f>I147</f>
        <v>0</v>
      </c>
      <c r="D161" s="227">
        <f>A161+C161</f>
        <v>5450.0602787889729</v>
      </c>
      <c r="E161" s="227"/>
      <c r="F161" s="17" t="s">
        <v>124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0.11749999999999999</v>
      </c>
      <c r="E162" s="66">
        <f>C162-D162</f>
        <v>0.88250000000000006</v>
      </c>
      <c r="F162" s="17" t="s">
        <v>125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7">
        <v>1</v>
      </c>
      <c r="D163" s="67">
        <f>H166</f>
        <v>6.1499999999999999E-2</v>
      </c>
      <c r="E163" s="68">
        <f>C163-D163</f>
        <v>0.9385</v>
      </c>
      <c r="F163" s="17" t="s">
        <v>13</v>
      </c>
      <c r="G163" s="64">
        <f>I11</f>
        <v>2.5000000000000001E-2</v>
      </c>
      <c r="H163" s="222">
        <f>I11</f>
        <v>2.5000000000000001E-2</v>
      </c>
      <c r="I163" s="222"/>
    </row>
    <row r="164" spans="1:10" ht="13.5" customHeight="1" x14ac:dyDescent="0.25">
      <c r="A164" s="223" t="s">
        <v>140</v>
      </c>
      <c r="B164" s="223"/>
      <c r="C164" s="17">
        <v>1</v>
      </c>
      <c r="D164" s="69">
        <v>0.09</v>
      </c>
      <c r="E164" s="70">
        <f>C164-D164</f>
        <v>0.91</v>
      </c>
      <c r="F164" s="17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2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3" t="s">
        <v>144</v>
      </c>
      <c r="G166" s="71">
        <f>SUM(G161:G165)</f>
        <v>0.11749999999999999</v>
      </c>
      <c r="H166" s="230">
        <f>SUM(H161:I165)</f>
        <v>6.1499999999999999E-2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0.13314447592067988</v>
      </c>
      <c r="I169" s="48">
        <f>I156</f>
        <v>725.64541955547224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7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0.43161776943101177</v>
      </c>
      <c r="I173" s="73">
        <f>I55</f>
        <v>2665.5443181818182</v>
      </c>
    </row>
    <row r="174" spans="1:10" ht="15" customHeight="1" x14ac:dyDescent="0.25">
      <c r="A174" s="17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0.34008114648444815</v>
      </c>
      <c r="I174" s="73">
        <f>I66+I78+I85+I89</f>
        <v>2100.2410742435186</v>
      </c>
    </row>
    <row r="175" spans="1:10" ht="15" customHeight="1" x14ac:dyDescent="0.25">
      <c r="A175" s="17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0.11080108408454011</v>
      </c>
      <c r="I175" s="73">
        <f>I102</f>
        <v>684.27488636363637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0.88250000000000006</v>
      </c>
      <c r="I176" s="48">
        <f>SUM(I173:I175)</f>
        <v>5450.0602787889729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7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24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7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0.11749999999999998</v>
      </c>
      <c r="I185" s="24">
        <f>I156</f>
        <v>725.64541955547224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0.11749999999999998</v>
      </c>
      <c r="I186" s="48">
        <f>I156</f>
        <v>725.64541955547224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6" customHeight="1" x14ac:dyDescent="0.25">
      <c r="A191" s="232"/>
      <c r="B191" s="233"/>
      <c r="C191" s="233"/>
      <c r="D191" s="233"/>
      <c r="E191" s="233"/>
      <c r="F191" s="233"/>
      <c r="G191" s="233"/>
      <c r="H191" s="233"/>
      <c r="I191" s="235"/>
    </row>
    <row r="192" spans="1:11" ht="57.6" customHeight="1" x14ac:dyDescent="0.25">
      <c r="A192" s="178" t="s">
        <v>195</v>
      </c>
      <c r="B192" s="179"/>
      <c r="C192" s="179"/>
      <c r="D192" s="179"/>
      <c r="E192" s="179"/>
      <c r="F192" s="180"/>
      <c r="G192" s="242" t="s">
        <v>199</v>
      </c>
      <c r="H192" s="243"/>
      <c r="I192" s="244"/>
    </row>
    <row r="193" spans="1:9" ht="11.25" customHeight="1" x14ac:dyDescent="0.25">
      <c r="A193" s="181"/>
      <c r="B193" s="182"/>
      <c r="C193" s="182"/>
      <c r="D193" s="182"/>
      <c r="E193" s="182"/>
      <c r="F193" s="183"/>
      <c r="G193" s="96"/>
      <c r="H193" s="97"/>
      <c r="I193" s="98">
        <f>((H70+H76+H77+H82+H83+H84)+((H70+H76+H77+H82+H83+H84)*H66))*I55*H196</f>
        <v>2052.5876457625636</v>
      </c>
    </row>
    <row r="194" spans="1:9" ht="6.6" customHeight="1" x14ac:dyDescent="0.25">
      <c r="A194" s="232"/>
      <c r="B194" s="233"/>
      <c r="C194" s="233"/>
      <c r="D194" s="233"/>
      <c r="E194" s="233"/>
      <c r="F194" s="233"/>
      <c r="G194" s="234"/>
      <c r="H194" s="234"/>
      <c r="I194" s="235"/>
    </row>
    <row r="195" spans="1:9" ht="45" customHeight="1" x14ac:dyDescent="0.25">
      <c r="A195" s="236" t="s">
        <v>196</v>
      </c>
      <c r="B195" s="237"/>
      <c r="C195" s="237"/>
      <c r="D195" s="237"/>
      <c r="E195" s="237"/>
      <c r="F195" s="238"/>
      <c r="G195" s="90" t="s">
        <v>159</v>
      </c>
      <c r="H195" s="90" t="s">
        <v>160</v>
      </c>
      <c r="I195" s="90" t="s">
        <v>161</v>
      </c>
    </row>
    <row r="196" spans="1:9" ht="13.15" customHeight="1" x14ac:dyDescent="0.25">
      <c r="A196" s="239"/>
      <c r="B196" s="240"/>
      <c r="C196" s="240"/>
      <c r="D196" s="240"/>
      <c r="E196" s="240"/>
      <c r="F196" s="241"/>
      <c r="G196" s="88">
        <f>I176+I182+I186</f>
        <v>6175.7056983444454</v>
      </c>
      <c r="H196" s="80">
        <f>IF(D6="12x36",2,1)</f>
        <v>2</v>
      </c>
      <c r="I196" s="89">
        <f>G196*H196</f>
        <v>12351.411396688891</v>
      </c>
    </row>
  </sheetData>
  <mergeCells count="19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1:G101"/>
    <mergeCell ref="A102:G102"/>
    <mergeCell ref="A104:I104"/>
    <mergeCell ref="A105:B105"/>
    <mergeCell ref="A106:B106"/>
    <mergeCell ref="A108:I108"/>
    <mergeCell ref="A109:B109"/>
    <mergeCell ref="A110:B110"/>
    <mergeCell ref="B103:I103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24" zoomScale="130" zoomScaleNormal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50" customWidth="1"/>
    <col min="2" max="2" width="11.42578125" style="150" customWidth="1"/>
    <col min="3" max="3" width="13.28515625" style="150" customWidth="1"/>
    <col min="4" max="4" width="12.7109375" style="150" customWidth="1"/>
    <col min="5" max="5" width="13.28515625" style="150" customWidth="1"/>
    <col min="6" max="6" width="13.5703125" style="150" customWidth="1"/>
    <col min="7" max="7" width="11.42578125" style="150" customWidth="1"/>
    <col min="8" max="8" width="9.42578125" style="150" customWidth="1"/>
    <col min="9" max="9" width="11.5703125" style="150" customWidth="1"/>
    <col min="10" max="10" width="11.28515625" style="2" customWidth="1"/>
    <col min="11" max="11" width="10" style="150" customWidth="1"/>
    <col min="12" max="12" width="9.28515625" style="150"/>
    <col min="13" max="15" width="22.42578125" style="150" customWidth="1"/>
    <col min="16" max="16384" width="9.28515625" style="150"/>
  </cols>
  <sheetData>
    <row r="1" spans="1:11" ht="27.75" customHeight="1" x14ac:dyDescent="0.25">
      <c r="A1" s="197" t="s">
        <v>162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151"/>
      <c r="E3" s="7" t="s">
        <v>4</v>
      </c>
      <c r="F3" s="5"/>
      <c r="G3" s="151"/>
      <c r="H3" s="151"/>
      <c r="I3" s="151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253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237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251</v>
      </c>
      <c r="E9" s="188"/>
      <c r="F9" s="188"/>
      <c r="G9" s="189" t="s">
        <v>10</v>
      </c>
      <c r="H9" s="189"/>
      <c r="I9" s="147" t="s">
        <v>198</v>
      </c>
    </row>
    <row r="10" spans="1:11" ht="32.25" customHeight="1" x14ac:dyDescent="0.25">
      <c r="A10" s="196" t="s">
        <v>11</v>
      </c>
      <c r="B10" s="196"/>
      <c r="C10" s="196"/>
      <c r="D10" s="196"/>
      <c r="E10" s="196"/>
      <c r="F10" s="196"/>
      <c r="G10" s="146" t="s">
        <v>12</v>
      </c>
      <c r="H10" s="148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48" t="str">
        <f>D9</f>
        <v>Canoas</v>
      </c>
      <c r="H11" s="148" t="s">
        <v>14</v>
      </c>
      <c r="I11" s="13">
        <v>0.04</v>
      </c>
    </row>
    <row r="12" spans="1:11" ht="11.2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48" t="s">
        <v>17</v>
      </c>
      <c r="I12" s="11">
        <v>0</v>
      </c>
    </row>
    <row r="13" spans="1:11" ht="11.25" customHeight="1" x14ac:dyDescent="0.25">
      <c r="A13" s="191"/>
      <c r="B13" s="191"/>
      <c r="C13" s="191"/>
      <c r="D13" s="191"/>
      <c r="E13" s="191"/>
      <c r="F13" s="191"/>
      <c r="G13" s="192"/>
      <c r="H13" s="148" t="s">
        <v>18</v>
      </c>
      <c r="I13" s="14">
        <v>0</v>
      </c>
    </row>
    <row r="14" spans="1:11" ht="11.25" customHeight="1" x14ac:dyDescent="0.25">
      <c r="A14" s="191"/>
      <c r="B14" s="191"/>
      <c r="C14" s="191"/>
      <c r="D14" s="191"/>
      <c r="E14" s="191"/>
      <c r="F14" s="191"/>
      <c r="G14" s="192"/>
      <c r="H14" s="148" t="s">
        <v>19</v>
      </c>
      <c r="I14" s="147">
        <v>0</v>
      </c>
    </row>
    <row r="15" spans="1:11" ht="11.25" customHeight="1" x14ac:dyDescent="0.25">
      <c r="A15" s="191" t="s">
        <v>163</v>
      </c>
      <c r="B15" s="191"/>
      <c r="C15" s="191"/>
      <c r="D15" s="191"/>
      <c r="E15" s="191"/>
      <c r="F15" s="191"/>
      <c r="G15" s="192" t="s">
        <v>16</v>
      </c>
      <c r="H15" s="148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48" t="s">
        <v>18</v>
      </c>
      <c r="I16" s="14">
        <v>15</v>
      </c>
    </row>
    <row r="17" spans="1:9" ht="11.25" customHeight="1" x14ac:dyDescent="0.25">
      <c r="A17" s="191"/>
      <c r="B17" s="191"/>
      <c r="C17" s="191"/>
      <c r="D17" s="191"/>
      <c r="E17" s="191"/>
      <c r="F17" s="191"/>
      <c r="G17" s="192"/>
      <c r="H17" s="148" t="s">
        <v>19</v>
      </c>
      <c r="I17" s="147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48" t="s">
        <v>17</v>
      </c>
      <c r="I18" s="11">
        <v>0</v>
      </c>
    </row>
    <row r="19" spans="1:9" ht="11.25" customHeight="1" x14ac:dyDescent="0.25">
      <c r="A19" s="191"/>
      <c r="B19" s="191"/>
      <c r="C19" s="191"/>
      <c r="D19" s="191"/>
      <c r="E19" s="191"/>
      <c r="F19" s="191"/>
      <c r="G19" s="192"/>
      <c r="H19" s="148" t="s">
        <v>18</v>
      </c>
      <c r="I19" s="14">
        <v>0</v>
      </c>
    </row>
    <row r="20" spans="1:9" ht="11.25" customHeight="1" x14ac:dyDescent="0.25">
      <c r="A20" s="191"/>
      <c r="B20" s="191"/>
      <c r="C20" s="191"/>
      <c r="D20" s="191"/>
      <c r="E20" s="191"/>
      <c r="F20" s="191"/>
      <c r="G20" s="192"/>
      <c r="H20" s="148" t="s">
        <v>19</v>
      </c>
      <c r="I20" s="147">
        <v>0</v>
      </c>
    </row>
    <row r="21" spans="1:9" ht="14.25" customHeight="1" x14ac:dyDescent="0.25">
      <c r="A21" s="163" t="s">
        <v>215</v>
      </c>
      <c r="B21" s="163"/>
      <c r="C21" s="163"/>
      <c r="D21" s="163"/>
      <c r="E21" s="163"/>
      <c r="F21" s="163"/>
      <c r="G21" s="148" t="s">
        <v>16</v>
      </c>
      <c r="H21" s="145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48" t="s">
        <v>16</v>
      </c>
      <c r="H22" s="145" t="s">
        <v>22</v>
      </c>
      <c r="I22" s="109">
        <v>25.52</v>
      </c>
    </row>
    <row r="23" spans="1:9" ht="13.5" customHeight="1" x14ac:dyDescent="0.25">
      <c r="A23" s="193" t="s">
        <v>189</v>
      </c>
      <c r="B23" s="193"/>
      <c r="C23" s="193"/>
      <c r="D23" s="193"/>
      <c r="E23" s="193"/>
      <c r="F23" s="193"/>
      <c r="G23" s="145" t="s">
        <v>16</v>
      </c>
      <c r="H23" s="145" t="s">
        <v>22</v>
      </c>
      <c r="I23" s="16" t="s">
        <v>198</v>
      </c>
    </row>
    <row r="24" spans="1:9" ht="22.5" customHeight="1" x14ac:dyDescent="0.25">
      <c r="A24" s="163" t="s">
        <v>23</v>
      </c>
      <c r="B24" s="163"/>
      <c r="C24" s="163"/>
      <c r="D24" s="163"/>
      <c r="E24" s="163"/>
      <c r="F24" s="163"/>
      <c r="G24" s="145"/>
      <c r="H24" s="145" t="s">
        <v>24</v>
      </c>
      <c r="I24" s="18" t="s">
        <v>198</v>
      </c>
    </row>
    <row r="25" spans="1:9" ht="36" customHeight="1" x14ac:dyDescent="0.25">
      <c r="A25" s="163" t="s">
        <v>25</v>
      </c>
      <c r="B25" s="163"/>
      <c r="C25" s="163"/>
      <c r="D25" s="163"/>
      <c r="E25" s="163"/>
      <c r="F25" s="163"/>
      <c r="G25" s="148"/>
      <c r="H25" s="148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45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45"/>
      <c r="H27" s="21" t="s">
        <v>29</v>
      </c>
      <c r="I27" s="147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45"/>
      <c r="H28" s="148" t="s">
        <v>28</v>
      </c>
      <c r="I28" s="20">
        <v>15</v>
      </c>
    </row>
    <row r="29" spans="1:9" ht="36.75" customHeight="1" x14ac:dyDescent="0.25">
      <c r="A29" s="163" t="s">
        <v>31</v>
      </c>
      <c r="B29" s="163"/>
      <c r="C29" s="163"/>
      <c r="D29" s="163"/>
      <c r="E29" s="163"/>
      <c r="F29" s="163"/>
      <c r="G29" s="148"/>
      <c r="H29" s="146" t="s">
        <v>24</v>
      </c>
      <c r="I29" s="147">
        <v>0.1</v>
      </c>
    </row>
    <row r="30" spans="1:9" ht="18.75" customHeight="1" x14ac:dyDescent="0.25">
      <c r="A30" s="252" t="s">
        <v>191</v>
      </c>
      <c r="B30" s="253"/>
      <c r="C30" s="253"/>
      <c r="D30" s="253"/>
      <c r="E30" s="253"/>
      <c r="F30" s="254"/>
      <c r="G30" s="201" t="s">
        <v>16</v>
      </c>
      <c r="H30" s="145" t="s">
        <v>164</v>
      </c>
      <c r="I30" s="74">
        <f>((60/52.5)*7)*15</f>
        <v>120</v>
      </c>
    </row>
    <row r="31" spans="1:9" ht="16.5" customHeight="1" x14ac:dyDescent="0.25">
      <c r="A31" s="255"/>
      <c r="B31" s="256"/>
      <c r="C31" s="256"/>
      <c r="D31" s="256"/>
      <c r="E31" s="256"/>
      <c r="F31" s="257"/>
      <c r="G31" s="261"/>
      <c r="H31" s="145" t="s">
        <v>165</v>
      </c>
      <c r="I31" s="16">
        <f>I10/H10*I32</f>
        <v>1.9329545454545454</v>
      </c>
    </row>
    <row r="32" spans="1:9" ht="33.75" customHeight="1" x14ac:dyDescent="0.25">
      <c r="A32" s="258"/>
      <c r="B32" s="259"/>
      <c r="C32" s="259"/>
      <c r="D32" s="259"/>
      <c r="E32" s="259"/>
      <c r="F32" s="260"/>
      <c r="G32" s="262"/>
      <c r="H32" s="145" t="s">
        <v>193</v>
      </c>
      <c r="I32" s="18">
        <v>0.2</v>
      </c>
    </row>
    <row r="33" spans="1:10" ht="24.75" customHeight="1" x14ac:dyDescent="0.25">
      <c r="A33" s="251" t="s">
        <v>166</v>
      </c>
      <c r="B33" s="251"/>
      <c r="C33" s="251"/>
      <c r="D33" s="251"/>
      <c r="E33" s="251"/>
      <c r="F33" s="251"/>
      <c r="G33" s="192" t="s">
        <v>16</v>
      </c>
      <c r="H33" s="148" t="s">
        <v>164</v>
      </c>
      <c r="I33" s="20">
        <f>(((60/52.5)*7)-7)*15</f>
        <v>15</v>
      </c>
    </row>
    <row r="34" spans="1:10" ht="24.75" customHeight="1" x14ac:dyDescent="0.25">
      <c r="A34" s="251"/>
      <c r="B34" s="251"/>
      <c r="C34" s="251"/>
      <c r="D34" s="251"/>
      <c r="E34" s="251"/>
      <c r="F34" s="251"/>
      <c r="G34" s="192"/>
      <c r="H34" s="148" t="s">
        <v>165</v>
      </c>
      <c r="I34" s="11">
        <f>(I10/H10)*1.5</f>
        <v>14.49715909090909</v>
      </c>
    </row>
    <row r="35" spans="1:10" ht="6.75" customHeight="1" x14ac:dyDescent="0.25">
      <c r="I35" s="94" t="s">
        <v>198</v>
      </c>
    </row>
    <row r="36" spans="1:10" ht="17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37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54" si="0">I38/$I$55</f>
        <v>0.79767947788252358</v>
      </c>
      <c r="I38" s="139">
        <f>IF(D6="12x36",I10,I10/H10*I5)</f>
        <v>2126.25</v>
      </c>
    </row>
    <row r="39" spans="1:10" ht="15" customHeight="1" x14ac:dyDescent="0.25">
      <c r="A39" s="137">
        <f t="shared" ref="A39:A54" si="1">A38+1</f>
        <v>2</v>
      </c>
      <c r="B39" s="162" t="s">
        <v>167</v>
      </c>
      <c r="C39" s="162"/>
      <c r="D39" s="162"/>
      <c r="E39" s="162"/>
      <c r="F39" s="162"/>
      <c r="G39" s="162"/>
      <c r="H39" s="23">
        <f t="shared" si="0"/>
        <v>0</v>
      </c>
      <c r="I39" s="141">
        <v>0</v>
      </c>
      <c r="J39" s="34"/>
    </row>
    <row r="40" spans="1:10" ht="15" customHeight="1" x14ac:dyDescent="0.25">
      <c r="A40" s="137">
        <f t="shared" si="1"/>
        <v>3</v>
      </c>
      <c r="B40" s="162" t="s">
        <v>38</v>
      </c>
      <c r="C40" s="162"/>
      <c r="D40" s="162"/>
      <c r="E40" s="162"/>
      <c r="F40" s="162"/>
      <c r="G40" s="162"/>
      <c r="H40" s="23">
        <f t="shared" si="0"/>
        <v>0</v>
      </c>
      <c r="I40" s="139">
        <f>IF(I9=30%,I38*I9,0)</f>
        <v>0</v>
      </c>
    </row>
    <row r="41" spans="1:10" ht="15" customHeight="1" x14ac:dyDescent="0.25">
      <c r="A41" s="137">
        <f t="shared" si="1"/>
        <v>4</v>
      </c>
      <c r="B41" s="162" t="s">
        <v>231</v>
      </c>
      <c r="C41" s="162"/>
      <c r="D41" s="162"/>
      <c r="E41" s="162"/>
      <c r="F41" s="162"/>
      <c r="G41" s="162"/>
      <c r="H41" s="23">
        <f t="shared" si="0"/>
        <v>0</v>
      </c>
      <c r="I41" s="139">
        <f>IF(I7=10%,I25*I7,0)</f>
        <v>0</v>
      </c>
    </row>
    <row r="42" spans="1:10" ht="15" customHeight="1" x14ac:dyDescent="0.25">
      <c r="A42" s="137">
        <f t="shared" si="1"/>
        <v>5</v>
      </c>
      <c r="B42" s="162" t="s">
        <v>221</v>
      </c>
      <c r="C42" s="162"/>
      <c r="D42" s="162"/>
      <c r="E42" s="162"/>
      <c r="F42" s="162"/>
      <c r="G42" s="162"/>
      <c r="H42" s="23">
        <f t="shared" si="0"/>
        <v>0</v>
      </c>
      <c r="I42" s="139">
        <f>IF(I7=20%,I25*I7,0)</f>
        <v>0</v>
      </c>
    </row>
    <row r="43" spans="1:10" ht="15" customHeight="1" x14ac:dyDescent="0.25">
      <c r="A43" s="137">
        <f t="shared" si="1"/>
        <v>6</v>
      </c>
      <c r="B43" s="162" t="s">
        <v>220</v>
      </c>
      <c r="C43" s="162"/>
      <c r="D43" s="162"/>
      <c r="E43" s="162"/>
      <c r="F43" s="162"/>
      <c r="G43" s="162"/>
      <c r="H43" s="23">
        <f t="shared" si="0"/>
        <v>0</v>
      </c>
      <c r="I43" s="139">
        <f>IF(I7=40%,I25*I7,0)</f>
        <v>0</v>
      </c>
    </row>
    <row r="44" spans="1:10" ht="15" customHeight="1" x14ac:dyDescent="0.25">
      <c r="A44" s="137">
        <f t="shared" si="1"/>
        <v>7</v>
      </c>
      <c r="B44" s="162" t="s">
        <v>176</v>
      </c>
      <c r="C44" s="162"/>
      <c r="D44" s="162"/>
      <c r="E44" s="162"/>
      <c r="F44" s="162"/>
      <c r="G44" s="162"/>
      <c r="H44" s="23">
        <f t="shared" si="0"/>
        <v>0</v>
      </c>
      <c r="I44" s="139">
        <f>IF(I24="Não aplicável",0,I38*I24)</f>
        <v>0</v>
      </c>
    </row>
    <row r="45" spans="1:10" ht="15" customHeight="1" x14ac:dyDescent="0.25">
      <c r="A45" s="137">
        <f t="shared" si="1"/>
        <v>8</v>
      </c>
      <c r="B45" s="162" t="s">
        <v>39</v>
      </c>
      <c r="C45" s="162"/>
      <c r="D45" s="162"/>
      <c r="E45" s="162"/>
      <c r="F45" s="162"/>
      <c r="G45" s="162"/>
      <c r="H45" s="23">
        <f t="shared" si="0"/>
        <v>0</v>
      </c>
      <c r="I45" s="139">
        <f>IF(I26="Não aplicável",0,(I38+I39+I40+I41+I42+I43+I44+I54)/I5*I26*(1+I27))</f>
        <v>0</v>
      </c>
    </row>
    <row r="46" spans="1:10" ht="23.25" customHeight="1" x14ac:dyDescent="0.25">
      <c r="A46" s="137">
        <f t="shared" si="1"/>
        <v>9</v>
      </c>
      <c r="B46" s="162" t="s">
        <v>40</v>
      </c>
      <c r="C46" s="162"/>
      <c r="D46" s="162"/>
      <c r="E46" s="162"/>
      <c r="F46" s="162"/>
      <c r="G46" s="162"/>
      <c r="H46" s="23">
        <f t="shared" si="0"/>
        <v>0</v>
      </c>
      <c r="I46" s="139">
        <f>IF(I26="Não aplicável",0,I26/I13*5*(I10/H10*(1+I27)))</f>
        <v>0</v>
      </c>
    </row>
    <row r="47" spans="1:10" ht="15" customHeight="1" x14ac:dyDescent="0.25">
      <c r="A47" s="137">
        <f t="shared" si="1"/>
        <v>10</v>
      </c>
      <c r="B47" s="162" t="s">
        <v>168</v>
      </c>
      <c r="C47" s="162"/>
      <c r="D47" s="162"/>
      <c r="E47" s="162"/>
      <c r="F47" s="162"/>
      <c r="G47" s="162"/>
      <c r="H47" s="23">
        <f t="shared" si="0"/>
        <v>8.1580855692530818E-2</v>
      </c>
      <c r="I47" s="139">
        <f>I33*I34</f>
        <v>217.45738636363635</v>
      </c>
    </row>
    <row r="48" spans="1:10" ht="15" customHeight="1" x14ac:dyDescent="0.25">
      <c r="A48" s="137">
        <f t="shared" si="1"/>
        <v>11</v>
      </c>
      <c r="B48" s="247" t="s">
        <v>183</v>
      </c>
      <c r="C48" s="248"/>
      <c r="D48" s="248"/>
      <c r="E48" s="248"/>
      <c r="F48" s="248"/>
      <c r="G48" s="249"/>
      <c r="H48" s="23">
        <f t="shared" si="0"/>
        <v>0</v>
      </c>
      <c r="I48" s="139">
        <f>IF(OR(I7=10%,I7=20%,I7=40%),I47*I7,0)</f>
        <v>0</v>
      </c>
    </row>
    <row r="49" spans="1:10" ht="15" customHeight="1" x14ac:dyDescent="0.25">
      <c r="A49" s="137">
        <f t="shared" si="1"/>
        <v>12</v>
      </c>
      <c r="B49" s="247" t="s">
        <v>185</v>
      </c>
      <c r="C49" s="248"/>
      <c r="D49" s="248"/>
      <c r="E49" s="248"/>
      <c r="F49" s="248"/>
      <c r="G49" s="249"/>
      <c r="H49" s="23">
        <f t="shared" si="0"/>
        <v>0</v>
      </c>
      <c r="I49" s="139">
        <f>IF(I9=30%,I47*I9,0)</f>
        <v>0</v>
      </c>
    </row>
    <row r="50" spans="1:10" ht="15" customHeight="1" x14ac:dyDescent="0.25">
      <c r="A50" s="137">
        <f t="shared" si="1"/>
        <v>13</v>
      </c>
      <c r="B50" s="245" t="s">
        <v>169</v>
      </c>
      <c r="C50" s="245"/>
      <c r="D50" s="245"/>
      <c r="E50" s="245"/>
      <c r="F50" s="245"/>
      <c r="G50" s="245"/>
      <c r="H50" s="23">
        <f t="shared" si="0"/>
        <v>8.7019579405366199E-2</v>
      </c>
      <c r="I50" s="139">
        <f>I30*I31</f>
        <v>231.95454545454544</v>
      </c>
    </row>
    <row r="51" spans="1:10" ht="15" customHeight="1" x14ac:dyDescent="0.25">
      <c r="A51" s="137">
        <f t="shared" si="1"/>
        <v>14</v>
      </c>
      <c r="B51" s="247" t="s">
        <v>184</v>
      </c>
      <c r="C51" s="248"/>
      <c r="D51" s="248"/>
      <c r="E51" s="248"/>
      <c r="F51" s="248"/>
      <c r="G51" s="249"/>
      <c r="H51" s="23">
        <f t="shared" si="0"/>
        <v>0</v>
      </c>
      <c r="I51" s="139">
        <f>IF(OR(I7=10%,I7=20%,I7=40%),I50*I7,0)</f>
        <v>0</v>
      </c>
    </row>
    <row r="52" spans="1:10" ht="15" customHeight="1" x14ac:dyDescent="0.25">
      <c r="A52" s="137">
        <f t="shared" si="1"/>
        <v>15</v>
      </c>
      <c r="B52" s="247" t="s">
        <v>186</v>
      </c>
      <c r="C52" s="248"/>
      <c r="D52" s="248"/>
      <c r="E52" s="248"/>
      <c r="F52" s="248"/>
      <c r="G52" s="249"/>
      <c r="H52" s="23">
        <f t="shared" si="0"/>
        <v>0</v>
      </c>
      <c r="I52" s="139">
        <f>IF(I9=30%,I50*I9,0)</f>
        <v>0</v>
      </c>
    </row>
    <row r="53" spans="1:10" ht="24" customHeight="1" x14ac:dyDescent="0.25">
      <c r="A53" s="137">
        <f t="shared" si="1"/>
        <v>16</v>
      </c>
      <c r="B53" s="246" t="s">
        <v>170</v>
      </c>
      <c r="C53" s="246"/>
      <c r="D53" s="246"/>
      <c r="E53" s="246"/>
      <c r="F53" s="246"/>
      <c r="G53" s="246"/>
      <c r="H53" s="23">
        <f t="shared" si="0"/>
        <v>3.3720087019579403E-2</v>
      </c>
      <c r="I53" s="139">
        <f>(I47+I50)*0.2</f>
        <v>89.882386363636357</v>
      </c>
    </row>
    <row r="54" spans="1:10" ht="15" customHeight="1" x14ac:dyDescent="0.25">
      <c r="A54" s="137">
        <f t="shared" si="1"/>
        <v>17</v>
      </c>
      <c r="B54" s="24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6"/>
      <c r="D54" s="246"/>
      <c r="E54" s="246"/>
      <c r="F54" s="246"/>
      <c r="G54" s="246"/>
      <c r="H54" s="23">
        <f t="shared" si="0"/>
        <v>0</v>
      </c>
      <c r="I54" s="139">
        <v>0</v>
      </c>
    </row>
    <row r="55" spans="1:10" s="28" customFormat="1" ht="15" customHeight="1" x14ac:dyDescent="0.25">
      <c r="A55" s="175" t="s">
        <v>41</v>
      </c>
      <c r="B55" s="175"/>
      <c r="C55" s="175"/>
      <c r="D55" s="175"/>
      <c r="E55" s="175"/>
      <c r="F55" s="175"/>
      <c r="G55" s="175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16" t="s">
        <v>145</v>
      </c>
      <c r="B56" s="250" t="s">
        <v>219</v>
      </c>
      <c r="C56" s="250"/>
      <c r="D56" s="250"/>
      <c r="E56" s="250"/>
      <c r="F56" s="250"/>
      <c r="G56" s="250"/>
      <c r="H56" s="250"/>
      <c r="I56" s="250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37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139">
        <f t="shared" ref="I58:I65" si="2">$I$55*H58</f>
        <v>533.10886363636371</v>
      </c>
    </row>
    <row r="59" spans="1:10" ht="15" customHeight="1" x14ac:dyDescent="0.25">
      <c r="A59" s="137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139">
        <f t="shared" si="2"/>
        <v>39.983164772727271</v>
      </c>
    </row>
    <row r="60" spans="1:10" ht="15" customHeight="1" x14ac:dyDescent="0.25">
      <c r="A60" s="137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139">
        <f t="shared" si="2"/>
        <v>26.655443181818182</v>
      </c>
    </row>
    <row r="61" spans="1:10" ht="15" customHeight="1" x14ac:dyDescent="0.25">
      <c r="A61" s="137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139">
        <f t="shared" si="2"/>
        <v>5.3310886363636367</v>
      </c>
    </row>
    <row r="62" spans="1:10" ht="15" customHeight="1" x14ac:dyDescent="0.25">
      <c r="A62" s="137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139">
        <f t="shared" si="2"/>
        <v>66.638607954545463</v>
      </c>
    </row>
    <row r="63" spans="1:10" ht="15" customHeight="1" x14ac:dyDescent="0.25">
      <c r="A63" s="137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139">
        <f t="shared" si="2"/>
        <v>213.24354545454545</v>
      </c>
    </row>
    <row r="64" spans="1:10" ht="15" customHeight="1" x14ac:dyDescent="0.25">
      <c r="A64" s="137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139">
        <f t="shared" si="2"/>
        <v>79.966329545454542</v>
      </c>
    </row>
    <row r="65" spans="1:10" ht="15" customHeight="1" x14ac:dyDescent="0.25">
      <c r="A65" s="137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139">
        <f t="shared" si="2"/>
        <v>15.99326590909091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37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139">
        <f t="shared" ref="I70:I77" si="3">$I$55*H70</f>
        <v>318.03675477954545</v>
      </c>
    </row>
    <row r="71" spans="1:10" ht="15" customHeight="1" x14ac:dyDescent="0.25">
      <c r="A71" s="137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139">
        <f t="shared" si="3"/>
        <v>54.587682092045455</v>
      </c>
    </row>
    <row r="72" spans="1:10" ht="15" customHeight="1" x14ac:dyDescent="0.25">
      <c r="A72" s="137">
        <v>3</v>
      </c>
      <c r="B72" s="162" t="s">
        <v>57</v>
      </c>
      <c r="C72" s="162"/>
      <c r="D72" s="162"/>
      <c r="E72" s="162"/>
      <c r="F72" s="162"/>
      <c r="G72" s="162"/>
      <c r="H72" s="23">
        <v>1.2123E-2</v>
      </c>
      <c r="I72" s="139">
        <f t="shared" si="3"/>
        <v>32.31439376931818</v>
      </c>
    </row>
    <row r="73" spans="1:10" ht="15" customHeight="1" x14ac:dyDescent="0.25">
      <c r="A73" s="137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139">
        <f t="shared" si="3"/>
        <v>30.483164822727272</v>
      </c>
    </row>
    <row r="74" spans="1:10" ht="15" customHeight="1" x14ac:dyDescent="0.25">
      <c r="A74" s="137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139">
        <f t="shared" si="3"/>
        <v>0.46380471136363638</v>
      </c>
    </row>
    <row r="75" spans="1:10" ht="15" customHeight="1" x14ac:dyDescent="0.25">
      <c r="A75" s="137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139">
        <f t="shared" si="3"/>
        <v>1.1781705886363636</v>
      </c>
    </row>
    <row r="76" spans="1:10" ht="15" customHeight="1" x14ac:dyDescent="0.25">
      <c r="A76" s="137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139">
        <f t="shared" si="3"/>
        <v>0.49312569886363639</v>
      </c>
    </row>
    <row r="77" spans="1:10" ht="15" customHeight="1" x14ac:dyDescent="0.25">
      <c r="A77" s="137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139">
        <f t="shared" si="3"/>
        <v>242.00476864772727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37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139">
        <f>$I$55*H82</f>
        <v>128.80176699886366</v>
      </c>
    </row>
    <row r="83" spans="1:11" ht="15" customHeight="1" x14ac:dyDescent="0.25">
      <c r="A83" s="137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139">
        <f>$I$55*H83</f>
        <v>9.3587261011363623</v>
      </c>
    </row>
    <row r="84" spans="1:11" ht="15" customHeight="1" x14ac:dyDescent="0.25">
      <c r="A84" s="137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139">
        <f>$I$55*H84</f>
        <v>51.519640581818187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37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139">
        <f>$I$55*H88</f>
        <v>250.07876636056369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37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I94/$I$55</f>
        <v>0.12375427328291723</v>
      </c>
      <c r="I94" s="139">
        <f>I114</f>
        <v>329.8725</v>
      </c>
    </row>
    <row r="95" spans="1:11" ht="15" customHeight="1" x14ac:dyDescent="0.25">
      <c r="A95" s="137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139">
        <f>I110</f>
        <v>0</v>
      </c>
    </row>
    <row r="96" spans="1:11" ht="15" customHeight="1" x14ac:dyDescent="0.25">
      <c r="A96" s="137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139">
        <v>0</v>
      </c>
    </row>
    <row r="97" spans="1:10" ht="15" customHeight="1" x14ac:dyDescent="0.25">
      <c r="A97" s="137">
        <f t="shared" si="5"/>
        <v>4</v>
      </c>
      <c r="B97" s="162" t="s">
        <v>232</v>
      </c>
      <c r="C97" s="162"/>
      <c r="D97" s="162"/>
      <c r="E97" s="162"/>
      <c r="F97" s="162"/>
      <c r="G97" s="162"/>
      <c r="H97" s="23">
        <f t="shared" si="4"/>
        <v>0</v>
      </c>
      <c r="I97" s="139">
        <f>I106</f>
        <v>0</v>
      </c>
    </row>
    <row r="98" spans="1:10" ht="15" customHeight="1" x14ac:dyDescent="0.25">
      <c r="A98" s="137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8.1580855692530818E-2</v>
      </c>
      <c r="I98" s="139">
        <f>IF(I28="Não aplicável",0,((I10/H10)*1.5*I28))</f>
        <v>217.45738636363635</v>
      </c>
    </row>
    <row r="99" spans="1:10" ht="15" customHeight="1" x14ac:dyDescent="0.25">
      <c r="A99" s="137">
        <v>6</v>
      </c>
      <c r="B99" s="162" t="s">
        <v>215</v>
      </c>
      <c r="C99" s="162"/>
      <c r="D99" s="162"/>
      <c r="E99" s="162"/>
      <c r="F99" s="162"/>
      <c r="G99" s="162"/>
      <c r="H99" s="23">
        <f>I99/$I$55</f>
        <v>3.0012631736908588E-2</v>
      </c>
      <c r="I99" s="139">
        <f>IF(I21="Não aplicável",0,I21)</f>
        <v>80</v>
      </c>
    </row>
    <row r="100" spans="1:10" ht="15" customHeight="1" x14ac:dyDescent="0.25">
      <c r="A100" s="137">
        <v>7</v>
      </c>
      <c r="B100" s="162" t="s">
        <v>216</v>
      </c>
      <c r="C100" s="162"/>
      <c r="D100" s="162"/>
      <c r="E100" s="162"/>
      <c r="F100" s="162"/>
      <c r="G100" s="162"/>
      <c r="H100" s="23">
        <f>I100/$I$55</f>
        <v>9.5740295240738394E-3</v>
      </c>
      <c r="I100" s="139">
        <f>IF(I22="Não aplicável",0,I22)</f>
        <v>25.52</v>
      </c>
    </row>
    <row r="101" spans="1:10" ht="15" customHeight="1" x14ac:dyDescent="0.25">
      <c r="A101" s="137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139">
        <f>IF(I23="Não aplicável",0,I23)</f>
        <v>0</v>
      </c>
    </row>
    <row r="102" spans="1:10" ht="13.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0.24492179023643049</v>
      </c>
      <c r="I102" s="26">
        <f>SUM(I94:I101)</f>
        <v>652.8498863636363</v>
      </c>
      <c r="J102" s="34"/>
    </row>
    <row r="103" spans="1:10" ht="14.45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213"/>
      <c r="I103" s="213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37" t="s">
        <v>88</v>
      </c>
      <c r="D105" s="137" t="s">
        <v>89</v>
      </c>
      <c r="E105" s="137" t="s">
        <v>90</v>
      </c>
      <c r="F105" s="137" t="s">
        <v>91</v>
      </c>
      <c r="G105" s="137" t="s">
        <v>92</v>
      </c>
      <c r="H105" s="23" t="s">
        <v>93</v>
      </c>
      <c r="I105" s="139" t="s">
        <v>94</v>
      </c>
    </row>
    <row r="106" spans="1:10" ht="15" customHeight="1" x14ac:dyDescent="0.25">
      <c r="A106" s="214">
        <f>IF(I12="Não aplicável",0,I12)</f>
        <v>0</v>
      </c>
      <c r="B106" s="214"/>
      <c r="C106" s="137">
        <f>IF(I13="Não aplicável",0,I13)</f>
        <v>0</v>
      </c>
      <c r="D106" s="137">
        <v>2</v>
      </c>
      <c r="E106" s="142">
        <f>A106*C106*D106</f>
        <v>0</v>
      </c>
      <c r="F106" s="142">
        <f>I38</f>
        <v>2126.25</v>
      </c>
      <c r="G106" s="38">
        <f>IF(I14="Não aplicável",0,I14)</f>
        <v>0</v>
      </c>
      <c r="H106" s="142">
        <f>F106*G106</f>
        <v>0</v>
      </c>
      <c r="I106" s="139">
        <f>IF((E106-H106)&gt;0,E106-H106,0)</f>
        <v>0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4" customHeight="1" x14ac:dyDescent="0.25">
      <c r="A109" s="163" t="s">
        <v>87</v>
      </c>
      <c r="B109" s="163"/>
      <c r="C109" s="137" t="s">
        <v>96</v>
      </c>
      <c r="D109" s="137" t="s">
        <v>89</v>
      </c>
      <c r="E109" s="137" t="s">
        <v>90</v>
      </c>
      <c r="F109" s="137" t="s">
        <v>91</v>
      </c>
      <c r="G109" s="137" t="s">
        <v>92</v>
      </c>
      <c r="H109" s="23" t="s">
        <v>93</v>
      </c>
      <c r="I109" s="139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37">
        <v>1</v>
      </c>
      <c r="E110" s="142">
        <f>A110*C110*D110</f>
        <v>0</v>
      </c>
      <c r="F110" s="142">
        <f>E110</f>
        <v>0</v>
      </c>
      <c r="G110" s="136">
        <f>IF(I20="Não aplicável",0,I20)</f>
        <v>0</v>
      </c>
      <c r="H110" s="142">
        <f>F110*G110</f>
        <v>0</v>
      </c>
      <c r="I110" s="139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7" t="s">
        <v>97</v>
      </c>
      <c r="B112" s="207"/>
      <c r="C112" s="207"/>
      <c r="D112" s="207"/>
      <c r="E112" s="207"/>
      <c r="F112" s="207"/>
      <c r="G112" s="207"/>
      <c r="H112" s="207"/>
      <c r="I112" s="207"/>
    </row>
    <row r="113" spans="1:12" ht="23.25" customHeight="1" x14ac:dyDescent="0.25">
      <c r="A113" s="163" t="s">
        <v>87</v>
      </c>
      <c r="B113" s="163"/>
      <c r="C113" s="137" t="s">
        <v>96</v>
      </c>
      <c r="D113" s="137" t="s">
        <v>89</v>
      </c>
      <c r="E113" s="137" t="s">
        <v>90</v>
      </c>
      <c r="F113" s="137" t="s">
        <v>91</v>
      </c>
      <c r="G113" s="137" t="s">
        <v>92</v>
      </c>
      <c r="H113" s="23" t="str">
        <f>H105</f>
        <v>Valor desconto</v>
      </c>
      <c r="I113" s="139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37">
        <v>1</v>
      </c>
      <c r="E114" s="142">
        <f>A114*C114*D114</f>
        <v>407.25</v>
      </c>
      <c r="F114" s="142">
        <f>E114</f>
        <v>407.25</v>
      </c>
      <c r="G114" s="136">
        <f>IF(I17="Não aplicável",0,I17)</f>
        <v>0.19</v>
      </c>
      <c r="H114" s="142">
        <f>F114*G114</f>
        <v>77.377499999999998</v>
      </c>
      <c r="I114" s="139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H55+H91+H102</f>
        <v>2.0328438142364305</v>
      </c>
      <c r="I116" s="48">
        <f>I55+I91+I102</f>
        <v>5418.6352787889728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37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139">
        <v>0</v>
      </c>
    </row>
    <row r="121" spans="1:12" ht="15" customHeight="1" x14ac:dyDescent="0.25">
      <c r="A121" s="137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139">
        <v>0</v>
      </c>
    </row>
    <row r="122" spans="1:12" ht="15" customHeight="1" x14ac:dyDescent="0.25">
      <c r="A122" s="137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139">
        <v>0</v>
      </c>
    </row>
    <row r="123" spans="1:12" ht="15" customHeight="1" x14ac:dyDescent="0.25">
      <c r="A123" s="137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139">
        <f>IF(F130=20%,G130,0)</f>
        <v>0</v>
      </c>
    </row>
    <row r="124" spans="1:12" ht="15" customHeight="1" x14ac:dyDescent="0.25">
      <c r="A124" s="137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139">
        <v>0</v>
      </c>
    </row>
    <row r="125" spans="1:12" ht="15" customHeight="1" x14ac:dyDescent="0.25">
      <c r="A125" s="137">
        <v>6</v>
      </c>
      <c r="B125" s="162" t="s">
        <v>104</v>
      </c>
      <c r="C125" s="162"/>
      <c r="D125" s="162"/>
      <c r="E125" s="162"/>
      <c r="F125" s="162"/>
      <c r="G125" s="162"/>
      <c r="H125" s="23">
        <f t="shared" si="6"/>
        <v>0</v>
      </c>
      <c r="I125" s="139">
        <v>0</v>
      </c>
    </row>
    <row r="126" spans="1:12" ht="15" customHeight="1" x14ac:dyDescent="0.25">
      <c r="A126" s="137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139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541.86352787889723</v>
      </c>
      <c r="H130" s="140" t="s">
        <v>108</v>
      </c>
      <c r="I130" s="58">
        <f>I97</f>
        <v>0</v>
      </c>
    </row>
    <row r="131" spans="1:12" s="61" customFormat="1" ht="16.5" customHeight="1" x14ac:dyDescent="0.25">
      <c r="A131" s="218" t="s">
        <v>109</v>
      </c>
      <c r="B131" s="218"/>
      <c r="C131" s="140" t="s">
        <v>110</v>
      </c>
      <c r="D131" s="140" t="s">
        <v>111</v>
      </c>
      <c r="E131" s="140" t="s">
        <v>112</v>
      </c>
      <c r="F131" s="140" t="s">
        <v>113</v>
      </c>
      <c r="G131" s="140" t="s">
        <v>114</v>
      </c>
      <c r="H131" s="140" t="s">
        <v>115</v>
      </c>
      <c r="I131" s="59" t="s">
        <v>116</v>
      </c>
      <c r="J131" s="60"/>
    </row>
    <row r="132" spans="1:12" ht="16.5" customHeight="1" x14ac:dyDescent="0.25">
      <c r="A132" s="219">
        <f>I55</f>
        <v>2665.5443181818182</v>
      </c>
      <c r="B132" s="219"/>
      <c r="C132" s="141">
        <f>I66</f>
        <v>980.92030909090931</v>
      </c>
      <c r="D132" s="141">
        <f>I78</f>
        <v>679.56186511022725</v>
      </c>
      <c r="E132" s="141">
        <f>I85</f>
        <v>189.68013368181821</v>
      </c>
      <c r="F132" s="141">
        <f>I89</f>
        <v>250.07876636056369</v>
      </c>
      <c r="G132" s="141">
        <f>I102</f>
        <v>652.8498863636363</v>
      </c>
      <c r="H132" s="141">
        <f>A132+C132+D132+E132+F132+G132</f>
        <v>5418.6352787889718</v>
      </c>
      <c r="I132" s="141">
        <f>H132-I130</f>
        <v>5418.6352787889718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37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139">
        <v>0</v>
      </c>
    </row>
    <row r="136" spans="1:12" ht="15" customHeight="1" x14ac:dyDescent="0.25">
      <c r="A136" s="137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139">
        <v>0</v>
      </c>
    </row>
    <row r="137" spans="1:12" ht="34.5" customHeight="1" x14ac:dyDescent="0.25">
      <c r="A137" s="175" t="s">
        <v>179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37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139">
        <v>0</v>
      </c>
    </row>
    <row r="141" spans="1:12" ht="34.5" customHeight="1" x14ac:dyDescent="0.25">
      <c r="A141" s="175" t="s">
        <v>178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975.35435018201485</v>
      </c>
      <c r="H143" s="140" t="s">
        <v>108</v>
      </c>
      <c r="I143" s="58">
        <f>I97</f>
        <v>0</v>
      </c>
      <c r="L143" s="2"/>
    </row>
    <row r="144" spans="1:12" s="61" customFormat="1" ht="16.5" customHeight="1" x14ac:dyDescent="0.25">
      <c r="A144" s="218" t="s">
        <v>109</v>
      </c>
      <c r="B144" s="218"/>
      <c r="C144" s="140" t="s">
        <v>110</v>
      </c>
      <c r="D144" s="140" t="s">
        <v>111</v>
      </c>
      <c r="E144" s="140" t="s">
        <v>112</v>
      </c>
      <c r="F144" s="140" t="s">
        <v>113</v>
      </c>
      <c r="G144" s="140" t="s">
        <v>114</v>
      </c>
      <c r="H144" s="140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I55</f>
        <v>2665.5443181818182</v>
      </c>
      <c r="B145" s="219"/>
      <c r="C145" s="141">
        <f>I66</f>
        <v>980.92030909090931</v>
      </c>
      <c r="D145" s="141">
        <f>I78</f>
        <v>679.56186511022725</v>
      </c>
      <c r="E145" s="141">
        <f>I85</f>
        <v>189.68013368181821</v>
      </c>
      <c r="F145" s="141">
        <f>I89</f>
        <v>250.07876636056369</v>
      </c>
      <c r="G145" s="141">
        <f>I102</f>
        <v>652.8498863636363</v>
      </c>
      <c r="H145" s="141">
        <f>A145+C145+D145+E145+F145+G145</f>
        <v>5418.6352787889718</v>
      </c>
      <c r="I145" s="141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37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1.9020172910662825E-2</v>
      </c>
      <c r="I151" s="139">
        <f>($D$161/$E$162)*G161</f>
        <v>103.06337994238393</v>
      </c>
    </row>
    <row r="152" spans="1:12" ht="15" customHeight="1" x14ac:dyDescent="0.25">
      <c r="A152" s="137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8.760806916426514E-2</v>
      </c>
      <c r="I152" s="139">
        <f>($D$161/$E$162)*G162</f>
        <v>474.71617428007141</v>
      </c>
    </row>
    <row r="153" spans="1:12" ht="15" customHeight="1" x14ac:dyDescent="0.25">
      <c r="A153" s="137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4.6109510086455335E-2</v>
      </c>
      <c r="I153" s="139">
        <f>($D$161/$E$162)*G163</f>
        <v>249.85061804214286</v>
      </c>
    </row>
    <row r="154" spans="1:12" ht="15" customHeight="1" x14ac:dyDescent="0.25">
      <c r="A154" s="137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139">
        <f>($D$161/$E$162)*G164</f>
        <v>0</v>
      </c>
    </row>
    <row r="155" spans="1:12" ht="15" customHeight="1" x14ac:dyDescent="0.25">
      <c r="A155" s="137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139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0.1527377521613833</v>
      </c>
      <c r="I156" s="26">
        <f>SUM(I151:I155)</f>
        <v>827.63017226459817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20.2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37" t="s">
        <v>133</v>
      </c>
      <c r="D160" s="191" t="s">
        <v>134</v>
      </c>
      <c r="E160" s="191"/>
      <c r="F160" s="137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5418.6352787889728</v>
      </c>
      <c r="B161" s="226"/>
      <c r="C161" s="139">
        <f>I147</f>
        <v>0</v>
      </c>
      <c r="D161" s="227">
        <f>A161+C161</f>
        <v>5418.6352787889728</v>
      </c>
      <c r="E161" s="227"/>
      <c r="F161" s="137" t="s">
        <v>124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0.13250000000000001</v>
      </c>
      <c r="E162" s="66">
        <f>C162-D162</f>
        <v>0.86749999999999994</v>
      </c>
      <c r="F162" s="137" t="s">
        <v>125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37">
        <v>1</v>
      </c>
      <c r="D163" s="67">
        <f>H166</f>
        <v>7.6499999999999999E-2</v>
      </c>
      <c r="E163" s="68">
        <f>C163-D163</f>
        <v>0.92349999999999999</v>
      </c>
      <c r="F163" s="137" t="s">
        <v>13</v>
      </c>
      <c r="G163" s="64">
        <f>I11</f>
        <v>0.04</v>
      </c>
      <c r="H163" s="222">
        <f>I11</f>
        <v>0.04</v>
      </c>
      <c r="I163" s="222"/>
    </row>
    <row r="164" spans="1:10" ht="13.5" customHeight="1" x14ac:dyDescent="0.25">
      <c r="A164" s="223" t="s">
        <v>140</v>
      </c>
      <c r="B164" s="223"/>
      <c r="C164" s="137">
        <v>1</v>
      </c>
      <c r="D164" s="69">
        <v>0.09</v>
      </c>
      <c r="E164" s="70">
        <f>C164-D164</f>
        <v>0.91</v>
      </c>
      <c r="F164" s="137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38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144" t="s">
        <v>144</v>
      </c>
      <c r="G166" s="71">
        <f>SUM(G161:G165)</f>
        <v>0.13250000000000001</v>
      </c>
      <c r="H166" s="230">
        <f>SUM(H161:I165)</f>
        <v>7.6499999999999999E-2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0.1527377521613833</v>
      </c>
      <c r="I169" s="48">
        <f>I156</f>
        <v>827.63017226459817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37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0.4267420811794374</v>
      </c>
      <c r="I173" s="73">
        <f>I55</f>
        <v>2665.5443181818182</v>
      </c>
    </row>
    <row r="174" spans="1:10" ht="15" customHeight="1" x14ac:dyDescent="0.25">
      <c r="A174" s="137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0.33623948432887468</v>
      </c>
      <c r="I174" s="73">
        <f>I66+I78+I85+I89</f>
        <v>2100.2410742435186</v>
      </c>
    </row>
    <row r="175" spans="1:10" ht="15" customHeight="1" x14ac:dyDescent="0.25">
      <c r="A175" s="137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0.10451843449168793</v>
      </c>
      <c r="I175" s="73">
        <f>I102</f>
        <v>652.8498863636363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0.86750000000000005</v>
      </c>
      <c r="I176" s="48">
        <f>SUM(I173:I175)</f>
        <v>5418.6352787889728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37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139">
        <f>I127</f>
        <v>0</v>
      </c>
    </row>
    <row r="180" spans="1:11" ht="15" customHeight="1" x14ac:dyDescent="0.25">
      <c r="A180" s="137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139">
        <f>I137</f>
        <v>0</v>
      </c>
    </row>
    <row r="181" spans="1:11" ht="15" customHeight="1" x14ac:dyDescent="0.25">
      <c r="A181" s="137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139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37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0.13250000000000001</v>
      </c>
      <c r="I185" s="139">
        <f>I156</f>
        <v>827.63017226459817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0.13250000000000001</v>
      </c>
      <c r="I186" s="48">
        <f>I156</f>
        <v>827.63017226459817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6" customHeight="1" x14ac:dyDescent="0.25">
      <c r="A191" s="232"/>
      <c r="B191" s="233"/>
      <c r="C191" s="233"/>
      <c r="D191" s="233"/>
      <c r="E191" s="233"/>
      <c r="F191" s="233"/>
      <c r="G191" s="233"/>
      <c r="H191" s="233"/>
      <c r="I191" s="235"/>
    </row>
    <row r="192" spans="1:11" ht="57.6" customHeight="1" x14ac:dyDescent="0.25">
      <c r="A192" s="178" t="s">
        <v>195</v>
      </c>
      <c r="B192" s="179"/>
      <c r="C192" s="179"/>
      <c r="D192" s="179"/>
      <c r="E192" s="179"/>
      <c r="F192" s="180"/>
      <c r="G192" s="242" t="s">
        <v>199</v>
      </c>
      <c r="H192" s="243"/>
      <c r="I192" s="244"/>
    </row>
    <row r="193" spans="1:9" ht="11.25" customHeight="1" x14ac:dyDescent="0.25">
      <c r="A193" s="181"/>
      <c r="B193" s="182"/>
      <c r="C193" s="182"/>
      <c r="D193" s="182"/>
      <c r="E193" s="182"/>
      <c r="F193" s="183"/>
      <c r="G193" s="96"/>
      <c r="H193" s="97"/>
      <c r="I193" s="98">
        <f>((H70+H76+H77+H82+H83+H84)+((H70+H76+H77+H82+H83+H84)*H66))*I55*H196</f>
        <v>2052.5876457625636</v>
      </c>
    </row>
    <row r="194" spans="1:9" ht="6.6" customHeight="1" x14ac:dyDescent="0.25">
      <c r="A194" s="232"/>
      <c r="B194" s="233"/>
      <c r="C194" s="233"/>
      <c r="D194" s="233"/>
      <c r="E194" s="233"/>
      <c r="F194" s="233"/>
      <c r="G194" s="234"/>
      <c r="H194" s="234"/>
      <c r="I194" s="235"/>
    </row>
    <row r="195" spans="1:9" ht="45" customHeight="1" x14ac:dyDescent="0.25">
      <c r="A195" s="236" t="s">
        <v>196</v>
      </c>
      <c r="B195" s="237"/>
      <c r="C195" s="237"/>
      <c r="D195" s="237"/>
      <c r="E195" s="237"/>
      <c r="F195" s="238"/>
      <c r="G195" s="90" t="s">
        <v>159</v>
      </c>
      <c r="H195" s="90" t="s">
        <v>160</v>
      </c>
      <c r="I195" s="90" t="s">
        <v>161</v>
      </c>
    </row>
    <row r="196" spans="1:9" ht="13.15" customHeight="1" x14ac:dyDescent="0.25">
      <c r="A196" s="239"/>
      <c r="B196" s="240"/>
      <c r="C196" s="240"/>
      <c r="D196" s="240"/>
      <c r="E196" s="240"/>
      <c r="F196" s="241"/>
      <c r="G196" s="88">
        <f>I176+I182+I186</f>
        <v>6246.2654510535713</v>
      </c>
      <c r="H196" s="135">
        <f>IF(D6="12x36",2,1)</f>
        <v>2</v>
      </c>
      <c r="I196" s="89">
        <f>G196*H196</f>
        <v>12492.530902107143</v>
      </c>
    </row>
  </sheetData>
  <mergeCells count="194"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2" zoomScale="130" zoomScaleNormal="130" zoomScalePageLayoutView="130" workbookViewId="0">
      <selection activeCell="K140" sqref="K140"/>
    </sheetView>
  </sheetViews>
  <sheetFormatPr defaultColWidth="9.28515625" defaultRowHeight="11.25" x14ac:dyDescent="0.25"/>
  <cols>
    <col min="1" max="1" width="2.7109375" style="122" customWidth="1"/>
    <col min="2" max="2" width="11.42578125" style="122" customWidth="1"/>
    <col min="3" max="3" width="13.28515625" style="122" customWidth="1"/>
    <col min="4" max="4" width="12.7109375" style="122" customWidth="1"/>
    <col min="5" max="5" width="13.28515625" style="122" customWidth="1"/>
    <col min="6" max="6" width="13.5703125" style="122" customWidth="1"/>
    <col min="7" max="7" width="11.42578125" style="122" customWidth="1"/>
    <col min="8" max="8" width="9.42578125" style="122" customWidth="1"/>
    <col min="9" max="9" width="11.5703125" style="122" customWidth="1"/>
    <col min="10" max="10" width="11.28515625" style="2" customWidth="1"/>
    <col min="11" max="11" width="10" style="122" customWidth="1"/>
    <col min="12" max="12" width="9.28515625" style="122"/>
    <col min="13" max="15" width="22.42578125" style="122" customWidth="1"/>
    <col min="16" max="16384" width="9.28515625" style="122"/>
  </cols>
  <sheetData>
    <row r="1" spans="1:11" ht="27.75" customHeight="1" x14ac:dyDescent="0.25">
      <c r="A1" s="197" t="s">
        <v>162</v>
      </c>
      <c r="B1" s="197"/>
      <c r="C1" s="197"/>
      <c r="D1" s="197"/>
      <c r="E1" s="197"/>
      <c r="F1" s="197"/>
      <c r="G1" s="197"/>
      <c r="H1" s="197"/>
      <c r="I1" s="197"/>
      <c r="K1" s="4"/>
    </row>
    <row r="2" spans="1:11" ht="22.5" customHeight="1" x14ac:dyDescent="0.25">
      <c r="A2" s="197" t="s">
        <v>1</v>
      </c>
      <c r="B2" s="197"/>
      <c r="C2" s="198" t="s">
        <v>233</v>
      </c>
      <c r="D2" s="198"/>
      <c r="E2" s="199" t="s">
        <v>2</v>
      </c>
      <c r="F2" s="199"/>
      <c r="G2" s="199"/>
      <c r="H2" s="199"/>
      <c r="I2" s="199"/>
    </row>
    <row r="3" spans="1:11" ht="11.25" customHeight="1" x14ac:dyDescent="0.25">
      <c r="A3" s="197" t="s">
        <v>3</v>
      </c>
      <c r="B3" s="197"/>
      <c r="C3" s="5"/>
      <c r="D3" s="134"/>
      <c r="E3" s="7" t="s">
        <v>4</v>
      </c>
      <c r="F3" s="5"/>
      <c r="G3" s="134"/>
      <c r="H3" s="134"/>
      <c r="I3" s="134"/>
    </row>
    <row r="4" spans="1:11" ht="4.5" customHeight="1" x14ac:dyDescent="0.25"/>
    <row r="5" spans="1:11" ht="18.75" customHeight="1" x14ac:dyDescent="0.25">
      <c r="A5" s="188" t="s">
        <v>5</v>
      </c>
      <c r="B5" s="188"/>
      <c r="C5" s="188"/>
      <c r="D5" s="200" t="s">
        <v>247</v>
      </c>
      <c r="E5" s="200"/>
      <c r="F5" s="200"/>
      <c r="G5" s="201" t="str">
        <f>IF(D6="12x36","Regime de trabalho:","Quantidade de HORAS/MÊS")</f>
        <v>Regime de trabalho:</v>
      </c>
      <c r="H5" s="201"/>
      <c r="I5" s="202" t="str">
        <f>IF(D6="12x36",D6,5*D6)</f>
        <v>12x36</v>
      </c>
    </row>
    <row r="6" spans="1:11" ht="18.75" customHeight="1" x14ac:dyDescent="0.25">
      <c r="A6" s="188" t="str">
        <f>IF(D6="12x36","Regime de trabalho:","Regime de trabalho (horas semanais):")</f>
        <v>Regime de trabalho:</v>
      </c>
      <c r="B6" s="188"/>
      <c r="C6" s="188"/>
      <c r="D6" s="188" t="s">
        <v>235</v>
      </c>
      <c r="E6" s="188"/>
      <c r="F6" s="188"/>
      <c r="G6" s="201"/>
      <c r="H6" s="201"/>
      <c r="I6" s="202"/>
    </row>
    <row r="7" spans="1:11" ht="22.5" customHeight="1" x14ac:dyDescent="0.25">
      <c r="A7" s="188" t="s">
        <v>6</v>
      </c>
      <c r="B7" s="188"/>
      <c r="C7" s="188"/>
      <c r="D7" s="162" t="s">
        <v>245</v>
      </c>
      <c r="E7" s="162"/>
      <c r="F7" s="162"/>
      <c r="G7" s="189" t="s">
        <v>7</v>
      </c>
      <c r="H7" s="189"/>
      <c r="I7" s="190" t="s">
        <v>198</v>
      </c>
    </row>
    <row r="8" spans="1:11" ht="22.5" customHeight="1" x14ac:dyDescent="0.25">
      <c r="A8" s="188" t="s">
        <v>8</v>
      </c>
      <c r="B8" s="188"/>
      <c r="C8" s="188"/>
      <c r="D8" s="162" t="s">
        <v>16</v>
      </c>
      <c r="E8" s="162"/>
      <c r="F8" s="162"/>
      <c r="G8" s="189"/>
      <c r="H8" s="189"/>
      <c r="I8" s="190"/>
    </row>
    <row r="9" spans="1:11" ht="24.75" customHeight="1" x14ac:dyDescent="0.25">
      <c r="A9" s="188" t="s">
        <v>9</v>
      </c>
      <c r="B9" s="188"/>
      <c r="C9" s="188"/>
      <c r="D9" s="188" t="s">
        <v>241</v>
      </c>
      <c r="E9" s="188"/>
      <c r="F9" s="188"/>
      <c r="G9" s="189" t="s">
        <v>10</v>
      </c>
      <c r="H9" s="189"/>
      <c r="I9" s="124" t="s">
        <v>198</v>
      </c>
    </row>
    <row r="10" spans="1:11" ht="32.25" customHeight="1" x14ac:dyDescent="0.25">
      <c r="A10" s="196" t="s">
        <v>11</v>
      </c>
      <c r="B10" s="196"/>
      <c r="C10" s="196"/>
      <c r="D10" s="196"/>
      <c r="E10" s="196"/>
      <c r="F10" s="196"/>
      <c r="G10" s="123" t="s">
        <v>12</v>
      </c>
      <c r="H10" s="126">
        <v>220</v>
      </c>
      <c r="I10" s="11">
        <v>2126.25</v>
      </c>
    </row>
    <row r="11" spans="1:11" ht="11.25" customHeight="1" x14ac:dyDescent="0.25">
      <c r="A11" s="191" t="s">
        <v>13</v>
      </c>
      <c r="B11" s="191"/>
      <c r="C11" s="191"/>
      <c r="D11" s="191"/>
      <c r="E11" s="191"/>
      <c r="F11" s="191"/>
      <c r="G11" s="126" t="str">
        <f>D9</f>
        <v>Taquari</v>
      </c>
      <c r="H11" s="126" t="s">
        <v>14</v>
      </c>
      <c r="I11" s="13">
        <v>0.02</v>
      </c>
    </row>
    <row r="12" spans="1:11" ht="11.25" customHeight="1" x14ac:dyDescent="0.25">
      <c r="A12" s="191" t="s">
        <v>15</v>
      </c>
      <c r="B12" s="191"/>
      <c r="C12" s="191"/>
      <c r="D12" s="191"/>
      <c r="E12" s="191"/>
      <c r="F12" s="191"/>
      <c r="G12" s="192" t="s">
        <v>16</v>
      </c>
      <c r="H12" s="126" t="s">
        <v>17</v>
      </c>
      <c r="I12" s="11">
        <v>5</v>
      </c>
    </row>
    <row r="13" spans="1:11" ht="11.25" customHeight="1" x14ac:dyDescent="0.25">
      <c r="A13" s="191"/>
      <c r="B13" s="191"/>
      <c r="C13" s="191"/>
      <c r="D13" s="191"/>
      <c r="E13" s="191"/>
      <c r="F13" s="191"/>
      <c r="G13" s="192"/>
      <c r="H13" s="126" t="s">
        <v>18</v>
      </c>
      <c r="I13" s="14">
        <v>15</v>
      </c>
    </row>
    <row r="14" spans="1:11" ht="11.25" customHeight="1" x14ac:dyDescent="0.25">
      <c r="A14" s="191"/>
      <c r="B14" s="191"/>
      <c r="C14" s="191"/>
      <c r="D14" s="191"/>
      <c r="E14" s="191"/>
      <c r="F14" s="191"/>
      <c r="G14" s="192"/>
      <c r="H14" s="126" t="s">
        <v>19</v>
      </c>
      <c r="I14" s="124">
        <v>0.06</v>
      </c>
    </row>
    <row r="15" spans="1:11" ht="11.25" customHeight="1" x14ac:dyDescent="0.25">
      <c r="A15" s="191" t="s">
        <v>163</v>
      </c>
      <c r="B15" s="191"/>
      <c r="C15" s="191"/>
      <c r="D15" s="191"/>
      <c r="E15" s="191"/>
      <c r="F15" s="191"/>
      <c r="G15" s="192" t="s">
        <v>16</v>
      </c>
      <c r="H15" s="126" t="s">
        <v>17</v>
      </c>
      <c r="I15" s="11">
        <v>27.15</v>
      </c>
    </row>
    <row r="16" spans="1:11" ht="11.25" customHeight="1" x14ac:dyDescent="0.25">
      <c r="A16" s="191"/>
      <c r="B16" s="191"/>
      <c r="C16" s="191"/>
      <c r="D16" s="191"/>
      <c r="E16" s="191"/>
      <c r="F16" s="191"/>
      <c r="G16" s="192"/>
      <c r="H16" s="126" t="s">
        <v>18</v>
      </c>
      <c r="I16" s="14">
        <v>15</v>
      </c>
    </row>
    <row r="17" spans="1:9" ht="11.25" customHeight="1" x14ac:dyDescent="0.25">
      <c r="A17" s="191"/>
      <c r="B17" s="191"/>
      <c r="C17" s="191"/>
      <c r="D17" s="191"/>
      <c r="E17" s="191"/>
      <c r="F17" s="191"/>
      <c r="G17" s="192"/>
      <c r="H17" s="126" t="s">
        <v>19</v>
      </c>
      <c r="I17" s="124">
        <v>0.19</v>
      </c>
    </row>
    <row r="18" spans="1:9" ht="11.25" customHeight="1" x14ac:dyDescent="0.25">
      <c r="A18" s="191" t="s">
        <v>21</v>
      </c>
      <c r="B18" s="191"/>
      <c r="C18" s="191"/>
      <c r="D18" s="191"/>
      <c r="E18" s="191"/>
      <c r="F18" s="191"/>
      <c r="G18" s="192" t="s">
        <v>16</v>
      </c>
      <c r="H18" s="126" t="s">
        <v>17</v>
      </c>
      <c r="I18" s="11">
        <v>0</v>
      </c>
    </row>
    <row r="19" spans="1:9" ht="11.25" customHeight="1" x14ac:dyDescent="0.25">
      <c r="A19" s="191"/>
      <c r="B19" s="191"/>
      <c r="C19" s="191"/>
      <c r="D19" s="191"/>
      <c r="E19" s="191"/>
      <c r="F19" s="191"/>
      <c r="G19" s="192"/>
      <c r="H19" s="126" t="s">
        <v>18</v>
      </c>
      <c r="I19" s="14">
        <v>0</v>
      </c>
    </row>
    <row r="20" spans="1:9" ht="11.25" customHeight="1" x14ac:dyDescent="0.25">
      <c r="A20" s="191"/>
      <c r="B20" s="191"/>
      <c r="C20" s="191"/>
      <c r="D20" s="191"/>
      <c r="E20" s="191"/>
      <c r="F20" s="191"/>
      <c r="G20" s="192"/>
      <c r="H20" s="126" t="s">
        <v>19</v>
      </c>
      <c r="I20" s="124">
        <v>0</v>
      </c>
    </row>
    <row r="21" spans="1:9" ht="14.25" customHeight="1" x14ac:dyDescent="0.25">
      <c r="A21" s="163" t="s">
        <v>215</v>
      </c>
      <c r="B21" s="163"/>
      <c r="C21" s="163"/>
      <c r="D21" s="163"/>
      <c r="E21" s="163"/>
      <c r="F21" s="163"/>
      <c r="G21" s="126" t="s">
        <v>16</v>
      </c>
      <c r="H21" s="128" t="s">
        <v>22</v>
      </c>
      <c r="I21" s="109">
        <v>80</v>
      </c>
    </row>
    <row r="22" spans="1:9" ht="14.25" customHeight="1" x14ac:dyDescent="0.25">
      <c r="A22" s="163" t="s">
        <v>216</v>
      </c>
      <c r="B22" s="163"/>
      <c r="C22" s="163"/>
      <c r="D22" s="163"/>
      <c r="E22" s="163"/>
      <c r="F22" s="163"/>
      <c r="G22" s="126" t="s">
        <v>16</v>
      </c>
      <c r="H22" s="128" t="s">
        <v>22</v>
      </c>
      <c r="I22" s="109">
        <v>25.52</v>
      </c>
    </row>
    <row r="23" spans="1:9" ht="13.5" customHeight="1" x14ac:dyDescent="0.25">
      <c r="A23" s="193" t="s">
        <v>189</v>
      </c>
      <c r="B23" s="193"/>
      <c r="C23" s="193"/>
      <c r="D23" s="193"/>
      <c r="E23" s="193"/>
      <c r="F23" s="193"/>
      <c r="G23" s="128" t="s">
        <v>16</v>
      </c>
      <c r="H23" s="128" t="s">
        <v>22</v>
      </c>
      <c r="I23" s="16" t="s">
        <v>198</v>
      </c>
    </row>
    <row r="24" spans="1:9" ht="22.5" customHeight="1" x14ac:dyDescent="0.25">
      <c r="A24" s="163" t="s">
        <v>23</v>
      </c>
      <c r="B24" s="163"/>
      <c r="C24" s="163"/>
      <c r="D24" s="163"/>
      <c r="E24" s="163"/>
      <c r="F24" s="163"/>
      <c r="G24" s="128"/>
      <c r="H24" s="128" t="s">
        <v>24</v>
      </c>
      <c r="I24" s="18" t="s">
        <v>198</v>
      </c>
    </row>
    <row r="25" spans="1:9" ht="36" customHeight="1" x14ac:dyDescent="0.25">
      <c r="A25" s="163" t="s">
        <v>25</v>
      </c>
      <c r="B25" s="163"/>
      <c r="C25" s="163"/>
      <c r="D25" s="163"/>
      <c r="E25" s="163"/>
      <c r="F25" s="163"/>
      <c r="G25" s="126"/>
      <c r="H25" s="126" t="s">
        <v>26</v>
      </c>
      <c r="I25" s="11">
        <f>I38</f>
        <v>2126.25</v>
      </c>
    </row>
    <row r="26" spans="1:9" ht="15" customHeight="1" x14ac:dyDescent="0.25">
      <c r="A26" s="163" t="s">
        <v>27</v>
      </c>
      <c r="B26" s="163"/>
      <c r="C26" s="163"/>
      <c r="D26" s="163"/>
      <c r="E26" s="163"/>
      <c r="F26" s="163"/>
      <c r="G26" s="128"/>
      <c r="H26" s="19" t="s">
        <v>28</v>
      </c>
      <c r="I26" s="20" t="s">
        <v>198</v>
      </c>
    </row>
    <row r="27" spans="1:9" ht="15" customHeight="1" x14ac:dyDescent="0.25">
      <c r="A27" s="163"/>
      <c r="B27" s="163"/>
      <c r="C27" s="163"/>
      <c r="D27" s="163"/>
      <c r="E27" s="163"/>
      <c r="F27" s="163"/>
      <c r="G27" s="128"/>
      <c r="H27" s="21" t="s">
        <v>29</v>
      </c>
      <c r="I27" s="124" t="s">
        <v>198</v>
      </c>
    </row>
    <row r="28" spans="1:9" ht="26.25" customHeight="1" x14ac:dyDescent="0.25">
      <c r="A28" s="163" t="s">
        <v>30</v>
      </c>
      <c r="B28" s="163"/>
      <c r="C28" s="163"/>
      <c r="D28" s="163"/>
      <c r="E28" s="163"/>
      <c r="F28" s="163"/>
      <c r="G28" s="128"/>
      <c r="H28" s="126" t="s">
        <v>28</v>
      </c>
      <c r="I28" s="20">
        <v>15</v>
      </c>
    </row>
    <row r="29" spans="1:9" ht="36.75" customHeight="1" x14ac:dyDescent="0.25">
      <c r="A29" s="163" t="s">
        <v>31</v>
      </c>
      <c r="B29" s="163"/>
      <c r="C29" s="163"/>
      <c r="D29" s="163"/>
      <c r="E29" s="163"/>
      <c r="F29" s="163"/>
      <c r="G29" s="126"/>
      <c r="H29" s="123" t="s">
        <v>24</v>
      </c>
      <c r="I29" s="124">
        <v>0.1</v>
      </c>
    </row>
    <row r="30" spans="1:9" ht="18.75" customHeight="1" x14ac:dyDescent="0.25">
      <c r="A30" s="252" t="s">
        <v>191</v>
      </c>
      <c r="B30" s="253"/>
      <c r="C30" s="253"/>
      <c r="D30" s="253"/>
      <c r="E30" s="253"/>
      <c r="F30" s="254"/>
      <c r="G30" s="201" t="s">
        <v>16</v>
      </c>
      <c r="H30" s="128" t="s">
        <v>164</v>
      </c>
      <c r="I30" s="74">
        <f>((60/52.5)*7)*15</f>
        <v>120</v>
      </c>
    </row>
    <row r="31" spans="1:9" ht="16.5" customHeight="1" x14ac:dyDescent="0.25">
      <c r="A31" s="255"/>
      <c r="B31" s="256"/>
      <c r="C31" s="256"/>
      <c r="D31" s="256"/>
      <c r="E31" s="256"/>
      <c r="F31" s="257"/>
      <c r="G31" s="261"/>
      <c r="H31" s="128" t="s">
        <v>165</v>
      </c>
      <c r="I31" s="16">
        <f>I10/H10*I32</f>
        <v>1.9329545454545454</v>
      </c>
    </row>
    <row r="32" spans="1:9" ht="33.75" customHeight="1" x14ac:dyDescent="0.25">
      <c r="A32" s="258"/>
      <c r="B32" s="259"/>
      <c r="C32" s="259"/>
      <c r="D32" s="259"/>
      <c r="E32" s="259"/>
      <c r="F32" s="260"/>
      <c r="G32" s="262"/>
      <c r="H32" s="128" t="s">
        <v>193</v>
      </c>
      <c r="I32" s="18">
        <v>0.2</v>
      </c>
    </row>
    <row r="33" spans="1:10" ht="24.75" customHeight="1" x14ac:dyDescent="0.25">
      <c r="A33" s="251" t="s">
        <v>166</v>
      </c>
      <c r="B33" s="251"/>
      <c r="C33" s="251"/>
      <c r="D33" s="251"/>
      <c r="E33" s="251"/>
      <c r="F33" s="251"/>
      <c r="G33" s="192" t="s">
        <v>16</v>
      </c>
      <c r="H33" s="126" t="s">
        <v>164</v>
      </c>
      <c r="I33" s="20">
        <f>(((60/52.5)*7)-7)*15</f>
        <v>15</v>
      </c>
    </row>
    <row r="34" spans="1:10" ht="24.75" customHeight="1" x14ac:dyDescent="0.25">
      <c r="A34" s="251"/>
      <c r="B34" s="251"/>
      <c r="C34" s="251"/>
      <c r="D34" s="251"/>
      <c r="E34" s="251"/>
      <c r="F34" s="251"/>
      <c r="G34" s="192"/>
      <c r="H34" s="126" t="s">
        <v>165</v>
      </c>
      <c r="I34" s="11">
        <f>(I10/H10)*1.5</f>
        <v>14.49715909090909</v>
      </c>
    </row>
    <row r="35" spans="1:10" ht="6.75" customHeight="1" x14ac:dyDescent="0.25">
      <c r="I35" s="94" t="s">
        <v>198</v>
      </c>
    </row>
    <row r="36" spans="1:10" ht="17.25" customHeight="1" x14ac:dyDescent="0.25">
      <c r="A36" s="184" t="s">
        <v>32</v>
      </c>
      <c r="B36" s="184"/>
      <c r="C36" s="184"/>
      <c r="D36" s="184"/>
      <c r="E36" s="184"/>
      <c r="F36" s="184"/>
      <c r="G36" s="184"/>
      <c r="H36" s="184"/>
      <c r="I36" s="184"/>
    </row>
    <row r="37" spans="1:10" ht="33.75" customHeight="1" x14ac:dyDescent="0.25">
      <c r="A37" s="22" t="s">
        <v>33</v>
      </c>
      <c r="B37" s="176" t="s">
        <v>34</v>
      </c>
      <c r="C37" s="176"/>
      <c r="D37" s="176"/>
      <c r="E37" s="176"/>
      <c r="F37" s="176"/>
      <c r="G37" s="176"/>
      <c r="H37" s="22" t="s">
        <v>35</v>
      </c>
      <c r="I37" s="22" t="s">
        <v>36</v>
      </c>
    </row>
    <row r="38" spans="1:10" ht="15" customHeight="1" x14ac:dyDescent="0.25">
      <c r="A38" s="118">
        <v>1</v>
      </c>
      <c r="B38" s="162" t="s">
        <v>37</v>
      </c>
      <c r="C38" s="162"/>
      <c r="D38" s="162"/>
      <c r="E38" s="162"/>
      <c r="F38" s="162"/>
      <c r="G38" s="162"/>
      <c r="H38" s="23">
        <f t="shared" ref="H38:H54" si="0">I38/$I$55</f>
        <v>0.79767947788252358</v>
      </c>
      <c r="I38" s="133">
        <f>IF(D6="12x36",I10,I10/H10*I5)</f>
        <v>2126.25</v>
      </c>
    </row>
    <row r="39" spans="1:10" ht="15" customHeight="1" x14ac:dyDescent="0.25">
      <c r="A39" s="118">
        <f t="shared" ref="A39:A54" si="1">A38+1</f>
        <v>2</v>
      </c>
      <c r="B39" s="162" t="s">
        <v>167</v>
      </c>
      <c r="C39" s="162"/>
      <c r="D39" s="162"/>
      <c r="E39" s="162"/>
      <c r="F39" s="162"/>
      <c r="G39" s="162"/>
      <c r="H39" s="23">
        <f t="shared" si="0"/>
        <v>0</v>
      </c>
      <c r="I39" s="131">
        <v>0</v>
      </c>
      <c r="J39" s="34"/>
    </row>
    <row r="40" spans="1:10" ht="15" customHeight="1" x14ac:dyDescent="0.25">
      <c r="A40" s="118">
        <f t="shared" si="1"/>
        <v>3</v>
      </c>
      <c r="B40" s="162" t="s">
        <v>38</v>
      </c>
      <c r="C40" s="162"/>
      <c r="D40" s="162"/>
      <c r="E40" s="162"/>
      <c r="F40" s="162"/>
      <c r="G40" s="162"/>
      <c r="H40" s="23">
        <f t="shared" si="0"/>
        <v>0</v>
      </c>
      <c r="I40" s="133">
        <f>IF(I9=30%,I38*I9,0)</f>
        <v>0</v>
      </c>
    </row>
    <row r="41" spans="1:10" ht="15" customHeight="1" x14ac:dyDescent="0.25">
      <c r="A41" s="118">
        <f t="shared" si="1"/>
        <v>4</v>
      </c>
      <c r="B41" s="162" t="s">
        <v>231</v>
      </c>
      <c r="C41" s="162"/>
      <c r="D41" s="162"/>
      <c r="E41" s="162"/>
      <c r="F41" s="162"/>
      <c r="G41" s="162"/>
      <c r="H41" s="23">
        <f t="shared" si="0"/>
        <v>0</v>
      </c>
      <c r="I41" s="133">
        <f>IF(I7=10%,I25*I7,0)</f>
        <v>0</v>
      </c>
    </row>
    <row r="42" spans="1:10" ht="15" customHeight="1" x14ac:dyDescent="0.25">
      <c r="A42" s="118">
        <f t="shared" si="1"/>
        <v>5</v>
      </c>
      <c r="B42" s="162" t="s">
        <v>221</v>
      </c>
      <c r="C42" s="162"/>
      <c r="D42" s="162"/>
      <c r="E42" s="162"/>
      <c r="F42" s="162"/>
      <c r="G42" s="162"/>
      <c r="H42" s="23">
        <f t="shared" si="0"/>
        <v>0</v>
      </c>
      <c r="I42" s="133">
        <f>IF(I7=20%,I25*I7,0)</f>
        <v>0</v>
      </c>
    </row>
    <row r="43" spans="1:10" ht="15" customHeight="1" x14ac:dyDescent="0.25">
      <c r="A43" s="118">
        <f t="shared" si="1"/>
        <v>6</v>
      </c>
      <c r="B43" s="162" t="s">
        <v>220</v>
      </c>
      <c r="C43" s="162"/>
      <c r="D43" s="162"/>
      <c r="E43" s="162"/>
      <c r="F43" s="162"/>
      <c r="G43" s="162"/>
      <c r="H43" s="23">
        <f t="shared" si="0"/>
        <v>0</v>
      </c>
      <c r="I43" s="133">
        <f>IF(I7=40%,I25*I7,0)</f>
        <v>0</v>
      </c>
    </row>
    <row r="44" spans="1:10" ht="15" customHeight="1" x14ac:dyDescent="0.25">
      <c r="A44" s="118">
        <f t="shared" si="1"/>
        <v>7</v>
      </c>
      <c r="B44" s="162" t="s">
        <v>176</v>
      </c>
      <c r="C44" s="162"/>
      <c r="D44" s="162"/>
      <c r="E44" s="162"/>
      <c r="F44" s="162"/>
      <c r="G44" s="162"/>
      <c r="H44" s="23">
        <f t="shared" si="0"/>
        <v>0</v>
      </c>
      <c r="I44" s="133">
        <f>IF(I24="Não aplicável",0,I38*I24)</f>
        <v>0</v>
      </c>
    </row>
    <row r="45" spans="1:10" ht="15" customHeight="1" x14ac:dyDescent="0.25">
      <c r="A45" s="118">
        <f t="shared" si="1"/>
        <v>8</v>
      </c>
      <c r="B45" s="162" t="s">
        <v>39</v>
      </c>
      <c r="C45" s="162"/>
      <c r="D45" s="162"/>
      <c r="E45" s="162"/>
      <c r="F45" s="162"/>
      <c r="G45" s="162"/>
      <c r="H45" s="23">
        <f t="shared" si="0"/>
        <v>0</v>
      </c>
      <c r="I45" s="133">
        <f>IF(I26="Não aplicável",0,(I38+I39+I40+I41+I42+I43+I44+I54)/I5*I26*(1+I27))</f>
        <v>0</v>
      </c>
    </row>
    <row r="46" spans="1:10" ht="23.25" customHeight="1" x14ac:dyDescent="0.25">
      <c r="A46" s="118">
        <f t="shared" si="1"/>
        <v>9</v>
      </c>
      <c r="B46" s="162" t="s">
        <v>40</v>
      </c>
      <c r="C46" s="162"/>
      <c r="D46" s="162"/>
      <c r="E46" s="162"/>
      <c r="F46" s="162"/>
      <c r="G46" s="162"/>
      <c r="H46" s="23">
        <f t="shared" si="0"/>
        <v>0</v>
      </c>
      <c r="I46" s="133">
        <f>IF(I26="Não aplicável",0,I26/I13*5*(I10/H10*(1+I27)))</f>
        <v>0</v>
      </c>
    </row>
    <row r="47" spans="1:10" ht="15" customHeight="1" x14ac:dyDescent="0.25">
      <c r="A47" s="118">
        <f t="shared" si="1"/>
        <v>10</v>
      </c>
      <c r="B47" s="162" t="s">
        <v>168</v>
      </c>
      <c r="C47" s="162"/>
      <c r="D47" s="162"/>
      <c r="E47" s="162"/>
      <c r="F47" s="162"/>
      <c r="G47" s="162"/>
      <c r="H47" s="23">
        <f t="shared" si="0"/>
        <v>8.1580855692530818E-2</v>
      </c>
      <c r="I47" s="133">
        <f>I33*I34</f>
        <v>217.45738636363635</v>
      </c>
    </row>
    <row r="48" spans="1:10" ht="15" customHeight="1" x14ac:dyDescent="0.25">
      <c r="A48" s="118">
        <f t="shared" si="1"/>
        <v>11</v>
      </c>
      <c r="B48" s="247" t="s">
        <v>183</v>
      </c>
      <c r="C48" s="248"/>
      <c r="D48" s="248"/>
      <c r="E48" s="248"/>
      <c r="F48" s="248"/>
      <c r="G48" s="249"/>
      <c r="H48" s="23">
        <f t="shared" si="0"/>
        <v>0</v>
      </c>
      <c r="I48" s="133">
        <f>IF(OR(I7=10%,I7=20%,I7=40%),I47*I7,0)</f>
        <v>0</v>
      </c>
    </row>
    <row r="49" spans="1:10" ht="15" customHeight="1" x14ac:dyDescent="0.25">
      <c r="A49" s="118">
        <f t="shared" si="1"/>
        <v>12</v>
      </c>
      <c r="B49" s="247" t="s">
        <v>185</v>
      </c>
      <c r="C49" s="248"/>
      <c r="D49" s="248"/>
      <c r="E49" s="248"/>
      <c r="F49" s="248"/>
      <c r="G49" s="249"/>
      <c r="H49" s="23">
        <f t="shared" si="0"/>
        <v>0</v>
      </c>
      <c r="I49" s="133">
        <f>IF(I9=30%,I47*I9,0)</f>
        <v>0</v>
      </c>
    </row>
    <row r="50" spans="1:10" ht="15" customHeight="1" x14ac:dyDescent="0.25">
      <c r="A50" s="118">
        <f t="shared" si="1"/>
        <v>13</v>
      </c>
      <c r="B50" s="245" t="s">
        <v>169</v>
      </c>
      <c r="C50" s="245"/>
      <c r="D50" s="245"/>
      <c r="E50" s="245"/>
      <c r="F50" s="245"/>
      <c r="G50" s="245"/>
      <c r="H50" s="23">
        <f t="shared" si="0"/>
        <v>8.7019579405366199E-2</v>
      </c>
      <c r="I50" s="133">
        <f>I30*I31</f>
        <v>231.95454545454544</v>
      </c>
    </row>
    <row r="51" spans="1:10" ht="15" customHeight="1" x14ac:dyDescent="0.25">
      <c r="A51" s="118">
        <f t="shared" si="1"/>
        <v>14</v>
      </c>
      <c r="B51" s="247" t="s">
        <v>184</v>
      </c>
      <c r="C51" s="248"/>
      <c r="D51" s="248"/>
      <c r="E51" s="248"/>
      <c r="F51" s="248"/>
      <c r="G51" s="249"/>
      <c r="H51" s="23">
        <f t="shared" si="0"/>
        <v>0</v>
      </c>
      <c r="I51" s="133">
        <f>IF(OR(I7=10%,I7=20%,I7=40%),I50*I7,0)</f>
        <v>0</v>
      </c>
    </row>
    <row r="52" spans="1:10" ht="15" customHeight="1" x14ac:dyDescent="0.25">
      <c r="A52" s="118">
        <f t="shared" si="1"/>
        <v>15</v>
      </c>
      <c r="B52" s="247" t="s">
        <v>186</v>
      </c>
      <c r="C52" s="248"/>
      <c r="D52" s="248"/>
      <c r="E52" s="248"/>
      <c r="F52" s="248"/>
      <c r="G52" s="249"/>
      <c r="H52" s="23">
        <f t="shared" si="0"/>
        <v>0</v>
      </c>
      <c r="I52" s="133">
        <f>IF(I9=30%,I50*I9,0)</f>
        <v>0</v>
      </c>
    </row>
    <row r="53" spans="1:10" ht="24" customHeight="1" x14ac:dyDescent="0.25">
      <c r="A53" s="118">
        <f t="shared" si="1"/>
        <v>16</v>
      </c>
      <c r="B53" s="246" t="s">
        <v>170</v>
      </c>
      <c r="C53" s="246"/>
      <c r="D53" s="246"/>
      <c r="E53" s="246"/>
      <c r="F53" s="246"/>
      <c r="G53" s="246"/>
      <c r="H53" s="23">
        <f t="shared" si="0"/>
        <v>3.3720087019579403E-2</v>
      </c>
      <c r="I53" s="133">
        <f>(I47+I50)*0.2</f>
        <v>89.882386363636357</v>
      </c>
    </row>
    <row r="54" spans="1:10" ht="15" customHeight="1" x14ac:dyDescent="0.25">
      <c r="A54" s="118">
        <f t="shared" si="1"/>
        <v>17</v>
      </c>
      <c r="B54" s="24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46"/>
      <c r="D54" s="246"/>
      <c r="E54" s="246"/>
      <c r="F54" s="246"/>
      <c r="G54" s="246"/>
      <c r="H54" s="23">
        <f t="shared" si="0"/>
        <v>0</v>
      </c>
      <c r="I54" s="133">
        <v>0</v>
      </c>
    </row>
    <row r="55" spans="1:10" s="28" customFormat="1" ht="15" customHeight="1" x14ac:dyDescent="0.25">
      <c r="A55" s="175" t="s">
        <v>41</v>
      </c>
      <c r="B55" s="175"/>
      <c r="C55" s="175"/>
      <c r="D55" s="175"/>
      <c r="E55" s="175"/>
      <c r="F55" s="175"/>
      <c r="G55" s="175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16" t="s">
        <v>145</v>
      </c>
      <c r="B56" s="250" t="s">
        <v>219</v>
      </c>
      <c r="C56" s="250"/>
      <c r="D56" s="250"/>
      <c r="E56" s="250"/>
      <c r="F56" s="250"/>
      <c r="G56" s="250"/>
      <c r="H56" s="250"/>
      <c r="I56" s="250"/>
    </row>
    <row r="57" spans="1:10" ht="33.75" customHeight="1" x14ac:dyDescent="0.25">
      <c r="A57" s="22" t="s">
        <v>42</v>
      </c>
      <c r="B57" s="176" t="s">
        <v>43</v>
      </c>
      <c r="C57" s="176"/>
      <c r="D57" s="176"/>
      <c r="E57" s="176"/>
      <c r="F57" s="176"/>
      <c r="G57" s="176"/>
      <c r="H57" s="22" t="s">
        <v>35</v>
      </c>
      <c r="I57" s="22" t="s">
        <v>36</v>
      </c>
    </row>
    <row r="58" spans="1:10" ht="15" customHeight="1" x14ac:dyDescent="0.25">
      <c r="A58" s="118">
        <v>1</v>
      </c>
      <c r="B58" s="162" t="s">
        <v>44</v>
      </c>
      <c r="C58" s="162"/>
      <c r="D58" s="162"/>
      <c r="E58" s="162"/>
      <c r="F58" s="162"/>
      <c r="G58" s="162"/>
      <c r="H58" s="23">
        <v>0.2</v>
      </c>
      <c r="I58" s="133">
        <f t="shared" ref="I58:I65" si="2">$I$55*H58</f>
        <v>533.10886363636371</v>
      </c>
    </row>
    <row r="59" spans="1:10" ht="15" customHeight="1" x14ac:dyDescent="0.25">
      <c r="A59" s="118">
        <v>2</v>
      </c>
      <c r="B59" s="162" t="s">
        <v>45</v>
      </c>
      <c r="C59" s="162"/>
      <c r="D59" s="162"/>
      <c r="E59" s="162"/>
      <c r="F59" s="162"/>
      <c r="G59" s="162"/>
      <c r="H59" s="23">
        <v>1.4999999999999999E-2</v>
      </c>
      <c r="I59" s="133">
        <f t="shared" si="2"/>
        <v>39.983164772727271</v>
      </c>
    </row>
    <row r="60" spans="1:10" ht="15" customHeight="1" x14ac:dyDescent="0.25">
      <c r="A60" s="118">
        <v>3</v>
      </c>
      <c r="B60" s="162" t="s">
        <v>46</v>
      </c>
      <c r="C60" s="162"/>
      <c r="D60" s="162"/>
      <c r="E60" s="162"/>
      <c r="F60" s="162"/>
      <c r="G60" s="162"/>
      <c r="H60" s="23">
        <v>0.01</v>
      </c>
      <c r="I60" s="133">
        <f t="shared" si="2"/>
        <v>26.655443181818182</v>
      </c>
    </row>
    <row r="61" spans="1:10" ht="15" customHeight="1" x14ac:dyDescent="0.25">
      <c r="A61" s="118">
        <v>4</v>
      </c>
      <c r="B61" s="162" t="s">
        <v>47</v>
      </c>
      <c r="C61" s="162"/>
      <c r="D61" s="162"/>
      <c r="E61" s="162"/>
      <c r="F61" s="162"/>
      <c r="G61" s="162"/>
      <c r="H61" s="23">
        <v>2E-3</v>
      </c>
      <c r="I61" s="133">
        <f t="shared" si="2"/>
        <v>5.3310886363636367</v>
      </c>
    </row>
    <row r="62" spans="1:10" ht="15" customHeight="1" x14ac:dyDescent="0.25">
      <c r="A62" s="118">
        <v>5</v>
      </c>
      <c r="B62" s="162" t="s">
        <v>48</v>
      </c>
      <c r="C62" s="162"/>
      <c r="D62" s="162"/>
      <c r="E62" s="162"/>
      <c r="F62" s="162"/>
      <c r="G62" s="162"/>
      <c r="H62" s="23">
        <v>2.5000000000000001E-2</v>
      </c>
      <c r="I62" s="133">
        <f t="shared" si="2"/>
        <v>66.638607954545463</v>
      </c>
    </row>
    <row r="63" spans="1:10" ht="15" customHeight="1" x14ac:dyDescent="0.25">
      <c r="A63" s="118">
        <v>6</v>
      </c>
      <c r="B63" s="162" t="s">
        <v>49</v>
      </c>
      <c r="C63" s="162"/>
      <c r="D63" s="162"/>
      <c r="E63" s="162"/>
      <c r="F63" s="162"/>
      <c r="G63" s="162"/>
      <c r="H63" s="23">
        <v>0.08</v>
      </c>
      <c r="I63" s="133">
        <f t="shared" si="2"/>
        <v>213.24354545454545</v>
      </c>
    </row>
    <row r="64" spans="1:10" ht="15" customHeight="1" x14ac:dyDescent="0.25">
      <c r="A64" s="118">
        <v>7</v>
      </c>
      <c r="B64" s="162" t="s">
        <v>224</v>
      </c>
      <c r="C64" s="162"/>
      <c r="D64" s="162"/>
      <c r="E64" s="162"/>
      <c r="F64" s="162"/>
      <c r="G64" s="162"/>
      <c r="H64" s="23">
        <v>0.03</v>
      </c>
      <c r="I64" s="133">
        <f t="shared" si="2"/>
        <v>79.966329545454542</v>
      </c>
    </row>
    <row r="65" spans="1:10" ht="15" customHeight="1" x14ac:dyDescent="0.25">
      <c r="A65" s="118">
        <v>8</v>
      </c>
      <c r="B65" s="162" t="s">
        <v>50</v>
      </c>
      <c r="C65" s="162"/>
      <c r="D65" s="162"/>
      <c r="E65" s="162"/>
      <c r="F65" s="162"/>
      <c r="G65" s="162"/>
      <c r="H65" s="23">
        <v>6.0000000000000001E-3</v>
      </c>
      <c r="I65" s="133">
        <f t="shared" si="2"/>
        <v>15.99326590909091</v>
      </c>
    </row>
    <row r="66" spans="1:10" s="28" customFormat="1" ht="15" customHeight="1" x14ac:dyDescent="0.25">
      <c r="A66" s="175" t="s">
        <v>51</v>
      </c>
      <c r="B66" s="175"/>
      <c r="C66" s="175"/>
      <c r="D66" s="175"/>
      <c r="E66" s="175"/>
      <c r="F66" s="175"/>
      <c r="G66" s="175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7" t="s">
        <v>223</v>
      </c>
      <c r="B67" s="160" t="s">
        <v>52</v>
      </c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59"/>
      <c r="B68" s="161" t="s">
        <v>53</v>
      </c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54</v>
      </c>
      <c r="B69" s="187" t="s">
        <v>55</v>
      </c>
      <c r="C69" s="187"/>
      <c r="D69" s="187"/>
      <c r="E69" s="187"/>
      <c r="F69" s="187"/>
      <c r="G69" s="187"/>
      <c r="H69" s="117" t="s">
        <v>35</v>
      </c>
      <c r="I69" s="117" t="s">
        <v>36</v>
      </c>
    </row>
    <row r="70" spans="1:10" ht="15" customHeight="1" x14ac:dyDescent="0.25">
      <c r="A70" s="118">
        <v>1</v>
      </c>
      <c r="B70" s="162" t="s">
        <v>56</v>
      </c>
      <c r="C70" s="162"/>
      <c r="D70" s="162"/>
      <c r="E70" s="162"/>
      <c r="F70" s="162"/>
      <c r="G70" s="162"/>
      <c r="H70" s="23">
        <v>0.119314</v>
      </c>
      <c r="I70" s="133">
        <f t="shared" ref="I70:I77" si="3">$I$55*H70</f>
        <v>318.03675477954545</v>
      </c>
    </row>
    <row r="71" spans="1:10" ht="15" customHeight="1" x14ac:dyDescent="0.25">
      <c r="A71" s="118">
        <v>2</v>
      </c>
      <c r="B71" s="162" t="s">
        <v>225</v>
      </c>
      <c r="C71" s="162"/>
      <c r="D71" s="162"/>
      <c r="E71" s="162"/>
      <c r="F71" s="162"/>
      <c r="G71" s="162"/>
      <c r="H71" s="23">
        <v>2.0479000000000001E-2</v>
      </c>
      <c r="I71" s="133">
        <f t="shared" si="3"/>
        <v>54.587682092045455</v>
      </c>
    </row>
    <row r="72" spans="1:10" ht="15" customHeight="1" x14ac:dyDescent="0.25">
      <c r="A72" s="118">
        <v>3</v>
      </c>
      <c r="B72" s="162" t="s">
        <v>57</v>
      </c>
      <c r="C72" s="162"/>
      <c r="D72" s="162"/>
      <c r="E72" s="162"/>
      <c r="F72" s="162"/>
      <c r="G72" s="162"/>
      <c r="H72" s="23">
        <v>1.2123E-2</v>
      </c>
      <c r="I72" s="133">
        <f t="shared" si="3"/>
        <v>32.31439376931818</v>
      </c>
    </row>
    <row r="73" spans="1:10" ht="15" customHeight="1" x14ac:dyDescent="0.25">
      <c r="A73" s="118">
        <v>4</v>
      </c>
      <c r="B73" s="162" t="s">
        <v>58</v>
      </c>
      <c r="C73" s="162"/>
      <c r="D73" s="162"/>
      <c r="E73" s="162"/>
      <c r="F73" s="162"/>
      <c r="G73" s="162"/>
      <c r="H73" s="23">
        <v>1.1436E-2</v>
      </c>
      <c r="I73" s="133">
        <f t="shared" si="3"/>
        <v>30.483164822727272</v>
      </c>
    </row>
    <row r="74" spans="1:10" ht="15" customHeight="1" x14ac:dyDescent="0.25">
      <c r="A74" s="118">
        <v>5</v>
      </c>
      <c r="B74" s="162" t="s">
        <v>59</v>
      </c>
      <c r="C74" s="162"/>
      <c r="D74" s="162"/>
      <c r="E74" s="162"/>
      <c r="F74" s="162"/>
      <c r="G74" s="162"/>
      <c r="H74" s="23">
        <v>1.74E-4</v>
      </c>
      <c r="I74" s="133">
        <f t="shared" si="3"/>
        <v>0.46380471136363638</v>
      </c>
    </row>
    <row r="75" spans="1:10" ht="15" customHeight="1" x14ac:dyDescent="0.25">
      <c r="A75" s="118">
        <v>6</v>
      </c>
      <c r="B75" s="162" t="s">
        <v>60</v>
      </c>
      <c r="C75" s="162"/>
      <c r="D75" s="162"/>
      <c r="E75" s="162"/>
      <c r="F75" s="162"/>
      <c r="G75" s="162"/>
      <c r="H75" s="23">
        <v>4.4200000000000001E-4</v>
      </c>
      <c r="I75" s="133">
        <f t="shared" si="3"/>
        <v>1.1781705886363636</v>
      </c>
    </row>
    <row r="76" spans="1:10" ht="15" customHeight="1" x14ac:dyDescent="0.25">
      <c r="A76" s="118">
        <v>7</v>
      </c>
      <c r="B76" s="162" t="s">
        <v>61</v>
      </c>
      <c r="C76" s="162"/>
      <c r="D76" s="162"/>
      <c r="E76" s="162"/>
      <c r="F76" s="162"/>
      <c r="G76" s="162"/>
      <c r="H76" s="23">
        <v>1.85E-4</v>
      </c>
      <c r="I76" s="133">
        <f t="shared" si="3"/>
        <v>0.49312569886363639</v>
      </c>
    </row>
    <row r="77" spans="1:10" ht="15" customHeight="1" x14ac:dyDescent="0.25">
      <c r="A77" s="118">
        <v>8</v>
      </c>
      <c r="B77" s="162" t="s">
        <v>62</v>
      </c>
      <c r="C77" s="162"/>
      <c r="D77" s="162"/>
      <c r="E77" s="162"/>
      <c r="F77" s="162"/>
      <c r="G77" s="162"/>
      <c r="H77" s="23">
        <v>9.0789999999999996E-2</v>
      </c>
      <c r="I77" s="133">
        <f t="shared" si="3"/>
        <v>242.00476864772727</v>
      </c>
    </row>
    <row r="78" spans="1:10" s="28" customFormat="1" ht="15" customHeight="1" x14ac:dyDescent="0.25">
      <c r="A78" s="175" t="s">
        <v>63</v>
      </c>
      <c r="B78" s="175"/>
      <c r="C78" s="175"/>
      <c r="D78" s="175"/>
      <c r="E78" s="175"/>
      <c r="F78" s="175"/>
      <c r="G78" s="175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64</v>
      </c>
      <c r="B79" s="160" t="s">
        <v>65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9" t="s">
        <v>66</v>
      </c>
      <c r="B80" s="161" t="s">
        <v>67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68</v>
      </c>
      <c r="B81" s="176" t="s">
        <v>69</v>
      </c>
      <c r="C81" s="176"/>
      <c r="D81" s="176"/>
      <c r="E81" s="176"/>
      <c r="F81" s="176"/>
      <c r="G81" s="176"/>
      <c r="H81" s="22" t="s">
        <v>35</v>
      </c>
      <c r="I81" s="22" t="s">
        <v>36</v>
      </c>
    </row>
    <row r="82" spans="1:11" ht="15" customHeight="1" x14ac:dyDescent="0.25">
      <c r="A82" s="118">
        <v>1</v>
      </c>
      <c r="B82" s="162" t="s">
        <v>70</v>
      </c>
      <c r="C82" s="162"/>
      <c r="D82" s="162"/>
      <c r="E82" s="162"/>
      <c r="F82" s="162"/>
      <c r="G82" s="162"/>
      <c r="H82" s="23">
        <v>4.8321000000000003E-2</v>
      </c>
      <c r="I82" s="133">
        <f>$I$55*H82</f>
        <v>128.80176699886366</v>
      </c>
    </row>
    <row r="83" spans="1:11" ht="15" customHeight="1" x14ac:dyDescent="0.25">
      <c r="A83" s="118">
        <v>2</v>
      </c>
      <c r="B83" s="162" t="s">
        <v>71</v>
      </c>
      <c r="C83" s="162"/>
      <c r="D83" s="162"/>
      <c r="E83" s="162"/>
      <c r="F83" s="162"/>
      <c r="G83" s="162"/>
      <c r="H83" s="23">
        <v>3.5109999999999998E-3</v>
      </c>
      <c r="I83" s="133">
        <f>$I$55*H83</f>
        <v>9.3587261011363623</v>
      </c>
    </row>
    <row r="84" spans="1:11" ht="15" customHeight="1" x14ac:dyDescent="0.25">
      <c r="A84" s="118">
        <v>3</v>
      </c>
      <c r="B84" s="162" t="s">
        <v>72</v>
      </c>
      <c r="C84" s="162"/>
      <c r="D84" s="162"/>
      <c r="E84" s="162"/>
      <c r="F84" s="162"/>
      <c r="G84" s="162"/>
      <c r="H84" s="23">
        <v>1.9328000000000001E-2</v>
      </c>
      <c r="I84" s="133">
        <f>$I$55*H84</f>
        <v>51.519640581818187</v>
      </c>
    </row>
    <row r="85" spans="1:11" s="28" customFormat="1" ht="15" customHeight="1" x14ac:dyDescent="0.25">
      <c r="A85" s="175" t="s">
        <v>73</v>
      </c>
      <c r="B85" s="175"/>
      <c r="C85" s="175"/>
      <c r="D85" s="175"/>
      <c r="E85" s="175"/>
      <c r="F85" s="175"/>
      <c r="G85" s="175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76" t="s">
        <v>75</v>
      </c>
      <c r="C87" s="176"/>
      <c r="D87" s="176"/>
      <c r="E87" s="176"/>
      <c r="F87" s="176"/>
      <c r="G87" s="176"/>
      <c r="H87" s="22" t="s">
        <v>35</v>
      </c>
      <c r="I87" s="22" t="s">
        <v>36</v>
      </c>
    </row>
    <row r="88" spans="1:11" ht="15" customHeight="1" x14ac:dyDescent="0.25">
      <c r="A88" s="118">
        <v>1</v>
      </c>
      <c r="B88" s="162" t="s">
        <v>76</v>
      </c>
      <c r="C88" s="162"/>
      <c r="D88" s="162"/>
      <c r="E88" s="162"/>
      <c r="F88" s="162"/>
      <c r="G88" s="162"/>
      <c r="H88" s="23">
        <f>(H66*H78)</f>
        <v>9.3819024000000015E-2</v>
      </c>
      <c r="I88" s="133">
        <f>$I$55*H88</f>
        <v>250.07876636056369</v>
      </c>
    </row>
    <row r="89" spans="1:11" s="28" customFormat="1" ht="15" customHeight="1" x14ac:dyDescent="0.25">
      <c r="A89" s="175" t="s">
        <v>77</v>
      </c>
      <c r="B89" s="175"/>
      <c r="C89" s="175"/>
      <c r="D89" s="175"/>
      <c r="E89" s="175"/>
      <c r="F89" s="175"/>
      <c r="G89" s="175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206" t="s">
        <v>192</v>
      </c>
      <c r="B91" s="206"/>
      <c r="C91" s="206"/>
      <c r="D91" s="206"/>
      <c r="E91" s="206"/>
      <c r="F91" s="206"/>
      <c r="G91" s="206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76" t="s">
        <v>79</v>
      </c>
      <c r="C93" s="176"/>
      <c r="D93" s="176"/>
      <c r="E93" s="176"/>
      <c r="F93" s="176"/>
      <c r="G93" s="176"/>
      <c r="H93" s="22" t="s">
        <v>35</v>
      </c>
      <c r="I93" s="22" t="s">
        <v>36</v>
      </c>
    </row>
    <row r="94" spans="1:11" ht="15" customHeight="1" x14ac:dyDescent="0.25">
      <c r="A94" s="118">
        <v>1</v>
      </c>
      <c r="B94" s="162" t="s">
        <v>20</v>
      </c>
      <c r="C94" s="162"/>
      <c r="D94" s="162"/>
      <c r="E94" s="162"/>
      <c r="F94" s="162"/>
      <c r="G94" s="162"/>
      <c r="H94" s="23">
        <f t="shared" ref="H94:H101" si="4">I94/$I$55</f>
        <v>0.12375427328291723</v>
      </c>
      <c r="I94" s="133">
        <f>I114</f>
        <v>329.8725</v>
      </c>
    </row>
    <row r="95" spans="1:11" ht="15" customHeight="1" x14ac:dyDescent="0.25">
      <c r="A95" s="118">
        <f>A94+1</f>
        <v>2</v>
      </c>
      <c r="B95" s="162" t="s">
        <v>21</v>
      </c>
      <c r="C95" s="162"/>
      <c r="D95" s="162"/>
      <c r="E95" s="162"/>
      <c r="F95" s="162"/>
      <c r="G95" s="162"/>
      <c r="H95" s="23">
        <f t="shared" si="4"/>
        <v>0</v>
      </c>
      <c r="I95" s="133">
        <f>I110</f>
        <v>0</v>
      </c>
    </row>
    <row r="96" spans="1:11" ht="15" customHeight="1" x14ac:dyDescent="0.25">
      <c r="A96" s="118">
        <f t="shared" ref="A96:A98" si="5">A95+1</f>
        <v>3</v>
      </c>
      <c r="B96" s="203" t="s">
        <v>180</v>
      </c>
      <c r="C96" s="204"/>
      <c r="D96" s="204"/>
      <c r="E96" s="204"/>
      <c r="F96" s="204"/>
      <c r="G96" s="205"/>
      <c r="H96" s="23">
        <f t="shared" si="4"/>
        <v>0</v>
      </c>
      <c r="I96" s="133">
        <v>0</v>
      </c>
    </row>
    <row r="97" spans="1:10" ht="15" customHeight="1" x14ac:dyDescent="0.25">
      <c r="A97" s="118">
        <f t="shared" si="5"/>
        <v>4</v>
      </c>
      <c r="B97" s="162" t="s">
        <v>232</v>
      </c>
      <c r="C97" s="162"/>
      <c r="D97" s="162"/>
      <c r="E97" s="162"/>
      <c r="F97" s="162"/>
      <c r="G97" s="162"/>
      <c r="H97" s="23">
        <f t="shared" si="4"/>
        <v>8.4129158337521923E-3</v>
      </c>
      <c r="I97" s="133">
        <f>I106</f>
        <v>22.425000000000011</v>
      </c>
    </row>
    <row r="98" spans="1:10" ht="15" customHeight="1" x14ac:dyDescent="0.25">
      <c r="A98" s="118">
        <f t="shared" si="5"/>
        <v>5</v>
      </c>
      <c r="B98" s="162" t="s">
        <v>81</v>
      </c>
      <c r="C98" s="162"/>
      <c r="D98" s="162"/>
      <c r="E98" s="162"/>
      <c r="F98" s="162"/>
      <c r="G98" s="162"/>
      <c r="H98" s="23">
        <f t="shared" si="4"/>
        <v>8.1580855692530818E-2</v>
      </c>
      <c r="I98" s="133">
        <f>IF(I28="Não aplicável",0,((I10/H10)*1.5*I28))</f>
        <v>217.45738636363635</v>
      </c>
    </row>
    <row r="99" spans="1:10" ht="15" customHeight="1" x14ac:dyDescent="0.25">
      <c r="A99" s="118">
        <v>6</v>
      </c>
      <c r="B99" s="162" t="s">
        <v>215</v>
      </c>
      <c r="C99" s="162"/>
      <c r="D99" s="162"/>
      <c r="E99" s="162"/>
      <c r="F99" s="162"/>
      <c r="G99" s="162"/>
      <c r="H99" s="23">
        <f>I99/$I$55</f>
        <v>3.0012631736908588E-2</v>
      </c>
      <c r="I99" s="133">
        <f>IF(I21="Não aplicável",0,I21)</f>
        <v>80</v>
      </c>
    </row>
    <row r="100" spans="1:10" ht="15" customHeight="1" x14ac:dyDescent="0.25">
      <c r="A100" s="118">
        <v>7</v>
      </c>
      <c r="B100" s="162" t="s">
        <v>216</v>
      </c>
      <c r="C100" s="162"/>
      <c r="D100" s="162"/>
      <c r="E100" s="162"/>
      <c r="F100" s="162"/>
      <c r="G100" s="162"/>
      <c r="H100" s="23">
        <f>I100/$I$55</f>
        <v>9.5740295240738394E-3</v>
      </c>
      <c r="I100" s="133">
        <f>IF(I22="Não aplicável",0,I22)</f>
        <v>25.52</v>
      </c>
    </row>
    <row r="101" spans="1:10" ht="15" customHeight="1" x14ac:dyDescent="0.25">
      <c r="A101" s="118">
        <v>8</v>
      </c>
      <c r="B101" s="162" t="s">
        <v>82</v>
      </c>
      <c r="C101" s="162"/>
      <c r="D101" s="162"/>
      <c r="E101" s="162"/>
      <c r="F101" s="162"/>
      <c r="G101" s="162"/>
      <c r="H101" s="23">
        <f t="shared" si="4"/>
        <v>0</v>
      </c>
      <c r="I101" s="133">
        <f>IF(I23="Não aplicável",0,I23)</f>
        <v>0</v>
      </c>
    </row>
    <row r="102" spans="1:10" ht="13.5" customHeight="1" x14ac:dyDescent="0.25">
      <c r="A102" s="175" t="s">
        <v>83</v>
      </c>
      <c r="B102" s="175"/>
      <c r="C102" s="175"/>
      <c r="D102" s="175"/>
      <c r="E102" s="175"/>
      <c r="F102" s="175"/>
      <c r="G102" s="175"/>
      <c r="H102" s="25">
        <f>SUM(H94:H101)</f>
        <v>0.25333470607018266</v>
      </c>
      <c r="I102" s="26">
        <f>SUM(I94:I101)</f>
        <v>675.27488636363637</v>
      </c>
      <c r="J102" s="34"/>
    </row>
    <row r="103" spans="1:10" ht="14.45" customHeight="1" x14ac:dyDescent="0.25">
      <c r="A103" s="29" t="s">
        <v>84</v>
      </c>
      <c r="B103" s="213" t="s">
        <v>85</v>
      </c>
      <c r="C103" s="213"/>
      <c r="D103" s="213"/>
      <c r="E103" s="213"/>
      <c r="F103" s="213"/>
      <c r="G103" s="213"/>
      <c r="H103" s="213"/>
      <c r="I103" s="213"/>
    </row>
    <row r="104" spans="1:10" ht="15" customHeight="1" x14ac:dyDescent="0.25">
      <c r="A104" s="207" t="s">
        <v>86</v>
      </c>
      <c r="B104" s="207"/>
      <c r="C104" s="207"/>
      <c r="D104" s="207"/>
      <c r="E104" s="207"/>
      <c r="F104" s="207"/>
      <c r="G104" s="207"/>
      <c r="H104" s="207"/>
      <c r="I104" s="207"/>
    </row>
    <row r="105" spans="1:10" ht="24" customHeight="1" x14ac:dyDescent="0.25">
      <c r="A105" s="163" t="s">
        <v>87</v>
      </c>
      <c r="B105" s="163"/>
      <c r="C105" s="118" t="s">
        <v>88</v>
      </c>
      <c r="D105" s="118" t="s">
        <v>89</v>
      </c>
      <c r="E105" s="118" t="s">
        <v>90</v>
      </c>
      <c r="F105" s="118" t="s">
        <v>91</v>
      </c>
      <c r="G105" s="118" t="s">
        <v>92</v>
      </c>
      <c r="H105" s="23" t="s">
        <v>93</v>
      </c>
      <c r="I105" s="133" t="s">
        <v>94</v>
      </c>
    </row>
    <row r="106" spans="1:10" ht="15" customHeight="1" x14ac:dyDescent="0.25">
      <c r="A106" s="214">
        <f>IF(I12="Não aplicável",0,I12)</f>
        <v>5</v>
      </c>
      <c r="B106" s="214"/>
      <c r="C106" s="118">
        <f>IF(I13="Não aplicável",0,I13)</f>
        <v>15</v>
      </c>
      <c r="D106" s="118">
        <v>2</v>
      </c>
      <c r="E106" s="129">
        <f>A106*C106*D106</f>
        <v>150</v>
      </c>
      <c r="F106" s="129">
        <f>I38</f>
        <v>2126.25</v>
      </c>
      <c r="G106" s="38">
        <f>IF(I14="Não aplicável",0,I14)</f>
        <v>0.06</v>
      </c>
      <c r="H106" s="129">
        <f>F106*G106</f>
        <v>127.57499999999999</v>
      </c>
      <c r="I106" s="133">
        <f>IF((E106-H106)&gt;0,E106-H106,0)</f>
        <v>22.425000000000011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7" t="s">
        <v>95</v>
      </c>
      <c r="B108" s="207"/>
      <c r="C108" s="207"/>
      <c r="D108" s="207"/>
      <c r="E108" s="207"/>
      <c r="F108" s="207"/>
      <c r="G108" s="207"/>
      <c r="H108" s="207"/>
      <c r="I108" s="207"/>
    </row>
    <row r="109" spans="1:10" ht="24" customHeight="1" x14ac:dyDescent="0.25">
      <c r="A109" s="163" t="s">
        <v>87</v>
      </c>
      <c r="B109" s="163"/>
      <c r="C109" s="118" t="s">
        <v>96</v>
      </c>
      <c r="D109" s="118" t="s">
        <v>89</v>
      </c>
      <c r="E109" s="118" t="s">
        <v>90</v>
      </c>
      <c r="F109" s="118" t="s">
        <v>91</v>
      </c>
      <c r="G109" s="118" t="s">
        <v>92</v>
      </c>
      <c r="H109" s="23" t="s">
        <v>93</v>
      </c>
      <c r="I109" s="133" t="s">
        <v>94</v>
      </c>
    </row>
    <row r="110" spans="1:10" ht="15" customHeight="1" x14ac:dyDescent="0.25">
      <c r="A110" s="208">
        <f>IF(I18="Não aplicável",0,I18)</f>
        <v>0</v>
      </c>
      <c r="B110" s="208"/>
      <c r="C110" s="42">
        <f>IF(I19="Não aplicável",0,I19)</f>
        <v>0</v>
      </c>
      <c r="D110" s="118">
        <v>1</v>
      </c>
      <c r="E110" s="129">
        <f>A110*C110*D110</f>
        <v>0</v>
      </c>
      <c r="F110" s="129">
        <f>E110</f>
        <v>0</v>
      </c>
      <c r="G110" s="132">
        <f>IF(I20="Não aplicável",0,I20)</f>
        <v>0</v>
      </c>
      <c r="H110" s="129">
        <f>F110*G110</f>
        <v>0</v>
      </c>
      <c r="I110" s="133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7" t="s">
        <v>97</v>
      </c>
      <c r="B112" s="207"/>
      <c r="C112" s="207"/>
      <c r="D112" s="207"/>
      <c r="E112" s="207"/>
      <c r="F112" s="207"/>
      <c r="G112" s="207"/>
      <c r="H112" s="207"/>
      <c r="I112" s="207"/>
    </row>
    <row r="113" spans="1:12" ht="23.25" customHeight="1" x14ac:dyDescent="0.25">
      <c r="A113" s="163" t="s">
        <v>87</v>
      </c>
      <c r="B113" s="163"/>
      <c r="C113" s="118" t="s">
        <v>96</v>
      </c>
      <c r="D113" s="118" t="s">
        <v>89</v>
      </c>
      <c r="E113" s="118" t="s">
        <v>90</v>
      </c>
      <c r="F113" s="118" t="s">
        <v>91</v>
      </c>
      <c r="G113" s="118" t="s">
        <v>92</v>
      </c>
      <c r="H113" s="23" t="str">
        <f>H105</f>
        <v>Valor desconto</v>
      </c>
      <c r="I113" s="133" t="s">
        <v>94</v>
      </c>
    </row>
    <row r="114" spans="1:12" ht="15" customHeight="1" x14ac:dyDescent="0.25">
      <c r="A114" s="208">
        <f>IF(I15="Não aplicável",0,I15)</f>
        <v>27.15</v>
      </c>
      <c r="B114" s="208"/>
      <c r="C114" s="42">
        <f>IF(I16="Não aplicável",0,I16)</f>
        <v>15</v>
      </c>
      <c r="D114" s="118">
        <v>1</v>
      </c>
      <c r="E114" s="129">
        <f>A114*C114*D114</f>
        <v>407.25</v>
      </c>
      <c r="F114" s="129">
        <f>E114</f>
        <v>407.25</v>
      </c>
      <c r="G114" s="132">
        <f>IF(I17="Não aplicável",0,I17)</f>
        <v>0.19</v>
      </c>
      <c r="H114" s="129">
        <f>F114*G114</f>
        <v>77.377499999999998</v>
      </c>
      <c r="I114" s="133">
        <f>E114-H114</f>
        <v>329.8725</v>
      </c>
    </row>
    <row r="115" spans="1:12" ht="4.5" customHeight="1" x14ac:dyDescent="0.25"/>
    <row r="116" spans="1:12" ht="12" customHeight="1" x14ac:dyDescent="0.25">
      <c r="A116" s="215" t="s">
        <v>98</v>
      </c>
      <c r="B116" s="215"/>
      <c r="C116" s="215"/>
      <c r="D116" s="215"/>
      <c r="E116" s="215"/>
      <c r="F116" s="215"/>
      <c r="G116" s="215"/>
      <c r="H116" s="47">
        <f>H55+H91+H102</f>
        <v>2.0412567300701827</v>
      </c>
      <c r="I116" s="48">
        <f>I55+I91+I102</f>
        <v>5441.0602787889729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84" t="s">
        <v>99</v>
      </c>
      <c r="B118" s="184"/>
      <c r="C118" s="184"/>
      <c r="D118" s="184"/>
      <c r="E118" s="184"/>
      <c r="F118" s="184"/>
      <c r="G118" s="184"/>
      <c r="H118" s="184"/>
      <c r="I118" s="184"/>
    </row>
    <row r="119" spans="1:12" ht="33.75" customHeight="1" x14ac:dyDescent="0.25">
      <c r="A119" s="22" t="s">
        <v>33</v>
      </c>
      <c r="B119" s="176" t="s">
        <v>100</v>
      </c>
      <c r="C119" s="176"/>
      <c r="D119" s="176"/>
      <c r="E119" s="176"/>
      <c r="F119" s="176"/>
      <c r="G119" s="176"/>
      <c r="H119" s="22" t="s">
        <v>35</v>
      </c>
      <c r="I119" s="22" t="s">
        <v>36</v>
      </c>
    </row>
    <row r="120" spans="1:12" ht="15" customHeight="1" x14ac:dyDescent="0.25">
      <c r="A120" s="118">
        <v>1</v>
      </c>
      <c r="B120" s="162" t="s">
        <v>101</v>
      </c>
      <c r="C120" s="162"/>
      <c r="D120" s="162"/>
      <c r="E120" s="162"/>
      <c r="F120" s="162"/>
      <c r="G120" s="162"/>
      <c r="H120" s="23">
        <f t="shared" ref="H120:H126" si="6">I120/$I$132</f>
        <v>0</v>
      </c>
      <c r="I120" s="133">
        <v>0</v>
      </c>
    </row>
    <row r="121" spans="1:12" ht="15" customHeight="1" x14ac:dyDescent="0.25">
      <c r="A121" s="118">
        <v>2</v>
      </c>
      <c r="B121" s="188" t="s">
        <v>102</v>
      </c>
      <c r="C121" s="188"/>
      <c r="D121" s="188"/>
      <c r="E121" s="188"/>
      <c r="F121" s="188"/>
      <c r="G121" s="188"/>
      <c r="H121" s="23">
        <f t="shared" si="6"/>
        <v>0</v>
      </c>
      <c r="I121" s="133">
        <v>0</v>
      </c>
    </row>
    <row r="122" spans="1:12" ht="15" customHeight="1" x14ac:dyDescent="0.25">
      <c r="A122" s="118">
        <v>3</v>
      </c>
      <c r="B122" s="162" t="s">
        <v>103</v>
      </c>
      <c r="C122" s="162"/>
      <c r="D122" s="162"/>
      <c r="E122" s="162"/>
      <c r="F122" s="162"/>
      <c r="G122" s="162"/>
      <c r="H122" s="23">
        <f t="shared" si="6"/>
        <v>0</v>
      </c>
      <c r="I122" s="133">
        <v>0</v>
      </c>
    </row>
    <row r="123" spans="1:12" ht="15" customHeight="1" x14ac:dyDescent="0.25">
      <c r="A123" s="118">
        <v>4</v>
      </c>
      <c r="B123" s="162" t="s">
        <v>200</v>
      </c>
      <c r="C123" s="162"/>
      <c r="D123" s="162"/>
      <c r="E123" s="162"/>
      <c r="F123" s="162"/>
      <c r="G123" s="162"/>
      <c r="H123" s="23">
        <f t="shared" si="6"/>
        <v>0</v>
      </c>
      <c r="I123" s="133">
        <f>IF(F130=20%,G130,0)</f>
        <v>0</v>
      </c>
    </row>
    <row r="124" spans="1:12" ht="15" customHeight="1" x14ac:dyDescent="0.25">
      <c r="A124" s="118">
        <v>5</v>
      </c>
      <c r="B124" s="162" t="s">
        <v>202</v>
      </c>
      <c r="C124" s="162"/>
      <c r="D124" s="162"/>
      <c r="E124" s="162"/>
      <c r="F124" s="162"/>
      <c r="G124" s="162"/>
      <c r="H124" s="23">
        <f t="shared" si="6"/>
        <v>0</v>
      </c>
      <c r="I124" s="133">
        <v>0</v>
      </c>
    </row>
    <row r="125" spans="1:12" ht="15" customHeight="1" x14ac:dyDescent="0.25">
      <c r="A125" s="118">
        <v>6</v>
      </c>
      <c r="B125" s="162" t="s">
        <v>104</v>
      </c>
      <c r="C125" s="162"/>
      <c r="D125" s="162"/>
      <c r="E125" s="162"/>
      <c r="F125" s="162"/>
      <c r="G125" s="162"/>
      <c r="H125" s="23">
        <f t="shared" si="6"/>
        <v>0</v>
      </c>
      <c r="I125" s="133">
        <v>0</v>
      </c>
    </row>
    <row r="126" spans="1:12" ht="15" customHeight="1" x14ac:dyDescent="0.25">
      <c r="A126" s="118">
        <v>7</v>
      </c>
      <c r="B126" s="162" t="s">
        <v>105</v>
      </c>
      <c r="C126" s="162"/>
      <c r="D126" s="162"/>
      <c r="E126" s="162"/>
      <c r="F126" s="162"/>
      <c r="G126" s="162"/>
      <c r="H126" s="23">
        <f t="shared" si="6"/>
        <v>0</v>
      </c>
      <c r="I126" s="133">
        <v>0</v>
      </c>
    </row>
    <row r="127" spans="1:12" ht="15" customHeight="1" x14ac:dyDescent="0.25">
      <c r="A127" s="175" t="s">
        <v>106</v>
      </c>
      <c r="B127" s="175"/>
      <c r="C127" s="175"/>
      <c r="D127" s="175"/>
      <c r="E127" s="175"/>
      <c r="F127" s="175"/>
      <c r="G127" s="175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60" t="s">
        <v>203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217" t="s">
        <v>107</v>
      </c>
      <c r="B130" s="217"/>
      <c r="C130" s="217"/>
      <c r="D130" s="217"/>
      <c r="E130" s="217"/>
      <c r="F130" s="55">
        <f>I29</f>
        <v>0.1</v>
      </c>
      <c r="G130" s="56">
        <f>I132*F130</f>
        <v>541.86352787889723</v>
      </c>
      <c r="H130" s="130" t="s">
        <v>108</v>
      </c>
      <c r="I130" s="58">
        <f>I97</f>
        <v>22.425000000000011</v>
      </c>
    </row>
    <row r="131" spans="1:12" s="61" customFormat="1" ht="16.5" customHeight="1" x14ac:dyDescent="0.25">
      <c r="A131" s="218" t="s">
        <v>109</v>
      </c>
      <c r="B131" s="218"/>
      <c r="C131" s="130" t="s">
        <v>110</v>
      </c>
      <c r="D131" s="130" t="s">
        <v>111</v>
      </c>
      <c r="E131" s="130" t="s">
        <v>112</v>
      </c>
      <c r="F131" s="130" t="s">
        <v>113</v>
      </c>
      <c r="G131" s="130" t="s">
        <v>114</v>
      </c>
      <c r="H131" s="130" t="s">
        <v>115</v>
      </c>
      <c r="I131" s="59" t="s">
        <v>116</v>
      </c>
      <c r="J131" s="60"/>
    </row>
    <row r="132" spans="1:12" ht="16.5" customHeight="1" x14ac:dyDescent="0.25">
      <c r="A132" s="219">
        <f>I55</f>
        <v>2665.5443181818182</v>
      </c>
      <c r="B132" s="219"/>
      <c r="C132" s="131">
        <f>I66</f>
        <v>980.92030909090931</v>
      </c>
      <c r="D132" s="131">
        <f>I78</f>
        <v>679.56186511022725</v>
      </c>
      <c r="E132" s="131">
        <f>I85</f>
        <v>189.68013368181821</v>
      </c>
      <c r="F132" s="131">
        <f>I89</f>
        <v>250.07876636056369</v>
      </c>
      <c r="G132" s="131">
        <f>I102</f>
        <v>675.27488636363637</v>
      </c>
      <c r="H132" s="131">
        <f>A132+C132+D132+E132+F132+G132</f>
        <v>5441.060278788972</v>
      </c>
      <c r="I132" s="131">
        <f>H132-I130</f>
        <v>5418.6352787889718</v>
      </c>
      <c r="J132" s="34"/>
    </row>
    <row r="133" spans="1:12" ht="4.5" customHeight="1" x14ac:dyDescent="0.25">
      <c r="A133" s="29"/>
      <c r="B133" s="220"/>
      <c r="C133" s="220"/>
      <c r="D133" s="220"/>
      <c r="E133" s="220"/>
      <c r="F133" s="220"/>
      <c r="G133" s="220"/>
      <c r="H133" s="220"/>
      <c r="I133" s="220"/>
    </row>
    <row r="134" spans="1:12" ht="33.75" customHeight="1" x14ac:dyDescent="0.25">
      <c r="A134" s="22" t="s">
        <v>42</v>
      </c>
      <c r="B134" s="176" t="s">
        <v>117</v>
      </c>
      <c r="C134" s="176"/>
      <c r="D134" s="176"/>
      <c r="E134" s="176"/>
      <c r="F134" s="176"/>
      <c r="G134" s="176"/>
      <c r="H134" s="22" t="s">
        <v>35</v>
      </c>
      <c r="I134" s="22" t="s">
        <v>36</v>
      </c>
    </row>
    <row r="135" spans="1:12" ht="15" customHeight="1" x14ac:dyDescent="0.25">
      <c r="A135" s="118">
        <v>1</v>
      </c>
      <c r="B135" s="162" t="s">
        <v>118</v>
      </c>
      <c r="C135" s="162"/>
      <c r="D135" s="162"/>
      <c r="E135" s="162"/>
      <c r="F135" s="162"/>
      <c r="G135" s="162"/>
      <c r="H135" s="23">
        <f>I135/$I$145</f>
        <v>0</v>
      </c>
      <c r="I135" s="133">
        <v>0</v>
      </c>
    </row>
    <row r="136" spans="1:12" ht="15" customHeight="1" x14ac:dyDescent="0.25">
      <c r="A136" s="118">
        <v>2</v>
      </c>
      <c r="B136" s="162" t="s">
        <v>119</v>
      </c>
      <c r="C136" s="162"/>
      <c r="D136" s="162"/>
      <c r="E136" s="162"/>
      <c r="F136" s="162"/>
      <c r="G136" s="162"/>
      <c r="H136" s="23">
        <f>I136/$I$145</f>
        <v>0</v>
      </c>
      <c r="I136" s="133">
        <v>0</v>
      </c>
    </row>
    <row r="137" spans="1:12" ht="34.5" customHeight="1" x14ac:dyDescent="0.25">
      <c r="A137" s="175" t="s">
        <v>179</v>
      </c>
      <c r="B137" s="175"/>
      <c r="C137" s="175"/>
      <c r="D137" s="175"/>
      <c r="E137" s="175"/>
      <c r="F137" s="175"/>
      <c r="G137" s="17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54</v>
      </c>
      <c r="B139" s="176" t="s">
        <v>120</v>
      </c>
      <c r="C139" s="176"/>
      <c r="D139" s="176"/>
      <c r="E139" s="176"/>
      <c r="F139" s="176"/>
      <c r="G139" s="176"/>
      <c r="H139" s="22" t="s">
        <v>35</v>
      </c>
      <c r="I139" s="22" t="s">
        <v>36</v>
      </c>
    </row>
    <row r="140" spans="1:12" ht="15" customHeight="1" x14ac:dyDescent="0.25">
      <c r="A140" s="118">
        <v>1</v>
      </c>
      <c r="B140" s="162" t="s">
        <v>120</v>
      </c>
      <c r="C140" s="162"/>
      <c r="D140" s="162"/>
      <c r="E140" s="162"/>
      <c r="F140" s="162"/>
      <c r="G140" s="162"/>
      <c r="H140" s="23">
        <f>I140/I145</f>
        <v>0</v>
      </c>
      <c r="I140" s="133">
        <v>0</v>
      </c>
    </row>
    <row r="141" spans="1:12" ht="34.5" customHeight="1" x14ac:dyDescent="0.25">
      <c r="A141" s="175" t="s">
        <v>178</v>
      </c>
      <c r="B141" s="175"/>
      <c r="C141" s="175"/>
      <c r="D141" s="175"/>
      <c r="E141" s="175"/>
      <c r="F141" s="175"/>
      <c r="G141" s="17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16" t="s">
        <v>121</v>
      </c>
      <c r="B143" s="216"/>
      <c r="C143" s="216"/>
      <c r="D143" s="216"/>
      <c r="E143" s="216"/>
      <c r="F143" s="55">
        <v>0.18</v>
      </c>
      <c r="G143" s="56">
        <f>I145*F143</f>
        <v>975.35435018201485</v>
      </c>
      <c r="H143" s="130" t="s">
        <v>108</v>
      </c>
      <c r="I143" s="58">
        <f>I97</f>
        <v>22.425000000000011</v>
      </c>
      <c r="L143" s="2"/>
    </row>
    <row r="144" spans="1:12" s="61" customFormat="1" ht="16.5" customHeight="1" x14ac:dyDescent="0.25">
      <c r="A144" s="218" t="s">
        <v>109</v>
      </c>
      <c r="B144" s="218"/>
      <c r="C144" s="130" t="s">
        <v>110</v>
      </c>
      <c r="D144" s="130" t="s">
        <v>111</v>
      </c>
      <c r="E144" s="130" t="s">
        <v>112</v>
      </c>
      <c r="F144" s="130" t="s">
        <v>113</v>
      </c>
      <c r="G144" s="130" t="s">
        <v>114</v>
      </c>
      <c r="H144" s="130" t="s">
        <v>115</v>
      </c>
      <c r="I144" s="59" t="s">
        <v>116</v>
      </c>
      <c r="J144" s="60"/>
      <c r="L144" s="60"/>
    </row>
    <row r="145" spans="1:12" ht="16.5" customHeight="1" x14ac:dyDescent="0.25">
      <c r="A145" s="219">
        <f>I55</f>
        <v>2665.5443181818182</v>
      </c>
      <c r="B145" s="219"/>
      <c r="C145" s="131">
        <f>I66</f>
        <v>980.92030909090931</v>
      </c>
      <c r="D145" s="131">
        <f>I78</f>
        <v>679.56186511022725</v>
      </c>
      <c r="E145" s="131">
        <f>I85</f>
        <v>189.68013368181821</v>
      </c>
      <c r="F145" s="131">
        <f>I89</f>
        <v>250.07876636056369</v>
      </c>
      <c r="G145" s="131">
        <f>I102</f>
        <v>675.27488636363637</v>
      </c>
      <c r="H145" s="131">
        <f>A145+C145+D145+E145+F145+G145</f>
        <v>5441.060278788972</v>
      </c>
      <c r="I145" s="131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15" t="s">
        <v>122</v>
      </c>
      <c r="B147" s="215"/>
      <c r="C147" s="215"/>
      <c r="D147" s="215"/>
      <c r="E147" s="215"/>
      <c r="F147" s="215"/>
      <c r="G147" s="21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84" t="s">
        <v>123</v>
      </c>
      <c r="B149" s="184"/>
      <c r="C149" s="184"/>
      <c r="D149" s="184"/>
      <c r="E149" s="184"/>
      <c r="F149" s="184"/>
      <c r="G149" s="184"/>
      <c r="H149" s="184"/>
      <c r="I149" s="184"/>
    </row>
    <row r="150" spans="1:12" ht="33.75" customHeight="1" x14ac:dyDescent="0.25">
      <c r="A150" s="22" t="s">
        <v>33</v>
      </c>
      <c r="B150" s="176" t="s">
        <v>226</v>
      </c>
      <c r="C150" s="176"/>
      <c r="D150" s="176"/>
      <c r="E150" s="176"/>
      <c r="F150" s="176"/>
      <c r="G150" s="176"/>
      <c r="H150" s="22" t="s">
        <v>35</v>
      </c>
      <c r="I150" s="22" t="s">
        <v>36</v>
      </c>
    </row>
    <row r="151" spans="1:12" ht="15" customHeight="1" x14ac:dyDescent="0.25">
      <c r="A151" s="118">
        <v>1</v>
      </c>
      <c r="B151" s="162" t="s">
        <v>124</v>
      </c>
      <c r="C151" s="162"/>
      <c r="D151" s="162"/>
      <c r="E151" s="162"/>
      <c r="F151" s="162"/>
      <c r="G151" s="162"/>
      <c r="H151" s="23">
        <f>I151/$I$116</f>
        <v>1.859154929577465E-2</v>
      </c>
      <c r="I151" s="133">
        <f>($D$161/$E$162)*G161</f>
        <v>101.15774039438655</v>
      </c>
    </row>
    <row r="152" spans="1:12" ht="15" customHeight="1" x14ac:dyDescent="0.25">
      <c r="A152" s="118">
        <v>2</v>
      </c>
      <c r="B152" s="162" t="s">
        <v>125</v>
      </c>
      <c r="C152" s="162"/>
      <c r="D152" s="162"/>
      <c r="E152" s="162"/>
      <c r="F152" s="162"/>
      <c r="G152" s="162"/>
      <c r="H152" s="23">
        <f>I152/$I$116</f>
        <v>8.5633802816901416E-2</v>
      </c>
      <c r="I152" s="133">
        <f>($D$161/$E$162)*G162</f>
        <v>465.93868302868952</v>
      </c>
    </row>
    <row r="153" spans="1:12" ht="15" customHeight="1" x14ac:dyDescent="0.25">
      <c r="A153" s="118">
        <v>3</v>
      </c>
      <c r="B153" s="162" t="s">
        <v>13</v>
      </c>
      <c r="C153" s="162"/>
      <c r="D153" s="162"/>
      <c r="E153" s="162"/>
      <c r="F153" s="162"/>
      <c r="G153" s="162"/>
      <c r="H153" s="23">
        <f>I153/$I$116</f>
        <v>2.2535211267605638E-2</v>
      </c>
      <c r="I153" s="133">
        <f>($D$161/$E$162)*G163</f>
        <v>122.61544290228673</v>
      </c>
    </row>
    <row r="154" spans="1:12" ht="15" customHeight="1" x14ac:dyDescent="0.25">
      <c r="A154" s="118">
        <v>4</v>
      </c>
      <c r="B154" s="162" t="s">
        <v>228</v>
      </c>
      <c r="C154" s="162"/>
      <c r="D154" s="162"/>
      <c r="E154" s="162"/>
      <c r="F154" s="162"/>
      <c r="G154" s="162"/>
      <c r="H154" s="23">
        <f>I154/$I$116</f>
        <v>0</v>
      </c>
      <c r="I154" s="133">
        <f>($D$161/$E$162)*G164</f>
        <v>0</v>
      </c>
    </row>
    <row r="155" spans="1:12" ht="15" customHeight="1" x14ac:dyDescent="0.25">
      <c r="A155" s="118">
        <v>5</v>
      </c>
      <c r="B155" s="162" t="s">
        <v>126</v>
      </c>
      <c r="C155" s="162"/>
      <c r="D155" s="162"/>
      <c r="E155" s="162"/>
      <c r="F155" s="162"/>
      <c r="G155" s="162"/>
      <c r="H155" s="23">
        <f>I155/$I$116</f>
        <v>0</v>
      </c>
      <c r="I155" s="133">
        <f>($D$161/$E$162)*G165</f>
        <v>0</v>
      </c>
    </row>
    <row r="156" spans="1:12" ht="15" customHeight="1" x14ac:dyDescent="0.25">
      <c r="A156" s="175" t="s">
        <v>127</v>
      </c>
      <c r="B156" s="175"/>
      <c r="C156" s="175"/>
      <c r="D156" s="175"/>
      <c r="E156" s="175"/>
      <c r="F156" s="175"/>
      <c r="G156" s="175"/>
      <c r="H156" s="25">
        <f>H151+H152+H153+H154+H155</f>
        <v>0.12676056338028172</v>
      </c>
      <c r="I156" s="26">
        <f>SUM(I151:I155)</f>
        <v>689.71186632536285</v>
      </c>
    </row>
    <row r="157" spans="1:12" ht="11.25" customHeight="1" x14ac:dyDescent="0.25">
      <c r="A157" s="115" t="s">
        <v>129</v>
      </c>
      <c r="B157" s="160" t="s">
        <v>128</v>
      </c>
      <c r="C157" s="160"/>
      <c r="D157" s="160"/>
      <c r="E157" s="160"/>
      <c r="F157" s="160"/>
      <c r="G157" s="160"/>
      <c r="H157" s="160"/>
      <c r="I157" s="160"/>
    </row>
    <row r="158" spans="1:12" ht="20.25" customHeight="1" x14ac:dyDescent="0.25">
      <c r="A158" s="115" t="s">
        <v>227</v>
      </c>
      <c r="B158" s="225" t="s">
        <v>130</v>
      </c>
      <c r="C158" s="225"/>
      <c r="D158" s="225"/>
      <c r="E158" s="225"/>
      <c r="F158" s="225"/>
      <c r="G158" s="225"/>
      <c r="H158" s="225"/>
      <c r="I158" s="225"/>
    </row>
    <row r="159" spans="1:12" ht="13.5" customHeight="1" x14ac:dyDescent="0.25">
      <c r="A159" s="207" t="s">
        <v>131</v>
      </c>
      <c r="B159" s="207"/>
      <c r="C159" s="207"/>
      <c r="D159" s="207"/>
      <c r="E159" s="207"/>
      <c r="F159" s="207"/>
      <c r="G159" s="207"/>
      <c r="H159" s="207"/>
      <c r="I159" s="207"/>
    </row>
    <row r="160" spans="1:12" ht="13.5" customHeight="1" x14ac:dyDescent="0.25">
      <c r="A160" s="163" t="s">
        <v>132</v>
      </c>
      <c r="B160" s="163"/>
      <c r="C160" s="118" t="s">
        <v>133</v>
      </c>
      <c r="D160" s="191" t="s">
        <v>134</v>
      </c>
      <c r="E160" s="191"/>
      <c r="F160" s="118" t="s">
        <v>135</v>
      </c>
      <c r="G160" s="63" t="s">
        <v>136</v>
      </c>
      <c r="H160" s="163" t="s">
        <v>137</v>
      </c>
      <c r="I160" s="163"/>
    </row>
    <row r="161" spans="1:10" ht="13.5" customHeight="1" x14ac:dyDescent="0.25">
      <c r="A161" s="226">
        <f>I116</f>
        <v>5441.0602787889729</v>
      </c>
      <c r="B161" s="226"/>
      <c r="C161" s="133">
        <f>I147</f>
        <v>0</v>
      </c>
      <c r="D161" s="227">
        <f>A161+C161</f>
        <v>5441.0602787889729</v>
      </c>
      <c r="E161" s="227"/>
      <c r="F161" s="118" t="s">
        <v>124</v>
      </c>
      <c r="G161" s="64">
        <v>1.6500000000000001E-2</v>
      </c>
      <c r="H161" s="222">
        <v>6.4999999999999997E-3</v>
      </c>
      <c r="I161" s="222"/>
      <c r="J161" s="34"/>
    </row>
    <row r="162" spans="1:10" ht="13.5" customHeight="1" x14ac:dyDescent="0.25">
      <c r="A162" s="221" t="s">
        <v>138</v>
      </c>
      <c r="B162" s="221"/>
      <c r="C162" s="63">
        <v>1</v>
      </c>
      <c r="D162" s="65">
        <f>G166/1</f>
        <v>0.1125</v>
      </c>
      <c r="E162" s="66">
        <f>C162-D162</f>
        <v>0.88749999999999996</v>
      </c>
      <c r="F162" s="118" t="s">
        <v>125</v>
      </c>
      <c r="G162" s="64">
        <v>7.5999999999999998E-2</v>
      </c>
      <c r="H162" s="222">
        <v>0.03</v>
      </c>
      <c r="I162" s="222"/>
    </row>
    <row r="163" spans="1:10" ht="13.5" customHeight="1" x14ac:dyDescent="0.25">
      <c r="A163" s="223" t="s">
        <v>139</v>
      </c>
      <c r="B163" s="223"/>
      <c r="C163" s="118">
        <v>1</v>
      </c>
      <c r="D163" s="67">
        <f>H166</f>
        <v>5.6499999999999995E-2</v>
      </c>
      <c r="E163" s="68">
        <f>C163-D163</f>
        <v>0.94350000000000001</v>
      </c>
      <c r="F163" s="118" t="s">
        <v>13</v>
      </c>
      <c r="G163" s="64">
        <f>I11</f>
        <v>0.02</v>
      </c>
      <c r="H163" s="222">
        <f>I11</f>
        <v>0.02</v>
      </c>
      <c r="I163" s="222"/>
    </row>
    <row r="164" spans="1:10" ht="13.5" customHeight="1" x14ac:dyDescent="0.25">
      <c r="A164" s="223" t="s">
        <v>140</v>
      </c>
      <c r="B164" s="223"/>
      <c r="C164" s="118">
        <v>1</v>
      </c>
      <c r="D164" s="69">
        <v>0.09</v>
      </c>
      <c r="E164" s="70">
        <f>C164-D164</f>
        <v>0.91</v>
      </c>
      <c r="F164" s="118" t="s">
        <v>141</v>
      </c>
      <c r="G164" s="64">
        <v>0</v>
      </c>
      <c r="H164" s="222">
        <v>0</v>
      </c>
      <c r="I164" s="222"/>
    </row>
    <row r="165" spans="1:10" ht="13.5" customHeight="1" x14ac:dyDescent="0.25">
      <c r="A165" s="229" t="s">
        <v>142</v>
      </c>
      <c r="B165" s="229" t="s">
        <v>143</v>
      </c>
      <c r="C165" s="229"/>
      <c r="D165" s="229"/>
      <c r="E165" s="229"/>
      <c r="F165" s="125" t="s">
        <v>230</v>
      </c>
      <c r="G165" s="64">
        <v>0</v>
      </c>
      <c r="H165" s="222">
        <v>0</v>
      </c>
      <c r="I165" s="222"/>
    </row>
    <row r="166" spans="1:10" ht="18" customHeight="1" x14ac:dyDescent="0.25">
      <c r="A166" s="229"/>
      <c r="B166" s="229"/>
      <c r="C166" s="229"/>
      <c r="D166" s="229"/>
      <c r="E166" s="229"/>
      <c r="F166" s="127" t="s">
        <v>144</v>
      </c>
      <c r="G166" s="71">
        <f>SUM(G161:G165)</f>
        <v>0.1125</v>
      </c>
      <c r="H166" s="230">
        <f>SUM(H161:I165)</f>
        <v>5.6499999999999995E-2</v>
      </c>
      <c r="I166" s="230"/>
    </row>
    <row r="167" spans="1:10" ht="18" customHeight="1" x14ac:dyDescent="0.25">
      <c r="A167" s="115" t="s">
        <v>229</v>
      </c>
      <c r="B167" s="225" t="s">
        <v>146</v>
      </c>
      <c r="C167" s="225"/>
      <c r="D167" s="225"/>
      <c r="E167" s="225"/>
      <c r="F167" s="225"/>
      <c r="G167" s="225"/>
      <c r="H167" s="225"/>
      <c r="I167" s="225"/>
    </row>
    <row r="168" spans="1:10" ht="4.5" customHeight="1" x14ac:dyDescent="0.25">
      <c r="A168" s="72"/>
      <c r="B168" s="231"/>
      <c r="C168" s="231"/>
      <c r="D168" s="231"/>
      <c r="E168" s="231"/>
      <c r="F168" s="231"/>
      <c r="G168" s="231"/>
      <c r="H168" s="231"/>
      <c r="I168" s="231"/>
    </row>
    <row r="169" spans="1:10" ht="12" customHeight="1" x14ac:dyDescent="0.25">
      <c r="A169" s="215" t="s">
        <v>147</v>
      </c>
      <c r="B169" s="215"/>
      <c r="C169" s="215"/>
      <c r="D169" s="215"/>
      <c r="E169" s="215"/>
      <c r="F169" s="215"/>
      <c r="G169" s="215"/>
      <c r="H169" s="47">
        <f>H156</f>
        <v>0.12676056338028172</v>
      </c>
      <c r="I169" s="48">
        <f>I156</f>
        <v>689.71186632536285</v>
      </c>
    </row>
    <row r="170" spans="1:10" ht="4.5" customHeight="1" x14ac:dyDescent="0.25"/>
    <row r="171" spans="1:10" ht="11.25" customHeight="1" x14ac:dyDescent="0.25">
      <c r="A171" s="228" t="s">
        <v>148</v>
      </c>
      <c r="B171" s="228"/>
      <c r="C171" s="228"/>
      <c r="D171" s="228"/>
      <c r="E171" s="228"/>
      <c r="F171" s="228"/>
      <c r="G171" s="228"/>
      <c r="H171" s="228"/>
      <c r="I171" s="228"/>
    </row>
    <row r="172" spans="1:10" ht="11.25" customHeight="1" x14ac:dyDescent="0.25">
      <c r="A172" s="184" t="s">
        <v>32</v>
      </c>
      <c r="B172" s="184"/>
      <c r="C172" s="184"/>
      <c r="D172" s="184"/>
      <c r="E172" s="184"/>
      <c r="F172" s="184"/>
      <c r="G172" s="184"/>
      <c r="H172" s="184"/>
      <c r="I172" s="184"/>
    </row>
    <row r="173" spans="1:10" ht="15" customHeight="1" x14ac:dyDescent="0.25">
      <c r="A173" s="118">
        <v>1</v>
      </c>
      <c r="B173" s="162" t="s">
        <v>149</v>
      </c>
      <c r="C173" s="162"/>
      <c r="D173" s="162"/>
      <c r="E173" s="162"/>
      <c r="F173" s="162"/>
      <c r="G173" s="162"/>
      <c r="H173" s="23">
        <f>I173/$G$196</f>
        <v>0.43478117520743498</v>
      </c>
      <c r="I173" s="73">
        <f>I55</f>
        <v>2665.5443181818182</v>
      </c>
    </row>
    <row r="174" spans="1:10" ht="15" customHeight="1" x14ac:dyDescent="0.25">
      <c r="A174" s="118">
        <v>2</v>
      </c>
      <c r="B174" s="162" t="s">
        <v>150</v>
      </c>
      <c r="C174" s="162"/>
      <c r="D174" s="162"/>
      <c r="E174" s="162"/>
      <c r="F174" s="162"/>
      <c r="G174" s="162"/>
      <c r="H174" s="23">
        <f>I174/$G$196</f>
        <v>0.34257366356654084</v>
      </c>
      <c r="I174" s="73">
        <f>I66+I78+I85+I89</f>
        <v>2100.2410742435186</v>
      </c>
    </row>
    <row r="175" spans="1:10" ht="15" customHeight="1" x14ac:dyDescent="0.25">
      <c r="A175" s="118">
        <v>3</v>
      </c>
      <c r="B175" s="162" t="s">
        <v>151</v>
      </c>
      <c r="C175" s="162"/>
      <c r="D175" s="162"/>
      <c r="E175" s="162"/>
      <c r="F175" s="162"/>
      <c r="G175" s="162"/>
      <c r="H175" s="23">
        <f>I175/$G$196</f>
        <v>0.11014516122602414</v>
      </c>
      <c r="I175" s="73">
        <f>I102</f>
        <v>675.27488636363637</v>
      </c>
    </row>
    <row r="176" spans="1:10" s="28" customFormat="1" ht="15" customHeight="1" x14ac:dyDescent="0.25">
      <c r="A176" s="215" t="s">
        <v>152</v>
      </c>
      <c r="B176" s="215"/>
      <c r="C176" s="215"/>
      <c r="D176" s="215"/>
      <c r="E176" s="215"/>
      <c r="F176" s="215"/>
      <c r="G176" s="215"/>
      <c r="H176" s="47">
        <f>H173+H174+H175</f>
        <v>0.88749999999999996</v>
      </c>
      <c r="I176" s="48">
        <f>SUM(I173:I175)</f>
        <v>5441.0602787889729</v>
      </c>
      <c r="J176" s="35"/>
    </row>
    <row r="177" spans="1:11" ht="4.5" customHeight="1" x14ac:dyDescent="0.25"/>
    <row r="178" spans="1:11" ht="11.25" customHeight="1" x14ac:dyDescent="0.25">
      <c r="A178" s="184" t="s">
        <v>99</v>
      </c>
      <c r="B178" s="184"/>
      <c r="C178" s="184"/>
      <c r="D178" s="184"/>
      <c r="E178" s="184"/>
      <c r="F178" s="184"/>
      <c r="G178" s="184"/>
      <c r="H178" s="184"/>
      <c r="I178" s="184"/>
    </row>
    <row r="179" spans="1:11" ht="15" customHeight="1" x14ac:dyDescent="0.25">
      <c r="A179" s="118">
        <v>1</v>
      </c>
      <c r="B179" s="162" t="s">
        <v>153</v>
      </c>
      <c r="C179" s="162"/>
      <c r="D179" s="162"/>
      <c r="E179" s="162"/>
      <c r="F179" s="162"/>
      <c r="G179" s="162"/>
      <c r="H179" s="23">
        <f>I179/$G$196</f>
        <v>0</v>
      </c>
      <c r="I179" s="133">
        <f>I127</f>
        <v>0</v>
      </c>
    </row>
    <row r="180" spans="1:11" ht="15" customHeight="1" x14ac:dyDescent="0.25">
      <c r="A180" s="118">
        <v>2</v>
      </c>
      <c r="B180" s="162" t="s">
        <v>154</v>
      </c>
      <c r="C180" s="162"/>
      <c r="D180" s="162"/>
      <c r="E180" s="162"/>
      <c r="F180" s="162"/>
      <c r="G180" s="162"/>
      <c r="H180" s="23">
        <f>I180/$G$196</f>
        <v>0</v>
      </c>
      <c r="I180" s="133">
        <f>I137</f>
        <v>0</v>
      </c>
    </row>
    <row r="181" spans="1:11" ht="15" customHeight="1" x14ac:dyDescent="0.25">
      <c r="A181" s="118">
        <v>3</v>
      </c>
      <c r="B181" s="162" t="s">
        <v>155</v>
      </c>
      <c r="C181" s="162"/>
      <c r="D181" s="162"/>
      <c r="E181" s="162"/>
      <c r="F181" s="162"/>
      <c r="G181" s="162"/>
      <c r="H181" s="23">
        <f>I181/$G$196</f>
        <v>0</v>
      </c>
      <c r="I181" s="133">
        <f>I141</f>
        <v>0</v>
      </c>
    </row>
    <row r="182" spans="1:11" ht="15" customHeight="1" x14ac:dyDescent="0.25">
      <c r="A182" s="215" t="s">
        <v>156</v>
      </c>
      <c r="B182" s="215"/>
      <c r="C182" s="215"/>
      <c r="D182" s="215"/>
      <c r="E182" s="215"/>
      <c r="F182" s="215"/>
      <c r="G182" s="21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84" t="s">
        <v>123</v>
      </c>
      <c r="B184" s="184"/>
      <c r="C184" s="184"/>
      <c r="D184" s="184"/>
      <c r="E184" s="184"/>
      <c r="F184" s="184"/>
      <c r="G184" s="184"/>
      <c r="H184" s="184"/>
      <c r="I184" s="184"/>
    </row>
    <row r="185" spans="1:11" ht="15" customHeight="1" x14ac:dyDescent="0.25">
      <c r="A185" s="118">
        <v>1</v>
      </c>
      <c r="B185" s="162" t="s">
        <v>157</v>
      </c>
      <c r="C185" s="162"/>
      <c r="D185" s="162"/>
      <c r="E185" s="162"/>
      <c r="F185" s="162"/>
      <c r="G185" s="162"/>
      <c r="H185" s="23">
        <f>I185/$G$196</f>
        <v>0.1125</v>
      </c>
      <c r="I185" s="133">
        <f>I156</f>
        <v>689.71186632536285</v>
      </c>
    </row>
    <row r="186" spans="1:11" ht="15" customHeight="1" x14ac:dyDescent="0.25">
      <c r="A186" s="215" t="s">
        <v>158</v>
      </c>
      <c r="B186" s="215"/>
      <c r="C186" s="215"/>
      <c r="D186" s="215"/>
      <c r="E186" s="215"/>
      <c r="F186" s="215"/>
      <c r="G186" s="215"/>
      <c r="H186" s="47">
        <f>H185</f>
        <v>0.1125</v>
      </c>
      <c r="I186" s="48">
        <f>I156</f>
        <v>689.71186632536285</v>
      </c>
      <c r="K186" s="41"/>
    </row>
    <row r="187" spans="1:11" ht="4.5" customHeight="1" x14ac:dyDescent="0.25"/>
    <row r="188" spans="1:11" ht="11.25" customHeight="1" x14ac:dyDescent="0.25">
      <c r="A188" s="177" t="s">
        <v>197</v>
      </c>
      <c r="B188" s="177"/>
      <c r="C188" s="177"/>
      <c r="D188" s="177"/>
      <c r="E188" s="177"/>
      <c r="F188" s="177"/>
      <c r="G188" s="177"/>
      <c r="H188" s="177"/>
      <c r="I188" s="177"/>
    </row>
    <row r="189" spans="1:11" ht="4.9000000000000004" customHeight="1" x14ac:dyDescent="0.25">
      <c r="A189" s="170"/>
      <c r="B189" s="170"/>
      <c r="C189" s="170"/>
      <c r="D189" s="170"/>
      <c r="E189" s="170"/>
      <c r="F189" s="170"/>
      <c r="G189" s="170"/>
      <c r="H189" s="170"/>
      <c r="I189" s="170"/>
    </row>
    <row r="190" spans="1:11" ht="22.5" customHeight="1" x14ac:dyDescent="0.25">
      <c r="A190" s="164" t="s">
        <v>210</v>
      </c>
      <c r="B190" s="165"/>
      <c r="C190" s="165"/>
      <c r="D190" s="165"/>
      <c r="E190" s="165"/>
      <c r="F190" s="165"/>
      <c r="G190" s="165"/>
      <c r="H190" s="166"/>
      <c r="I190" s="97">
        <f>I123*H196</f>
        <v>0</v>
      </c>
    </row>
    <row r="191" spans="1:11" ht="6" customHeight="1" x14ac:dyDescent="0.25">
      <c r="A191" s="232"/>
      <c r="B191" s="233"/>
      <c r="C191" s="233"/>
      <c r="D191" s="233"/>
      <c r="E191" s="233"/>
      <c r="F191" s="233"/>
      <c r="G191" s="233"/>
      <c r="H191" s="233"/>
      <c r="I191" s="235"/>
    </row>
    <row r="192" spans="1:11" ht="57.6" customHeight="1" x14ac:dyDescent="0.25">
      <c r="A192" s="178" t="s">
        <v>195</v>
      </c>
      <c r="B192" s="179"/>
      <c r="C192" s="179"/>
      <c r="D192" s="179"/>
      <c r="E192" s="179"/>
      <c r="F192" s="180"/>
      <c r="G192" s="242" t="s">
        <v>199</v>
      </c>
      <c r="H192" s="243"/>
      <c r="I192" s="244"/>
    </row>
    <row r="193" spans="1:9" ht="11.25" customHeight="1" x14ac:dyDescent="0.25">
      <c r="A193" s="181"/>
      <c r="B193" s="182"/>
      <c r="C193" s="182"/>
      <c r="D193" s="182"/>
      <c r="E193" s="182"/>
      <c r="F193" s="183"/>
      <c r="G193" s="96"/>
      <c r="H193" s="97"/>
      <c r="I193" s="98">
        <f>((H70+H76+H77+H82+H83+H84)+((H70+H76+H77+H82+H83+H84)*H66))*I55*H196</f>
        <v>2052.5876457625636</v>
      </c>
    </row>
    <row r="194" spans="1:9" ht="6.6" customHeight="1" x14ac:dyDescent="0.25">
      <c r="A194" s="232"/>
      <c r="B194" s="233"/>
      <c r="C194" s="233"/>
      <c r="D194" s="233"/>
      <c r="E194" s="233"/>
      <c r="F194" s="233"/>
      <c r="G194" s="234"/>
      <c r="H194" s="234"/>
      <c r="I194" s="235"/>
    </row>
    <row r="195" spans="1:9" ht="45" customHeight="1" x14ac:dyDescent="0.25">
      <c r="A195" s="236" t="s">
        <v>196</v>
      </c>
      <c r="B195" s="237"/>
      <c r="C195" s="237"/>
      <c r="D195" s="237"/>
      <c r="E195" s="237"/>
      <c r="F195" s="238"/>
      <c r="G195" s="90" t="s">
        <v>159</v>
      </c>
      <c r="H195" s="90" t="s">
        <v>160</v>
      </c>
      <c r="I195" s="90" t="s">
        <v>161</v>
      </c>
    </row>
    <row r="196" spans="1:9" ht="13.15" customHeight="1" x14ac:dyDescent="0.25">
      <c r="A196" s="239"/>
      <c r="B196" s="240"/>
      <c r="C196" s="240"/>
      <c r="D196" s="240"/>
      <c r="E196" s="240"/>
      <c r="F196" s="241"/>
      <c r="G196" s="88">
        <f>I176+I182+I186</f>
        <v>6130.7721451143361</v>
      </c>
      <c r="H196" s="120">
        <f>IF(D6="12x36",2,1)</f>
        <v>2</v>
      </c>
      <c r="I196" s="89">
        <f>G196*H196</f>
        <v>12261.544290228672</v>
      </c>
    </row>
  </sheetData>
  <mergeCells count="19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view="pageBreakPreview" zoomScaleNormal="100" workbookViewId="0">
      <selection activeCell="B5" sqref="B5"/>
    </sheetView>
  </sheetViews>
  <sheetFormatPr defaultColWidth="8.42578125" defaultRowHeight="15" x14ac:dyDescent="0.25"/>
  <cols>
    <col min="1" max="1" width="31.5703125" style="75" customWidth="1"/>
    <col min="2" max="2" width="24.42578125" style="75" customWidth="1"/>
    <col min="3" max="3" width="16.5703125" style="75" customWidth="1"/>
    <col min="4" max="4" width="28.285156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4" t="s">
        <v>171</v>
      </c>
      <c r="B1" s="84" t="s">
        <v>172</v>
      </c>
      <c r="C1" s="83" t="s">
        <v>173</v>
      </c>
      <c r="D1" s="83" t="s">
        <v>174</v>
      </c>
      <c r="E1" s="85" t="s">
        <v>175</v>
      </c>
      <c r="F1" s="85" t="s">
        <v>211</v>
      </c>
      <c r="G1" s="85" t="s">
        <v>212</v>
      </c>
      <c r="H1" s="86" t="s">
        <v>213</v>
      </c>
      <c r="I1" s="87" t="s">
        <v>214</v>
      </c>
      <c r="J1" s="87" t="s">
        <v>194</v>
      </c>
      <c r="K1" s="86" t="s">
        <v>218</v>
      </c>
    </row>
    <row r="2" spans="1:11" ht="30" x14ac:dyDescent="0.25">
      <c r="A2" s="152" t="s">
        <v>238</v>
      </c>
      <c r="B2" s="152" t="s">
        <v>236</v>
      </c>
      <c r="C2" s="153" t="s">
        <v>235</v>
      </c>
      <c r="D2" s="154" t="s">
        <v>239</v>
      </c>
      <c r="E2" s="82">
        <v>8</v>
      </c>
      <c r="F2" s="107">
        <f t="shared" ref="F2:F7" ca="1" si="0">OFFSET(INDIRECT(SUBSTITUTE(_xlfn.FORMULATEXT(J2),"=","")), -6, 0)</f>
        <v>0</v>
      </c>
      <c r="G2" s="106">
        <f t="shared" ref="G2:G7" ca="1" si="1">F2*E2</f>
        <v>0</v>
      </c>
      <c r="H2" s="103">
        <f t="shared" ref="H2:H7" ca="1" si="2">OFFSET(INDIRECT(SUBSTITUTE(_xlfn.FORMULATEXT(J2),"=","")), -3, 0)</f>
        <v>1637.30704158</v>
      </c>
      <c r="I2" s="103">
        <f ca="1">H2*E2</f>
        <v>13098.45633264</v>
      </c>
      <c r="J2" s="104">
        <f>'Porteiro - POA Diurno'!I196</f>
        <v>10166.218900608808</v>
      </c>
      <c r="K2" s="104">
        <f t="shared" ref="K2:K7" si="3">E2*J2</f>
        <v>81329.751204870467</v>
      </c>
    </row>
    <row r="3" spans="1:11" ht="30" x14ac:dyDescent="0.25">
      <c r="A3" s="152" t="s">
        <v>248</v>
      </c>
      <c r="B3" s="152" t="s">
        <v>251</v>
      </c>
      <c r="C3" s="153" t="s">
        <v>252</v>
      </c>
      <c r="D3" s="154" t="s">
        <v>239</v>
      </c>
      <c r="E3" s="82">
        <v>1</v>
      </c>
      <c r="F3" s="107">
        <f t="shared" ca="1" si="0"/>
        <v>0</v>
      </c>
      <c r="G3" s="106">
        <f t="shared" ca="1" si="1"/>
        <v>0</v>
      </c>
      <c r="H3" s="103">
        <f ca="1">OFFSET(INDIRECT(SUBSTITUTE(_xlfn.FORMULATEXT(J2),"=","")), -3, 0)</f>
        <v>1637.30704158</v>
      </c>
      <c r="I3" s="103">
        <f ca="1">H3*E3</f>
        <v>1637.30704158</v>
      </c>
      <c r="J3" s="104">
        <f>'Porteiro - Canoas Diurno'!I196</f>
        <v>10269.554097737491</v>
      </c>
      <c r="K3" s="104">
        <f t="shared" si="3"/>
        <v>10269.554097737491</v>
      </c>
    </row>
    <row r="4" spans="1:11" ht="30" x14ac:dyDescent="0.25">
      <c r="A4" s="152" t="s">
        <v>240</v>
      </c>
      <c r="B4" s="152" t="s">
        <v>241</v>
      </c>
      <c r="C4" s="155" t="s">
        <v>235</v>
      </c>
      <c r="D4" s="156" t="s">
        <v>239</v>
      </c>
      <c r="E4" s="76">
        <v>1</v>
      </c>
      <c r="F4" s="107">
        <f t="shared" ca="1" si="0"/>
        <v>0</v>
      </c>
      <c r="G4" s="106">
        <f t="shared" ca="1" si="1"/>
        <v>0</v>
      </c>
      <c r="H4" s="103">
        <f t="shared" ca="1" si="2"/>
        <v>1637.30704158</v>
      </c>
      <c r="I4" s="103">
        <f t="shared" ref="I4:I7" ca="1" si="4">H4*E4</f>
        <v>1637.30704158</v>
      </c>
      <c r="J4" s="105">
        <f>'Porteiro - Taquari Diurno'!I196</f>
        <v>10088.662737788478</v>
      </c>
      <c r="K4" s="105">
        <f t="shared" si="3"/>
        <v>10088.662737788478</v>
      </c>
    </row>
    <row r="5" spans="1:11" ht="30" x14ac:dyDescent="0.25">
      <c r="A5" s="152" t="s">
        <v>242</v>
      </c>
      <c r="B5" s="152" t="s">
        <v>236</v>
      </c>
      <c r="C5" s="155" t="s">
        <v>235</v>
      </c>
      <c r="D5" s="156" t="s">
        <v>239</v>
      </c>
      <c r="E5" s="76">
        <v>6</v>
      </c>
      <c r="F5" s="107">
        <f t="shared" ca="1" si="0"/>
        <v>0</v>
      </c>
      <c r="G5" s="106">
        <f t="shared" ca="1" si="1"/>
        <v>0</v>
      </c>
      <c r="H5" s="103">
        <f t="shared" ca="1" si="2"/>
        <v>2052.5876457625636</v>
      </c>
      <c r="I5" s="103">
        <f t="shared" ca="1" si="4"/>
        <v>12315.525874575382</v>
      </c>
      <c r="J5" s="105">
        <f>'Porteiro - POA Noturno'!I196</f>
        <v>12351.411396688891</v>
      </c>
      <c r="K5" s="105">
        <f t="shared" si="3"/>
        <v>74108.468380133345</v>
      </c>
    </row>
    <row r="6" spans="1:11" ht="30" x14ac:dyDescent="0.25">
      <c r="A6" s="152" t="s">
        <v>249</v>
      </c>
      <c r="B6" s="152" t="s">
        <v>251</v>
      </c>
      <c r="C6" s="155" t="s">
        <v>252</v>
      </c>
      <c r="D6" s="156" t="s">
        <v>239</v>
      </c>
      <c r="E6" s="76">
        <v>1</v>
      </c>
      <c r="F6" s="107">
        <f t="shared" ca="1" si="0"/>
        <v>0</v>
      </c>
      <c r="G6" s="106">
        <f t="shared" ca="1" si="1"/>
        <v>0</v>
      </c>
      <c r="H6" s="103">
        <f t="shared" ca="1" si="2"/>
        <v>2052.5876457625636</v>
      </c>
      <c r="I6" s="103">
        <f t="shared" ca="1" si="4"/>
        <v>2052.5876457625636</v>
      </c>
      <c r="J6" s="105">
        <f>'Porteiro - Canoas Noturno'!I196</f>
        <v>12492.530902107143</v>
      </c>
      <c r="K6" s="105">
        <f t="shared" si="3"/>
        <v>12492.530902107143</v>
      </c>
    </row>
    <row r="7" spans="1:11" ht="30" x14ac:dyDescent="0.25">
      <c r="A7" s="152" t="s">
        <v>243</v>
      </c>
      <c r="B7" s="152" t="s">
        <v>241</v>
      </c>
      <c r="C7" s="155" t="s">
        <v>235</v>
      </c>
      <c r="D7" s="156" t="s">
        <v>239</v>
      </c>
      <c r="E7" s="76">
        <v>1</v>
      </c>
      <c r="F7" s="107">
        <f t="shared" ca="1" si="0"/>
        <v>0</v>
      </c>
      <c r="G7" s="106">
        <f t="shared" ca="1" si="1"/>
        <v>0</v>
      </c>
      <c r="H7" s="103">
        <f t="shared" ca="1" si="2"/>
        <v>2052.5876457625636</v>
      </c>
      <c r="I7" s="103">
        <f t="shared" ca="1" si="4"/>
        <v>2052.5876457625636</v>
      </c>
      <c r="J7" s="105">
        <f>'Porteiro - Taquari Noturno'!I196</f>
        <v>12261.544290228672</v>
      </c>
      <c r="K7" s="105">
        <f t="shared" si="3"/>
        <v>12261.544290228672</v>
      </c>
    </row>
    <row r="8" spans="1:11" ht="6" customHeight="1" x14ac:dyDescent="0.25">
      <c r="A8" s="266"/>
      <c r="B8" s="267"/>
      <c r="C8" s="267"/>
      <c r="D8" s="267"/>
      <c r="E8" s="267"/>
      <c r="F8" s="267"/>
      <c r="G8" s="267"/>
      <c r="H8" s="267"/>
      <c r="I8" s="267"/>
      <c r="J8" s="267"/>
      <c r="K8" s="268"/>
    </row>
    <row r="9" spans="1:11" ht="63" customHeight="1" x14ac:dyDescent="0.25">
      <c r="A9" s="269" t="s">
        <v>209</v>
      </c>
      <c r="B9" s="270"/>
      <c r="C9" s="270"/>
      <c r="D9" s="271"/>
      <c r="E9" s="114">
        <f>SUM(E2:E7)</f>
        <v>18</v>
      </c>
      <c r="F9" s="110" t="s">
        <v>205</v>
      </c>
      <c r="G9" s="111">
        <f ca="1">SUM(G2:G7)</f>
        <v>0</v>
      </c>
      <c r="H9" s="110" t="s">
        <v>206</v>
      </c>
      <c r="I9" s="111">
        <f ca="1">SUM(I2:I7)</f>
        <v>32793.77158190051</v>
      </c>
      <c r="J9" s="112" t="s">
        <v>207</v>
      </c>
      <c r="K9" s="113">
        <f ca="1">I9/K11</f>
        <v>0.16351876301968379</v>
      </c>
    </row>
    <row r="10" spans="1:11" ht="6" customHeight="1" x14ac:dyDescent="0.25">
      <c r="A10" s="263"/>
      <c r="B10" s="264"/>
      <c r="C10" s="264"/>
      <c r="D10" s="264"/>
      <c r="E10" s="264"/>
      <c r="F10" s="264"/>
      <c r="G10" s="264"/>
      <c r="H10" s="264"/>
      <c r="I10" s="264"/>
      <c r="J10" s="264"/>
      <c r="K10" s="265"/>
    </row>
    <row r="11" spans="1:11" ht="26.45" customHeight="1" x14ac:dyDescent="0.25">
      <c r="A11" s="272" t="s">
        <v>208</v>
      </c>
      <c r="B11" s="273"/>
      <c r="C11" s="273"/>
      <c r="D11" s="273"/>
      <c r="E11" s="273"/>
      <c r="F11" s="273"/>
      <c r="G11" s="273"/>
      <c r="H11" s="273"/>
      <c r="I11" s="273"/>
      <c r="J11" s="274"/>
      <c r="K11" s="91">
        <f>SUM(K2:K7)</f>
        <v>200550.51161286558</v>
      </c>
    </row>
    <row r="12" spans="1:11" ht="6" customHeight="1" x14ac:dyDescent="0.25">
      <c r="A12" s="266"/>
      <c r="B12" s="267"/>
      <c r="C12" s="267"/>
      <c r="D12" s="267"/>
      <c r="E12" s="267"/>
      <c r="F12" s="267"/>
      <c r="G12" s="267"/>
      <c r="H12" s="267"/>
      <c r="I12" s="267"/>
      <c r="J12" s="267"/>
      <c r="K12" s="268"/>
    </row>
  </sheetData>
  <mergeCells count="5">
    <mergeCell ref="A10:K10"/>
    <mergeCell ref="A8:K8"/>
    <mergeCell ref="A12:K12"/>
    <mergeCell ref="A9:D9"/>
    <mergeCell ref="A11:J11"/>
  </mergeCells>
  <pageMargins left="0.51180555555555596" right="0.51180555555555596" top="0.78749999999999998" bottom="0.78749999999999998" header="0.511811023622047" footer="0.511811023622047"/>
  <pageSetup paperSize="9" scale="4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Porteiro - POA Diurno</vt:lpstr>
      <vt:lpstr>Porteiro - Canoas Diurno</vt:lpstr>
      <vt:lpstr>Porteiro - Taquari Diurno</vt:lpstr>
      <vt:lpstr>Porteiro - POA Noturno</vt:lpstr>
      <vt:lpstr>Porteiro - Canoas Noturno</vt:lpstr>
      <vt:lpstr>Porteiro - Taquari Noturno</vt:lpstr>
      <vt:lpstr>Resumo</vt:lpstr>
      <vt:lpstr>'Porteiro - Canoas Diurno'!Area_de_impressao</vt:lpstr>
      <vt:lpstr>'Porteiro - Canoas Noturno'!Area_de_impressao</vt:lpstr>
      <vt:lpstr>'Porteiro - POA Diurno'!Area_de_impressao</vt:lpstr>
      <vt:lpstr>'Porteiro - POA Noturno'!Area_de_impressao</vt:lpstr>
      <vt:lpstr>'Porteiro - Taquari Diurno'!Area_de_impressao</vt:lpstr>
      <vt:lpstr>'Porteiro - Taquari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2026-05-13T18:05:33Z</cp:lastPrinted>
  <dcterms:created xsi:type="dcterms:W3CDTF">2019-04-12T20:03:09Z</dcterms:created>
  <dcterms:modified xsi:type="dcterms:W3CDTF">2026-07-23T19:28:22Z</dcterms:modified>
  <dc:language>pt-BR</dc:language>
</cp:coreProperties>
</file>