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Prefeitura\Desktop\GUILHERME\1. TERMOS DE REFERENCIA\2. PRAÇAS (MANUTENÇÃO)\1. ATUAL\EDITAVEIS\"/>
    </mc:Choice>
  </mc:AlternateContent>
  <xr:revisionPtr revIDLastSave="0" documentId="13_ncr:1_{27ED8A8F-0EA6-4C85-AD5F-EF11E3D0E139}" xr6:coauthVersionLast="47" xr6:coauthVersionMax="47" xr10:uidLastSave="{00000000-0000-0000-0000-000000000000}"/>
  <bookViews>
    <workbookView xWindow="-120" yWindow="-120" windowWidth="29040" windowHeight="15720" tabRatio="670" xr2:uid="{00000000-000D-0000-FFFF-FFFF00000000}"/>
  </bookViews>
  <sheets>
    <sheet name="1. LOTE 1" sheetId="1" r:id="rId1"/>
    <sheet name="2. LOTE 2" sheetId="11" r:id="rId2"/>
    <sheet name="3.Encargos Sociais" sheetId="2" r:id="rId3"/>
    <sheet name="4.BDI" sheetId="4" r:id="rId4"/>
    <sheet name="5. Depreciação" sheetId="5" r:id="rId5"/>
    <sheet name="6.Remuneração de capital" sheetId="6" r:id="rId6"/>
    <sheet name="7. Cotações" sheetId="10" r:id="rId7"/>
    <sheet name="8. Composição" sheetId="13" r:id="rId8"/>
    <sheet name="GERAL" sheetId="12" r:id="rId9"/>
  </sheets>
  <definedNames>
    <definedName name="AbaDeprec">'5. Depreciação'!$A$1</definedName>
    <definedName name="AbaRemun">'6.Remuneração de capital'!$A$1</definedName>
    <definedName name="_xlnm.Print_Area" localSheetId="0">'1. LOTE 1'!$A$1:$F$403</definedName>
    <definedName name="_xlnm.Print_Area" localSheetId="2">'3.Encargos Sociais'!$A$1:$C$36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96" i="1" l="1"/>
  <c r="E397" i="1"/>
  <c r="E398" i="1"/>
  <c r="H91" i="13" l="1"/>
  <c r="H82" i="13"/>
  <c r="H73" i="13"/>
  <c r="H64" i="13"/>
  <c r="H55" i="13"/>
  <c r="H46" i="13"/>
  <c r="H37" i="13"/>
  <c r="H28" i="13"/>
  <c r="H19" i="13"/>
  <c r="C166" i="1"/>
  <c r="E166" i="1" s="1"/>
  <c r="C167" i="1"/>
  <c r="E167" i="1" s="1"/>
  <c r="C168" i="1"/>
  <c r="E168" i="1" s="1"/>
  <c r="D432" i="1"/>
  <c r="C421" i="1"/>
  <c r="D412" i="1"/>
  <c r="E412" i="1" s="1"/>
  <c r="D411" i="1"/>
  <c r="E411" i="1" s="1"/>
  <c r="D410" i="1"/>
  <c r="E410" i="1" s="1"/>
  <c r="E409" i="1"/>
  <c r="E408" i="1"/>
  <c r="D399" i="1"/>
  <c r="E399" i="1" s="1"/>
  <c r="D395" i="1"/>
  <c r="E395" i="1" s="1"/>
  <c r="D394" i="1"/>
  <c r="E394" i="1" s="1"/>
  <c r="D393" i="1"/>
  <c r="E393" i="1" s="1"/>
  <c r="D392" i="1"/>
  <c r="E392" i="1" s="1"/>
  <c r="D391" i="1"/>
  <c r="E391" i="1" s="1"/>
  <c r="D390" i="1"/>
  <c r="E390" i="1" s="1"/>
  <c r="D389" i="1"/>
  <c r="E389" i="1" s="1"/>
  <c r="D388" i="1"/>
  <c r="E388" i="1" s="1"/>
  <c r="D387" i="1"/>
  <c r="E387" i="1" s="1"/>
  <c r="D386" i="1"/>
  <c r="E386" i="1" s="1"/>
  <c r="D385" i="1"/>
  <c r="E385" i="1" s="1"/>
  <c r="D384" i="1"/>
  <c r="E384" i="1" s="1"/>
  <c r="D383" i="1"/>
  <c r="E383" i="1" s="1"/>
  <c r="D382" i="1"/>
  <c r="E382" i="1" s="1"/>
  <c r="D381" i="1"/>
  <c r="E381" i="1" s="1"/>
  <c r="D380" i="1"/>
  <c r="E380" i="1" s="1"/>
  <c r="D379" i="1"/>
  <c r="E379" i="1" s="1"/>
  <c r="D378" i="1"/>
  <c r="E378" i="1" s="1"/>
  <c r="D377" i="1"/>
  <c r="E377" i="1" s="1"/>
  <c r="D376" i="1"/>
  <c r="E376" i="1" s="1"/>
  <c r="D375" i="1"/>
  <c r="E375" i="1" s="1"/>
  <c r="D374" i="1"/>
  <c r="E374" i="1" s="1"/>
  <c r="D373" i="1"/>
  <c r="E373" i="1" s="1"/>
  <c r="D372" i="1"/>
  <c r="E372" i="1" s="1"/>
  <c r="D371" i="1"/>
  <c r="E371" i="1" s="1"/>
  <c r="D370" i="1"/>
  <c r="E370" i="1" s="1"/>
  <c r="D369" i="1"/>
  <c r="E369" i="1" s="1"/>
  <c r="D368" i="1"/>
  <c r="E368" i="1" s="1"/>
  <c r="C358" i="1"/>
  <c r="D356" i="1"/>
  <c r="D351" i="1"/>
  <c r="D345" i="1"/>
  <c r="D343" i="1"/>
  <c r="C343" i="1"/>
  <c r="C345" i="1" s="1"/>
  <c r="E335" i="1"/>
  <c r="C316" i="1"/>
  <c r="C356" i="1" s="1"/>
  <c r="E356" i="1" s="1"/>
  <c r="D357" i="1" s="1"/>
  <c r="E357" i="1" s="1"/>
  <c r="D358" i="1" s="1"/>
  <c r="C314" i="1"/>
  <c r="D310" i="1"/>
  <c r="D321" i="1" s="1"/>
  <c r="C304" i="1"/>
  <c r="E302" i="1"/>
  <c r="D300" i="1"/>
  <c r="E300" i="1" s="1"/>
  <c r="D295" i="1"/>
  <c r="D289" i="1"/>
  <c r="D287" i="1"/>
  <c r="D283" i="1"/>
  <c r="C287" i="1" s="1"/>
  <c r="E279" i="1"/>
  <c r="D277" i="1"/>
  <c r="E277" i="1" s="1"/>
  <c r="D276" i="1"/>
  <c r="E276" i="1" s="1"/>
  <c r="C265" i="1"/>
  <c r="E265" i="1" s="1"/>
  <c r="C260" i="1"/>
  <c r="C270" i="1" s="1"/>
  <c r="C258" i="1"/>
  <c r="C257" i="1"/>
  <c r="D254" i="1"/>
  <c r="E254" i="1" s="1"/>
  <c r="E243" i="1"/>
  <c r="D239" i="1"/>
  <c r="E239" i="1" s="1"/>
  <c r="D238" i="1"/>
  <c r="E238" i="1" s="1"/>
  <c r="D237" i="1"/>
  <c r="E237" i="1" s="1"/>
  <c r="D236" i="1"/>
  <c r="E236" i="1" s="1"/>
  <c r="D235" i="1"/>
  <c r="E235" i="1" s="1"/>
  <c r="E224" i="1"/>
  <c r="D221" i="1"/>
  <c r="E221" i="1" s="1"/>
  <c r="D219" i="1"/>
  <c r="E219" i="1" s="1"/>
  <c r="D218" i="1"/>
  <c r="E218" i="1" s="1"/>
  <c r="D217" i="1"/>
  <c r="E217" i="1" s="1"/>
  <c r="E206" i="1"/>
  <c r="C205" i="1"/>
  <c r="D204" i="1"/>
  <c r="D222" i="1" s="1"/>
  <c r="E193" i="1"/>
  <c r="C192" i="1"/>
  <c r="E191" i="1"/>
  <c r="D190" i="1"/>
  <c r="D203" i="1" s="1"/>
  <c r="D189" i="1"/>
  <c r="E189" i="1" s="1"/>
  <c r="D188" i="1"/>
  <c r="E188" i="1" s="1"/>
  <c r="D187" i="1"/>
  <c r="D202" i="1" s="1"/>
  <c r="E186" i="1"/>
  <c r="D185" i="1"/>
  <c r="D201" i="1" s="1"/>
  <c r="D184" i="1"/>
  <c r="D240" i="1" s="1"/>
  <c r="E240" i="1" s="1"/>
  <c r="D183" i="1"/>
  <c r="D200" i="1" s="1"/>
  <c r="D182" i="1"/>
  <c r="E182" i="1" s="1"/>
  <c r="D181" i="1"/>
  <c r="E181" i="1" s="1"/>
  <c r="E170" i="1"/>
  <c r="A170" i="1"/>
  <c r="E169" i="1"/>
  <c r="A169" i="1"/>
  <c r="C165" i="1"/>
  <c r="E165" i="1" s="1"/>
  <c r="A165" i="1"/>
  <c r="A158" i="1"/>
  <c r="C156" i="1"/>
  <c r="A156" i="1"/>
  <c r="A168" i="1" s="1"/>
  <c r="C155" i="1"/>
  <c r="A155" i="1"/>
  <c r="A167" i="1" s="1"/>
  <c r="C154" i="1"/>
  <c r="A154" i="1"/>
  <c r="A166" i="1" s="1"/>
  <c r="C153" i="1"/>
  <c r="A153" i="1"/>
  <c r="C152" i="1"/>
  <c r="C151" i="1"/>
  <c r="E142" i="1"/>
  <c r="C141" i="1"/>
  <c r="C140" i="1"/>
  <c r="E139" i="1"/>
  <c r="D140" i="1" s="1"/>
  <c r="E135" i="1"/>
  <c r="E132" i="1"/>
  <c r="D133" i="1" s="1"/>
  <c r="E128" i="1"/>
  <c r="C127" i="1"/>
  <c r="E123" i="1"/>
  <c r="E122" i="1"/>
  <c r="D121" i="1"/>
  <c r="E121" i="1" s="1"/>
  <c r="E117" i="1"/>
  <c r="C116" i="1"/>
  <c r="C223" i="1" s="1"/>
  <c r="D114" i="1"/>
  <c r="E112" i="1"/>
  <c r="E111" i="1"/>
  <c r="E110" i="1"/>
  <c r="E106" i="1"/>
  <c r="C105" i="1"/>
  <c r="C242" i="1" s="1"/>
  <c r="D103" i="1"/>
  <c r="E101" i="1"/>
  <c r="E100" i="1"/>
  <c r="E99" i="1"/>
  <c r="E95" i="1"/>
  <c r="C94" i="1"/>
  <c r="D92" i="1"/>
  <c r="E90" i="1"/>
  <c r="E89" i="1"/>
  <c r="E88" i="1"/>
  <c r="E84" i="1"/>
  <c r="C83" i="1"/>
  <c r="C164" i="1" s="1"/>
  <c r="E164" i="1" s="1"/>
  <c r="D81" i="1"/>
  <c r="E79" i="1"/>
  <c r="E78" i="1"/>
  <c r="E77" i="1"/>
  <c r="D152" i="1" s="1"/>
  <c r="E73" i="1"/>
  <c r="C72" i="1"/>
  <c r="C163" i="1" s="1"/>
  <c r="E163" i="1" s="1"/>
  <c r="C70" i="1"/>
  <c r="C81" i="1" s="1"/>
  <c r="D68" i="1"/>
  <c r="E68" i="1" s="1"/>
  <c r="D155" i="1" s="1"/>
  <c r="D66" i="1"/>
  <c r="E66" i="1" s="1"/>
  <c r="D153" i="1" s="1"/>
  <c r="D65" i="1"/>
  <c r="E65" i="1" s="1"/>
  <c r="D67" i="1" s="1"/>
  <c r="E67" i="1" s="1"/>
  <c r="E64" i="1"/>
  <c r="D151" i="1" s="1"/>
  <c r="A55" i="1"/>
  <c r="A54" i="1"/>
  <c r="E51" i="1"/>
  <c r="A50" i="1"/>
  <c r="A28" i="1" s="1"/>
  <c r="A48" i="1"/>
  <c r="A26" i="1" s="1"/>
  <c r="A47" i="1"/>
  <c r="A25" i="1" s="1"/>
  <c r="A46" i="1"/>
  <c r="A24" i="1" s="1"/>
  <c r="A45" i="1"/>
  <c r="A37" i="1"/>
  <c r="A36" i="1"/>
  <c r="A35" i="1"/>
  <c r="A34" i="1"/>
  <c r="A33" i="1"/>
  <c r="A32" i="1"/>
  <c r="A31" i="1"/>
  <c r="A30" i="1"/>
  <c r="A29" i="1"/>
  <c r="A27" i="1"/>
  <c r="A49" i="1" s="1"/>
  <c r="A157" i="1" s="1"/>
  <c r="A23" i="1"/>
  <c r="A22" i="1"/>
  <c r="A44" i="1" s="1"/>
  <c r="A152" i="1" s="1"/>
  <c r="A164" i="1" s="1"/>
  <c r="A21" i="1"/>
  <c r="A43" i="1" s="1"/>
  <c r="A151" i="1" s="1"/>
  <c r="A163" i="1" s="1"/>
  <c r="A20" i="1"/>
  <c r="H10" i="13"/>
  <c r="D391" i="11"/>
  <c r="D390" i="11"/>
  <c r="E390" i="11" s="1"/>
  <c r="D389" i="11"/>
  <c r="E389" i="11" s="1"/>
  <c r="D388" i="11"/>
  <c r="E388" i="11" s="1"/>
  <c r="E391" i="11"/>
  <c r="D387" i="11"/>
  <c r="E387" i="11" s="1"/>
  <c r="D215" i="11"/>
  <c r="E215" i="11" s="1"/>
  <c r="D216" i="11"/>
  <c r="E216" i="11" s="1"/>
  <c r="D218" i="11"/>
  <c r="E218" i="11" s="1"/>
  <c r="D214" i="11"/>
  <c r="E214" i="11" s="1"/>
  <c r="D236" i="11"/>
  <c r="E236" i="11" s="1"/>
  <c r="D235" i="11"/>
  <c r="E235" i="11" s="1"/>
  <c r="D234" i="11"/>
  <c r="E234" i="11" s="1"/>
  <c r="D233" i="11"/>
  <c r="E233" i="11" s="1"/>
  <c r="D232" i="11"/>
  <c r="E232" i="11" s="1"/>
  <c r="E240" i="11"/>
  <c r="E221" i="11"/>
  <c r="C202" i="11"/>
  <c r="C189" i="11"/>
  <c r="D370" i="11"/>
  <c r="E370" i="11" s="1"/>
  <c r="D418" i="11"/>
  <c r="C407" i="11"/>
  <c r="D393" i="11"/>
  <c r="E393" i="11" s="1"/>
  <c r="D392" i="11"/>
  <c r="E392" i="11" s="1"/>
  <c r="D386" i="11"/>
  <c r="E386" i="11" s="1"/>
  <c r="D385" i="11"/>
  <c r="E385" i="11" s="1"/>
  <c r="D384" i="11"/>
  <c r="E384" i="11" s="1"/>
  <c r="D383" i="11"/>
  <c r="E383" i="11" s="1"/>
  <c r="D382" i="11"/>
  <c r="E382" i="11" s="1"/>
  <c r="D381" i="11"/>
  <c r="E381" i="11" s="1"/>
  <c r="D380" i="11"/>
  <c r="E380" i="11" s="1"/>
  <c r="D379" i="11"/>
  <c r="E379" i="11" s="1"/>
  <c r="D378" i="11"/>
  <c r="E378" i="11" s="1"/>
  <c r="D377" i="11"/>
  <c r="E377" i="11" s="1"/>
  <c r="D376" i="11"/>
  <c r="E376" i="11" s="1"/>
  <c r="D375" i="11"/>
  <c r="E375" i="11" s="1"/>
  <c r="D374" i="11"/>
  <c r="E374" i="11" s="1"/>
  <c r="D373" i="11"/>
  <c r="E373" i="11" s="1"/>
  <c r="D372" i="11"/>
  <c r="E372" i="11" s="1"/>
  <c r="D371" i="11"/>
  <c r="E371" i="11" s="1"/>
  <c r="D369" i="11"/>
  <c r="E369" i="11" s="1"/>
  <c r="D368" i="11"/>
  <c r="E368" i="11" s="1"/>
  <c r="D367" i="11"/>
  <c r="E367" i="11" s="1"/>
  <c r="D366" i="11"/>
  <c r="E366" i="11" s="1"/>
  <c r="D365" i="11"/>
  <c r="E365" i="11" s="1"/>
  <c r="C355" i="11"/>
  <c r="D353" i="11"/>
  <c r="D348" i="11"/>
  <c r="D342" i="11"/>
  <c r="D340" i="11"/>
  <c r="C340" i="11"/>
  <c r="C342" i="11" s="1"/>
  <c r="E332" i="11"/>
  <c r="C313" i="11"/>
  <c r="C353" i="11" s="1"/>
  <c r="C311" i="11"/>
  <c r="D307" i="11"/>
  <c r="D318" i="11" s="1"/>
  <c r="C301" i="11"/>
  <c r="E299" i="11"/>
  <c r="D297" i="11"/>
  <c r="E297" i="11" s="1"/>
  <c r="D292" i="11"/>
  <c r="D286" i="11"/>
  <c r="D284" i="11"/>
  <c r="D280" i="11"/>
  <c r="C284" i="11" s="1"/>
  <c r="E276" i="11"/>
  <c r="D274" i="11"/>
  <c r="E274" i="11" s="1"/>
  <c r="D273" i="11"/>
  <c r="E273" i="11" s="1"/>
  <c r="C262" i="11"/>
  <c r="E262" i="11" s="1"/>
  <c r="C257" i="11"/>
  <c r="C267" i="11" s="1"/>
  <c r="C255" i="11"/>
  <c r="C254" i="11"/>
  <c r="D251" i="11"/>
  <c r="E251" i="11" s="1"/>
  <c r="D272" i="11" s="1"/>
  <c r="E272" i="11" s="1"/>
  <c r="E203" i="11"/>
  <c r="D201" i="11"/>
  <c r="E201" i="11" s="1"/>
  <c r="E190" i="11"/>
  <c r="E188" i="11"/>
  <c r="D187" i="11"/>
  <c r="D200" i="11" s="1"/>
  <c r="E200" i="11" s="1"/>
  <c r="D186" i="11"/>
  <c r="E186" i="11" s="1"/>
  <c r="D185" i="11"/>
  <c r="E185" i="11" s="1"/>
  <c r="D184" i="11"/>
  <c r="D199" i="11" s="1"/>
  <c r="E199" i="11" s="1"/>
  <c r="E183" i="11"/>
  <c r="D182" i="11"/>
  <c r="E182" i="11" s="1"/>
  <c r="D181" i="11"/>
  <c r="E181" i="11" s="1"/>
  <c r="D180" i="11"/>
  <c r="D197" i="11" s="1"/>
  <c r="E197" i="11" s="1"/>
  <c r="D179" i="11"/>
  <c r="D196" i="11" s="1"/>
  <c r="E196" i="11" s="1"/>
  <c r="D178" i="11"/>
  <c r="D195" i="11" s="1"/>
  <c r="E195" i="11" s="1"/>
  <c r="E167" i="11"/>
  <c r="A167" i="11"/>
  <c r="E166" i="11"/>
  <c r="A166" i="11"/>
  <c r="C165" i="11"/>
  <c r="E165" i="11" s="1"/>
  <c r="C164" i="11"/>
  <c r="E164" i="11" s="1"/>
  <c r="A164" i="11"/>
  <c r="A157" i="11"/>
  <c r="C155" i="11"/>
  <c r="A155" i="11"/>
  <c r="C154" i="11"/>
  <c r="A154" i="11"/>
  <c r="C153" i="11"/>
  <c r="A153" i="11"/>
  <c r="C152" i="11"/>
  <c r="A152" i="11"/>
  <c r="C151" i="11"/>
  <c r="C150" i="11"/>
  <c r="E141" i="11"/>
  <c r="C140" i="11"/>
  <c r="C139" i="11"/>
  <c r="E138" i="11"/>
  <c r="D139" i="11" s="1"/>
  <c r="E134" i="11"/>
  <c r="E131" i="11"/>
  <c r="E127" i="11"/>
  <c r="C126" i="11"/>
  <c r="E122" i="11"/>
  <c r="E121" i="11"/>
  <c r="D120" i="11"/>
  <c r="E120" i="11" s="1"/>
  <c r="E116" i="11"/>
  <c r="C115" i="11"/>
  <c r="C220" i="11" s="1"/>
  <c r="D113" i="11"/>
  <c r="E111" i="11"/>
  <c r="E110" i="11"/>
  <c r="E109" i="11"/>
  <c r="E105" i="11"/>
  <c r="C104" i="11"/>
  <c r="C239" i="11" s="1"/>
  <c r="D102" i="11"/>
  <c r="E100" i="11"/>
  <c r="E99" i="11"/>
  <c r="E98" i="11"/>
  <c r="E94" i="11"/>
  <c r="C93" i="11"/>
  <c r="D91" i="11"/>
  <c r="E89" i="11"/>
  <c r="E88" i="11"/>
  <c r="E87" i="11"/>
  <c r="E83" i="11"/>
  <c r="C82" i="11"/>
  <c r="C163" i="11" s="1"/>
  <c r="E163" i="11" s="1"/>
  <c r="D80" i="11"/>
  <c r="E78" i="11"/>
  <c r="E77" i="11"/>
  <c r="E76" i="11"/>
  <c r="D151" i="11" s="1"/>
  <c r="E72" i="11"/>
  <c r="C71" i="11"/>
  <c r="C162" i="11" s="1"/>
  <c r="E162" i="11" s="1"/>
  <c r="D67" i="11"/>
  <c r="E67" i="11" s="1"/>
  <c r="D154" i="11" s="1"/>
  <c r="D65" i="11"/>
  <c r="E65" i="11" s="1"/>
  <c r="D152" i="11" s="1"/>
  <c r="D64" i="11"/>
  <c r="E64" i="11" s="1"/>
  <c r="D66" i="11" s="1"/>
  <c r="E66" i="11" s="1"/>
  <c r="E63" i="11"/>
  <c r="A54" i="11"/>
  <c r="A53" i="11"/>
  <c r="E50" i="11"/>
  <c r="A49" i="11"/>
  <c r="A28" i="11" s="1"/>
  <c r="A47" i="11"/>
  <c r="A26" i="11" s="1"/>
  <c r="A46" i="11"/>
  <c r="A25" i="11" s="1"/>
  <c r="A45" i="11"/>
  <c r="A24" i="11" s="1"/>
  <c r="A44" i="11"/>
  <c r="A36" i="11"/>
  <c r="A35" i="11"/>
  <c r="A34" i="11"/>
  <c r="A33" i="11"/>
  <c r="A32" i="11"/>
  <c r="A31" i="11"/>
  <c r="A30" i="11"/>
  <c r="A29" i="11"/>
  <c r="A27" i="11"/>
  <c r="A48" i="11" s="1"/>
  <c r="A156" i="11" s="1"/>
  <c r="A23" i="11"/>
  <c r="A22" i="11"/>
  <c r="A43" i="11" s="1"/>
  <c r="A151" i="11" s="1"/>
  <c r="A163" i="11" s="1"/>
  <c r="A21" i="11"/>
  <c r="A42" i="11" s="1"/>
  <c r="A150" i="11" s="1"/>
  <c r="A162" i="11" s="1"/>
  <c r="A20" i="11"/>
  <c r="F413" i="1" l="1"/>
  <c r="D290" i="1"/>
  <c r="D303" i="1"/>
  <c r="E303" i="1" s="1"/>
  <c r="D304" i="1" s="1"/>
  <c r="E304" i="1" s="1"/>
  <c r="F305" i="1" s="1"/>
  <c r="C133" i="1"/>
  <c r="D199" i="1"/>
  <c r="D212" i="1" s="1"/>
  <c r="E212" i="1" s="1"/>
  <c r="E140" i="1"/>
  <c r="D141" i="1" s="1"/>
  <c r="E190" i="1"/>
  <c r="D125" i="1"/>
  <c r="E91" i="1"/>
  <c r="E113" i="1"/>
  <c r="D346" i="1"/>
  <c r="E141" i="1"/>
  <c r="F142" i="1" s="1"/>
  <c r="E28" i="1" s="1"/>
  <c r="D198" i="1"/>
  <c r="D211" i="1" s="1"/>
  <c r="E211" i="1" s="1"/>
  <c r="D216" i="1"/>
  <c r="D234" i="1" s="1"/>
  <c r="E234" i="1" s="1"/>
  <c r="E203" i="1"/>
  <c r="E151" i="1"/>
  <c r="E185" i="1"/>
  <c r="D220" i="1"/>
  <c r="E220" i="1" s="1"/>
  <c r="E345" i="1"/>
  <c r="E133" i="1"/>
  <c r="D134" i="1" s="1"/>
  <c r="E134" i="1" s="1"/>
  <c r="F135" i="1" s="1"/>
  <c r="E27" i="1" s="1"/>
  <c r="E187" i="1"/>
  <c r="C351" i="1"/>
  <c r="E351" i="1" s="1"/>
  <c r="F352" i="1" s="1"/>
  <c r="E80" i="1"/>
  <c r="E102" i="1"/>
  <c r="E124" i="1"/>
  <c r="E155" i="1"/>
  <c r="E152" i="1"/>
  <c r="F400" i="1"/>
  <c r="F402" i="1" s="1"/>
  <c r="E35" i="1" s="1"/>
  <c r="D154" i="1"/>
  <c r="E154" i="1" s="1"/>
  <c r="D156" i="1"/>
  <c r="E156" i="1" s="1"/>
  <c r="E201" i="1"/>
  <c r="D214" i="1"/>
  <c r="D275" i="1"/>
  <c r="E275" i="1" s="1"/>
  <c r="D278" i="1" s="1"/>
  <c r="E278" i="1" s="1"/>
  <c r="F279" i="1" s="1"/>
  <c r="C267" i="1"/>
  <c r="D257" i="1"/>
  <c r="E257" i="1" s="1"/>
  <c r="D258" i="1" s="1"/>
  <c r="E258" i="1" s="1"/>
  <c r="E259" i="1" s="1"/>
  <c r="D260" i="1" s="1"/>
  <c r="E260" i="1" s="1"/>
  <c r="F261" i="1" s="1"/>
  <c r="C289" i="1"/>
  <c r="E289" i="1" s="1"/>
  <c r="E287" i="1"/>
  <c r="C295" i="1"/>
  <c r="E295" i="1" s="1"/>
  <c r="F296" i="1" s="1"/>
  <c r="E153" i="1"/>
  <c r="E36" i="1"/>
  <c r="E81" i="1"/>
  <c r="C92" i="1"/>
  <c r="E202" i="1"/>
  <c r="D215" i="1"/>
  <c r="F171" i="1"/>
  <c r="E222" i="1"/>
  <c r="D241" i="1"/>
  <c r="E241" i="1" s="1"/>
  <c r="E200" i="1"/>
  <c r="D213" i="1"/>
  <c r="E69" i="1"/>
  <c r="E358" i="1"/>
  <c r="F359" i="1" s="1"/>
  <c r="C326" i="1"/>
  <c r="E204" i="1"/>
  <c r="C310" i="1"/>
  <c r="C321" i="1" s="1"/>
  <c r="E321" i="1" s="1"/>
  <c r="C331" i="1"/>
  <c r="E183" i="1"/>
  <c r="C339" i="1"/>
  <c r="D339" i="1" s="1"/>
  <c r="E310" i="1"/>
  <c r="E184" i="1"/>
  <c r="E343" i="1"/>
  <c r="D217" i="11"/>
  <c r="E217" i="11" s="1"/>
  <c r="D237" i="11"/>
  <c r="E237" i="11" s="1"/>
  <c r="E154" i="11"/>
  <c r="D210" i="11"/>
  <c r="D209" i="11"/>
  <c r="D212" i="11"/>
  <c r="D230" i="11" s="1"/>
  <c r="E230" i="11" s="1"/>
  <c r="D208" i="11"/>
  <c r="D213" i="11"/>
  <c r="D231" i="11" s="1"/>
  <c r="E231" i="11" s="1"/>
  <c r="D219" i="11"/>
  <c r="E101" i="11"/>
  <c r="E90" i="11"/>
  <c r="D124" i="11"/>
  <c r="D300" i="11"/>
  <c r="E300" i="11" s="1"/>
  <c r="D301" i="11" s="1"/>
  <c r="E301" i="11" s="1"/>
  <c r="F302" i="11" s="1"/>
  <c r="E187" i="11"/>
  <c r="E112" i="11"/>
  <c r="E79" i="11"/>
  <c r="D343" i="11"/>
  <c r="D287" i="11"/>
  <c r="C323" i="11"/>
  <c r="C328" i="11"/>
  <c r="E68" i="11"/>
  <c r="D69" i="11" s="1"/>
  <c r="E353" i="11"/>
  <c r="D354" i="11" s="1"/>
  <c r="E354" i="11" s="1"/>
  <c r="D355" i="11" s="1"/>
  <c r="E355" i="11" s="1"/>
  <c r="F356" i="11" s="1"/>
  <c r="E139" i="11"/>
  <c r="D140" i="11" s="1"/>
  <c r="E140" i="11" s="1"/>
  <c r="F141" i="11" s="1"/>
  <c r="E28" i="11" s="1"/>
  <c r="E340" i="11"/>
  <c r="E342" i="11"/>
  <c r="E179" i="11"/>
  <c r="C307" i="11"/>
  <c r="C318" i="11" s="1"/>
  <c r="E318" i="11" s="1"/>
  <c r="E123" i="11"/>
  <c r="C348" i="11"/>
  <c r="E348" i="11" s="1"/>
  <c r="F349" i="11" s="1"/>
  <c r="F394" i="11"/>
  <c r="F396" i="11" s="1"/>
  <c r="E35" i="11" s="1"/>
  <c r="E151" i="11"/>
  <c r="D153" i="11"/>
  <c r="E153" i="11" s="1"/>
  <c r="D155" i="11"/>
  <c r="E155" i="11" s="1"/>
  <c r="E152" i="11"/>
  <c r="F168" i="11"/>
  <c r="E284" i="11"/>
  <c r="C286" i="11"/>
  <c r="E286" i="11" s="1"/>
  <c r="C292" i="11"/>
  <c r="E292" i="11" s="1"/>
  <c r="F293" i="11" s="1"/>
  <c r="D275" i="11"/>
  <c r="E275" i="11" s="1"/>
  <c r="F276" i="11" s="1"/>
  <c r="D132" i="11"/>
  <c r="E178" i="11"/>
  <c r="E184" i="11"/>
  <c r="D254" i="11"/>
  <c r="E254" i="11" s="1"/>
  <c r="D255" i="11" s="1"/>
  <c r="E255" i="11" s="1"/>
  <c r="E256" i="11" s="1"/>
  <c r="D257" i="11" s="1"/>
  <c r="E257" i="11" s="1"/>
  <c r="F258" i="11" s="1"/>
  <c r="E180" i="11"/>
  <c r="C336" i="11"/>
  <c r="D336" i="11" s="1"/>
  <c r="D150" i="11"/>
  <c r="E150" i="11" s="1"/>
  <c r="E307" i="11"/>
  <c r="C264" i="11"/>
  <c r="D198" i="11"/>
  <c r="E199" i="1" l="1"/>
  <c r="F291" i="1"/>
  <c r="D230" i="1"/>
  <c r="E230" i="1" s="1"/>
  <c r="E82" i="1"/>
  <c r="D83" i="1" s="1"/>
  <c r="E83" i="1" s="1"/>
  <c r="F84" i="1" s="1"/>
  <c r="E22" i="1" s="1"/>
  <c r="C268" i="1"/>
  <c r="D269" i="1" s="1"/>
  <c r="E269" i="1" s="1"/>
  <c r="E270" i="1" s="1"/>
  <c r="F271" i="1" s="1"/>
  <c r="E198" i="1"/>
  <c r="D229" i="1"/>
  <c r="E229" i="1" s="1"/>
  <c r="F347" i="1"/>
  <c r="E216" i="1"/>
  <c r="F159" i="1"/>
  <c r="E29" i="1" s="1"/>
  <c r="D192" i="1"/>
  <c r="E192" i="1" s="1"/>
  <c r="F193" i="1" s="1"/>
  <c r="D232" i="1"/>
  <c r="E232" i="1" s="1"/>
  <c r="E214" i="1"/>
  <c r="D231" i="1"/>
  <c r="E231" i="1" s="1"/>
  <c r="E213" i="1"/>
  <c r="C323" i="1"/>
  <c r="D313" i="1"/>
  <c r="E313" i="1" s="1"/>
  <c r="D314" i="1" s="1"/>
  <c r="E314" i="1" s="1"/>
  <c r="E315" i="1" s="1"/>
  <c r="D316" i="1" s="1"/>
  <c r="E316" i="1" s="1"/>
  <c r="F317" i="1" s="1"/>
  <c r="E34" i="1" s="1"/>
  <c r="D331" i="1"/>
  <c r="E331" i="1" s="1"/>
  <c r="E33" i="1"/>
  <c r="D70" i="1"/>
  <c r="E70" i="1" s="1"/>
  <c r="E71" i="1" s="1"/>
  <c r="D72" i="1" s="1"/>
  <c r="E72" i="1" s="1"/>
  <c r="F73" i="1" s="1"/>
  <c r="D205" i="1"/>
  <c r="E205" i="1" s="1"/>
  <c r="F206" i="1" s="1"/>
  <c r="C333" i="1"/>
  <c r="C332" i="1"/>
  <c r="E30" i="1"/>
  <c r="D233" i="1"/>
  <c r="E233" i="1" s="1"/>
  <c r="E215" i="1"/>
  <c r="C103" i="1"/>
  <c r="C125" i="1"/>
  <c r="E125" i="1" s="1"/>
  <c r="E126" i="1" s="1"/>
  <c r="D127" i="1" s="1"/>
  <c r="E127" i="1" s="1"/>
  <c r="F128" i="1" s="1"/>
  <c r="E26" i="1" s="1"/>
  <c r="E92" i="1"/>
  <c r="E93" i="1" s="1"/>
  <c r="D94" i="1" s="1"/>
  <c r="E94" i="1" s="1"/>
  <c r="F95" i="1" s="1"/>
  <c r="E23" i="1" s="1"/>
  <c r="E213" i="11"/>
  <c r="E212" i="11"/>
  <c r="D227" i="11"/>
  <c r="E227" i="11" s="1"/>
  <c r="E209" i="11"/>
  <c r="D228" i="11"/>
  <c r="E228" i="11" s="1"/>
  <c r="E210" i="11"/>
  <c r="E219" i="11"/>
  <c r="D238" i="11"/>
  <c r="E238" i="11" s="1"/>
  <c r="E198" i="11"/>
  <c r="D202" i="11" s="1"/>
  <c r="E202" i="11" s="1"/>
  <c r="F203" i="11" s="1"/>
  <c r="D211" i="11"/>
  <c r="D226" i="11"/>
  <c r="E226" i="11" s="1"/>
  <c r="E208" i="11"/>
  <c r="F344" i="11"/>
  <c r="C265" i="11"/>
  <c r="D266" i="11" s="1"/>
  <c r="E266" i="11" s="1"/>
  <c r="E267" i="11" s="1"/>
  <c r="F268" i="11" s="1"/>
  <c r="C329" i="11"/>
  <c r="C330" i="11"/>
  <c r="F158" i="11"/>
  <c r="E29" i="11" s="1"/>
  <c r="D189" i="11"/>
  <c r="E189" i="11" s="1"/>
  <c r="F190" i="11" s="1"/>
  <c r="C320" i="11"/>
  <c r="D310" i="11"/>
  <c r="E310" i="11" s="1"/>
  <c r="D311" i="11" s="1"/>
  <c r="E311" i="11" s="1"/>
  <c r="E312" i="11" s="1"/>
  <c r="D313" i="11" s="1"/>
  <c r="E313" i="11" s="1"/>
  <c r="F314" i="11" s="1"/>
  <c r="E34" i="11" s="1"/>
  <c r="D328" i="11"/>
  <c r="E328" i="11" s="1"/>
  <c r="E33" i="11"/>
  <c r="F288" i="11"/>
  <c r="E30" i="11"/>
  <c r="D270" i="1" l="1"/>
  <c r="C324" i="1"/>
  <c r="D325" i="1" s="1"/>
  <c r="E325" i="1" s="1"/>
  <c r="E326" i="1" s="1"/>
  <c r="F327" i="1" s="1"/>
  <c r="D242" i="1"/>
  <c r="E242" i="1" s="1"/>
  <c r="F243" i="1" s="1"/>
  <c r="D223" i="1"/>
  <c r="E223" i="1" s="1"/>
  <c r="F224" i="1" s="1"/>
  <c r="E21" i="1"/>
  <c r="E103" i="1"/>
  <c r="E104" i="1" s="1"/>
  <c r="D105" i="1" s="1"/>
  <c r="E105" i="1" s="1"/>
  <c r="F106" i="1" s="1"/>
  <c r="E24" i="1" s="1"/>
  <c r="C114" i="1"/>
  <c r="E114" i="1" s="1"/>
  <c r="E115" i="1" s="1"/>
  <c r="D116" i="1" s="1"/>
  <c r="E116" i="1" s="1"/>
  <c r="F117" i="1" s="1"/>
  <c r="D332" i="1"/>
  <c r="E332" i="1" s="1"/>
  <c r="D333" i="1"/>
  <c r="E333" i="1" s="1"/>
  <c r="D267" i="11"/>
  <c r="D229" i="11"/>
  <c r="E229" i="11" s="1"/>
  <c r="D239" i="11" s="1"/>
  <c r="E239" i="11" s="1"/>
  <c r="F240" i="11" s="1"/>
  <c r="E211" i="11"/>
  <c r="D220" i="11" s="1"/>
  <c r="E220" i="11" s="1"/>
  <c r="F221" i="11" s="1"/>
  <c r="D330" i="11"/>
  <c r="E330" i="11" s="1"/>
  <c r="D329" i="11"/>
  <c r="E329" i="11" s="1"/>
  <c r="C321" i="11"/>
  <c r="D322" i="11" s="1"/>
  <c r="D326" i="1" l="1"/>
  <c r="E25" i="1"/>
  <c r="F174" i="1"/>
  <c r="F246" i="1"/>
  <c r="E31" i="1" s="1"/>
  <c r="D334" i="1"/>
  <c r="E334" i="1" s="1"/>
  <c r="F335" i="1" s="1"/>
  <c r="F363" i="1"/>
  <c r="E32" i="1" s="1"/>
  <c r="E20" i="1"/>
  <c r="F243" i="11"/>
  <c r="E31" i="11" s="1"/>
  <c r="D331" i="11"/>
  <c r="E331" i="11" s="1"/>
  <c r="F332" i="11" s="1"/>
  <c r="E322" i="11"/>
  <c r="E323" i="11" s="1"/>
  <c r="F324" i="11" s="1"/>
  <c r="F360" i="11" s="1"/>
  <c r="D323" i="11"/>
  <c r="F416" i="1" l="1"/>
  <c r="D421" i="1" s="1"/>
  <c r="E421" i="1" s="1"/>
  <c r="F422" i="1" s="1"/>
  <c r="F424" i="1" s="1"/>
  <c r="E37" i="1" s="1"/>
  <c r="E38" i="1" s="1"/>
  <c r="E32" i="11"/>
  <c r="E39" i="1" l="1"/>
  <c r="F27" i="1"/>
  <c r="F28" i="1"/>
  <c r="F22" i="1"/>
  <c r="F29" i="1"/>
  <c r="F36" i="1"/>
  <c r="F35" i="1"/>
  <c r="F31" i="1"/>
  <c r="F30" i="1"/>
  <c r="F34" i="1"/>
  <c r="F33" i="1"/>
  <c r="F26" i="1"/>
  <c r="F23" i="1"/>
  <c r="F21" i="1"/>
  <c r="F24" i="1"/>
  <c r="F25" i="1"/>
  <c r="F20" i="1"/>
  <c r="F32" i="1"/>
  <c r="F37" i="1"/>
  <c r="F426" i="1"/>
  <c r="F38" i="1" l="1"/>
  <c r="F21" i="10" l="1"/>
  <c r="F17" i="10"/>
  <c r="F13" i="10" l="1"/>
  <c r="F9" i="10"/>
  <c r="F5" i="10"/>
  <c r="C18" i="4" l="1"/>
  <c r="F11" i="4"/>
  <c r="E11" i="4"/>
  <c r="D11" i="4"/>
  <c r="C33" i="2"/>
  <c r="C30" i="2"/>
  <c r="C23" i="2"/>
  <c r="C15" i="2"/>
  <c r="C32" i="2" l="1"/>
  <c r="C34" i="2" s="1"/>
  <c r="C35" i="2" s="1"/>
  <c r="C69" i="11" l="1"/>
  <c r="C80" i="11" l="1"/>
  <c r="C132" i="11"/>
  <c r="E132" i="11" s="1"/>
  <c r="D133" i="11" s="1"/>
  <c r="E133" i="11" s="1"/>
  <c r="F134" i="11" s="1"/>
  <c r="E27" i="11" s="1"/>
  <c r="E69" i="11"/>
  <c r="E70" i="11" s="1"/>
  <c r="D71" i="11" s="1"/>
  <c r="E71" i="11" s="1"/>
  <c r="F72" i="11" s="1"/>
  <c r="E21" i="11" s="1"/>
  <c r="E80" i="11" l="1"/>
  <c r="E81" i="11" s="1"/>
  <c r="D82" i="11" s="1"/>
  <c r="E82" i="11" s="1"/>
  <c r="F83" i="11" s="1"/>
  <c r="C91" i="11"/>
  <c r="E91" i="11" l="1"/>
  <c r="E92" i="11" s="1"/>
  <c r="D93" i="11" s="1"/>
  <c r="E93" i="11" s="1"/>
  <c r="F94" i="11" s="1"/>
  <c r="E23" i="11" s="1"/>
  <c r="C102" i="11"/>
  <c r="C124" i="11"/>
  <c r="E124" i="11" s="1"/>
  <c r="E125" i="11" s="1"/>
  <c r="D126" i="11" s="1"/>
  <c r="E126" i="11" s="1"/>
  <c r="F127" i="11" s="1"/>
  <c r="E26" i="11" s="1"/>
  <c r="E22" i="11"/>
  <c r="C113" i="11" l="1"/>
  <c r="E113" i="11" s="1"/>
  <c r="E114" i="11" s="1"/>
  <c r="D115" i="11" s="1"/>
  <c r="E115" i="11" s="1"/>
  <c r="F116" i="11" s="1"/>
  <c r="E25" i="11" s="1"/>
  <c r="E102" i="11"/>
  <c r="E103" i="11" s="1"/>
  <c r="D104" i="11" s="1"/>
  <c r="E104" i="11" s="1"/>
  <c r="F105" i="11" s="1"/>
  <c r="E24" i="11" l="1"/>
  <c r="F171" i="11"/>
  <c r="F402" i="11" l="1"/>
  <c r="D407" i="11" s="1"/>
  <c r="E407" i="11" s="1"/>
  <c r="F408" i="11" s="1"/>
  <c r="F410" i="11" s="1"/>
  <c r="E36" i="11" s="1"/>
  <c r="E20" i="11"/>
  <c r="F14" i="12"/>
  <c r="E37" i="11" l="1"/>
  <c r="F21" i="11" s="1"/>
  <c r="F412" i="11"/>
  <c r="F16" i="12"/>
  <c r="F18" i="12" s="1"/>
  <c r="F19" i="12" s="1"/>
  <c r="F31" i="11"/>
  <c r="F33" i="11"/>
  <c r="F35" i="11"/>
  <c r="F29" i="11"/>
  <c r="F32" i="11"/>
  <c r="F28" i="11"/>
  <c r="F34" i="11"/>
  <c r="F30" i="11"/>
  <c r="F27" i="11"/>
  <c r="F23" i="11"/>
  <c r="F22" i="11"/>
  <c r="F20" i="11"/>
  <c r="F24" i="11"/>
  <c r="F25" i="11"/>
  <c r="F36" i="11"/>
  <c r="E38" i="11" l="1"/>
  <c r="F26" i="11"/>
  <c r="F37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2" authorId="0" shapeId="0" xr:uid="{00000000-0006-0000-0000-000001000000}">
      <text>
        <r>
          <rPr>
            <sz val="9"/>
            <color rgb="FF000000"/>
            <rFont val="Segoe UI"/>
            <family val="2"/>
            <charset val="1"/>
          </rPr>
          <t>2 - Coleta seletiva, operação de triagem dos resíduos inorgânicos em local apropriado, licenciado e transporte até a destinação final do rejeito não reciclável;</t>
        </r>
      </text>
    </comment>
    <comment ref="A18" authorId="0" shapeId="0" xr:uid="{16E2DBFA-25D8-4F7D-B405-0E5160A9B4B4}">
      <text>
        <r>
          <rPr>
            <sz val="9"/>
            <color rgb="FF000000"/>
            <rFont val="Tahoma"/>
            <family val="2"/>
            <charset val="1"/>
          </rPr>
          <t xml:space="preserve">Qualquer custo previsto no edital e não contemplado nesta planilha modelo deverá ser devidamente incluído
</t>
        </r>
      </text>
    </comment>
    <comment ref="B58" authorId="0" shapeId="0" xr:uid="{39739EF1-7A9F-4C51-8D44-DD82E1450EA9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64" authorId="0" shapeId="0" xr:uid="{0343672D-1D70-4A71-B833-8F0B8586E262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C65" authorId="0" shapeId="0" xr:uid="{8CD7C35D-9A08-4D2E-8073-4A3C3C288FF9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nos domingos e feriados em horário diurno
</t>
        </r>
      </text>
    </comment>
    <comment ref="C66" authorId="0" shapeId="0" xr:uid="{8C09614F-F0A2-4000-A455-5C1ABADF68A0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67" authorId="0" shapeId="0" xr:uid="{D70704C4-06FB-44D9-9EBF-1D366BC87145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70" authorId="0" shapeId="0" xr:uid="{08C0B3D1-E92A-48B7-A625-BFB2323CCD5E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72" authorId="0" shapeId="0" xr:uid="{8481552A-EC0B-4CDD-81AC-4E5354F65604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77" authorId="0" shapeId="0" xr:uid="{232E5B15-E58E-4BAF-86E7-179B2811C103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78" authorId="0" shapeId="0" xr:uid="{22CFAB4B-5C56-4A60-9926-905DD24FBBE1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79" authorId="0" shapeId="0" xr:uid="{654211FD-CF2C-46FD-8BA2-AA973EA97631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80" authorId="0" shapeId="0" xr:uid="{19EFE268-5DEF-476D-9A98-7BF1406F491A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81" authorId="0" shapeId="0" xr:uid="{264589D7-7A57-4560-8106-FD83E245A75B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82" authorId="0" shapeId="0" xr:uid="{469D9BC3-0BBF-4934-892B-C7B67ADA54A6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83" authorId="0" shapeId="0" xr:uid="{5591EEB5-932D-49A8-B92F-57B73F8AF0FE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88" authorId="0" shapeId="0" xr:uid="{66F0A6F2-58A4-42FE-B4EB-F8A754BB67C7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89" authorId="0" shapeId="0" xr:uid="{D0A5E40C-1083-4778-9ED0-7F7C08558256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90" authorId="0" shapeId="0" xr:uid="{66C60E0E-A21D-4BA8-9340-62E487D3D52B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91" authorId="0" shapeId="0" xr:uid="{8ECB6E59-D53D-49E3-8F5D-B7573175626F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92" authorId="0" shapeId="0" xr:uid="{681EFE27-3482-43B5-BF73-996695F305D3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93" authorId="0" shapeId="0" xr:uid="{3C82FC17-7C77-4F3C-AB99-B814E1A0ABBB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94" authorId="0" shapeId="0" xr:uid="{4820DF0B-4094-4DC1-AE9D-65A47754F7CA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99" authorId="0" shapeId="0" xr:uid="{E0C56899-2422-47F0-BAC7-65E91E06EA55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100" authorId="0" shapeId="0" xr:uid="{37D80B95-8419-417D-B403-FD69E54FC53D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01" authorId="0" shapeId="0" xr:uid="{2BBE8DD3-C630-446E-974E-C96F5CF6D316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102" authorId="0" shapeId="0" xr:uid="{CD352A1F-356A-4E31-8A07-5423788D9DE3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103" authorId="0" shapeId="0" xr:uid="{E047A279-D60D-48EF-8E37-B9131496B393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104" authorId="0" shapeId="0" xr:uid="{602F5FC9-83D3-4A71-ACDB-B493E5F098F3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05" authorId="0" shapeId="0" xr:uid="{C0B2D3FD-6E8E-4603-BFEB-34AE6C63C569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110" authorId="0" shapeId="0" xr:uid="{F72E86FA-B999-49EC-A1CC-4914BAB0053B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111" authorId="0" shapeId="0" xr:uid="{39A52A41-2023-4496-9444-42135B3E8933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12" authorId="0" shapeId="0" xr:uid="{FB36459E-85C5-4E5B-B686-553C22403DD4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113" authorId="0" shapeId="0" xr:uid="{B5FFD4EE-78E2-42FD-9E96-9175F7BC2596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114" authorId="0" shapeId="0" xr:uid="{7BAD86D9-9243-4B92-A662-CF01317A2219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115" authorId="0" shapeId="0" xr:uid="{8DB86471-D398-430D-8859-5640DB2D87F5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16" authorId="0" shapeId="0" xr:uid="{D709C4AE-0F6E-4FDD-92C5-360E8A2FC59F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121" authorId="0" shapeId="0" xr:uid="{FBBFA974-AFFC-41EF-BBC2-DE8A00401877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122" authorId="0" shapeId="0" xr:uid="{DA9AD01A-9816-46A4-8537-E82E83BE041A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23" authorId="0" shapeId="0" xr:uid="{96376853-E256-4DBE-B726-F2572AA6B843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124" authorId="0" shapeId="0" xr:uid="{EC8B0352-845A-4506-9D44-8AF097AE7CA0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125" authorId="0" shapeId="0" xr:uid="{3AA405CA-026A-495C-82A5-8187F8AE1457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126" authorId="0" shapeId="0" xr:uid="{5B62334F-49DD-430D-B88F-387B062D962E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27" authorId="0" shapeId="0" xr:uid="{BE1E0B65-53B1-4EA9-BFD8-5410145E2BE3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149" authorId="0" shapeId="0" xr:uid="{F780FF20-1984-4CFB-B06F-BEB511131B93}">
      <text>
        <r>
          <rPr>
            <sz val="9"/>
            <color rgb="FF000000"/>
            <rFont val="Tahoma"/>
            <family val="2"/>
            <charset val="1"/>
          </rPr>
          <t>Informar o valor unitário do VT no município</t>
        </r>
      </text>
    </comment>
    <comment ref="C150" authorId="0" shapeId="0" xr:uid="{69518F39-A0CB-4D99-94E1-17C91BFBD588}">
      <text>
        <r>
          <rPr>
            <sz val="9"/>
            <color rgb="FF000000"/>
            <rFont val="Tahoma"/>
            <family val="2"/>
            <charset val="1"/>
          </rPr>
          <t>Informar o número médio de dias trabalhados por mês</t>
        </r>
      </text>
    </comment>
    <comment ref="D151" authorId="0" shapeId="0" xr:uid="{AF6848F9-7D79-4817-9C89-57BE605E3A4B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  <comment ref="D152" authorId="0" shapeId="0" xr:uid="{61E5B817-F368-4FCC-9BE7-674465021291}">
      <text>
        <r>
          <rPr>
            <sz val="9"/>
            <color rgb="FF000000"/>
            <rFont val="Tahoma"/>
            <family val="2"/>
            <charset val="1"/>
          </rPr>
          <t xml:space="preserve">Valor Unitário considerando o desconto legal de até 6% do salário
</t>
        </r>
      </text>
    </comment>
    <comment ref="D157" authorId="0" shapeId="0" xr:uid="{6B0F2FC6-80FD-4343-8591-8EDE9EE02F99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  <comment ref="D158" authorId="0" shapeId="0" xr:uid="{3907E53C-3C5B-40BD-80C0-040B72A504F8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  <comment ref="D163" authorId="0" shapeId="0" xr:uid="{8204E22B-11C8-4F4F-96EA-9FAA7CCA4035}">
      <text>
        <r>
          <rPr>
            <sz val="9"/>
            <color rgb="FF000000"/>
            <rFont val="Tahoma"/>
            <family val="2"/>
            <charset val="1"/>
          </rPr>
          <t>Informar o valor unitário diário do vale refeição, considerando o desconto aplicável ao funcionário, conforme Convenção Coletiva da categoria.</t>
        </r>
      </text>
    </comment>
    <comment ref="D164" authorId="0" shapeId="0" xr:uid="{E50982B7-E03F-42DC-A2D2-D01E47CAE181}">
      <text>
        <r>
          <rPr>
            <sz val="9"/>
            <color rgb="FF000000"/>
            <rFont val="Tahoma"/>
            <family val="2"/>
            <charset val="1"/>
          </rPr>
          <t>Informar o valor unitário diário do vale refeição, considerando o desconto aplicável ao funcionário, conforme Convenção Coletiva da categoria.</t>
        </r>
      </text>
    </comment>
    <comment ref="D169" authorId="0" shapeId="0" xr:uid="{4EC173CD-19E1-44F8-A12C-F060E9842E61}">
      <text>
        <r>
          <rPr>
            <sz val="9"/>
            <color rgb="FF000000"/>
            <rFont val="Tahoma"/>
            <family val="2"/>
            <charset val="1"/>
          </rPr>
          <t>Informar o valor unitário diário do vale refeição, considerando o desconto aplicável ao funcionário, conforme Convenção Coletiva da categoria.</t>
        </r>
      </text>
    </comment>
    <comment ref="D170" authorId="0" shapeId="0" xr:uid="{2B628F30-E563-4EF8-B0BA-7D5A1C05A643}">
      <text>
        <r>
          <rPr>
            <sz val="9"/>
            <color rgb="FF000000"/>
            <rFont val="Tahoma"/>
            <family val="2"/>
            <charset val="1"/>
          </rPr>
          <t>Informar o valor unitário diário do vale refeição, considerando o desconto aplicável ao funcionário, conforme Convenção Coletiva da categoria.</t>
        </r>
      </text>
    </comment>
    <comment ref="C181" authorId="0" shapeId="0" xr:uid="{970FBA40-B841-4496-BCD7-CFA83CC5292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1" authorId="0" shapeId="0" xr:uid="{FD19EC15-CE25-4F72-82F6-26683D4FEBAA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2" authorId="0" shapeId="0" xr:uid="{81A74BE9-E736-476E-A282-0BB8EB5C2231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2" authorId="0" shapeId="0" xr:uid="{4EEF5D33-1E51-4FD7-B26B-32A646E8535B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3" authorId="0" shapeId="0" xr:uid="{0BE013B5-2E9E-4D07-9874-778FBBA64565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3" authorId="0" shapeId="0" xr:uid="{5665C291-EFAF-4D03-8AD8-99CB368ABB8E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4" authorId="0" shapeId="0" xr:uid="{5B6B5D69-02F0-4BB2-9E8C-2272C53D1564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4" authorId="0" shapeId="0" xr:uid="{53D030CD-81F0-49EB-B87F-2BA9895E9B1C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5" authorId="0" shapeId="0" xr:uid="{159AAB22-1689-479E-AD68-0D15012203E6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5" authorId="0" shapeId="0" xr:uid="{4051C68C-5260-44DD-A476-D5945E18C68D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6" authorId="0" shapeId="0" xr:uid="{68DCB8F3-E2C0-46F8-9FB8-E521100B0FBD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6" authorId="0" shapeId="0" xr:uid="{3040DFE7-AEE6-4893-BD20-9A49D13A3E69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7" authorId="0" shapeId="0" xr:uid="{C9A64197-361D-4380-ADEA-CA81D78680B7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7" authorId="0" shapeId="0" xr:uid="{6D51440C-F41D-48FF-A6D0-E5EBA6C5910E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8" authorId="0" shapeId="0" xr:uid="{8182D169-85E4-4A41-BA66-13675F51EE12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8" authorId="0" shapeId="0" xr:uid="{BD3BCA6B-0C82-4EFC-8856-7D3396C7F66F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9" authorId="0" shapeId="0" xr:uid="{3749FC64-A0C4-40F2-98C3-31A4779D31FE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9" authorId="0" shapeId="0" xr:uid="{C62C5B52-25CB-46D2-AA06-C54D5AFA5AEA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90" authorId="0" shapeId="0" xr:uid="{CC31625B-A78D-490D-809A-1EE340F17EBE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90" authorId="0" shapeId="0" xr:uid="{F57DBA91-DDB6-45F7-AEB4-5CF851070D2C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D191" authorId="0" shapeId="0" xr:uid="{561E194D-E463-4840-A8D2-4C886C2BDC68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C198" authorId="0" shapeId="0" xr:uid="{D3027C8A-8EF3-4DCE-9324-340DEF9B5DC1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99" authorId="0" shapeId="0" xr:uid="{908A7FC2-30B3-4FF5-8C5E-BD603EDB02E4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00" authorId="0" shapeId="0" xr:uid="{50DECB26-790A-47F1-A908-C133D53F0A94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01" authorId="0" shapeId="0" xr:uid="{2A2F63C9-FFAF-4708-8D1C-D742E6EB15C2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02" authorId="0" shapeId="0" xr:uid="{445EE4C8-722E-4C0B-85A9-108F93BDC9DB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03" authorId="0" shapeId="0" xr:uid="{6840B6DB-7DA9-4FAF-A6B5-8A7C7504131F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204" authorId="0" shapeId="0" xr:uid="{69818655-29B1-4CEE-BDB2-5C898EB73813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C211" authorId="0" shapeId="0" xr:uid="{E1B6E2B8-EB6F-4647-BA5C-8221FBE5336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2" authorId="0" shapeId="0" xr:uid="{965059CE-A8A5-4933-A6A5-B1C4126CA3D4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3" authorId="0" shapeId="0" xr:uid="{C96ED6F8-0BE4-4974-B96A-0EAE4A69BC54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4" authorId="0" shapeId="0" xr:uid="{8A1A4B2F-BAAA-4448-8BF3-DC40AE142A1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5" authorId="0" shapeId="0" xr:uid="{8BCEE504-2C51-448E-88F3-D1D4B5C0799C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6" authorId="0" shapeId="0" xr:uid="{ECB688F5-E5EC-4A52-8632-2178297951A7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222" authorId="0" shapeId="0" xr:uid="{E6845B0E-FD96-416A-BD95-2F23DB0ADE2C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C229" authorId="0" shapeId="0" xr:uid="{81203AE5-ED3A-4F47-AB3D-4590F144849B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30" authorId="0" shapeId="0" xr:uid="{FC63A61E-DBBE-489F-B0BC-605E9C579FA3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31" authorId="0" shapeId="0" xr:uid="{8285986B-E0BD-424A-B79A-B1EE2DDD5AFA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32" authorId="0" shapeId="0" xr:uid="{FE9793B1-813E-4086-8A96-11BF37797626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33" authorId="0" shapeId="0" xr:uid="{A2720663-7C1F-4892-BFD4-09E7C775A992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34" authorId="0" shapeId="0" xr:uid="{77BFA60B-8469-45A8-9A22-39B812F659EF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241" authorId="0" shapeId="0" xr:uid="{66D8543D-2764-4C0B-9621-6CDF9B2966E4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D254" authorId="0" shapeId="0" xr:uid="{2051DBE4-0A72-471B-B658-CC755C2B7CAA}">
      <text>
        <r>
          <rPr>
            <sz val="9"/>
            <color rgb="FF000000"/>
            <rFont val="Tahoma"/>
            <family val="2"/>
            <charset val="1"/>
          </rPr>
          <t>Informar o preço unitário do chassis do caminhão de coleta</t>
        </r>
      </text>
    </comment>
    <comment ref="C255" authorId="0" shapeId="0" xr:uid="{B13826B6-813A-4B99-9EA8-0783C0C1CF67}">
      <text>
        <r>
          <rPr>
            <sz val="9"/>
            <color rgb="FF000000"/>
            <rFont val="Tahoma"/>
            <family val="2"/>
            <charset val="1"/>
          </rPr>
          <t>Informar a vida útil estimada para o caminhão, em anos</t>
        </r>
      </text>
    </comment>
    <comment ref="C256" authorId="0" shapeId="0" xr:uid="{00989CE0-28FB-4CA1-A8B8-CE4478D575B6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257" authorId="0" shapeId="0" xr:uid="{B75D21A4-D7CC-4F90-9A22-7C04B090AC52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260" authorId="0" shapeId="0" xr:uid="{ABFACACC-738E-4A89-968E-218204D827E8}">
      <text>
        <r>
          <rPr>
            <sz val="9"/>
            <color rgb="FF000000"/>
            <rFont val="Tahoma"/>
            <family val="2"/>
            <charset val="1"/>
          </rPr>
          <t>Informar a quantidade de caminhões compactadores do respectivo modelo</t>
        </r>
      </text>
    </comment>
    <comment ref="C266" authorId="0" shapeId="0" xr:uid="{626110B4-8F7B-460B-A648-6DA2ADCA07E9}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taxa de juros anual para remuneração do capital. Recomenda-se o uso da Taxa SELIC
</t>
        </r>
      </text>
    </comment>
    <comment ref="D277" authorId="0" shapeId="0" xr:uid="{3D20D17D-5C59-49A2-A993-9D15FEB2C37B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contra terceiros de um caminhão, se houver previsão no Projeto Básico
</t>
        </r>
      </text>
    </comment>
    <comment ref="B283" authorId="0" shapeId="0" xr:uid="{06F97CF5-BEC8-406C-8289-4E8D303737A7}">
      <text>
        <r>
          <rPr>
            <sz val="9"/>
            <color rgb="FF000000"/>
            <rFont val="Tahoma"/>
            <family val="2"/>
            <charset val="1"/>
          </rPr>
          <t>Informar a quilometragem mensal percorrida, de acordo com o projeto básico por veículo.</t>
        </r>
      </text>
    </comment>
    <comment ref="D283" authorId="0" shapeId="0" xr:uid="{A0ED9B4D-593F-4139-8F36-A652C89E0D9F}">
      <text>
        <r>
          <rPr>
            <sz val="9"/>
            <color rgb="FF000000"/>
            <rFont val="Tahoma"/>
            <family val="2"/>
            <charset val="1"/>
          </rPr>
          <t xml:space="preserve">Informar a quilometragem mensal percorrida, de acordo com o projeto básico
</t>
        </r>
      </text>
    </comment>
    <comment ref="C286" authorId="0" shapeId="0" xr:uid="{114ACBF7-AD4C-426F-AC88-703BC727A783}">
      <text>
        <r>
          <rPr>
            <sz val="9"/>
            <color rgb="FF000000"/>
            <rFont val="Tahoma"/>
            <family val="2"/>
            <charset val="1"/>
          </rPr>
          <t>Informar o consumo estimado do veículo em km/l</t>
        </r>
      </text>
    </comment>
    <comment ref="D286" authorId="0" shapeId="0" xr:uid="{559BC9D7-B792-4574-BE54-267FE1720B4B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combustivel
</t>
        </r>
      </text>
    </comment>
    <comment ref="C288" authorId="0" shapeId="0" xr:uid="{1FD9FC54-158C-455F-A24E-BA68F2054939}">
      <text>
        <r>
          <rPr>
            <sz val="9"/>
            <color rgb="FF000000"/>
            <rFont val="Tahoma"/>
            <family val="2"/>
            <charset val="1"/>
          </rPr>
          <t>Informar o consumo de óleo do motor a cada 1000km</t>
        </r>
      </text>
    </comment>
    <comment ref="D288" authorId="0" shapeId="0" xr:uid="{8CD72C83-F5FE-4825-9A60-6431A82A6160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do óleo do motor
</t>
        </r>
      </text>
    </comment>
    <comment ref="D295" authorId="0" shapeId="0" xr:uid="{9CE642EE-AC0D-44C1-965C-7FC2F56A5E9B}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R$/km rodado. Sugestão: Ver média de gastos dos últimos 12 meses e dividir pela km rodada pelo(s) veículo(s).
</t>
        </r>
      </text>
    </comment>
    <comment ref="C300" authorId="0" shapeId="0" xr:uid="{B121C17D-4678-476E-9960-B15ADAF29827}">
      <text>
        <r>
          <rPr>
            <sz val="9"/>
            <color rgb="FF000000"/>
            <rFont val="Tahoma"/>
            <family val="2"/>
            <charset val="1"/>
          </rPr>
          <t xml:space="preserve">Informar a quantidade de pneus novos de 1 pick up
</t>
        </r>
      </text>
    </comment>
    <comment ref="D300" authorId="0" shapeId="0" xr:uid="{D493BA96-382C-443C-ADEA-946E0C51627D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de cada pneu
</t>
        </r>
      </text>
    </comment>
    <comment ref="C301" authorId="0" shapeId="0" xr:uid="{06998B16-9DBF-4170-B3BD-416EA0E40CA1}">
      <text>
        <r>
          <rPr>
            <sz val="9"/>
            <color rgb="FF000000"/>
            <rFont val="Tahoma"/>
            <family val="2"/>
            <charset val="1"/>
          </rPr>
          <t>Informar o número de recapagens por pneu</t>
        </r>
      </text>
    </comment>
    <comment ref="D302" authorId="0" shapeId="0" xr:uid="{6D5179BF-EF75-4BB9-806F-CACB54D35C1F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de cada recapagem
</t>
        </r>
      </text>
    </comment>
    <comment ref="C303" authorId="0" shapeId="0" xr:uid="{979C8A2A-FB8D-49DA-B9E1-61047FAAA274}">
      <text>
        <r>
          <rPr>
            <sz val="9"/>
            <color rgb="FF000000"/>
            <rFont val="Tahoma"/>
            <family val="2"/>
            <charset val="1"/>
          </rPr>
          <t xml:space="preserve">Informar a durabilidade média dos pneus considerando todas as recapagens, em km
</t>
        </r>
      </text>
    </comment>
    <comment ref="D310" authorId="0" shapeId="0" xr:uid="{5ED20AE3-E988-448C-8043-16071BB7D065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chassis do veiculo
</t>
        </r>
      </text>
    </comment>
    <comment ref="C311" authorId="0" shapeId="0" xr:uid="{6CD8342A-3438-4319-B938-2144A4A4234A}">
      <text>
        <r>
          <rPr>
            <sz val="9"/>
            <color rgb="FF000000"/>
            <rFont val="Tahoma"/>
            <family val="2"/>
            <charset val="1"/>
          </rPr>
          <t>Informar a vida útil estimada para o veiculo, em anos</t>
        </r>
      </text>
    </comment>
    <comment ref="C312" authorId="0" shapeId="0" xr:uid="{2DB90F84-C096-4E48-A6A9-A7F0343FA2DC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313" authorId="0" shapeId="0" xr:uid="{3C4CD358-350F-4EF4-B349-A27F68B683D9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316" authorId="0" shapeId="0" xr:uid="{4EA52164-6CCB-4947-BAA0-6BE26CC7D725}">
      <text>
        <r>
          <rPr>
            <sz val="9"/>
            <color rgb="FF000000"/>
            <rFont val="Tahoma"/>
            <family val="2"/>
            <charset val="1"/>
          </rPr>
          <t>Informar a quantidade de veiculo para fiscal do respectivo modelo</t>
        </r>
      </text>
    </comment>
    <comment ref="C322" authorId="0" shapeId="0" xr:uid="{490A231A-3549-4D84-BF2C-7F32906DFCBF}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taxa de juros anual para remuneração do capital. Recomenda-se o uso da Taxa SELIC
</t>
        </r>
      </text>
    </comment>
    <comment ref="D332" authorId="0" shapeId="0" xr:uid="{0D81C1F9-9E43-40EA-988C-43E8B5AEF900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obrigatório e licenciamento anual de um veiculo
</t>
        </r>
      </text>
    </comment>
    <comment ref="D333" authorId="0" shapeId="0" xr:uid="{8DA69C92-72BF-4112-88D1-01F72D158DCC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contra terceiros de um veiculo, se houver previsão no Projeto Básico
</t>
        </r>
      </text>
    </comment>
    <comment ref="B339" authorId="0" shapeId="0" xr:uid="{774FAA40-5915-4F83-A9DB-ED622FDC33E2}">
      <text>
        <r>
          <rPr>
            <sz val="9"/>
            <color rgb="FF000000"/>
            <rFont val="Tahoma"/>
            <family val="2"/>
            <charset val="1"/>
          </rPr>
          <t>Informar a quilometragem mensal percorrida, de acordo com o projeto básico por veículo.</t>
        </r>
      </text>
    </comment>
    <comment ref="D339" authorId="0" shapeId="0" xr:uid="{4279F4DA-F0A1-4C52-A2E3-5E6E0C8323A6}">
      <text>
        <r>
          <rPr>
            <sz val="9"/>
            <color rgb="FF000000"/>
            <rFont val="Tahoma"/>
            <family val="2"/>
            <charset val="1"/>
          </rPr>
          <t xml:space="preserve">Informar a quilometragem mensal percorrida, de acordo com o projeto básico
</t>
        </r>
      </text>
    </comment>
    <comment ref="C342" authorId="0" shapeId="0" xr:uid="{8004DDAA-71F9-4677-B9E8-10AF8837155C}">
      <text>
        <r>
          <rPr>
            <sz val="9"/>
            <color rgb="FF000000"/>
            <rFont val="Tahoma"/>
            <family val="2"/>
            <charset val="1"/>
          </rPr>
          <t>Informar o consumo estimado do veículo em km/l</t>
        </r>
      </text>
    </comment>
    <comment ref="D342" authorId="0" shapeId="0" xr:uid="{257B3A20-295A-4748-BF0F-8B3E60A5C12A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combustivel
</t>
        </r>
      </text>
    </comment>
    <comment ref="C344" authorId="0" shapeId="0" xr:uid="{A6F6E748-7F18-49BB-B9B3-57B9C50BD22A}">
      <text>
        <r>
          <rPr>
            <sz val="9"/>
            <color rgb="FF000000"/>
            <rFont val="Tahoma"/>
            <family val="2"/>
            <charset val="1"/>
          </rPr>
          <t>Informar o consumo de óleo do motor a cada 1000km</t>
        </r>
      </text>
    </comment>
    <comment ref="D344" authorId="0" shapeId="0" xr:uid="{90E065D8-60FA-4D1E-9ABD-71FFA8520692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do óleo do motor
</t>
        </r>
      </text>
    </comment>
    <comment ref="D351" authorId="0" shapeId="0" xr:uid="{74A6C02B-69E6-417C-900F-675F3AD37BE6}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R$/km rodado. Sugestão: Ver média de gastos dos últimos 12 meses e dividir pela km rodada pelo(s) veículo(s).
</t>
        </r>
      </text>
    </comment>
    <comment ref="C356" authorId="0" shapeId="0" xr:uid="{7512E703-B937-4D73-ACDF-2C8F73157089}">
      <text>
        <r>
          <rPr>
            <sz val="9"/>
            <color rgb="FF000000"/>
            <rFont val="Tahoma"/>
            <family val="2"/>
            <charset val="1"/>
          </rPr>
          <t>Informar a quantidade de pneus novos de 1 caminhão</t>
        </r>
      </text>
    </comment>
    <comment ref="D356" authorId="0" shapeId="0" xr:uid="{D9968F88-85B1-492E-8C3C-1B44F52C2F86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de cada pneu
</t>
        </r>
      </text>
    </comment>
    <comment ref="C357" authorId="0" shapeId="0" xr:uid="{BEB3D920-B1FD-4963-9517-53C09C23C37C}">
      <text>
        <r>
          <rPr>
            <sz val="9"/>
            <color rgb="FF000000"/>
            <rFont val="Tahoma"/>
            <family val="2"/>
            <charset val="1"/>
          </rPr>
          <t xml:space="preserve">Informar a durabilidade média dos pneus considerando todas as recapagens, em km
</t>
        </r>
      </text>
    </comment>
    <comment ref="C421" authorId="0" shapeId="0" xr:uid="{D07EAACB-5167-4B24-BEB9-D96A819D4F1C}">
      <text>
        <r>
          <rPr>
            <sz val="9"/>
            <color rgb="FF000000"/>
            <rFont val="Tahoma"/>
            <family val="2"/>
            <charset val="1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2" authorId="0" shapeId="0" xr:uid="{13103706-7292-4A5D-BB37-E5903A9B39F5}">
      <text>
        <r>
          <rPr>
            <sz val="9"/>
            <color rgb="FF000000"/>
            <rFont val="Segoe UI"/>
            <family val="2"/>
            <charset val="1"/>
          </rPr>
          <t>2 - Coleta seletiva, operação de triagem dos resíduos inorgânicos em local apropriado, licenciado e transporte até a destinação final do rejeito não reciclável;</t>
        </r>
      </text>
    </comment>
    <comment ref="A18" authorId="0" shapeId="0" xr:uid="{543B7C39-8E6F-49D9-98DB-775EF4BFD63B}">
      <text>
        <r>
          <rPr>
            <sz val="9"/>
            <color rgb="FF000000"/>
            <rFont val="Tahoma"/>
            <family val="2"/>
            <charset val="1"/>
          </rPr>
          <t xml:space="preserve">Qualquer custo previsto no edital e não contemplado nesta planilha modelo deverá ser devidamente incluído
</t>
        </r>
      </text>
    </comment>
    <comment ref="B57" authorId="0" shapeId="0" xr:uid="{931AE115-9535-45C1-B1A1-D0700141E487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63" authorId="0" shapeId="0" xr:uid="{DF78B13D-EEC3-4307-9F08-A8D01975EAED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C64" authorId="0" shapeId="0" xr:uid="{23A98061-220D-4753-88A2-C2B38D92F588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nos domingos e feriados em horário diurno
</t>
        </r>
      </text>
    </comment>
    <comment ref="C65" authorId="0" shapeId="0" xr:uid="{C1B20A96-7E24-435A-983E-C6F2FDDA0E07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66" authorId="0" shapeId="0" xr:uid="{6360B68E-638E-4A13-892C-D80779E8525A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69" authorId="0" shapeId="0" xr:uid="{C40261A8-4B78-4BE6-985E-20D6E284B684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71" authorId="0" shapeId="0" xr:uid="{8D94C947-A43C-46E0-99B0-EACD4D2BD11C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76" authorId="0" shapeId="0" xr:uid="{6CABEDE9-C7D5-453E-8D52-8BBBC792675E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77" authorId="0" shapeId="0" xr:uid="{FA882AFC-BCC9-4A4A-AB90-D143BF4B3882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78" authorId="0" shapeId="0" xr:uid="{E6472DBD-58DE-4FC0-8324-9AF2E23DD341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79" authorId="0" shapeId="0" xr:uid="{AF143797-4B02-400C-A115-C87795FF758D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80" authorId="0" shapeId="0" xr:uid="{135B3184-FECD-4AEA-BC27-0A7B4E907D1F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81" authorId="0" shapeId="0" xr:uid="{BF03A0DE-3010-4F4A-8EF6-70F54EC3C5E6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82" authorId="0" shapeId="0" xr:uid="{91DC2850-4158-4313-BC6F-24BA980577D1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87" authorId="0" shapeId="0" xr:uid="{9A514C59-E9FB-4380-BF39-A998A9B8ED82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88" authorId="0" shapeId="0" xr:uid="{D1BB7951-B699-49CA-BE58-E172468CAF13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89" authorId="0" shapeId="0" xr:uid="{B03B3B7E-D4B2-4388-BC8C-4D7D0B230AB1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90" authorId="0" shapeId="0" xr:uid="{F061EF91-98D2-49D9-8902-9E4B46CBCBED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91" authorId="0" shapeId="0" xr:uid="{6453D4CC-021C-4D00-8D46-5AAA157EAF4C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92" authorId="0" shapeId="0" xr:uid="{AD123B11-2CDA-4306-B79B-02FD781EA552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93" authorId="0" shapeId="0" xr:uid="{DC631B26-8045-4A78-A384-1AFDFE6C0390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98" authorId="0" shapeId="0" xr:uid="{4F17E439-340B-489D-AAD2-71735E16C371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99" authorId="0" shapeId="0" xr:uid="{6C9B9F2F-4789-47C6-B64B-2A0E99ED5DA3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00" authorId="0" shapeId="0" xr:uid="{5808DDE1-382E-4164-A307-569E6E221295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101" authorId="0" shapeId="0" xr:uid="{D5A60556-D530-421B-A7D1-D11AAF12E41B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102" authorId="0" shapeId="0" xr:uid="{07F9140D-21E2-451A-84CA-2898D5EDF7F1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103" authorId="0" shapeId="0" xr:uid="{CFE27148-5CDA-41CC-A599-75F7455AF4B7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04" authorId="0" shapeId="0" xr:uid="{1817A6EB-4AA9-4B44-8A43-6C61E544D3EE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109" authorId="0" shapeId="0" xr:uid="{9945DE48-881B-44D2-8BEA-68CC51EC8536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110" authorId="0" shapeId="0" xr:uid="{ADAF9468-74C3-484E-8C6B-253A854E69E3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11" authorId="0" shapeId="0" xr:uid="{FFC936AD-0907-4EAF-AD1E-D10E19BD4A63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112" authorId="0" shapeId="0" xr:uid="{17E14CA7-911A-40BD-B00C-B9BDFC5E57D2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113" authorId="0" shapeId="0" xr:uid="{E8C8DD10-8C06-47E9-A6C7-475F6EBA7252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114" authorId="0" shapeId="0" xr:uid="{5BE0C9B5-DA88-41D4-ACFF-FEA97ADC2EF6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15" authorId="0" shapeId="0" xr:uid="{3AF8EFE1-9D7E-4DEC-BB62-9ADBF42A361F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120" authorId="0" shapeId="0" xr:uid="{00913EFC-379C-4411-A5F3-BBAA02D5F7DA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121" authorId="0" shapeId="0" xr:uid="{69AD8418-754D-4DA4-96B7-B30569158220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22" authorId="0" shapeId="0" xr:uid="{57FA57FC-9D19-4CBB-B8D3-E2B76EE85DE4}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123" authorId="0" shapeId="0" xr:uid="{58948CE6-2881-4A78-AA89-F9263F028A38}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124" authorId="0" shapeId="0" xr:uid="{26AE26B5-B1B1-421E-AC9A-668BEF822D20}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125" authorId="0" shapeId="0" xr:uid="{1722F7E4-4063-4BB0-A71A-50950918BF6E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26" authorId="0" shapeId="0" xr:uid="{826522D6-05BC-4605-AD31-FAF8E172C3AF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D148" authorId="0" shapeId="0" xr:uid="{1025AB61-9658-4AF3-896E-971A88C38EF5}">
      <text>
        <r>
          <rPr>
            <sz val="9"/>
            <color rgb="FF000000"/>
            <rFont val="Tahoma"/>
            <family val="2"/>
            <charset val="1"/>
          </rPr>
          <t>Informar o valor unitário do VT no município</t>
        </r>
      </text>
    </comment>
    <comment ref="C149" authorId="0" shapeId="0" xr:uid="{037F0EAF-E03E-4D12-98B4-011FC4BC15EF}">
      <text>
        <r>
          <rPr>
            <sz val="9"/>
            <color rgb="FF000000"/>
            <rFont val="Tahoma"/>
            <family val="2"/>
            <charset val="1"/>
          </rPr>
          <t>Informar o número médio de dias trabalhados por mês</t>
        </r>
      </text>
    </comment>
    <comment ref="D150" authorId="0" shapeId="0" xr:uid="{D2EEEEFE-DE70-4F25-BB26-A8C5EF2F40E8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  <comment ref="D151" authorId="0" shapeId="0" xr:uid="{F9496603-BD6C-45F3-B796-7DCACAC15D96}">
      <text>
        <r>
          <rPr>
            <sz val="9"/>
            <color rgb="FF000000"/>
            <rFont val="Tahoma"/>
            <family val="2"/>
            <charset val="1"/>
          </rPr>
          <t xml:space="preserve">Valor Unitário considerando o desconto legal de até 6% do salário
</t>
        </r>
      </text>
    </comment>
    <comment ref="D156" authorId="0" shapeId="0" xr:uid="{39C576CA-2F99-4571-A72D-14559C31B910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  <comment ref="D157" authorId="0" shapeId="0" xr:uid="{154E9ABF-C154-411C-BEDC-A815DD4BC89D}">
      <text>
        <r>
          <rPr>
            <sz val="9"/>
            <color rgb="FF000000"/>
            <rFont val="Tahoma"/>
            <family val="2"/>
            <charset val="1"/>
          </rPr>
          <t>Valor Unitário considerando o desconto legal de até 6% do salário</t>
        </r>
      </text>
    </comment>
    <comment ref="D162" authorId="0" shapeId="0" xr:uid="{A38BC27B-716E-4E28-B9AE-CC49D6CCB22E}">
      <text>
        <r>
          <rPr>
            <sz val="9"/>
            <color rgb="FF000000"/>
            <rFont val="Tahoma"/>
            <family val="2"/>
            <charset val="1"/>
          </rPr>
          <t>Informar o valor unitário diário do vale refeição, considerando o desconto aplicável ao funcionário, conforme Convenção Coletiva da categoria.</t>
        </r>
      </text>
    </comment>
    <comment ref="D163" authorId="0" shapeId="0" xr:uid="{CB6D40DB-2AA8-468E-9606-1ABD153BAA30}">
      <text>
        <r>
          <rPr>
            <sz val="9"/>
            <color rgb="FF000000"/>
            <rFont val="Tahoma"/>
            <family val="2"/>
            <charset val="1"/>
          </rPr>
          <t>Informar o valor unitário diário do vale refeição, considerando o desconto aplicável ao funcionário, conforme Convenção Coletiva da categoria.</t>
        </r>
      </text>
    </comment>
    <comment ref="D166" authorId="0" shapeId="0" xr:uid="{75338E1F-B72C-48B5-A1B8-F154857F87CA}">
      <text>
        <r>
          <rPr>
            <sz val="9"/>
            <color rgb="FF000000"/>
            <rFont val="Tahoma"/>
            <family val="2"/>
            <charset val="1"/>
          </rPr>
          <t>Informar o valor unitário diário do vale refeição, considerando o desconto aplicável ao funcionário, conforme Convenção Coletiva da categoria.</t>
        </r>
      </text>
    </comment>
    <comment ref="D167" authorId="0" shapeId="0" xr:uid="{FCCC77BD-0314-475C-BC58-6EB282B84120}">
      <text>
        <r>
          <rPr>
            <sz val="9"/>
            <color rgb="FF000000"/>
            <rFont val="Tahoma"/>
            <family val="2"/>
            <charset val="1"/>
          </rPr>
          <t>Informar o valor unitário diário do vale refeição, considerando o desconto aplicável ao funcionário, conforme Convenção Coletiva da categoria.</t>
        </r>
      </text>
    </comment>
    <comment ref="C178" authorId="0" shapeId="0" xr:uid="{29941AEB-D2F8-4FD5-A4B4-97F89A25839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78" authorId="0" shapeId="0" xr:uid="{D93CAE5E-8985-4C78-A3EE-20282D017DEB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79" authorId="0" shapeId="0" xr:uid="{5C655DD8-457B-4DF0-82E0-42B6CBF2E884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79" authorId="0" shapeId="0" xr:uid="{49221AC2-7F35-4609-ADD8-78C3DD685EBA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0" authorId="0" shapeId="0" xr:uid="{BC06D8D1-CA8D-472D-A37B-ED2EBD97D40A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0" authorId="0" shapeId="0" xr:uid="{01243EE2-11FE-4D99-8880-7D59BE86B9E9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1" authorId="0" shapeId="0" xr:uid="{D548297B-9A5F-4EF3-BC14-4A5F869C50BF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1" authorId="0" shapeId="0" xr:uid="{40A1DD43-B4C8-4908-B7FD-FBD6432A0EBB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2" authorId="0" shapeId="0" xr:uid="{9ED3CA1B-AD8F-4224-A543-7F00F6F88861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2" authorId="0" shapeId="0" xr:uid="{BA6EB4D7-7749-4E29-870A-2DD389CE0FDC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3" authorId="0" shapeId="0" xr:uid="{E4647FEE-3D57-49A4-A7A7-314F9C69CAC4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3" authorId="0" shapeId="0" xr:uid="{93997480-1D30-48BB-95BC-52F4AA791C45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4" authorId="0" shapeId="0" xr:uid="{9467ED43-539A-4B6E-B860-D7651E53ECE6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4" authorId="0" shapeId="0" xr:uid="{7142948D-3493-4728-9661-FFB64B20F7AC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5" authorId="0" shapeId="0" xr:uid="{BC95AF9D-8022-44D5-86C1-E0D10C10F76D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5" authorId="0" shapeId="0" xr:uid="{8B0AC9F5-C22D-4067-BDC9-DBD19664AED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6" authorId="0" shapeId="0" xr:uid="{82C3C727-D348-4E0F-A51E-712701E0072C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6" authorId="0" shapeId="0" xr:uid="{7B2C7807-E2BF-4F3F-9C36-DCAFD98DB371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187" authorId="0" shapeId="0" xr:uid="{BD346F94-0B2A-4F35-87D8-80C19B6FA6B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87" authorId="0" shapeId="0" xr:uid="{F3AA47DE-045F-435F-B25D-0EBE1AE706EF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D188" authorId="0" shapeId="0" xr:uid="{6666A826-52D7-4E8E-9C18-D759016E6FE2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C195" authorId="0" shapeId="0" xr:uid="{F0807FCC-BCE4-4A6B-A609-D05655E4FCA9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96" authorId="0" shapeId="0" xr:uid="{878D03F6-CAAE-4087-B48A-1129F891563B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97" authorId="0" shapeId="0" xr:uid="{21383226-7A02-4C1B-9B62-F20284C8655B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98" authorId="0" shapeId="0" xr:uid="{6B484207-42D9-4272-9C08-B216A2C256D2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99" authorId="0" shapeId="0" xr:uid="{AE69A0E2-3EE3-40F6-A6E3-D8AE82099C5E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00" authorId="0" shapeId="0" xr:uid="{74300E73-8AA0-4FF9-8F85-840A09E86F63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201" authorId="0" shapeId="0" xr:uid="{549B844D-EE19-4C46-A963-A995DB38F8A4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C208" authorId="0" shapeId="0" xr:uid="{FDC993C7-B2DF-42A7-AD4B-DD824F2B6DA8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09" authorId="0" shapeId="0" xr:uid="{4ABDB63B-FE2A-4A31-ACF6-3CF498A81F42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0" authorId="0" shapeId="0" xr:uid="{93A83B69-7785-458F-AA4D-5B37F214D31F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1" authorId="0" shapeId="0" xr:uid="{90F84BDC-C6D6-4063-A33C-0D01C22F56D9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2" authorId="0" shapeId="0" xr:uid="{4CA8F2FE-F114-4965-AA9F-E8E6FA580002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13" authorId="0" shapeId="0" xr:uid="{938294A1-6E7C-452F-A690-DC374A53E218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219" authorId="0" shapeId="0" xr:uid="{75DE67D3-206D-4A5E-95B7-047F3FD8D3EC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C226" authorId="0" shapeId="0" xr:uid="{CC952202-C783-49E1-8282-416A69C5CBEA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27" authorId="0" shapeId="0" xr:uid="{BF4CE75D-3430-4BFD-A875-9AD6B4BA7786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28" authorId="0" shapeId="0" xr:uid="{60EC3DCD-5D60-4D21-BD3B-74F4D1A5321D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29" authorId="0" shapeId="0" xr:uid="{9A71E0D0-E96D-4196-BC54-8E2A0952A1E4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30" authorId="0" shapeId="0" xr:uid="{C406CE8C-649E-49C1-8C02-5341017D873A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231" authorId="0" shapeId="0" xr:uid="{3907258D-EDF1-43FE-BB76-647BAE199EBB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238" authorId="0" shapeId="0" xr:uid="{1CEE6234-1B05-41BC-8530-B3C7BC196AED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D251" authorId="0" shapeId="0" xr:uid="{A9E5F355-957D-40FC-9696-D7DB6E793A0F}">
      <text>
        <r>
          <rPr>
            <sz val="9"/>
            <color rgb="FF000000"/>
            <rFont val="Tahoma"/>
            <family val="2"/>
            <charset val="1"/>
          </rPr>
          <t>Informar o preço unitário do chassis do caminhão de coleta</t>
        </r>
      </text>
    </comment>
    <comment ref="C252" authorId="0" shapeId="0" xr:uid="{BA8F7615-64DF-4C5F-B60A-DAC28B220CE1}">
      <text>
        <r>
          <rPr>
            <sz val="9"/>
            <color rgb="FF000000"/>
            <rFont val="Tahoma"/>
            <family val="2"/>
            <charset val="1"/>
          </rPr>
          <t>Informar a vida útil estimada para o caminhão, em anos</t>
        </r>
      </text>
    </comment>
    <comment ref="C253" authorId="0" shapeId="0" xr:uid="{AA1E0D7A-0C14-4BC1-B663-3686527EB5CA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254" authorId="0" shapeId="0" xr:uid="{77A5ED9B-B29B-4A76-8D69-568CDE7E1C3E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257" authorId="0" shapeId="0" xr:uid="{67B8A45A-A411-411B-9B45-FD6E31AA49CD}">
      <text>
        <r>
          <rPr>
            <sz val="9"/>
            <color rgb="FF000000"/>
            <rFont val="Tahoma"/>
            <family val="2"/>
            <charset val="1"/>
          </rPr>
          <t>Informar a quantidade de caminhões compactadores do respectivo modelo</t>
        </r>
      </text>
    </comment>
    <comment ref="C263" authorId="0" shapeId="0" xr:uid="{62EEF969-CBF7-4FDD-8496-596909BC1464}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taxa de juros anual para remuneração do capital. Recomenda-se o uso da Taxa SELIC
</t>
        </r>
      </text>
    </comment>
    <comment ref="D274" authorId="0" shapeId="0" xr:uid="{92C4B685-237F-4B85-95D7-054097014131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contra terceiros de um caminhão, se houver previsão no Projeto Básico
</t>
        </r>
      </text>
    </comment>
    <comment ref="B280" authorId="0" shapeId="0" xr:uid="{68FBE6B1-0D87-494E-ADB9-FDF6EBBC3457}">
      <text>
        <r>
          <rPr>
            <sz val="9"/>
            <color rgb="FF000000"/>
            <rFont val="Tahoma"/>
            <family val="2"/>
            <charset val="1"/>
          </rPr>
          <t>Informar a quilometragem mensal percorrida, de acordo com o projeto básico por veículo.</t>
        </r>
      </text>
    </comment>
    <comment ref="D280" authorId="0" shapeId="0" xr:uid="{38F782BA-FD13-470A-8388-E64559044125}">
      <text>
        <r>
          <rPr>
            <sz val="9"/>
            <color rgb="FF000000"/>
            <rFont val="Tahoma"/>
            <family val="2"/>
            <charset val="1"/>
          </rPr>
          <t xml:space="preserve">Informar a quilometragem mensal percorrida, de acordo com o projeto básico
</t>
        </r>
      </text>
    </comment>
    <comment ref="C283" authorId="0" shapeId="0" xr:uid="{F599333A-1CDE-42DD-A17F-3C39A9FA246A}">
      <text>
        <r>
          <rPr>
            <sz val="9"/>
            <color rgb="FF000000"/>
            <rFont val="Tahoma"/>
            <family val="2"/>
            <charset val="1"/>
          </rPr>
          <t>Informar o consumo estimado do veículo em km/l</t>
        </r>
      </text>
    </comment>
    <comment ref="D283" authorId="0" shapeId="0" xr:uid="{1F2E6872-CE92-4C84-970F-328A7D9C39CB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combustivel
</t>
        </r>
      </text>
    </comment>
    <comment ref="C285" authorId="0" shapeId="0" xr:uid="{C83C2A2E-4450-488A-A2E6-596357B36096}">
      <text>
        <r>
          <rPr>
            <sz val="9"/>
            <color rgb="FF000000"/>
            <rFont val="Tahoma"/>
            <family val="2"/>
            <charset val="1"/>
          </rPr>
          <t>Informar o consumo de óleo do motor a cada 1000km</t>
        </r>
      </text>
    </comment>
    <comment ref="D285" authorId="0" shapeId="0" xr:uid="{9C9A436D-B637-4E5D-8261-D0AD70B8CFD3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do óleo do motor
</t>
        </r>
      </text>
    </comment>
    <comment ref="D292" authorId="0" shapeId="0" xr:uid="{AA96A1E6-546D-4FF1-9143-7685E553E74D}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R$/km rodado. Sugestão: Ver média de gastos dos últimos 12 meses e dividir pela km rodada pelo(s) veículo(s).
</t>
        </r>
      </text>
    </comment>
    <comment ref="C297" authorId="0" shapeId="0" xr:uid="{6596CDBA-6B60-46A5-BFB8-81484AB65535}">
      <text>
        <r>
          <rPr>
            <sz val="9"/>
            <color rgb="FF000000"/>
            <rFont val="Tahoma"/>
            <family val="2"/>
            <charset val="1"/>
          </rPr>
          <t xml:space="preserve">Informar a quantidade de pneus novos de 1 pick up
</t>
        </r>
      </text>
    </comment>
    <comment ref="D297" authorId="0" shapeId="0" xr:uid="{3E8BAE2C-39FC-4002-B97C-CCBB97FEE4BD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de cada pneu
</t>
        </r>
      </text>
    </comment>
    <comment ref="C298" authorId="0" shapeId="0" xr:uid="{51C35777-007A-40DA-94CF-1685056B1298}">
      <text>
        <r>
          <rPr>
            <sz val="9"/>
            <color rgb="FF000000"/>
            <rFont val="Tahoma"/>
            <family val="2"/>
            <charset val="1"/>
          </rPr>
          <t>Informar o número de recapagens por pneu</t>
        </r>
      </text>
    </comment>
    <comment ref="D299" authorId="0" shapeId="0" xr:uid="{AB5E37B0-AF13-4F5F-89EA-E0049034B64B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de cada recapagem
</t>
        </r>
      </text>
    </comment>
    <comment ref="C300" authorId="0" shapeId="0" xr:uid="{B64F1310-D179-4107-8FD4-E2E0F98E0F79}">
      <text>
        <r>
          <rPr>
            <sz val="9"/>
            <color rgb="FF000000"/>
            <rFont val="Tahoma"/>
            <family val="2"/>
            <charset val="1"/>
          </rPr>
          <t xml:space="preserve">Informar a durabilidade média dos pneus considerando todas as recapagens, em km
</t>
        </r>
      </text>
    </comment>
    <comment ref="D307" authorId="0" shapeId="0" xr:uid="{F02F0DF0-4269-4462-A235-0216200DF4BE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chassis do veiculo
</t>
        </r>
      </text>
    </comment>
    <comment ref="C308" authorId="0" shapeId="0" xr:uid="{4F874143-FE3F-43B2-99AE-285BE621DE53}">
      <text>
        <r>
          <rPr>
            <sz val="9"/>
            <color rgb="FF000000"/>
            <rFont val="Tahoma"/>
            <family val="2"/>
            <charset val="1"/>
          </rPr>
          <t>Informar a vida útil estimada para o veiculo, em anos</t>
        </r>
      </text>
    </comment>
    <comment ref="C309" authorId="0" shapeId="0" xr:uid="{B27DEA7B-0921-4168-AF0C-28CEC19C81E7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310" authorId="0" shapeId="0" xr:uid="{4D103DB6-7400-4756-B876-F78BD132C4D1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313" authorId="0" shapeId="0" xr:uid="{F363576B-570C-4300-A183-4F04AA5C92A8}">
      <text>
        <r>
          <rPr>
            <sz val="9"/>
            <color rgb="FF000000"/>
            <rFont val="Tahoma"/>
            <family val="2"/>
            <charset val="1"/>
          </rPr>
          <t>Informar a quantidade de veiculo para fiscal do respectivo modelo</t>
        </r>
      </text>
    </comment>
    <comment ref="C319" authorId="0" shapeId="0" xr:uid="{52A23C7D-A72C-4E19-B101-00F3736818D1}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taxa de juros anual para remuneração do capital. Recomenda-se o uso da Taxa SELIC
</t>
        </r>
      </text>
    </comment>
    <comment ref="D329" authorId="0" shapeId="0" xr:uid="{D324FB72-062E-47D5-97F6-60751D5D886E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obrigatório e licenciamento anual de um veiculo
</t>
        </r>
      </text>
    </comment>
    <comment ref="D330" authorId="0" shapeId="0" xr:uid="{D462600B-296B-422D-8D25-0E053035A280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contra terceiros de um veiculo, se houver previsão no Projeto Básico
</t>
        </r>
      </text>
    </comment>
    <comment ref="B336" authorId="0" shapeId="0" xr:uid="{9AE19ED0-6098-46EF-85A1-4008532BD3FA}">
      <text>
        <r>
          <rPr>
            <sz val="9"/>
            <color rgb="FF000000"/>
            <rFont val="Tahoma"/>
            <family val="2"/>
            <charset val="1"/>
          </rPr>
          <t>Informar a quilometragem mensal percorrida, de acordo com o projeto básico por veículo.</t>
        </r>
      </text>
    </comment>
    <comment ref="D336" authorId="0" shapeId="0" xr:uid="{C900A14D-7277-49C9-97EB-7C47C7B7BB07}">
      <text>
        <r>
          <rPr>
            <sz val="9"/>
            <color rgb="FF000000"/>
            <rFont val="Tahoma"/>
            <family val="2"/>
            <charset val="1"/>
          </rPr>
          <t xml:space="preserve">Informar a quilometragem mensal percorrida, de acordo com o projeto básico
</t>
        </r>
      </text>
    </comment>
    <comment ref="C339" authorId="0" shapeId="0" xr:uid="{20100804-8612-4172-B940-75E7DF1CB6C2}">
      <text>
        <r>
          <rPr>
            <sz val="9"/>
            <color rgb="FF000000"/>
            <rFont val="Tahoma"/>
            <family val="2"/>
            <charset val="1"/>
          </rPr>
          <t>Informar o consumo estimado do veículo em km/l</t>
        </r>
      </text>
    </comment>
    <comment ref="D339" authorId="0" shapeId="0" xr:uid="{847D04C0-68C8-4616-8A8E-CA0D9216906B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combustivel
</t>
        </r>
      </text>
    </comment>
    <comment ref="C341" authorId="0" shapeId="0" xr:uid="{0091DAD4-F5F0-4E5E-8046-9648A2F754BF}">
      <text>
        <r>
          <rPr>
            <sz val="9"/>
            <color rgb="FF000000"/>
            <rFont val="Tahoma"/>
            <family val="2"/>
            <charset val="1"/>
          </rPr>
          <t>Informar o consumo de óleo do motor a cada 1000km</t>
        </r>
      </text>
    </comment>
    <comment ref="D341" authorId="0" shapeId="0" xr:uid="{CF08592A-5799-437C-83A4-E9FDDEDDC1DF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do óleo do motor
</t>
        </r>
      </text>
    </comment>
    <comment ref="D348" authorId="0" shapeId="0" xr:uid="{34D1B8BB-21B1-44BF-B842-19F4B89F965F}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R$/km rodado. Sugestão: Ver média de gastos dos últimos 12 meses e dividir pela km rodada pelo(s) veículo(s).
</t>
        </r>
      </text>
    </comment>
    <comment ref="C353" authorId="0" shapeId="0" xr:uid="{B7469521-826E-42DD-910C-8D511C3B6718}">
      <text>
        <r>
          <rPr>
            <sz val="9"/>
            <color rgb="FF000000"/>
            <rFont val="Tahoma"/>
            <family val="2"/>
            <charset val="1"/>
          </rPr>
          <t>Informar a quantidade de pneus novos de 1 caminhão</t>
        </r>
      </text>
    </comment>
    <comment ref="D353" authorId="0" shapeId="0" xr:uid="{ADDB06DD-11F4-414A-B2A6-8FD641DB8F47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de cada pneu
</t>
        </r>
      </text>
    </comment>
    <comment ref="C354" authorId="0" shapeId="0" xr:uid="{9E0472A4-F149-469E-963A-7B6D9802C43D}">
      <text>
        <r>
          <rPr>
            <sz val="9"/>
            <color rgb="FF000000"/>
            <rFont val="Tahoma"/>
            <family val="2"/>
            <charset val="1"/>
          </rPr>
          <t xml:space="preserve">Informar a durabilidade média dos pneus considerando todas as recapagens, em km
</t>
        </r>
      </text>
    </comment>
    <comment ref="C407" authorId="0" shapeId="0" xr:uid="{211DCC7E-CD0A-411A-B45F-87D180A72B2E}">
      <text>
        <r>
          <rPr>
            <sz val="9"/>
            <color rgb="FF000000"/>
            <rFont val="Tahoma"/>
            <family val="2"/>
            <charset val="1"/>
          </rPr>
          <t>Preencher a aba 4.BDI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0" authorId="0" shapeId="0" xr:uid="{00000000-0006-0000-0300-00000100000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Administração Central estimado
</t>
        </r>
      </text>
    </comment>
    <comment ref="C11" authorId="0" shapeId="0" xr:uid="{00000000-0006-0000-0300-00000200000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Seguros, Riscos e Garantia estimado
</t>
        </r>
      </text>
    </comment>
    <comment ref="C12" authorId="0" shapeId="0" xr:uid="{00000000-0006-0000-0300-00000300000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Lucro estimado
</t>
        </r>
      </text>
    </comment>
    <comment ref="E13" authorId="0" shapeId="0" xr:uid="{00000000-0006-0000-0300-000004000000}">
      <text>
        <r>
          <rPr>
            <b/>
            <sz val="9"/>
            <color rgb="FF000000"/>
            <rFont val="Tahoma"/>
            <family val="2"/>
            <charset val="1"/>
          </rPr>
          <t>Informar o valor anual da taxa financeira, em percentual. Admite-se utilizar a SELIC</t>
        </r>
      </text>
    </comment>
    <comment ref="C14" authorId="0" shapeId="0" xr:uid="{00000000-0006-0000-0300-00000500000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percentual de ISS, de acordo com a legislação tributária do município onde serão prestados os serviços. De 2% até o limite de 5%.
</t>
        </r>
      </text>
    </comment>
    <comment ref="E14" authorId="0" shapeId="0" xr:uid="{00000000-0006-0000-0300-00000600000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média de dias úteis entre data de pagamento prevista no contrato e a data final do período de adimplemento da parcela
</t>
        </r>
      </text>
    </comment>
    <comment ref="C15" authorId="0" shapeId="0" xr:uid="{00000000-0006-0000-0300-00000700000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1" authorId="0" shapeId="0" xr:uid="{98F4A798-E1D7-43E4-9556-CFF43197221C}">
      <text>
        <r>
          <rPr>
            <sz val="9"/>
            <color rgb="FF000000"/>
            <rFont val="Segoe UI"/>
            <family val="2"/>
            <charset val="1"/>
          </rPr>
          <t>2 - Coleta seletiva, operação de triagem dos resíduos inorgânicos em local apropriado, licenciado e transporte até a destinação final do rejeito não reciclável;</t>
        </r>
      </text>
    </comment>
  </commentList>
</comments>
</file>

<file path=xl/sharedStrings.xml><?xml version="1.0" encoding="utf-8"?>
<sst xmlns="http://schemas.openxmlformats.org/spreadsheetml/2006/main" count="1673" uniqueCount="347">
  <si>
    <t>ESTADO DO RIO GRANDE DO SUL</t>
  </si>
  <si>
    <t>PREFEITURA MUNICIPAL DE CACHOEIRINHA</t>
  </si>
  <si>
    <t>Modelo de Planilha de Composição de Custos</t>
  </si>
  <si>
    <t>Orçamento Sintético</t>
  </si>
  <si>
    <t>Descrição do Item</t>
  </si>
  <si>
    <t>Custo (R$/mês)</t>
  </si>
  <si>
    <t>%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</si>
  <si>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</si>
  <si>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</si>
  <si>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</si>
  <si>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</si>
  <si>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</si>
  <si>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</si>
  <si>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</si>
  <si>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Discriminação</t>
  </si>
  <si>
    <t>Unidade</t>
  </si>
  <si>
    <t>Custo unitário</t>
  </si>
  <si>
    <t>Subtotal</t>
  </si>
  <si>
    <r>
      <rPr>
        <b/>
        <sz val="11"/>
        <rFont val="Calibri"/>
        <family val="2"/>
        <charset val="1"/>
      </rPr>
      <t xml:space="preserve">Total </t>
    </r>
    <r>
      <rPr>
        <b/>
        <u/>
        <sz val="11"/>
        <rFont val="Calibri"/>
        <family val="2"/>
        <charset val="1"/>
      </rPr>
      <t>(R$)</t>
    </r>
  </si>
  <si>
    <t>Piso da categoria</t>
  </si>
  <si>
    <t>mês</t>
  </si>
  <si>
    <t>Horas Extras (100%)</t>
  </si>
  <si>
    <t>hora</t>
  </si>
  <si>
    <t>Horas Extras (50%)</t>
  </si>
  <si>
    <t>Descanso Semanal Remunerado (DSR) - hora extra</t>
  </si>
  <si>
    <t>R$</t>
  </si>
  <si>
    <t>Adicional de Insalubridade</t>
  </si>
  <si>
    <t>Soma</t>
  </si>
  <si>
    <t>Encargos Sociais</t>
  </si>
  <si>
    <t>Total do Efetivo</t>
  </si>
  <si>
    <t>homem</t>
  </si>
  <si>
    <t>Fator de utilização</t>
  </si>
  <si>
    <t>Salário Normal</t>
  </si>
  <si>
    <t xml:space="preserve">Preço unitário </t>
  </si>
  <si>
    <t xml:space="preserve">Subtotal </t>
  </si>
  <si>
    <t xml:space="preserve">Total (R$) </t>
  </si>
  <si>
    <t>Total de Técnico Segurança do Trabalho</t>
  </si>
  <si>
    <t>*Considerando 2hs semanais</t>
  </si>
  <si>
    <t>*Fator de utilização</t>
  </si>
  <si>
    <t>Vale Transporte</t>
  </si>
  <si>
    <t>Dias Trabalhados por mês</t>
  </si>
  <si>
    <t>dia</t>
  </si>
  <si>
    <t>vale</t>
  </si>
  <si>
    <t>unidade</t>
  </si>
  <si>
    <t>Custo Mensal com Mão-de-obra (R$/mês)</t>
  </si>
  <si>
    <t>2. Uniformes e Equipamentos de Proteção Individual</t>
  </si>
  <si>
    <t>Durabilidade (meses)</t>
  </si>
  <si>
    <t>Jaqueta com reflexivo (NBR 15.292)</t>
  </si>
  <si>
    <t>Calça</t>
  </si>
  <si>
    <t>Camiseta (curta e longa)</t>
  </si>
  <si>
    <t>par</t>
  </si>
  <si>
    <t>Meia de algodão com cano alto</t>
  </si>
  <si>
    <t>Capa de chuva amarela com reflexivo</t>
  </si>
  <si>
    <t>Colete reflexivo</t>
  </si>
  <si>
    <t>Luva de proteção</t>
  </si>
  <si>
    <t>Protetor solar FPS 30</t>
  </si>
  <si>
    <t>Higienização de uniformes e EPIs</t>
  </si>
  <si>
    <t>R$ mensal</t>
  </si>
  <si>
    <t>2.2. Uniformes e EPIs para demais categorias</t>
  </si>
  <si>
    <t>Camiseta</t>
  </si>
  <si>
    <t>frasco 120g</t>
  </si>
  <si>
    <t>Custo Mensal com Uniformes e EPIs (R$/mês)</t>
  </si>
  <si>
    <t>3.1.1. Depreciação</t>
  </si>
  <si>
    <t>Custo de aquisição do Veículo chassi</t>
  </si>
  <si>
    <t>Vida útil do chassi</t>
  </si>
  <si>
    <t>anos</t>
  </si>
  <si>
    <t>Idade do veículo</t>
  </si>
  <si>
    <t>Depreciação do chassi</t>
  </si>
  <si>
    <t>Total da frota (com qtde. total de veículos)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</si>
  <si>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</si>
  <si>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</si>
  <si>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</si>
  <si>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</si>
  <si>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</si>
  <si>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</si>
  <si>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Total da frota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</si>
  <si>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</si>
  <si>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</si>
  <si>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</si>
  <si>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</si>
  <si>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</si>
  <si>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</si>
  <si>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Km Mensal Unit.</t>
  </si>
  <si>
    <t>Qtde.</t>
  </si>
  <si>
    <t>Total Km Rota</t>
  </si>
  <si>
    <t>Quilometragem mensal da Rota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</si>
  <si>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</si>
  <si>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</si>
  <si>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</si>
  <si>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</si>
  <si>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</si>
  <si>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</si>
  <si>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</si>
  <si>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</si>
  <si>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com consumos/km rodado</t>
  </si>
  <si>
    <t>R$/km rodado</t>
  </si>
  <si>
    <t>3.1.5. Manutenção</t>
  </si>
  <si>
    <t>Custo de manutenção dos Veículos</t>
  </si>
  <si>
    <t>3.1.6. Pneus</t>
  </si>
  <si>
    <t xml:space="preserve">Custo do jogo de pneus </t>
  </si>
  <si>
    <t>Número de recapagens por pneu</t>
  </si>
  <si>
    <t>Custo de recapagem</t>
  </si>
  <si>
    <t>km/jogo</t>
  </si>
  <si>
    <t>Custo mensal com pneus</t>
  </si>
  <si>
    <t>Custo Mensal com Veículos e Equipamentos (R$/mês)</t>
  </si>
  <si>
    <t>4. Ferramentas e Materiais de Consumo</t>
  </si>
  <si>
    <t>Pá de Concha</t>
  </si>
  <si>
    <t>Custo Mensal com Ferramentas e Materiais de Consumo (R$/mês)</t>
  </si>
  <si>
    <t>CUSTO TOTAL MENSAL COM DESPESAS OPERACIONAIS (R$/mês)</t>
  </si>
  <si>
    <t>Benefícios e despesas indiretas</t>
  </si>
  <si>
    <t>CUSTO MENSAL COM BDI (R$/mês)</t>
  </si>
  <si>
    <t>PREÇO MENSAL TOTAL (R$/mês)</t>
  </si>
  <si>
    <t>Cachoeirinha</t>
  </si>
  <si>
    <t>Orientações para preenchimento: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</si>
  <si>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</si>
  <si>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</si>
  <si>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</si>
  <si>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</si>
  <si>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</si>
  <si>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</si>
  <si>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</si>
  <si>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</si>
  <si>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</si>
  <si>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</si>
  <si>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</si>
  <si>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</si>
  <si>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</si>
  <si>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</si>
  <si>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</si>
  <si>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</si>
  <si>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</si>
  <si>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</si>
  <si>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</si>
  <si>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</si>
  <si>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</si>
  <si>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</si>
  <si>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</si>
  <si>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</si>
  <si>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</si>
  <si>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</si>
  <si>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</si>
  <si>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</si>
  <si>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</si>
  <si>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</si>
  <si>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</si>
  <si>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</si>
  <si>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</si>
  <si>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</si>
  <si>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</si>
  <si>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</si>
  <si>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</si>
  <si>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</si>
  <si>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</si>
  <si>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</si>
  <si>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</si>
  <si>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</si>
  <si>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</si>
  <si>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</si>
  <si>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</si>
  <si>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</si>
  <si>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</si>
  <si>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</si>
  <si>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</si>
  <si>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</si>
  <si>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</si>
  <si>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</si>
  <si>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</si>
  <si>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</si>
  <si>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</si>
  <si>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</si>
  <si>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</si>
  <si>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</si>
  <si>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</si>
  <si>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</si>
  <si>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</si>
  <si>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</si>
  <si>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</si>
  <si>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</si>
  <si>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</si>
  <si>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</si>
  <si>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</si>
  <si>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</si>
  <si>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</si>
  <si>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</si>
  <si>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</si>
  <si>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</si>
  <si>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</si>
  <si>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</si>
  <si>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</si>
  <si>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</si>
  <si>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</si>
  <si>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</si>
  <si>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</si>
  <si>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</si>
  <si>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</si>
  <si>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</si>
  <si>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rgb="FF000000"/>
        <rFont val="Arial"/>
        <family val="2"/>
        <charset val="1"/>
      </rPr>
      <t>J</t>
    </r>
    <r>
      <rPr>
        <vertAlign val="subscript"/>
        <sz val="12"/>
        <color rgb="FF000000"/>
        <rFont val="Arial"/>
        <family val="2"/>
        <charset val="1"/>
      </rPr>
      <t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</si>
  <si>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</si>
  <si>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</si>
  <si>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</si>
  <si>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r</t>
    </r>
    <r>
      <rPr>
        <sz val="12"/>
        <color rgb="FF000000"/>
        <rFont val="Arial"/>
        <family val="2"/>
        <charset val="1"/>
      </rPr>
      <t xml:space="preserve"> = valor residual do bem</t>
    </r>
  </si>
  <si>
    <t>n = vida útil do bem em anos</t>
  </si>
  <si>
    <t>Botina de segurança c/ palmilha aço e Tênis</t>
  </si>
  <si>
    <t>6. Benefícios e Despesas Indiretas - BDI</t>
  </si>
  <si>
    <r>
      <rPr>
        <b/>
        <sz val="9"/>
        <color theme="1"/>
        <rFont val="Arial"/>
        <family val="2"/>
      </rPr>
      <t xml:space="preserve">Total </t>
    </r>
    <r>
      <rPr>
        <b/>
        <u/>
        <sz val="9"/>
        <color theme="1"/>
        <rFont val="Arial"/>
        <family val="2"/>
      </rPr>
      <t>(R$)</t>
    </r>
  </si>
  <si>
    <t>ANP - Cachoeirinha RS</t>
  </si>
  <si>
    <t xml:space="preserve"> (25/01/2026 a 31/01/2026)</t>
  </si>
  <si>
    <t>Custo jg. compl. + 2 recap./ km rodado</t>
  </si>
  <si>
    <t>Custo de gasolina/ km rodado</t>
  </si>
  <si>
    <t>Custo mensal com gasolina</t>
  </si>
  <si>
    <t>Custo de óleo do motor/ 1.000 km rodados</t>
  </si>
  <si>
    <t>Custo jg. compl. / km rodado</t>
  </si>
  <si>
    <t>Depreciação mensal veículos</t>
  </si>
  <si>
    <t>Remuneração mensal de capital do Veiculo</t>
  </si>
  <si>
    <t>Custo de aquisição do Veículo</t>
  </si>
  <si>
    <t>2.1. Uniformes e EPIs</t>
  </si>
  <si>
    <t>3.2. Veículo utilitário para fiscal</t>
  </si>
  <si>
    <t>3.2.1. Depreciação</t>
  </si>
  <si>
    <t>3.2.2. Remuneração do Capital</t>
  </si>
  <si>
    <t>3.2.3. Impostos e Seguros</t>
  </si>
  <si>
    <t>3.2.4. Consumos</t>
  </si>
  <si>
    <t>3.2.5. Manutenção</t>
  </si>
  <si>
    <t>3.2.6. Pneus</t>
  </si>
  <si>
    <t>Garrafa térmica 5 litros</t>
  </si>
  <si>
    <t>Copos descartáveis 200ml (pacote 100un)</t>
  </si>
  <si>
    <t>Cone de sinalização (6 por equipe)</t>
  </si>
  <si>
    <t>Enxada</t>
  </si>
  <si>
    <t>Vassourões</t>
  </si>
  <si>
    <t>Carrinho de mão</t>
  </si>
  <si>
    <t>PREÇO TOTAL MENSAL</t>
  </si>
  <si>
    <t>PREÇO TOTAL TRIMESTRAL</t>
  </si>
  <si>
    <t>3. Veículos</t>
  </si>
  <si>
    <t>1.5. Vale Transporte</t>
  </si>
  <si>
    <t>Vaso Sanitário</t>
  </si>
  <si>
    <t>Divisão Naval</t>
  </si>
  <si>
    <t>Pia completa (Torneira + Cuba)</t>
  </si>
  <si>
    <t>Mictório</t>
  </si>
  <si>
    <t>UNIDADE</t>
  </si>
  <si>
    <t>VALOR</t>
  </si>
  <si>
    <t>7. Cotações</t>
  </si>
  <si>
    <t>COTAÇÃO 1</t>
  </si>
  <si>
    <t>COTAÇÃO 2</t>
  </si>
  <si>
    <t>COTAÇÃO 3</t>
  </si>
  <si>
    <t>m²</t>
  </si>
  <si>
    <t>DESCRIÇÃO</t>
  </si>
  <si>
    <t>Divisória Naval</t>
  </si>
  <si>
    <t>Trinco Livre/Ocupado</t>
  </si>
  <si>
    <t>Pia Completa</t>
  </si>
  <si>
    <t>5. Reforma dos Banheiros</t>
  </si>
  <si>
    <t>SECRETARIA MUNICIPAL DE INFRAESTRUTURA E SERVIÇOS URBANOS - SMISU</t>
  </si>
  <si>
    <t>Trinco (Livre/Ocupado) Para Porta naval</t>
  </si>
  <si>
    <t>1.1. Pedreiro</t>
  </si>
  <si>
    <t>SINAPI RS/2026 - 41065</t>
  </si>
  <si>
    <t>SICRO RS/2026 - P9676</t>
  </si>
  <si>
    <t>SINAPI-I RS/2026 - 40813</t>
  </si>
  <si>
    <t>CTT - Sinduscon 25/26</t>
  </si>
  <si>
    <t>1.6. Cartão Alimentação</t>
  </si>
  <si>
    <t>3.1. Veículo Tipo Pick-Up 4x2 ou 4x4</t>
  </si>
  <si>
    <t>Boné / Touca Arabe</t>
  </si>
  <si>
    <t>frasco 120 ml</t>
  </si>
  <si>
    <t>Martelo</t>
  </si>
  <si>
    <t>Pincel 1/2''</t>
  </si>
  <si>
    <t>Pincel 1''</t>
  </si>
  <si>
    <t>Pincel 3''</t>
  </si>
  <si>
    <t>Trincha grande</t>
  </si>
  <si>
    <t>Espatula 4cm</t>
  </si>
  <si>
    <t>Espatula 8cm</t>
  </si>
  <si>
    <t>Bandeja</t>
  </si>
  <si>
    <t>Colher de Pedreiro</t>
  </si>
  <si>
    <t>Rolo de espuma 15cm</t>
  </si>
  <si>
    <t>Balde Metalico</t>
  </si>
  <si>
    <t>Chave Phillips (5 Peças/Diferentes tamanhos)</t>
  </si>
  <si>
    <t>Chave de Fenda (5 Peças/Diferentes tamanhos)</t>
  </si>
  <si>
    <t>Escada Fibra de Vidro 6 metros</t>
  </si>
  <si>
    <t>https://www.transbus.srv.br/</t>
  </si>
  <si>
    <t>7. Cotação</t>
  </si>
  <si>
    <t>1.3. Auxiliar de Serviços Gerais</t>
  </si>
  <si>
    <t>CTT - Sindasseio 2026</t>
  </si>
  <si>
    <t>1.2. Servente de pedreiro</t>
  </si>
  <si>
    <t>Dobro do salario do Auxiliar</t>
  </si>
  <si>
    <t xml:space="preserve">3. Composição dos Encargos Sociais </t>
  </si>
  <si>
    <t>1. SERVIÇOS DE MANUTENÇÃO (PRAÇAS)  - LOTE 1</t>
  </si>
  <si>
    <t>PRAÇAS: CONQUISTA, BÍBLIA e ILDO CAÇAPAVA</t>
  </si>
  <si>
    <t>PRAÇAS: PARCÃO DE CACHOEIRINHA ,JUVENTUDE E GETULIO VARGAS</t>
  </si>
  <si>
    <t>GERAL</t>
  </si>
  <si>
    <t>LOTE 1</t>
  </si>
  <si>
    <t>LOTE 2</t>
  </si>
  <si>
    <t>Valor Mensal</t>
  </si>
  <si>
    <t>3 meses</t>
  </si>
  <si>
    <t>8. Composição</t>
  </si>
  <si>
    <t>FONTE</t>
  </si>
  <si>
    <t>CÓDIGO</t>
  </si>
  <si>
    <t>COEF.</t>
  </si>
  <si>
    <t>COTAÇÃO 4</t>
  </si>
  <si>
    <t>Sicilone Neutro 280g</t>
  </si>
  <si>
    <t>COTAÇÃO 5</t>
  </si>
  <si>
    <t>Kit fixação (6 parafuso + buchas 8mm)</t>
  </si>
  <si>
    <t>Tinta Esmalte Base Dagua 3,6 litros</t>
  </si>
  <si>
    <t>Cimento Portland (50kg)</t>
  </si>
  <si>
    <t>Lixa 80</t>
  </si>
  <si>
    <t>1.4. Soldador</t>
  </si>
  <si>
    <t xml:space="preserve">  </t>
  </si>
  <si>
    <t>1.5. Eletricista</t>
  </si>
  <si>
    <t>1.6. Supervisor</t>
  </si>
  <si>
    <t>1.7. Técnico Segurança do Trabalho</t>
  </si>
  <si>
    <t>1.8. Responsável Técnico (Engenheiro Civil)</t>
  </si>
  <si>
    <t>SINAPI-I RS/2026 - 41087</t>
  </si>
  <si>
    <t>SINAPI-I RS/2026 - 40918</t>
  </si>
  <si>
    <t>*Considerando 10hs semanais</t>
  </si>
  <si>
    <t>VALOR GERAL MENSAL</t>
  </si>
  <si>
    <t>2.3. Uniformes e EPIs para Eletricista</t>
  </si>
  <si>
    <t>Mascara de solda (proteção UV/IV)</t>
  </si>
  <si>
    <t>Luva de raspa</t>
  </si>
  <si>
    <t>Avental de raspa</t>
  </si>
  <si>
    <t>Perneira de raspa</t>
  </si>
  <si>
    <t>Protetor auricular</t>
  </si>
  <si>
    <t>Touca Arabe</t>
  </si>
  <si>
    <t>2.4. Uniformes e EPIs para Soldador</t>
  </si>
  <si>
    <t>Luvas de Eletricista Anti-Choque Impermeavel 400v</t>
  </si>
  <si>
    <t>Oculos de proteção Incolor</t>
  </si>
  <si>
    <t>Manga isolante</t>
  </si>
  <si>
    <t>Capacete Eletricista Nr 10</t>
  </si>
  <si>
    <t>Escova de Aço</t>
  </si>
  <si>
    <t>Martelete Picador</t>
  </si>
  <si>
    <t>Maquina de solda Inversora portátil 120A</t>
  </si>
  <si>
    <t>Esquadro Magnético 30kg (1 par por eletricista)</t>
  </si>
  <si>
    <t>Eletrodo 6013 2.5mm (5kg)</t>
  </si>
  <si>
    <t>TOTAL</t>
  </si>
  <si>
    <t>5. Benefícios e Despesas Indiretas - BDI</t>
  </si>
  <si>
    <t>2. SERVIÇOS DE MANUTENÇÃO (PRAÇAS) - LOTE 2</t>
  </si>
  <si>
    <t>VALOR GERAL ANUAL</t>
  </si>
  <si>
    <t>Nome da composição</t>
  </si>
  <si>
    <t>SINAPI-I 38194</t>
  </si>
  <si>
    <t>SINAPI-I 38193</t>
  </si>
  <si>
    <t>Soquete para Lampada (Base E27)</t>
  </si>
  <si>
    <t>Lampada 10w Led (Base E27)</t>
  </si>
  <si>
    <t>Lampada 6w Led (Base E27)</t>
  </si>
  <si>
    <t>SINAPI-I 12295</t>
  </si>
  <si>
    <t xml:space="preserve">3.2. </t>
  </si>
  <si>
    <t>Total por Pedreiro</t>
  </si>
  <si>
    <t>Depreciação mensal veículo</t>
  </si>
  <si>
    <t>Total por Servente de Pedreiro</t>
  </si>
  <si>
    <t>Total por Auxiliar de Serviços Gerais</t>
  </si>
  <si>
    <t>Total por Soldador</t>
  </si>
  <si>
    <t>Total por Eletricista</t>
  </si>
  <si>
    <t>Total por Supervisor</t>
  </si>
  <si>
    <t xml:space="preserve">Depreciação mensal veículos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</si>
</sst>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.00_-;\-* #,##0.00_-;_-* \-??_-;_-@_-"/>
    <numFmt numFmtId="165" formatCode="_(* #,##0.00_);_(* \(#,##0.00\);_(* \-??_);_(@_)"/>
    <numFmt numFmtId="166" formatCode="&quot;R$ &quot;#,##0.00"/>
    <numFmt numFmtId="167" formatCode="&quot;R$ &quot;#,##0.00_);&quot;(R$ &quot;#,##0.00\)"/>
    <numFmt numFmtId="168" formatCode="_(* #,##0_);_(* \(#,##0\);_(* \-??_);_(@_)"/>
    <numFmt numFmtId="169" formatCode="_(* #,##0.0000_);_(* \(#,##0.0000\);_(* \-??_);_(@_)"/>
    <numFmt numFmtId="170" formatCode="_-* #,##0.00_-;\-* #,##0.00_-;_-* \-???_-;_-@_-"/>
    <numFmt numFmtId="171" formatCode="_(* #,##0.000_);_(* \(#,##0.000\);_(* \-??_);_(@_)"/>
    <numFmt numFmtId="172" formatCode="dddd&quot;, &quot;mmmm\ dd&quot;, &quot;yyyy"/>
    <numFmt numFmtId="173" formatCode="0.0000%"/>
    <numFmt numFmtId="174" formatCode="[$-F800]dddd\,\ mmmm\ dd\,\ yyyy"/>
    <numFmt numFmtId="175" formatCode="_(* #,##0.00_);_(* \(#,##0.00\);_(* &quot;-&quot;??_);_(@_)"/>
    <numFmt numFmtId="176" formatCode="&quot;R$&quot;\ #,##0.00"/>
  </numFmts>
  <fonts count="35" x14ac:knownFonts="1">
    <font>
      <sz val="10"/>
      <name val="Arial"/>
      <charset val="1"/>
    </font>
    <font>
      <sz val="10"/>
      <name val="Arial"/>
      <family val="2"/>
      <charset val="1"/>
    </font>
    <font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6"/>
      <name val="Calibri"/>
      <family val="2"/>
      <charset val="1"/>
    </font>
    <font>
      <b/>
      <sz val="12"/>
      <name val="Calibri"/>
      <family val="2"/>
      <charset val="1"/>
    </font>
    <font>
      <b/>
      <sz val="11"/>
      <name val="Calibri"/>
      <family val="2"/>
      <charset val="1"/>
    </font>
    <font>
      <b/>
      <u/>
      <sz val="11"/>
      <name val="Calibri"/>
      <family val="2"/>
      <charset val="1"/>
    </font>
    <font>
      <i/>
      <sz val="10"/>
      <name val="Calibri"/>
      <family val="2"/>
      <charset val="1"/>
    </font>
    <font>
      <u/>
      <sz val="10"/>
      <color rgb="FF0000FF"/>
      <name val="Arial"/>
      <family val="2"/>
      <charset val="1"/>
    </font>
    <font>
      <u/>
      <sz val="11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1"/>
      <color rgb="FF000000"/>
      <name val="Tahoma"/>
      <family val="2"/>
      <charset val="1"/>
    </font>
    <font>
      <sz val="9"/>
      <color rgb="FF000000"/>
      <name val="Segoe UI"/>
      <family val="2"/>
      <charset val="1"/>
    </font>
    <font>
      <sz val="9"/>
      <color rgb="FF000000"/>
      <name val="Tahoma"/>
      <family val="2"/>
      <charset val="1"/>
    </font>
    <font>
      <b/>
      <sz val="9"/>
      <color rgb="FF000000"/>
      <name val="Tahoma"/>
      <family val="2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sz val="12"/>
      <color rgb="FF000000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0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i/>
      <sz val="10"/>
      <name val="Calibri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FFFFFF"/>
        <bgColor rgb="FFEEECE1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EEECE1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rgb="FFFFFF00"/>
      </patternFill>
    </fill>
    <fill>
      <patternFill patternType="solid">
        <fgColor theme="7" tint="0.59999389629810485"/>
        <bgColor rgb="FFC0C0C0"/>
      </patternFill>
    </fill>
    <fill>
      <patternFill patternType="solid">
        <fgColor theme="7" tint="0.59999389629810485"/>
        <bgColor rgb="FFD9D9D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D9D9D9"/>
      </patternFill>
    </fill>
    <fill>
      <patternFill patternType="solid">
        <fgColor rgb="FFFFC000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165" fontId="26" fillId="0" borderId="0" applyBorder="0" applyProtection="0"/>
    <xf numFmtId="9" fontId="26" fillId="0" borderId="0" applyBorder="0" applyProtection="0"/>
    <xf numFmtId="0" fontId="9" fillId="0" borderId="0" applyBorder="0" applyProtection="0"/>
    <xf numFmtId="164" fontId="26" fillId="0" borderId="0" applyBorder="0" applyProtection="0"/>
  </cellStyleXfs>
  <cellXfs count="343">
    <xf numFmtId="0" fontId="0" fillId="0" borderId="0" xfId="0"/>
    <xf numFmtId="0" fontId="2" fillId="0" borderId="0" xfId="0" applyFont="1" applyAlignment="1">
      <alignment vertical="center"/>
    </xf>
    <xf numFmtId="165" fontId="2" fillId="0" borderId="0" xfId="1" applyFont="1" applyBorder="1" applyAlignment="1" applyProtection="1">
      <alignment vertical="center"/>
    </xf>
    <xf numFmtId="4" fontId="2" fillId="0" borderId="0" xfId="0" applyNumberFormat="1" applyFont="1" applyAlignment="1">
      <alignment vertical="center"/>
    </xf>
    <xf numFmtId="165" fontId="2" fillId="0" borderId="4" xfId="1" applyFont="1" applyBorder="1" applyAlignment="1" applyProtection="1">
      <alignment vertical="center"/>
    </xf>
    <xf numFmtId="165" fontId="6" fillId="0" borderId="6" xfId="1" applyFont="1" applyBorder="1" applyAlignment="1" applyProtection="1">
      <alignment horizontal="center" vertical="center"/>
    </xf>
    <xf numFmtId="165" fontId="2" fillId="0" borderId="7" xfId="1" applyFont="1" applyBorder="1" applyAlignment="1" applyProtection="1">
      <alignment vertical="center"/>
    </xf>
    <xf numFmtId="165" fontId="6" fillId="0" borderId="7" xfId="1" applyFont="1" applyBorder="1" applyAlignment="1" applyProtection="1">
      <alignment vertical="center"/>
    </xf>
    <xf numFmtId="165" fontId="6" fillId="0" borderId="8" xfId="1" applyFont="1" applyBorder="1" applyAlignment="1" applyProtection="1">
      <alignment vertical="center"/>
    </xf>
    <xf numFmtId="165" fontId="6" fillId="0" borderId="9" xfId="1" applyFont="1" applyBorder="1" applyAlignment="1" applyProtection="1">
      <alignment horizontal="center" vertical="center"/>
    </xf>
    <xf numFmtId="165" fontId="6" fillId="0" borderId="10" xfId="1" applyFont="1" applyBorder="1" applyAlignment="1" applyProtection="1">
      <alignment vertical="center"/>
    </xf>
    <xf numFmtId="165" fontId="6" fillId="0" borderId="11" xfId="0" applyNumberFormat="1" applyFont="1" applyBorder="1" applyAlignment="1">
      <alignment vertical="center"/>
    </xf>
    <xf numFmtId="165" fontId="6" fillId="0" borderId="11" xfId="1" applyFont="1" applyBorder="1" applyAlignment="1" applyProtection="1">
      <alignment vertical="center"/>
    </xf>
    <xf numFmtId="166" fontId="6" fillId="0" borderId="12" xfId="0" applyNumberFormat="1" applyFont="1" applyBorder="1" applyAlignment="1">
      <alignment vertical="center"/>
    </xf>
    <xf numFmtId="10" fontId="6" fillId="0" borderId="13" xfId="2" applyNumberFormat="1" applyFont="1" applyBorder="1" applyAlignment="1" applyProtection="1">
      <alignment vertical="center"/>
    </xf>
    <xf numFmtId="165" fontId="6" fillId="0" borderId="0" xfId="1" applyFont="1" applyBorder="1" applyAlignment="1" applyProtection="1">
      <alignment vertical="center"/>
    </xf>
    <xf numFmtId="0" fontId="6" fillId="0" borderId="0" xfId="0" applyFont="1" applyAlignment="1">
      <alignment vertical="center"/>
    </xf>
    <xf numFmtId="165" fontId="2" fillId="0" borderId="10" xfId="1" applyFont="1" applyBorder="1" applyAlignment="1" applyProtection="1">
      <alignment vertical="center"/>
    </xf>
    <xf numFmtId="165" fontId="2" fillId="0" borderId="11" xfId="0" applyNumberFormat="1" applyFont="1" applyBorder="1" applyAlignment="1">
      <alignment vertical="center"/>
    </xf>
    <xf numFmtId="165" fontId="2" fillId="0" borderId="11" xfId="1" applyFont="1" applyBorder="1" applyAlignment="1" applyProtection="1">
      <alignment vertical="center"/>
    </xf>
    <xf numFmtId="166" fontId="2" fillId="0" borderId="12" xfId="0" applyNumberFormat="1" applyFont="1" applyBorder="1" applyAlignment="1">
      <alignment vertical="center"/>
    </xf>
    <xf numFmtId="10" fontId="2" fillId="0" borderId="13" xfId="2" applyNumberFormat="1" applyFont="1" applyBorder="1" applyAlignment="1" applyProtection="1">
      <alignment vertical="center"/>
    </xf>
    <xf numFmtId="165" fontId="6" fillId="0" borderId="10" xfId="1" applyFont="1" applyBorder="1" applyAlignment="1" applyProtection="1">
      <alignment horizontal="left" vertical="center"/>
    </xf>
    <xf numFmtId="4" fontId="6" fillId="0" borderId="11" xfId="0" applyNumberFormat="1" applyFont="1" applyBorder="1" applyAlignment="1">
      <alignment horizontal="center" vertical="center"/>
    </xf>
    <xf numFmtId="165" fontId="2" fillId="0" borderId="10" xfId="1" applyFont="1" applyBorder="1" applyAlignment="1" applyProtection="1">
      <alignment horizontal="left" vertical="center"/>
    </xf>
    <xf numFmtId="4" fontId="2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165" fontId="6" fillId="0" borderId="12" xfId="1" applyFont="1" applyBorder="1" applyAlignment="1" applyProtection="1">
      <alignment horizontal="center" vertical="center"/>
    </xf>
    <xf numFmtId="165" fontId="6" fillId="0" borderId="18" xfId="1" applyFont="1" applyBorder="1" applyAlignment="1" applyProtection="1">
      <alignment horizontal="right" vertical="center"/>
    </xf>
    <xf numFmtId="165" fontId="2" fillId="0" borderId="19" xfId="1" applyFont="1" applyBorder="1" applyAlignment="1" applyProtection="1">
      <alignment vertical="center"/>
    </xf>
    <xf numFmtId="165" fontId="2" fillId="0" borderId="20" xfId="1" applyFont="1" applyBorder="1" applyAlignment="1" applyProtection="1">
      <alignment vertical="center"/>
    </xf>
    <xf numFmtId="0" fontId="2" fillId="0" borderId="11" xfId="0" applyFont="1" applyBorder="1" applyAlignment="1">
      <alignment vertical="center"/>
    </xf>
    <xf numFmtId="165" fontId="2" fillId="0" borderId="22" xfId="1" applyFont="1" applyBorder="1" applyAlignment="1" applyProtection="1">
      <alignment vertical="center"/>
    </xf>
    <xf numFmtId="0" fontId="2" fillId="0" borderId="22" xfId="0" applyFont="1" applyBorder="1" applyAlignment="1">
      <alignment vertical="center"/>
    </xf>
    <xf numFmtId="165" fontId="6" fillId="0" borderId="3" xfId="1" applyFont="1" applyBorder="1" applyAlignment="1" applyProtection="1">
      <alignment vertical="center"/>
    </xf>
    <xf numFmtId="4" fontId="6" fillId="0" borderId="0" xfId="0" applyNumberFormat="1" applyFont="1" applyAlignment="1">
      <alignment vertical="center"/>
    </xf>
    <xf numFmtId="165" fontId="6" fillId="0" borderId="17" xfId="1" applyFont="1" applyBorder="1" applyAlignment="1" applyProtection="1">
      <alignment horizontal="right" vertical="center"/>
    </xf>
    <xf numFmtId="1" fontId="2" fillId="0" borderId="0" xfId="1" applyNumberFormat="1" applyFont="1" applyBorder="1" applyAlignment="1" applyProtection="1">
      <alignment horizontal="center" vertical="center"/>
    </xf>
    <xf numFmtId="168" fontId="2" fillId="0" borderId="0" xfId="1" applyNumberFormat="1" applyFont="1" applyBorder="1" applyAlignment="1" applyProtection="1">
      <alignment horizontal="center" vertical="center"/>
    </xf>
    <xf numFmtId="165" fontId="6" fillId="0" borderId="25" xfId="1" applyFont="1" applyBorder="1" applyAlignment="1" applyProtection="1">
      <alignment vertical="center"/>
    </xf>
    <xf numFmtId="9" fontId="6" fillId="3" borderId="26" xfId="2" applyFont="1" applyFill="1" applyBorder="1" applyAlignment="1" applyProtection="1">
      <alignment vertical="center"/>
    </xf>
    <xf numFmtId="168" fontId="6" fillId="0" borderId="0" xfId="1" applyNumberFormat="1" applyFont="1" applyBorder="1" applyAlignment="1" applyProtection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165" fontId="6" fillId="4" borderId="28" xfId="1" applyFont="1" applyFill="1" applyBorder="1" applyAlignment="1" applyProtection="1">
      <alignment horizontal="center" vertical="center"/>
    </xf>
    <xf numFmtId="165" fontId="6" fillId="4" borderId="29" xfId="1" applyFont="1" applyFill="1" applyBorder="1" applyAlignment="1" applyProtection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165" fontId="2" fillId="3" borderId="30" xfId="1" applyFont="1" applyFill="1" applyBorder="1" applyAlignment="1" applyProtection="1">
      <alignment horizontal="center" vertical="center"/>
    </xf>
    <xf numFmtId="165" fontId="2" fillId="0" borderId="30" xfId="1" applyFont="1" applyBorder="1" applyAlignment="1" applyProtection="1">
      <alignment horizontal="center" vertical="center"/>
    </xf>
    <xf numFmtId="165" fontId="2" fillId="0" borderId="0" xfId="1" applyFont="1" applyBorder="1" applyAlignment="1" applyProtection="1">
      <alignment horizontal="justify" wrapText="1"/>
    </xf>
    <xf numFmtId="0" fontId="2" fillId="0" borderId="12" xfId="0" applyFont="1" applyBorder="1" applyAlignment="1">
      <alignment horizontal="center" vertical="center"/>
    </xf>
    <xf numFmtId="2" fontId="2" fillId="3" borderId="12" xfId="0" applyNumberFormat="1" applyFont="1" applyFill="1" applyBorder="1" applyAlignment="1">
      <alignment horizontal="center" vertical="center"/>
    </xf>
    <xf numFmtId="165" fontId="2" fillId="0" borderId="12" xfId="1" applyFont="1" applyBorder="1" applyAlignment="1" applyProtection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65" fontId="6" fillId="0" borderId="0" xfId="1" applyFont="1" applyBorder="1" applyAlignment="1" applyProtection="1">
      <alignment horizontal="center" vertical="center"/>
    </xf>
    <xf numFmtId="165" fontId="6" fillId="0" borderId="31" xfId="1" applyFont="1" applyBorder="1" applyAlignment="1" applyProtection="1">
      <alignment horizontal="center" vertical="center"/>
    </xf>
    <xf numFmtId="165" fontId="2" fillId="5" borderId="12" xfId="1" applyFont="1" applyFill="1" applyBorder="1" applyAlignment="1" applyProtection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65" fontId="2" fillId="0" borderId="0" xfId="1" applyFont="1" applyBorder="1" applyAlignment="1" applyProtection="1">
      <alignment horizontal="right" vertical="center"/>
    </xf>
    <xf numFmtId="165" fontId="2" fillId="0" borderId="12" xfId="1" applyFont="1" applyBorder="1" applyAlignment="1" applyProtection="1">
      <alignment vertical="center"/>
    </xf>
    <xf numFmtId="165" fontId="6" fillId="4" borderId="26" xfId="1" applyFont="1" applyFill="1" applyBorder="1" applyAlignment="1" applyProtection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165" fontId="2" fillId="6" borderId="30" xfId="1" applyFont="1" applyFill="1" applyBorder="1" applyAlignment="1" applyProtection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165" fontId="2" fillId="6" borderId="12" xfId="1" applyFont="1" applyFill="1" applyBorder="1" applyAlignment="1" applyProtection="1">
      <alignment horizontal="center" vertical="center"/>
    </xf>
    <xf numFmtId="2" fontId="2" fillId="6" borderId="12" xfId="0" applyNumberFormat="1" applyFont="1" applyFill="1" applyBorder="1" applyAlignment="1">
      <alignment horizontal="center" vertical="center"/>
    </xf>
    <xf numFmtId="1" fontId="2" fillId="6" borderId="1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69" fontId="2" fillId="0" borderId="30" xfId="1" applyNumberFormat="1" applyFont="1" applyBorder="1" applyAlignment="1" applyProtection="1">
      <alignment vertical="center"/>
    </xf>
    <xf numFmtId="0" fontId="2" fillId="0" borderId="0" xfId="0" applyFont="1" applyAlignment="1">
      <alignment horizontal="right" vertical="center"/>
    </xf>
    <xf numFmtId="168" fontId="2" fillId="0" borderId="12" xfId="1" applyNumberFormat="1" applyFont="1" applyBorder="1" applyAlignment="1" applyProtection="1">
      <alignment horizontal="center" vertical="center"/>
    </xf>
    <xf numFmtId="165" fontId="2" fillId="3" borderId="0" xfId="1" applyFont="1" applyFill="1" applyBorder="1" applyAlignment="1" applyProtection="1">
      <alignment vertical="center"/>
    </xf>
    <xf numFmtId="0" fontId="2" fillId="0" borderId="31" xfId="0" applyFont="1" applyBorder="1" applyAlignment="1">
      <alignment vertical="center"/>
    </xf>
    <xf numFmtId="0" fontId="2" fillId="0" borderId="31" xfId="0" applyFont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165" fontId="2" fillId="0" borderId="31" xfId="1" applyFont="1" applyBorder="1" applyAlignment="1" applyProtection="1">
      <alignment horizontal="center" vertical="center"/>
    </xf>
    <xf numFmtId="168" fontId="2" fillId="0" borderId="12" xfId="1" applyNumberFormat="1" applyFont="1" applyBorder="1" applyAlignment="1" applyProtection="1">
      <alignment horizontal="right" vertical="center"/>
    </xf>
    <xf numFmtId="0" fontId="2" fillId="0" borderId="0" xfId="0" applyFont="1" applyAlignment="1">
      <alignment horizontal="center" vertical="center"/>
    </xf>
    <xf numFmtId="165" fontId="6" fillId="4" borderId="35" xfId="1" applyFont="1" applyFill="1" applyBorder="1" applyAlignment="1" applyProtection="1">
      <alignment vertical="center"/>
    </xf>
    <xf numFmtId="0" fontId="2" fillId="0" borderId="0" xfId="0" applyFont="1" applyAlignment="1">
      <alignment vertical="center" wrapText="1"/>
    </xf>
    <xf numFmtId="168" fontId="2" fillId="0" borderId="12" xfId="1" applyNumberFormat="1" applyFont="1" applyBorder="1" applyAlignment="1" applyProtection="1">
      <alignment vertical="center"/>
    </xf>
    <xf numFmtId="165" fontId="2" fillId="3" borderId="12" xfId="1" applyFont="1" applyFill="1" applyBorder="1" applyAlignment="1" applyProtection="1">
      <alignment horizontal="center" vertical="center"/>
    </xf>
    <xf numFmtId="165" fontId="2" fillId="0" borderId="0" xfId="0" applyNumberFormat="1" applyFont="1" applyAlignment="1">
      <alignment vertical="center" wrapText="1"/>
    </xf>
    <xf numFmtId="165" fontId="6" fillId="4" borderId="5" xfId="1" applyFont="1" applyFill="1" applyBorder="1" applyAlignment="1" applyProtection="1">
      <alignment vertical="center"/>
    </xf>
    <xf numFmtId="0" fontId="6" fillId="0" borderId="25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165" fontId="6" fillId="0" borderId="36" xfId="1" applyFont="1" applyBorder="1" applyAlignment="1" applyProtection="1">
      <alignment vertical="center"/>
    </xf>
    <xf numFmtId="165" fontId="6" fillId="0" borderId="26" xfId="1" applyFont="1" applyBorder="1" applyAlignment="1" applyProtection="1">
      <alignment vertical="center"/>
    </xf>
    <xf numFmtId="0" fontId="6" fillId="4" borderId="28" xfId="0" applyFont="1" applyFill="1" applyBorder="1" applyAlignment="1">
      <alignment horizontal="center" vertical="center" wrapText="1"/>
    </xf>
    <xf numFmtId="13" fontId="2" fillId="3" borderId="12" xfId="0" applyNumberFormat="1" applyFont="1" applyFill="1" applyBorder="1" applyAlignment="1">
      <alignment vertical="center"/>
    </xf>
    <xf numFmtId="0" fontId="2" fillId="0" borderId="12" xfId="0" applyFont="1" applyBorder="1"/>
    <xf numFmtId="0" fontId="2" fillId="0" borderId="12" xfId="0" applyFont="1" applyBorder="1" applyAlignment="1">
      <alignment horizontal="center"/>
    </xf>
    <xf numFmtId="165" fontId="2" fillId="0" borderId="0" xfId="1" applyFont="1" applyBorder="1" applyProtection="1"/>
    <xf numFmtId="0" fontId="2" fillId="0" borderId="0" xfId="0" applyFont="1"/>
    <xf numFmtId="13" fontId="2" fillId="3" borderId="12" xfId="0" applyNumberFormat="1" applyFont="1" applyFill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165" fontId="2" fillId="0" borderId="36" xfId="1" applyFont="1" applyBorder="1" applyAlignment="1" applyProtection="1">
      <alignment vertical="center"/>
    </xf>
    <xf numFmtId="165" fontId="2" fillId="0" borderId="26" xfId="1" applyFont="1" applyBorder="1" applyAlignment="1" applyProtection="1">
      <alignment vertical="center"/>
    </xf>
    <xf numFmtId="165" fontId="6" fillId="4" borderId="5" xfId="1" applyFont="1" applyFill="1" applyBorder="1" applyAlignment="1" applyProtection="1">
      <alignment horizontal="center" vertical="center"/>
    </xf>
    <xf numFmtId="0" fontId="10" fillId="0" borderId="0" xfId="3" applyFont="1" applyBorder="1" applyAlignment="1" applyProtection="1">
      <alignment vertical="center"/>
    </xf>
    <xf numFmtId="0" fontId="11" fillId="0" borderId="0" xfId="3" applyFont="1" applyBorder="1" applyAlignment="1" applyProtection="1">
      <alignment vertical="center"/>
    </xf>
    <xf numFmtId="165" fontId="2" fillId="0" borderId="0" xfId="1" applyFont="1" applyBorder="1" applyAlignment="1" applyProtection="1">
      <alignment horizontal="center" vertical="center"/>
    </xf>
    <xf numFmtId="164" fontId="2" fillId="0" borderId="0" xfId="0" applyNumberFormat="1" applyFont="1" applyAlignment="1">
      <alignment vertical="center"/>
    </xf>
    <xf numFmtId="0" fontId="6" fillId="0" borderId="37" xfId="0" applyFont="1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165" fontId="6" fillId="0" borderId="37" xfId="1" applyFont="1" applyBorder="1" applyAlignment="1" applyProtection="1">
      <alignment horizontal="center" vertical="center"/>
    </xf>
    <xf numFmtId="0" fontId="6" fillId="0" borderId="12" xfId="0" applyFont="1" applyBorder="1" applyAlignment="1">
      <alignment vertical="center"/>
    </xf>
    <xf numFmtId="165" fontId="2" fillId="0" borderId="12" xfId="0" applyNumberFormat="1" applyFont="1" applyBorder="1" applyAlignment="1">
      <alignment horizontal="center" vertical="center"/>
    </xf>
    <xf numFmtId="164" fontId="2" fillId="3" borderId="12" xfId="4" applyFont="1" applyFill="1" applyBorder="1" applyAlignment="1" applyProtection="1">
      <alignment horizontal="center" vertical="center"/>
    </xf>
    <xf numFmtId="3" fontId="2" fillId="0" borderId="0" xfId="0" applyNumberFormat="1" applyFont="1" applyAlignment="1">
      <alignment vertical="center"/>
    </xf>
    <xf numFmtId="3" fontId="6" fillId="0" borderId="12" xfId="0" applyNumberFormat="1" applyFont="1" applyBorder="1" applyAlignment="1">
      <alignment horizontal="center" vertical="center"/>
    </xf>
    <xf numFmtId="164" fontId="6" fillId="0" borderId="12" xfId="4" applyFont="1" applyBorder="1" applyAlignment="1" applyProtection="1">
      <alignment horizontal="center" vertical="center"/>
    </xf>
    <xf numFmtId="3" fontId="2" fillId="3" borderId="12" xfId="0" applyNumberFormat="1" applyFont="1" applyFill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164" fontId="2" fillId="0" borderId="0" xfId="4" applyFont="1" applyBorder="1" applyAlignment="1" applyProtection="1">
      <alignment vertical="center"/>
    </xf>
    <xf numFmtId="4" fontId="2" fillId="3" borderId="30" xfId="0" applyNumberFormat="1" applyFont="1" applyFill="1" applyBorder="1" applyAlignment="1">
      <alignment horizontal="right" vertical="center"/>
    </xf>
    <xf numFmtId="170" fontId="2" fillId="0" borderId="30" xfId="1" applyNumberFormat="1" applyFont="1" applyBorder="1" applyAlignment="1" applyProtection="1">
      <alignment horizontal="center" vertical="center"/>
    </xf>
    <xf numFmtId="170" fontId="2" fillId="0" borderId="12" xfId="1" applyNumberFormat="1" applyFont="1" applyBorder="1" applyAlignment="1" applyProtection="1">
      <alignment horizontal="center" vertical="center"/>
    </xf>
    <xf numFmtId="4" fontId="2" fillId="3" borderId="12" xfId="0" applyNumberFormat="1" applyFont="1" applyFill="1" applyBorder="1" applyAlignment="1">
      <alignment horizontal="right" vertical="center"/>
    </xf>
    <xf numFmtId="164" fontId="2" fillId="0" borderId="12" xfId="4" applyFont="1" applyBorder="1" applyAlignment="1" applyProtection="1">
      <alignment horizontal="center" vertical="center"/>
    </xf>
    <xf numFmtId="171" fontId="2" fillId="0" borderId="12" xfId="1" applyNumberFormat="1" applyFont="1" applyBorder="1" applyAlignment="1" applyProtection="1">
      <alignment horizontal="center" vertical="center"/>
    </xf>
    <xf numFmtId="168" fontId="6" fillId="0" borderId="12" xfId="1" applyNumberFormat="1" applyFont="1" applyBorder="1" applyAlignment="1" applyProtection="1">
      <alignment horizontal="center" vertical="center"/>
    </xf>
    <xf numFmtId="171" fontId="6" fillId="0" borderId="12" xfId="1" applyNumberFormat="1" applyFont="1" applyBorder="1" applyAlignment="1" applyProtection="1">
      <alignment horizontal="center" vertical="center"/>
    </xf>
    <xf numFmtId="169" fontId="2" fillId="0" borderId="12" xfId="1" applyNumberFormat="1" applyFont="1" applyBorder="1" applyAlignment="1" applyProtection="1">
      <alignment horizontal="center" vertical="center"/>
    </xf>
    <xf numFmtId="169" fontId="6" fillId="0" borderId="12" xfId="1" applyNumberFormat="1" applyFont="1" applyBorder="1" applyAlignment="1" applyProtection="1">
      <alignment horizontal="center" vertical="center"/>
    </xf>
    <xf numFmtId="2" fontId="2" fillId="0" borderId="0" xfId="0" applyNumberFormat="1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72" fontId="12" fillId="0" borderId="0" xfId="0" applyNumberFormat="1" applyFont="1" applyAlignment="1">
      <alignment horizontal="center"/>
    </xf>
    <xf numFmtId="0" fontId="1" fillId="0" borderId="0" xfId="0" applyFont="1"/>
    <xf numFmtId="0" fontId="16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1" applyFont="1" applyBorder="1" applyAlignment="1" applyProtection="1">
      <alignment vertical="center"/>
    </xf>
    <xf numFmtId="0" fontId="17" fillId="0" borderId="0" xfId="0" applyFont="1" applyAlignment="1">
      <alignment vertical="center"/>
    </xf>
    <xf numFmtId="0" fontId="18" fillId="0" borderId="39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8" fillId="0" borderId="40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10" fontId="18" fillId="0" borderId="40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left" vertical="center"/>
    </xf>
    <xf numFmtId="10" fontId="19" fillId="0" borderId="40" xfId="0" applyNumberFormat="1" applyFont="1" applyBorder="1" applyAlignment="1">
      <alignment horizontal="right" vertical="center"/>
    </xf>
    <xf numFmtId="0" fontId="18" fillId="7" borderId="39" xfId="0" applyFont="1" applyFill="1" applyBorder="1" applyAlignment="1">
      <alignment horizontal="left" vertical="center"/>
    </xf>
    <xf numFmtId="0" fontId="19" fillId="7" borderId="12" xfId="0" applyFont="1" applyFill="1" applyBorder="1" applyAlignment="1">
      <alignment horizontal="left" vertical="center"/>
    </xf>
    <xf numFmtId="10" fontId="19" fillId="7" borderId="40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left" vertical="center"/>
    </xf>
    <xf numFmtId="10" fontId="1" fillId="0" borderId="0" xfId="0" applyNumberFormat="1" applyFont="1"/>
    <xf numFmtId="9" fontId="18" fillId="0" borderId="0" xfId="2" applyFont="1" applyBorder="1" applyAlignment="1" applyProtection="1">
      <alignment horizontal="right" vertical="center"/>
    </xf>
    <xf numFmtId="0" fontId="18" fillId="0" borderId="12" xfId="0" applyFont="1" applyBorder="1" applyAlignment="1">
      <alignment horizontal="left" vertical="center" wrapText="1"/>
    </xf>
    <xf numFmtId="0" fontId="18" fillId="8" borderId="41" xfId="0" applyFont="1" applyFill="1" applyBorder="1" applyAlignment="1">
      <alignment horizontal="left" vertical="center"/>
    </xf>
    <xf numFmtId="0" fontId="19" fillId="8" borderId="14" xfId="0" applyFont="1" applyFill="1" applyBorder="1" applyAlignment="1">
      <alignment horizontal="left" vertical="center"/>
    </xf>
    <xf numFmtId="173" fontId="19" fillId="8" borderId="24" xfId="0" applyNumberFormat="1" applyFont="1" applyFill="1" applyBorder="1" applyAlignment="1">
      <alignment horizontal="right" vertical="center"/>
    </xf>
    <xf numFmtId="0" fontId="19" fillId="0" borderId="0" xfId="0" applyFont="1" applyAlignment="1">
      <alignment horizontal="left" vertical="center"/>
    </xf>
    <xf numFmtId="9" fontId="19" fillId="0" borderId="0" xfId="0" applyNumberFormat="1" applyFont="1" applyAlignment="1">
      <alignment horizontal="right" vertical="center"/>
    </xf>
    <xf numFmtId="0" fontId="20" fillId="6" borderId="0" xfId="0" applyFont="1" applyFill="1" applyAlignment="1">
      <alignment horizontal="left" vertical="center"/>
    </xf>
    <xf numFmtId="0" fontId="16" fillId="0" borderId="0" xfId="0" applyFont="1"/>
    <xf numFmtId="0" fontId="21" fillId="0" borderId="39" xfId="0" applyFont="1" applyBorder="1"/>
    <xf numFmtId="0" fontId="21" fillId="0" borderId="40" xfId="0" applyFont="1" applyBorder="1"/>
    <xf numFmtId="0" fontId="21" fillId="0" borderId="3" xfId="0" applyFont="1" applyBorder="1"/>
    <xf numFmtId="0" fontId="0" fillId="0" borderId="0" xfId="0" applyAlignment="1">
      <alignment horizont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3" fillId="0" borderId="3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2" fillId="0" borderId="3" xfId="0" applyFont="1" applyBorder="1" applyAlignment="1">
      <alignment horizontal="left" vertical="center"/>
    </xf>
    <xf numFmtId="9" fontId="21" fillId="0" borderId="39" xfId="2" applyFont="1" applyBorder="1" applyProtection="1"/>
    <xf numFmtId="9" fontId="21" fillId="0" borderId="12" xfId="2" applyFont="1" applyBorder="1" applyAlignment="1" applyProtection="1">
      <alignment horizontal="center"/>
    </xf>
    <xf numFmtId="9" fontId="21" fillId="0" borderId="40" xfId="2" applyFont="1" applyBorder="1" applyProtection="1"/>
    <xf numFmtId="0" fontId="21" fillId="0" borderId="46" xfId="0" applyFont="1" applyBorder="1" applyAlignment="1">
      <alignment horizontal="left" vertical="center"/>
    </xf>
    <xf numFmtId="0" fontId="21" fillId="0" borderId="47" xfId="0" applyFont="1" applyBorder="1" applyAlignment="1">
      <alignment horizontal="center" vertical="center"/>
    </xf>
    <xf numFmtId="10" fontId="21" fillId="3" borderId="9" xfId="0" applyNumberFormat="1" applyFont="1" applyFill="1" applyBorder="1" applyAlignment="1">
      <alignment horizontal="center" vertical="center"/>
    </xf>
    <xf numFmtId="10" fontId="21" fillId="0" borderId="39" xfId="2" applyNumberFormat="1" applyFont="1" applyBorder="1" applyAlignment="1" applyProtection="1">
      <alignment horizontal="right"/>
    </xf>
    <xf numFmtId="10" fontId="21" fillId="0" borderId="12" xfId="2" applyNumberFormat="1" applyFont="1" applyBorder="1" applyAlignment="1" applyProtection="1">
      <alignment horizontal="right"/>
    </xf>
    <xf numFmtId="10" fontId="21" fillId="0" borderId="40" xfId="2" applyNumberFormat="1" applyFont="1" applyBorder="1" applyAlignment="1" applyProtection="1">
      <alignment horizontal="right"/>
    </xf>
    <xf numFmtId="0" fontId="21" fillId="0" borderId="39" xfId="0" applyFont="1" applyBorder="1" applyAlignment="1">
      <alignment horizontal="left" vertical="center"/>
    </xf>
    <xf numFmtId="0" fontId="21" fillId="0" borderId="12" xfId="0" applyFont="1" applyBorder="1" applyAlignment="1">
      <alignment horizontal="center" vertical="center"/>
    </xf>
    <xf numFmtId="10" fontId="21" fillId="3" borderId="40" xfId="0" applyNumberFormat="1" applyFont="1" applyFill="1" applyBorder="1" applyAlignment="1">
      <alignment horizontal="center" vertical="center"/>
    </xf>
    <xf numFmtId="10" fontId="21" fillId="0" borderId="40" xfId="0" applyNumberFormat="1" applyFont="1" applyBorder="1" applyAlignment="1">
      <alignment horizontal="center" vertical="center"/>
    </xf>
    <xf numFmtId="10" fontId="21" fillId="3" borderId="12" xfId="2" applyNumberFormat="1" applyFont="1" applyFill="1" applyBorder="1" applyAlignment="1" applyProtection="1">
      <alignment horizontal="center"/>
    </xf>
    <xf numFmtId="10" fontId="21" fillId="0" borderId="40" xfId="2" applyNumberFormat="1" applyFont="1" applyBorder="1" applyProtection="1"/>
    <xf numFmtId="0" fontId="21" fillId="0" borderId="39" xfId="0" applyFont="1" applyBorder="1" applyAlignment="1">
      <alignment horizontal="right"/>
    </xf>
    <xf numFmtId="0" fontId="21" fillId="3" borderId="12" xfId="0" applyFont="1" applyFill="1" applyBorder="1" applyAlignment="1">
      <alignment horizontal="center"/>
    </xf>
    <xf numFmtId="0" fontId="21" fillId="0" borderId="41" xfId="0" applyFont="1" applyBorder="1" applyAlignment="1">
      <alignment horizontal="left" vertical="center"/>
    </xf>
    <xf numFmtId="10" fontId="21" fillId="3" borderId="24" xfId="0" applyNumberFormat="1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/>
    </xf>
    <xf numFmtId="0" fontId="21" fillId="0" borderId="15" xfId="0" applyFont="1" applyBorder="1" applyAlignment="1">
      <alignment vertical="center"/>
    </xf>
    <xf numFmtId="0" fontId="21" fillId="0" borderId="16" xfId="0" applyFont="1" applyBorder="1" applyAlignment="1">
      <alignment vertical="center"/>
    </xf>
    <xf numFmtId="10" fontId="21" fillId="0" borderId="18" xfId="0" applyNumberFormat="1" applyFont="1" applyBorder="1" applyAlignment="1">
      <alignment vertical="center"/>
    </xf>
    <xf numFmtId="0" fontId="21" fillId="0" borderId="45" xfId="0" applyFont="1" applyBorder="1" applyAlignment="1">
      <alignment horizontal="left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vertical="center"/>
    </xf>
    <xf numFmtId="0" fontId="22" fillId="7" borderId="25" xfId="0" applyFont="1" applyFill="1" applyBorder="1" applyAlignment="1">
      <alignment vertical="center" wrapText="1"/>
    </xf>
    <xf numFmtId="0" fontId="21" fillId="7" borderId="36" xfId="0" applyFont="1" applyFill="1" applyBorder="1" applyAlignment="1">
      <alignment vertical="center"/>
    </xf>
    <xf numFmtId="10" fontId="22" fillId="7" borderId="26" xfId="0" applyNumberFormat="1" applyFont="1" applyFill="1" applyBorder="1" applyAlignment="1">
      <alignment horizontal="center" vertical="center" wrapText="1"/>
    </xf>
    <xf numFmtId="10" fontId="21" fillId="0" borderId="41" xfId="2" applyNumberFormat="1" applyFont="1" applyBorder="1" applyAlignment="1" applyProtection="1">
      <alignment horizontal="right"/>
    </xf>
    <xf numFmtId="10" fontId="21" fillId="0" borderId="14" xfId="2" applyNumberFormat="1" applyFont="1" applyBorder="1" applyAlignment="1" applyProtection="1">
      <alignment horizontal="right"/>
    </xf>
    <xf numFmtId="10" fontId="21" fillId="0" borderId="24" xfId="2" applyNumberFormat="1" applyFont="1" applyBorder="1" applyAlignment="1" applyProtection="1">
      <alignment horizontal="right"/>
    </xf>
    <xf numFmtId="0" fontId="18" fillId="0" borderId="39" xfId="0" applyFont="1" applyBorder="1" applyAlignment="1">
      <alignment horizontal="center" vertical="center"/>
    </xf>
    <xf numFmtId="2" fontId="18" fillId="9" borderId="12" xfId="0" applyNumberFormat="1" applyFont="1" applyFill="1" applyBorder="1" applyAlignment="1">
      <alignment horizontal="right" vertical="center"/>
    </xf>
    <xf numFmtId="0" fontId="18" fillId="0" borderId="41" xfId="0" applyFont="1" applyBorder="1" applyAlignment="1">
      <alignment horizontal="center" vertical="center"/>
    </xf>
    <xf numFmtId="2" fontId="18" fillId="9" borderId="14" xfId="0" applyNumberFormat="1" applyFont="1" applyFill="1" applyBorder="1" applyAlignment="1">
      <alignment horizontal="right" vertical="center"/>
    </xf>
    <xf numFmtId="0" fontId="1" fillId="0" borderId="50" xfId="0" applyFont="1" applyBorder="1"/>
    <xf numFmtId="0" fontId="24" fillId="0" borderId="50" xfId="0" applyFont="1" applyBorder="1" applyAlignment="1">
      <alignment horizontal="justify"/>
    </xf>
    <xf numFmtId="0" fontId="24" fillId="0" borderId="35" xfId="0" applyFont="1" applyBorder="1" applyAlignment="1">
      <alignment horizontal="justify"/>
    </xf>
    <xf numFmtId="0" fontId="27" fillId="11" borderId="51" xfId="0" applyFont="1" applyFill="1" applyBorder="1" applyAlignment="1">
      <alignment horizontal="center" vertical="center"/>
    </xf>
    <xf numFmtId="0" fontId="27" fillId="11" borderId="52" xfId="0" applyFont="1" applyFill="1" applyBorder="1" applyAlignment="1">
      <alignment horizontal="center" vertical="center"/>
    </xf>
    <xf numFmtId="175" fontId="27" fillId="11" borderId="52" xfId="0" applyNumberFormat="1" applyFont="1" applyFill="1" applyBorder="1" applyAlignment="1">
      <alignment horizontal="center" vertical="center"/>
    </xf>
    <xf numFmtId="175" fontId="27" fillId="11" borderId="53" xfId="0" applyNumberFormat="1" applyFont="1" applyFill="1" applyBorder="1" applyAlignment="1">
      <alignment horizontal="center" vertical="center"/>
    </xf>
    <xf numFmtId="175" fontId="29" fillId="0" borderId="54" xfId="0" applyNumberFormat="1" applyFont="1" applyBorder="1" applyAlignment="1">
      <alignment horizontal="center" vertical="center"/>
    </xf>
    <xf numFmtId="175" fontId="29" fillId="0" borderId="0" xfId="0" applyNumberFormat="1" applyFont="1" applyAlignment="1">
      <alignment horizontal="center" vertical="center"/>
    </xf>
    <xf numFmtId="175" fontId="30" fillId="0" borderId="54" xfId="0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175" fontId="29" fillId="0" borderId="0" xfId="0" applyNumberFormat="1" applyFont="1" applyAlignment="1">
      <alignment horizontal="right" vertical="center"/>
    </xf>
    <xf numFmtId="166" fontId="6" fillId="0" borderId="31" xfId="0" applyNumberFormat="1" applyFont="1" applyBorder="1" applyAlignment="1">
      <alignment vertical="center"/>
    </xf>
    <xf numFmtId="0" fontId="2" fillId="10" borderId="12" xfId="0" applyFont="1" applyFill="1" applyBorder="1" applyAlignment="1">
      <alignment horizontal="center" vertical="center"/>
    </xf>
    <xf numFmtId="175" fontId="29" fillId="0" borderId="0" xfId="0" applyNumberFormat="1" applyFont="1" applyAlignment="1">
      <alignment vertical="center"/>
    </xf>
    <xf numFmtId="165" fontId="6" fillId="0" borderId="43" xfId="1" applyFont="1" applyBorder="1" applyAlignment="1" applyProtection="1">
      <alignment horizontal="left" vertical="center"/>
    </xf>
    <xf numFmtId="4" fontId="6" fillId="0" borderId="20" xfId="0" applyNumberFormat="1" applyFont="1" applyBorder="1" applyAlignment="1">
      <alignment horizontal="center" vertical="center"/>
    </xf>
    <xf numFmtId="165" fontId="6" fillId="0" borderId="20" xfId="1" applyFont="1" applyBorder="1" applyAlignment="1" applyProtection="1">
      <alignment vertical="center"/>
    </xf>
    <xf numFmtId="10" fontId="6" fillId="0" borderId="12" xfId="2" applyNumberFormat="1" applyFont="1" applyBorder="1" applyAlignment="1" applyProtection="1">
      <alignment vertical="center"/>
    </xf>
    <xf numFmtId="166" fontId="2" fillId="0" borderId="12" xfId="0" applyNumberFormat="1" applyFont="1" applyBorder="1" applyAlignment="1">
      <alignment horizontal="right" vertical="center"/>
    </xf>
    <xf numFmtId="1" fontId="2" fillId="3" borderId="12" xfId="1" applyNumberFormat="1" applyFont="1" applyFill="1" applyBorder="1" applyAlignment="1" applyProtection="1">
      <alignment horizontal="center" vertical="center"/>
    </xf>
    <xf numFmtId="1" fontId="6" fillId="0" borderId="12" xfId="1" applyNumberFormat="1" applyFont="1" applyBorder="1" applyAlignment="1" applyProtection="1">
      <alignment horizontal="center" vertical="center"/>
    </xf>
    <xf numFmtId="165" fontId="2" fillId="0" borderId="43" xfId="1" applyFont="1" applyBorder="1" applyAlignment="1" applyProtection="1">
      <alignment vertical="center"/>
    </xf>
    <xf numFmtId="0" fontId="2" fillId="0" borderId="20" xfId="0" applyFont="1" applyBorder="1" applyAlignment="1">
      <alignment vertical="center"/>
    </xf>
    <xf numFmtId="1" fontId="2" fillId="3" borderId="42" xfId="1" applyNumberFormat="1" applyFont="1" applyFill="1" applyBorder="1" applyAlignment="1" applyProtection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1" fontId="2" fillId="13" borderId="12" xfId="0" applyNumberFormat="1" applyFont="1" applyFill="1" applyBorder="1" applyAlignment="1">
      <alignment horizontal="center" vertical="center"/>
    </xf>
    <xf numFmtId="165" fontId="2" fillId="14" borderId="0" xfId="0" applyNumberFormat="1" applyFont="1" applyFill="1" applyAlignment="1">
      <alignment horizontal="center" vertical="center"/>
    </xf>
    <xf numFmtId="165" fontId="2" fillId="12" borderId="5" xfId="0" applyNumberFormat="1" applyFont="1" applyFill="1" applyBorder="1" applyAlignment="1">
      <alignment horizontal="center" vertical="center" wrapText="1"/>
    </xf>
    <xf numFmtId="165" fontId="2" fillId="0" borderId="12" xfId="0" applyNumberFormat="1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10" borderId="12" xfId="0" applyFill="1" applyBorder="1" applyAlignment="1">
      <alignment horizontal="center"/>
    </xf>
    <xf numFmtId="176" fontId="0" fillId="10" borderId="12" xfId="0" applyNumberFormat="1" applyFill="1" applyBorder="1"/>
    <xf numFmtId="167" fontId="6" fillId="0" borderId="12" xfId="0" applyNumberFormat="1" applyFont="1" applyBorder="1" applyAlignment="1">
      <alignment vertical="center"/>
    </xf>
    <xf numFmtId="0" fontId="19" fillId="0" borderId="44" xfId="0" applyFont="1" applyBorder="1" applyAlignment="1">
      <alignment horizontal="center" vertical="center"/>
    </xf>
    <xf numFmtId="0" fontId="19" fillId="9" borderId="30" xfId="0" applyFont="1" applyFill="1" applyBorder="1" applyAlignment="1">
      <alignment horizontal="center" vertical="center"/>
    </xf>
    <xf numFmtId="0" fontId="17" fillId="16" borderId="1" xfId="0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center" vertical="center" wrapText="1"/>
    </xf>
    <xf numFmtId="0" fontId="26" fillId="0" borderId="12" xfId="0" applyFont="1" applyBorder="1"/>
    <xf numFmtId="0" fontId="26" fillId="0" borderId="1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6" fillId="0" borderId="0" xfId="0" applyFont="1"/>
    <xf numFmtId="0" fontId="26" fillId="0" borderId="39" xfId="0" applyFont="1" applyBorder="1" applyAlignment="1">
      <alignment horizontal="center"/>
    </xf>
    <xf numFmtId="0" fontId="26" fillId="0" borderId="40" xfId="0" applyFont="1" applyBorder="1" applyAlignment="1">
      <alignment horizontal="center"/>
    </xf>
    <xf numFmtId="0" fontId="0" fillId="0" borderId="45" xfId="0" applyBorder="1"/>
    <xf numFmtId="0" fontId="0" fillId="0" borderId="48" xfId="0" applyBorder="1"/>
    <xf numFmtId="0" fontId="0" fillId="0" borderId="49" xfId="0" applyBorder="1"/>
    <xf numFmtId="176" fontId="0" fillId="0" borderId="12" xfId="0" applyNumberFormat="1" applyBorder="1" applyAlignment="1">
      <alignment horizontal="center"/>
    </xf>
    <xf numFmtId="176" fontId="0" fillId="0" borderId="40" xfId="0" applyNumberFormat="1" applyBorder="1" applyAlignment="1">
      <alignment horizontal="center"/>
    </xf>
    <xf numFmtId="176" fontId="2" fillId="10" borderId="12" xfId="0" applyNumberFormat="1" applyFont="1" applyFill="1" applyBorder="1" applyAlignment="1">
      <alignment horizontal="right" vertical="center"/>
    </xf>
    <xf numFmtId="0" fontId="26" fillId="17" borderId="3" xfId="0" applyFont="1" applyFill="1" applyBorder="1" applyAlignment="1">
      <alignment horizontal="center"/>
    </xf>
    <xf numFmtId="0" fontId="3" fillId="0" borderId="0" xfId="4" applyNumberFormat="1" applyFont="1" applyBorder="1" applyAlignment="1">
      <alignment horizontal="center" vertical="center"/>
    </xf>
    <xf numFmtId="0" fontId="5" fillId="18" borderId="12" xfId="0" applyFont="1" applyFill="1" applyBorder="1" applyAlignment="1">
      <alignment horizontal="center" vertical="center"/>
    </xf>
    <xf numFmtId="175" fontId="29" fillId="0" borderId="60" xfId="0" applyNumberFormat="1" applyFont="1" applyBorder="1" applyAlignment="1">
      <alignment vertical="center"/>
    </xf>
    <xf numFmtId="0" fontId="17" fillId="19" borderId="20" xfId="0" applyFont="1" applyFill="1" applyBorder="1" applyAlignment="1">
      <alignment horizontal="center" vertical="center"/>
    </xf>
    <xf numFmtId="0" fontId="26" fillId="0" borderId="30" xfId="0" applyFont="1" applyBorder="1" applyAlignment="1">
      <alignment horizontal="center"/>
    </xf>
    <xf numFmtId="0" fontId="26" fillId="0" borderId="12" xfId="0" applyFont="1" applyBorder="1" applyAlignment="1">
      <alignment horizontal="center" vertical="center"/>
    </xf>
    <xf numFmtId="176" fontId="26" fillId="0" borderId="12" xfId="0" applyNumberFormat="1" applyFont="1" applyBorder="1" applyAlignment="1">
      <alignment horizontal="center" vertical="center"/>
    </xf>
    <xf numFmtId="176" fontId="26" fillId="0" borderId="12" xfId="0" applyNumberFormat="1" applyFont="1" applyBorder="1" applyAlignment="1">
      <alignment horizontal="center"/>
    </xf>
    <xf numFmtId="0" fontId="26" fillId="0" borderId="39" xfId="0" applyFont="1" applyBorder="1" applyAlignment="1">
      <alignment horizontal="center" wrapText="1"/>
    </xf>
    <xf numFmtId="0" fontId="32" fillId="0" borderId="0" xfId="0" applyFont="1" applyAlignment="1">
      <alignment vertical="center"/>
    </xf>
    <xf numFmtId="176" fontId="34" fillId="0" borderId="12" xfId="0" applyNumberFormat="1" applyFont="1" applyBorder="1" applyAlignment="1">
      <alignment horizontal="center"/>
    </xf>
    <xf numFmtId="176" fontId="0" fillId="20" borderId="12" xfId="0" applyNumberFormat="1" applyFill="1" applyBorder="1"/>
    <xf numFmtId="165" fontId="2" fillId="0" borderId="12" xfId="0" applyNumberFormat="1" applyFont="1" applyBorder="1" applyAlignment="1">
      <alignment horizontal="left" vertical="center"/>
    </xf>
    <xf numFmtId="175" fontId="30" fillId="0" borderId="61" xfId="0" applyNumberFormat="1" applyFont="1" applyBorder="1" applyAlignment="1">
      <alignment horizontal="center" vertical="center"/>
    </xf>
    <xf numFmtId="165" fontId="2" fillId="0" borderId="0" xfId="1" applyFont="1" applyBorder="1" applyAlignment="1" applyProtection="1">
      <alignment horizontal="justify"/>
    </xf>
    <xf numFmtId="0" fontId="17" fillId="15" borderId="38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174" fontId="12" fillId="0" borderId="0" xfId="0" applyNumberFormat="1" applyFont="1" applyAlignment="1">
      <alignment horizontal="center"/>
    </xf>
    <xf numFmtId="165" fontId="6" fillId="0" borderId="19" xfId="1" applyFont="1" applyBorder="1" applyAlignment="1" applyProtection="1">
      <alignment horizontal="center" vertical="center"/>
    </xf>
    <xf numFmtId="165" fontId="6" fillId="0" borderId="11" xfId="1" applyFont="1" applyBorder="1" applyAlignment="1" applyProtection="1">
      <alignment horizontal="center" vertical="center"/>
    </xf>
    <xf numFmtId="165" fontId="6" fillId="0" borderId="21" xfId="1" applyFont="1" applyBorder="1" applyAlignment="1" applyProtection="1">
      <alignment horizontal="center" vertical="center"/>
    </xf>
    <xf numFmtId="0" fontId="3" fillId="0" borderId="0" xfId="4" applyNumberFormat="1" applyFont="1" applyBorder="1" applyAlignment="1">
      <alignment horizontal="center" vertical="center"/>
    </xf>
    <xf numFmtId="0" fontId="4" fillId="15" borderId="1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18" borderId="43" xfId="0" applyFont="1" applyFill="1" applyBorder="1" applyAlignment="1">
      <alignment horizontal="center" vertical="center"/>
    </xf>
    <xf numFmtId="0" fontId="5" fillId="18" borderId="20" xfId="0" applyFont="1" applyFill="1" applyBorder="1" applyAlignment="1">
      <alignment horizontal="center" vertical="center"/>
    </xf>
    <xf numFmtId="0" fontId="5" fillId="18" borderId="56" xfId="0" applyFont="1" applyFill="1" applyBorder="1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0" xfId="0" applyFont="1" applyFill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45" xfId="0" applyFont="1" applyFill="1" applyBorder="1" applyAlignment="1">
      <alignment horizontal="center" vertical="center"/>
    </xf>
    <xf numFmtId="0" fontId="5" fillId="18" borderId="48" xfId="0" applyFont="1" applyFill="1" applyBorder="1" applyAlignment="1">
      <alignment horizontal="center" vertical="center"/>
    </xf>
    <xf numFmtId="0" fontId="5" fillId="18" borderId="4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6" fillId="2" borderId="5" xfId="1" applyFont="1" applyFill="1" applyBorder="1" applyAlignment="1" applyProtection="1">
      <alignment horizontal="center" vertical="center"/>
    </xf>
    <xf numFmtId="165" fontId="6" fillId="0" borderId="10" xfId="1" applyFont="1" applyBorder="1" applyAlignment="1" applyProtection="1">
      <alignment horizontal="left" vertical="center"/>
    </xf>
    <xf numFmtId="0" fontId="6" fillId="0" borderId="12" xfId="0" applyFont="1" applyBorder="1" applyAlignment="1">
      <alignment horizontal="center" vertical="center"/>
    </xf>
    <xf numFmtId="165" fontId="6" fillId="2" borderId="1" xfId="1" applyFont="1" applyFill="1" applyBorder="1" applyAlignment="1" applyProtection="1">
      <alignment horizontal="center" vertical="center"/>
    </xf>
    <xf numFmtId="165" fontId="6" fillId="0" borderId="12" xfId="1" applyFont="1" applyBorder="1" applyAlignment="1" applyProtection="1">
      <alignment horizontal="center" vertical="center"/>
    </xf>
    <xf numFmtId="0" fontId="23" fillId="16" borderId="12" xfId="0" applyFont="1" applyFill="1" applyBorder="1" applyAlignment="1">
      <alignment horizontal="center" vertical="center"/>
    </xf>
    <xf numFmtId="9" fontId="22" fillId="0" borderId="38" xfId="2" applyFont="1" applyBorder="1" applyAlignment="1" applyProtection="1">
      <alignment horizontal="center"/>
    </xf>
    <xf numFmtId="0" fontId="21" fillId="0" borderId="14" xfId="0" applyFont="1" applyBorder="1" applyAlignment="1">
      <alignment horizontal="center" vertical="center"/>
    </xf>
    <xf numFmtId="0" fontId="17" fillId="16" borderId="25" xfId="0" applyFont="1" applyFill="1" applyBorder="1" applyAlignment="1">
      <alignment horizontal="center" vertical="center"/>
    </xf>
    <xf numFmtId="0" fontId="17" fillId="16" borderId="36" xfId="0" applyFont="1" applyFill="1" applyBorder="1" applyAlignment="1">
      <alignment horizontal="center" vertical="center"/>
    </xf>
    <xf numFmtId="0" fontId="17" fillId="16" borderId="26" xfId="0" applyFont="1" applyFill="1" applyBorder="1" applyAlignment="1">
      <alignment horizontal="center" vertical="center"/>
    </xf>
    <xf numFmtId="0" fontId="17" fillId="16" borderId="15" xfId="0" applyFont="1" applyFill="1" applyBorder="1" applyAlignment="1">
      <alignment horizontal="center" vertical="center"/>
    </xf>
    <xf numFmtId="0" fontId="17" fillId="16" borderId="16" xfId="0" applyFont="1" applyFill="1" applyBorder="1" applyAlignment="1">
      <alignment horizontal="center" vertical="center"/>
    </xf>
    <xf numFmtId="0" fontId="17" fillId="16" borderId="18" xfId="0" applyFont="1" applyFill="1" applyBorder="1" applyAlignment="1">
      <alignment horizontal="center" vertical="center"/>
    </xf>
    <xf numFmtId="0" fontId="26" fillId="0" borderId="30" xfId="0" applyFont="1" applyBorder="1" applyAlignment="1">
      <alignment horizont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/>
    </xf>
    <xf numFmtId="0" fontId="16" fillId="19" borderId="22" xfId="0" applyFont="1" applyFill="1" applyBorder="1" applyAlignment="1">
      <alignment horizontal="left" vertical="center"/>
    </xf>
    <xf numFmtId="0" fontId="26" fillId="0" borderId="19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21" xfId="0" applyBorder="1" applyAlignment="1">
      <alignment horizontal="right"/>
    </xf>
    <xf numFmtId="0" fontId="33" fillId="0" borderId="12" xfId="0" applyFont="1" applyBorder="1" applyAlignment="1">
      <alignment horizontal="right"/>
    </xf>
    <xf numFmtId="176" fontId="5" fillId="18" borderId="57" xfId="0" applyNumberFormat="1" applyFont="1" applyFill="1" applyBorder="1" applyAlignment="1">
      <alignment horizontal="center" vertical="center"/>
    </xf>
    <xf numFmtId="176" fontId="5" fillId="18" borderId="55" xfId="0" applyNumberFormat="1" applyFont="1" applyFill="1" applyBorder="1" applyAlignment="1">
      <alignment horizontal="center" vertical="center"/>
    </xf>
    <xf numFmtId="176" fontId="5" fillId="18" borderId="58" xfId="0" applyNumberFormat="1" applyFont="1" applyFill="1" applyBorder="1" applyAlignment="1">
      <alignment horizontal="center" vertical="center"/>
    </xf>
    <xf numFmtId="176" fontId="5" fillId="18" borderId="59" xfId="0" applyNumberFormat="1" applyFont="1" applyFill="1" applyBorder="1" applyAlignment="1">
      <alignment horizontal="center" vertical="center"/>
    </xf>
    <xf numFmtId="176" fontId="5" fillId="18" borderId="31" xfId="0" applyNumberFormat="1" applyFont="1" applyFill="1" applyBorder="1" applyAlignment="1">
      <alignment horizontal="center" vertical="center"/>
    </xf>
    <xf numFmtId="176" fontId="5" fillId="18" borderId="30" xfId="0" applyNumberFormat="1" applyFont="1" applyFill="1" applyBorder="1" applyAlignment="1">
      <alignment horizontal="center" vertical="center"/>
    </xf>
    <xf numFmtId="0" fontId="5" fillId="18" borderId="12" xfId="0" applyFont="1" applyFill="1" applyBorder="1" applyAlignment="1">
      <alignment horizontal="center" vertical="center"/>
    </xf>
    <xf numFmtId="0" fontId="5" fillId="18" borderId="57" xfId="0" applyFont="1" applyFill="1" applyBorder="1" applyAlignment="1">
      <alignment horizontal="center" vertical="center"/>
    </xf>
    <xf numFmtId="0" fontId="5" fillId="18" borderId="55" xfId="0" applyFont="1" applyFill="1" applyBorder="1" applyAlignment="1">
      <alignment horizontal="center" vertical="center"/>
    </xf>
    <xf numFmtId="0" fontId="5" fillId="18" borderId="58" xfId="0" applyFont="1" applyFill="1" applyBorder="1" applyAlignment="1">
      <alignment horizontal="center" vertical="center"/>
    </xf>
    <xf numFmtId="0" fontId="5" fillId="18" borderId="22" xfId="0" applyFont="1" applyFill="1" applyBorder="1" applyAlignment="1">
      <alignment horizontal="center" vertical="center"/>
    </xf>
    <xf numFmtId="0" fontId="5" fillId="18" borderId="59" xfId="0" applyFont="1" applyFill="1" applyBorder="1" applyAlignment="1">
      <alignment horizontal="center" vertical="center"/>
    </xf>
  </cellXfs>
  <cellStyles count="5">
    <cellStyle name="Hiperlink" xfId="3" builtinId="8"/>
    <cellStyle name="Normal" xfId="0" builtinId="0"/>
    <cellStyle name="Porcentagem" xfId="2" builtinId="5"/>
    <cellStyle name="Texto Explicativo" xfId="4" builtinId="53" customBuiltin="1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6" Type="http://schemas.openxmlformats.org/officeDocument/2006/relationships/image" Target="../media/image31.png"/><Relationship Id="rId21" Type="http://schemas.openxmlformats.org/officeDocument/2006/relationships/image" Target="../media/image26.png"/><Relationship Id="rId34" Type="http://schemas.openxmlformats.org/officeDocument/2006/relationships/image" Target="../media/image39.png"/><Relationship Id="rId42" Type="http://schemas.openxmlformats.org/officeDocument/2006/relationships/image" Target="../media/image47.png"/><Relationship Id="rId47" Type="http://schemas.openxmlformats.org/officeDocument/2006/relationships/image" Target="../media/image52.png"/><Relationship Id="rId50" Type="http://schemas.openxmlformats.org/officeDocument/2006/relationships/image" Target="../media/image55.png"/><Relationship Id="rId55" Type="http://schemas.openxmlformats.org/officeDocument/2006/relationships/image" Target="../media/image60.png"/><Relationship Id="rId63" Type="http://schemas.openxmlformats.org/officeDocument/2006/relationships/image" Target="../media/image68.png"/><Relationship Id="rId68" Type="http://schemas.openxmlformats.org/officeDocument/2006/relationships/image" Target="../media/image73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29" Type="http://schemas.openxmlformats.org/officeDocument/2006/relationships/image" Target="../media/image34.png"/><Relationship Id="rId11" Type="http://schemas.openxmlformats.org/officeDocument/2006/relationships/image" Target="../media/image16.png"/><Relationship Id="rId24" Type="http://schemas.openxmlformats.org/officeDocument/2006/relationships/image" Target="../media/image29.png"/><Relationship Id="rId32" Type="http://schemas.openxmlformats.org/officeDocument/2006/relationships/image" Target="../media/image37.png"/><Relationship Id="rId37" Type="http://schemas.openxmlformats.org/officeDocument/2006/relationships/image" Target="../media/image42.png"/><Relationship Id="rId40" Type="http://schemas.openxmlformats.org/officeDocument/2006/relationships/image" Target="../media/image45.png"/><Relationship Id="rId45" Type="http://schemas.openxmlformats.org/officeDocument/2006/relationships/image" Target="../media/image50.png"/><Relationship Id="rId53" Type="http://schemas.openxmlformats.org/officeDocument/2006/relationships/image" Target="../media/image58.png"/><Relationship Id="rId58" Type="http://schemas.openxmlformats.org/officeDocument/2006/relationships/image" Target="../media/image63.png"/><Relationship Id="rId66" Type="http://schemas.openxmlformats.org/officeDocument/2006/relationships/image" Target="../media/image71.png"/><Relationship Id="rId5" Type="http://schemas.openxmlformats.org/officeDocument/2006/relationships/image" Target="../media/image10.png"/><Relationship Id="rId61" Type="http://schemas.openxmlformats.org/officeDocument/2006/relationships/image" Target="../media/image66.png"/><Relationship Id="rId19" Type="http://schemas.openxmlformats.org/officeDocument/2006/relationships/image" Target="../media/image24.png"/><Relationship Id="rId14" Type="http://schemas.openxmlformats.org/officeDocument/2006/relationships/image" Target="../media/image19.png"/><Relationship Id="rId22" Type="http://schemas.openxmlformats.org/officeDocument/2006/relationships/image" Target="../media/image27.png"/><Relationship Id="rId27" Type="http://schemas.openxmlformats.org/officeDocument/2006/relationships/image" Target="../media/image32.png"/><Relationship Id="rId30" Type="http://schemas.openxmlformats.org/officeDocument/2006/relationships/image" Target="../media/image35.png"/><Relationship Id="rId35" Type="http://schemas.openxmlformats.org/officeDocument/2006/relationships/image" Target="../media/image40.png"/><Relationship Id="rId43" Type="http://schemas.openxmlformats.org/officeDocument/2006/relationships/image" Target="../media/image48.png"/><Relationship Id="rId48" Type="http://schemas.openxmlformats.org/officeDocument/2006/relationships/image" Target="../media/image53.png"/><Relationship Id="rId56" Type="http://schemas.openxmlformats.org/officeDocument/2006/relationships/image" Target="../media/image61.png"/><Relationship Id="rId64" Type="http://schemas.openxmlformats.org/officeDocument/2006/relationships/image" Target="../media/image69.png"/><Relationship Id="rId8" Type="http://schemas.openxmlformats.org/officeDocument/2006/relationships/image" Target="../media/image13.png"/><Relationship Id="rId51" Type="http://schemas.openxmlformats.org/officeDocument/2006/relationships/image" Target="../media/image56.png"/><Relationship Id="rId3" Type="http://schemas.openxmlformats.org/officeDocument/2006/relationships/image" Target="../media/image8.png"/><Relationship Id="rId12" Type="http://schemas.openxmlformats.org/officeDocument/2006/relationships/image" Target="../media/image17.png"/><Relationship Id="rId17" Type="http://schemas.openxmlformats.org/officeDocument/2006/relationships/image" Target="../media/image22.png"/><Relationship Id="rId25" Type="http://schemas.openxmlformats.org/officeDocument/2006/relationships/image" Target="../media/image30.png"/><Relationship Id="rId33" Type="http://schemas.openxmlformats.org/officeDocument/2006/relationships/image" Target="../media/image38.png"/><Relationship Id="rId38" Type="http://schemas.openxmlformats.org/officeDocument/2006/relationships/image" Target="../media/image43.png"/><Relationship Id="rId46" Type="http://schemas.openxmlformats.org/officeDocument/2006/relationships/image" Target="../media/image51.png"/><Relationship Id="rId59" Type="http://schemas.openxmlformats.org/officeDocument/2006/relationships/image" Target="../media/image64.png"/><Relationship Id="rId67" Type="http://schemas.openxmlformats.org/officeDocument/2006/relationships/image" Target="../media/image72.png"/><Relationship Id="rId20" Type="http://schemas.openxmlformats.org/officeDocument/2006/relationships/image" Target="../media/image25.png"/><Relationship Id="rId41" Type="http://schemas.openxmlformats.org/officeDocument/2006/relationships/image" Target="../media/image46.png"/><Relationship Id="rId54" Type="http://schemas.openxmlformats.org/officeDocument/2006/relationships/image" Target="../media/image59.png"/><Relationship Id="rId62" Type="http://schemas.openxmlformats.org/officeDocument/2006/relationships/image" Target="../media/image6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5" Type="http://schemas.openxmlformats.org/officeDocument/2006/relationships/image" Target="../media/image20.png"/><Relationship Id="rId23" Type="http://schemas.openxmlformats.org/officeDocument/2006/relationships/image" Target="../media/image28.png"/><Relationship Id="rId28" Type="http://schemas.openxmlformats.org/officeDocument/2006/relationships/image" Target="../media/image33.png"/><Relationship Id="rId36" Type="http://schemas.openxmlformats.org/officeDocument/2006/relationships/image" Target="../media/image41.png"/><Relationship Id="rId49" Type="http://schemas.openxmlformats.org/officeDocument/2006/relationships/image" Target="../media/image54.png"/><Relationship Id="rId57" Type="http://schemas.openxmlformats.org/officeDocument/2006/relationships/image" Target="../media/image62.png"/><Relationship Id="rId10" Type="http://schemas.openxmlformats.org/officeDocument/2006/relationships/image" Target="../media/image15.png"/><Relationship Id="rId31" Type="http://schemas.openxmlformats.org/officeDocument/2006/relationships/image" Target="../media/image36.png"/><Relationship Id="rId44" Type="http://schemas.openxmlformats.org/officeDocument/2006/relationships/image" Target="../media/image49.png"/><Relationship Id="rId52" Type="http://schemas.openxmlformats.org/officeDocument/2006/relationships/image" Target="../media/image57.png"/><Relationship Id="rId60" Type="http://schemas.openxmlformats.org/officeDocument/2006/relationships/image" Target="../media/image65.png"/><Relationship Id="rId65" Type="http://schemas.openxmlformats.org/officeDocument/2006/relationships/image" Target="../media/image70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3" Type="http://schemas.openxmlformats.org/officeDocument/2006/relationships/image" Target="../media/image18.png"/><Relationship Id="rId18" Type="http://schemas.openxmlformats.org/officeDocument/2006/relationships/image" Target="../media/image23.png"/><Relationship Id="rId39" Type="http://schemas.openxmlformats.org/officeDocument/2006/relationships/image" Target="../media/image4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513360</xdr:colOff>
      <xdr:row>0</xdr:row>
      <xdr:rowOff>0</xdr:rowOff>
    </xdr:from>
    <xdr:to>
      <xdr:col>2</xdr:col>
      <xdr:colOff>835920</xdr:colOff>
      <xdr:row>4</xdr:row>
      <xdr:rowOff>148680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658320" y="0"/>
          <a:ext cx="1451520" cy="9867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16" name="shapetype_202" hidden="1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14" name="shapetype_202" hidden="1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12" name="shapetype_202" hidden="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10" name="shapetype_202" hidden="1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08" name="shapetype_202" hidden="1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06" name="shapetype_202" hidden="1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04" name="shapetype_202" hidden="1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02" name="shapetype_202" hidden="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200" name="shapetype_202" hidden="1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98" name="shapetype_202" hidden="1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96" name="shapetype_202" hidden="1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94" name="shapetype_202" hidden="1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92" name="shapetype_202" hidden="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90" name="shapetype_202" hidden="1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88" name="shapetype_202" hidden="1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86" name="shapetype_202" hidden="1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84" name="shapetype_202" hidden="1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82" name="shapetype_202" hidden="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80" name="shapetype_202" hidden="1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78" name="shapetype_202" hidden="1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76" name="shapetype_202" hidden="1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74" name="shapetype_202" hidden="1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72" name="shapetype_202" hidden="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70" name="shapetype_202" hidden="1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68" name="shapetype_202" hidden="1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66" name="shapetype_202" hidden="1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64" name="shapetype_202" hidden="1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62" name="shapetype_202" hidden="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60" name="shapetype_202" hidden="1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58" name="shapetype_202" hidden="1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56" name="shapetype_202" hidden="1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54" name="shapetype_202" hidden="1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52" name="shapetype_202" hidden="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50" name="shapetype_202" hidden="1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48" name="shapetype_202" hidden="1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46" name="shapetype_202" hidden="1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44" name="shapetype_202" hidden="1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42" name="shapetype_202" hidden="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40" name="shapetype_202" hidden="1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38" name="shapetype_202" hidden="1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36" name="shapetype_202" hidden="1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34" name="shapetype_202" hidden="1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32" name="shapetype_202" hidden="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30" name="shapetype_202" hidden="1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28" name="shapetype_202" hidden="1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26" name="shapetype_202" hidden="1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24" name="shapetype_202" hidden="1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22" name="shapetype_202" hidden="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20" name="shapetype_202" hidden="1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18" name="shapetype_202" hidden="1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16" name="shapetype_202" hidden="1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14" name="shapetype_202" hidden="1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12" name="shapetype_202" hidden="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10" name="shapetype_202" hidden="1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08" name="shapetype_202" hidden="1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06" name="shapetype_202" hidden="1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04" name="shapetype_202" hidden="1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02" name="shapetype_202" hidden="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100" name="shapetype_202" hidden="1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98" name="shapetype_202" hidden="1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96" name="shapetype_202" hidden="1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94" name="shapetype_202" hidden="1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92" name="shapetype_202" hidden="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90" name="shapetype_202" hidden="1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88" name="shapetype_202" hidden="1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86" name="shapetype_202" hidden="1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84" name="shapetype_202" hidden="1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82" name="shapetype_202" hidden="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80" name="shapetype_202" hidden="1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78" name="shapetype_202" hidden="1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76" name="shapetype_202" hidden="1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74" name="shapetype_202" hidden="1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72" name="shapetype_202" hidden="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70" name="shapetype_202" hidden="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68" name="shapetype_202" hidden="1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66" name="shapetype_202" hidden="1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64" name="shapetype_202" hidden="1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62" name="shapetype_202" hidden="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60" name="shapetype_202" hidden="1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58" name="shapetype_202" hidden="1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56" name="shapetype_202" hidden="1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54" name="shapetype_202" hidden="1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52" name="shapetype_202" hidden="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50" name="shapetype_202" hidden="1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48" name="shapetype_202" hidden="1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46" name="shapetype_202" hidden="1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44" name="shapetype_202" hidden="1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42" name="shapetype_202" hidden="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40" name="shapetype_202" hidden="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38" name="shapetype_202" hidden="1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36" name="shapetype_202" hidden="1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34" name="shapetype_202" hidden="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32" name="shapetype_202" hidden="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30" name="shapetype_202" hidden="1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28" name="shapetype_202" hidden="1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1238250</xdr:colOff>
      <xdr:row>49</xdr:row>
      <xdr:rowOff>0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499635</xdr:colOff>
      <xdr:row>149</xdr:row>
      <xdr:rowOff>20802</xdr:rowOff>
    </xdr:from>
    <xdr:to>
      <xdr:col>10</xdr:col>
      <xdr:colOff>48969</xdr:colOff>
      <xdr:row>157</xdr:row>
      <xdr:rowOff>107576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D44365A1-EBA7-408E-9C8E-D38D6CDA7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6910" y="17251527"/>
          <a:ext cx="3473634" cy="1607973"/>
        </a:xfrm>
        <a:prstGeom prst="rect">
          <a:avLst/>
        </a:prstGeom>
      </xdr:spPr>
    </xdr:pic>
    <xdr:clientData/>
  </xdr:twoCellAnchor>
  <xdr:oneCellAnchor>
    <xdr:from>
      <xdr:col>6</xdr:col>
      <xdr:colOff>561975</xdr:colOff>
      <xdr:row>272</xdr:row>
      <xdr:rowOff>133350</xdr:rowOff>
    </xdr:from>
    <xdr:ext cx="3026415" cy="1168399"/>
    <xdr:pic>
      <xdr:nvPicPr>
        <xdr:cNvPr id="8" name="Imagem 7">
          <a:extLst>
            <a:ext uri="{FF2B5EF4-FFF2-40B4-BE49-F238E27FC236}">
              <a16:creationId xmlns:a16="http://schemas.microsoft.com/office/drawing/2014/main" id="{B1905701-3720-428F-9680-BDA4B7F94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lum/>
          <a:alphaModFix/>
        </a:blip>
        <a:srcRect/>
        <a:stretch>
          <a:fillRect/>
        </a:stretch>
      </xdr:blipFill>
      <xdr:spPr>
        <a:xfrm>
          <a:off x="9705975" y="53235225"/>
          <a:ext cx="3026415" cy="1168399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6</xdr:col>
      <xdr:colOff>499635</xdr:colOff>
      <xdr:row>149</xdr:row>
      <xdr:rowOff>20802</xdr:rowOff>
    </xdr:from>
    <xdr:to>
      <xdr:col>10</xdr:col>
      <xdr:colOff>48969</xdr:colOff>
      <xdr:row>157</xdr:row>
      <xdr:rowOff>107576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53538557-36B4-436A-A8FA-F5BE626FB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43635" y="28957752"/>
          <a:ext cx="3473634" cy="16107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3913785</xdr:colOff>
      <xdr:row>0</xdr:row>
      <xdr:rowOff>57150</xdr:rowOff>
    </xdr:from>
    <xdr:to>
      <xdr:col>2</xdr:col>
      <xdr:colOff>28575</xdr:colOff>
      <xdr:row>5</xdr:row>
      <xdr:rowOff>133350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48C3D799-13CB-4625-8E0F-FDE5E63CA697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913785" y="57150"/>
          <a:ext cx="1229715" cy="1028700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6</xdr:col>
      <xdr:colOff>847725</xdr:colOff>
      <xdr:row>267</xdr:row>
      <xdr:rowOff>142875</xdr:rowOff>
    </xdr:from>
    <xdr:ext cx="3026415" cy="1168399"/>
    <xdr:pic>
      <xdr:nvPicPr>
        <xdr:cNvPr id="7" name="Imagem 6">
          <a:extLst>
            <a:ext uri="{FF2B5EF4-FFF2-40B4-BE49-F238E27FC236}">
              <a16:creationId xmlns:a16="http://schemas.microsoft.com/office/drawing/2014/main" id="{163ABEE8-613E-4BCB-A2C0-2EB3F70F4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9991725" y="52282725"/>
          <a:ext cx="3026415" cy="1168399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6</xdr:col>
      <xdr:colOff>499635</xdr:colOff>
      <xdr:row>148</xdr:row>
      <xdr:rowOff>20802</xdr:rowOff>
    </xdr:from>
    <xdr:to>
      <xdr:col>11</xdr:col>
      <xdr:colOff>96594</xdr:colOff>
      <xdr:row>156</xdr:row>
      <xdr:rowOff>107576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7C806D2E-A4B9-4FFC-9917-D68E86D73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76910" y="26214552"/>
          <a:ext cx="3473634" cy="16107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390525</xdr:colOff>
      <xdr:row>20</xdr:row>
      <xdr:rowOff>0</xdr:rowOff>
    </xdr:to>
    <xdr:sp macro="" textlink="">
      <xdr:nvSpPr>
        <xdr:cNvPr id="2062" name="shapetype_202" hidden="1">
          <a:extLst>
            <a:ext uri="{FF2B5EF4-FFF2-40B4-BE49-F238E27FC236}">
              <a16:creationId xmlns:a16="http://schemas.microsoft.com/office/drawing/2014/main" id="{00000000-0008-0000-0300-00000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390525</xdr:colOff>
      <xdr:row>20</xdr:row>
      <xdr:rowOff>0</xdr:rowOff>
    </xdr:to>
    <xdr:sp macro="" textlink="">
      <xdr:nvSpPr>
        <xdr:cNvPr id="2060" name="shapetype_202" hidden="1">
          <a:extLst>
            <a:ext uri="{FF2B5EF4-FFF2-40B4-BE49-F238E27FC236}">
              <a16:creationId xmlns:a16="http://schemas.microsoft.com/office/drawing/2014/main" id="{00000000-0008-0000-0300-00000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390525</xdr:colOff>
      <xdr:row>20</xdr:row>
      <xdr:rowOff>0</xdr:rowOff>
    </xdr:to>
    <xdr:sp macro="" textlink="">
      <xdr:nvSpPr>
        <xdr:cNvPr id="2058" name="shapetype_202" hidden="1">
          <a:extLst>
            <a:ext uri="{FF2B5EF4-FFF2-40B4-BE49-F238E27FC236}">
              <a16:creationId xmlns:a16="http://schemas.microsoft.com/office/drawing/2014/main" id="{00000000-0008-0000-0300-00000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390525</xdr:colOff>
      <xdr:row>20</xdr:row>
      <xdr:rowOff>0</xdr:rowOff>
    </xdr:to>
    <xdr:sp macro="" textlink="">
      <xdr:nvSpPr>
        <xdr:cNvPr id="2056" name="shapetype_202" hidden="1">
          <a:extLst>
            <a:ext uri="{FF2B5EF4-FFF2-40B4-BE49-F238E27FC236}">
              <a16:creationId xmlns:a16="http://schemas.microsoft.com/office/drawing/2014/main" id="{00000000-0008-0000-0300-00000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390525</xdr:colOff>
      <xdr:row>20</xdr:row>
      <xdr:rowOff>0</xdr:rowOff>
    </xdr:to>
    <xdr:sp macro="" textlink="">
      <xdr:nvSpPr>
        <xdr:cNvPr id="2054" name="shapetype_202" hidden="1">
          <a:extLst>
            <a:ext uri="{FF2B5EF4-FFF2-40B4-BE49-F238E27FC236}">
              <a16:creationId xmlns:a16="http://schemas.microsoft.com/office/drawing/2014/main" id="{00000000-0008-0000-0300-00000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390525</xdr:colOff>
      <xdr:row>20</xdr:row>
      <xdr:rowOff>0</xdr:rowOff>
    </xdr:to>
    <xdr:sp macro="" textlink="">
      <xdr:nvSpPr>
        <xdr:cNvPr id="2052" name="shapetype_202" hidden="1">
          <a:extLst>
            <a:ext uri="{FF2B5EF4-FFF2-40B4-BE49-F238E27FC236}">
              <a16:creationId xmlns:a16="http://schemas.microsoft.com/office/drawing/2014/main" id="{00000000-0008-0000-0300-00000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390525</xdr:colOff>
      <xdr:row>20</xdr:row>
      <xdr:rowOff>0</xdr:rowOff>
    </xdr:to>
    <xdr:sp macro="" textlink="">
      <xdr:nvSpPr>
        <xdr:cNvPr id="2050" name="shapetype_202" hidden="1">
          <a:extLst>
            <a:ext uri="{FF2B5EF4-FFF2-40B4-BE49-F238E27FC236}">
              <a16:creationId xmlns:a16="http://schemas.microsoft.com/office/drawing/2014/main" id="{00000000-0008-0000-0300-00000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133200</xdr:colOff>
      <xdr:row>4</xdr:row>
      <xdr:rowOff>28440</xdr:rowOff>
    </xdr:from>
    <xdr:to>
      <xdr:col>0</xdr:col>
      <xdr:colOff>1418760</xdr:colOff>
      <xdr:row>6</xdr:row>
      <xdr:rowOff>66240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742680"/>
          <a:ext cx="1285560" cy="361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85680</xdr:colOff>
      <xdr:row>7</xdr:row>
      <xdr:rowOff>9360</xdr:rowOff>
    </xdr:from>
    <xdr:to>
      <xdr:col>0</xdr:col>
      <xdr:colOff>2123640</xdr:colOff>
      <xdr:row>9</xdr:row>
      <xdr:rowOff>56520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209240"/>
          <a:ext cx="2037960" cy="3711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376436</xdr:colOff>
      <xdr:row>32</xdr:row>
      <xdr:rowOff>51225</xdr:rowOff>
    </xdr:from>
    <xdr:to>
      <xdr:col>5</xdr:col>
      <xdr:colOff>251853</xdr:colOff>
      <xdr:row>48</xdr:row>
      <xdr:rowOff>60830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8607D51-B2AB-401C-B19D-7F7D7E256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4079" y="3902046"/>
          <a:ext cx="2202238" cy="2622177"/>
        </a:xfrm>
        <a:prstGeom prst="rect">
          <a:avLst/>
        </a:prstGeom>
      </xdr:spPr>
    </xdr:pic>
    <xdr:clientData/>
  </xdr:twoCellAnchor>
  <xdr:twoCellAnchor editAs="oneCell">
    <xdr:from>
      <xdr:col>5</xdr:col>
      <xdr:colOff>531752</xdr:colOff>
      <xdr:row>32</xdr:row>
      <xdr:rowOff>17608</xdr:rowOff>
    </xdr:from>
    <xdr:to>
      <xdr:col>10</xdr:col>
      <xdr:colOff>165686</xdr:colOff>
      <xdr:row>48</xdr:row>
      <xdr:rowOff>116860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ABD75D2-9850-4257-9B7F-7236547E5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26216" y="3868429"/>
          <a:ext cx="2763577" cy="27118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136071</xdr:rowOff>
    </xdr:from>
    <xdr:to>
      <xdr:col>2</xdr:col>
      <xdr:colOff>18315</xdr:colOff>
      <xdr:row>48</xdr:row>
      <xdr:rowOff>94449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26F6F0C-AA54-4C9E-A808-7F03E5927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823607"/>
          <a:ext cx="2385958" cy="2734235"/>
        </a:xfrm>
        <a:prstGeom prst="rect">
          <a:avLst/>
        </a:prstGeom>
      </xdr:spPr>
    </xdr:pic>
    <xdr:clientData/>
  </xdr:twoCellAnchor>
  <xdr:twoCellAnchor editAs="oneCell">
    <xdr:from>
      <xdr:col>0</xdr:col>
      <xdr:colOff>357188</xdr:colOff>
      <xdr:row>52</xdr:row>
      <xdr:rowOff>95251</xdr:rowOff>
    </xdr:from>
    <xdr:to>
      <xdr:col>4</xdr:col>
      <xdr:colOff>233618</xdr:colOff>
      <xdr:row>63</xdr:row>
      <xdr:rowOff>119062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DF87E8E-EEA8-4376-A40B-045BA5C1F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7188" y="7334251"/>
          <a:ext cx="3781680" cy="1857374"/>
        </a:xfrm>
        <a:prstGeom prst="rect">
          <a:avLst/>
        </a:prstGeom>
      </xdr:spPr>
    </xdr:pic>
    <xdr:clientData/>
  </xdr:twoCellAnchor>
  <xdr:twoCellAnchor editAs="oneCell">
    <xdr:from>
      <xdr:col>4</xdr:col>
      <xdr:colOff>595313</xdr:colOff>
      <xdr:row>52</xdr:row>
      <xdr:rowOff>71439</xdr:rowOff>
    </xdr:from>
    <xdr:to>
      <xdr:col>9</xdr:col>
      <xdr:colOff>145399</xdr:colOff>
      <xdr:row>62</xdr:row>
      <xdr:rowOff>71438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35CBBE6-F85C-4C8D-9C39-872C1CB94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00563" y="7310439"/>
          <a:ext cx="2836211" cy="1666874"/>
        </a:xfrm>
        <a:prstGeom prst="rect">
          <a:avLst/>
        </a:prstGeom>
      </xdr:spPr>
    </xdr:pic>
    <xdr:clientData/>
  </xdr:twoCellAnchor>
  <xdr:twoCellAnchor editAs="oneCell">
    <xdr:from>
      <xdr:col>9</xdr:col>
      <xdr:colOff>571501</xdr:colOff>
      <xdr:row>52</xdr:row>
      <xdr:rowOff>95250</xdr:rowOff>
    </xdr:from>
    <xdr:to>
      <xdr:col>16</xdr:col>
      <xdr:colOff>214314</xdr:colOff>
      <xdr:row>64</xdr:row>
      <xdr:rowOff>68712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6480EAF7-C4D5-47AE-A071-497F75C14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762876" y="7334250"/>
          <a:ext cx="3976688" cy="1973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134470</xdr:rowOff>
    </xdr:from>
    <xdr:to>
      <xdr:col>3</xdr:col>
      <xdr:colOff>672353</xdr:colOff>
      <xdr:row>92</xdr:row>
      <xdr:rowOff>41198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2A5309F8-6D16-4F26-8268-5B97D4165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9345705"/>
          <a:ext cx="3821206" cy="3828787"/>
        </a:xfrm>
        <a:prstGeom prst="rect">
          <a:avLst/>
        </a:prstGeom>
      </xdr:spPr>
    </xdr:pic>
    <xdr:clientData/>
  </xdr:twoCellAnchor>
  <xdr:twoCellAnchor editAs="oneCell">
    <xdr:from>
      <xdr:col>3</xdr:col>
      <xdr:colOff>534968</xdr:colOff>
      <xdr:row>67</xdr:row>
      <xdr:rowOff>145677</xdr:rowOff>
    </xdr:from>
    <xdr:to>
      <xdr:col>9</xdr:col>
      <xdr:colOff>107106</xdr:colOff>
      <xdr:row>93</xdr:row>
      <xdr:rowOff>33617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29F37CEC-95FD-41D5-9B6E-EB0FE7A46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83821" y="9356912"/>
          <a:ext cx="3606256" cy="3966882"/>
        </a:xfrm>
        <a:prstGeom prst="rect">
          <a:avLst/>
        </a:prstGeom>
      </xdr:spPr>
    </xdr:pic>
    <xdr:clientData/>
  </xdr:twoCellAnchor>
  <xdr:twoCellAnchor editAs="oneCell">
    <xdr:from>
      <xdr:col>9</xdr:col>
      <xdr:colOff>208984</xdr:colOff>
      <xdr:row>67</xdr:row>
      <xdr:rowOff>123266</xdr:rowOff>
    </xdr:from>
    <xdr:to>
      <xdr:col>15</xdr:col>
      <xdr:colOff>224118</xdr:colOff>
      <xdr:row>93</xdr:row>
      <xdr:rowOff>146861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05BA11D0-A604-4AD0-8471-97B8A994E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391955" y="9334501"/>
          <a:ext cx="3645839" cy="410253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95</xdr:row>
      <xdr:rowOff>117828</xdr:rowOff>
    </xdr:from>
    <xdr:to>
      <xdr:col>2</xdr:col>
      <xdr:colOff>725483</xdr:colOff>
      <xdr:row>106</xdr:row>
      <xdr:rowOff>142875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C01553FE-7723-40B1-BFDE-B614EF274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" y="14524391"/>
          <a:ext cx="3106732" cy="1858609"/>
        </a:xfrm>
        <a:prstGeom prst="rect">
          <a:avLst/>
        </a:prstGeom>
      </xdr:spPr>
    </xdr:pic>
    <xdr:clientData/>
  </xdr:twoCellAnchor>
  <xdr:twoCellAnchor editAs="oneCell">
    <xdr:from>
      <xdr:col>3</xdr:col>
      <xdr:colOff>313399</xdr:colOff>
      <xdr:row>96</xdr:row>
      <xdr:rowOff>4329</xdr:rowOff>
    </xdr:from>
    <xdr:to>
      <xdr:col>10</xdr:col>
      <xdr:colOff>47624</xdr:colOff>
      <xdr:row>107</xdr:row>
      <xdr:rowOff>117485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9E0C908E-8A26-4605-A823-539492B3E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456649" y="14577579"/>
          <a:ext cx="4401475" cy="1946720"/>
        </a:xfrm>
        <a:prstGeom prst="rect">
          <a:avLst/>
        </a:prstGeom>
      </xdr:spPr>
    </xdr:pic>
    <xdr:clientData/>
  </xdr:twoCellAnchor>
  <xdr:twoCellAnchor editAs="oneCell">
    <xdr:from>
      <xdr:col>10</xdr:col>
      <xdr:colOff>295818</xdr:colOff>
      <xdr:row>96</xdr:row>
      <xdr:rowOff>49792</xdr:rowOff>
    </xdr:from>
    <xdr:to>
      <xdr:col>15</xdr:col>
      <xdr:colOff>239199</xdr:colOff>
      <xdr:row>107</xdr:row>
      <xdr:rowOff>142874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06400B2B-7222-44AD-B06F-CB9796029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106318" y="14623042"/>
          <a:ext cx="3039006" cy="192664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113</xdr:row>
      <xdr:rowOff>95250</xdr:rowOff>
    </xdr:from>
    <xdr:to>
      <xdr:col>7</xdr:col>
      <xdr:colOff>593956</xdr:colOff>
      <xdr:row>126</xdr:row>
      <xdr:rowOff>23813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0B33F174-D560-4D9B-8DAC-0AEC80E01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" y="17502188"/>
          <a:ext cx="6547080" cy="2095500"/>
        </a:xfrm>
        <a:prstGeom prst="rect">
          <a:avLst/>
        </a:prstGeom>
      </xdr:spPr>
    </xdr:pic>
    <xdr:clientData/>
  </xdr:twoCellAnchor>
  <xdr:twoCellAnchor editAs="oneCell">
    <xdr:from>
      <xdr:col>8</xdr:col>
      <xdr:colOff>-1</xdr:colOff>
      <xdr:row>114</xdr:row>
      <xdr:rowOff>23813</xdr:rowOff>
    </xdr:from>
    <xdr:to>
      <xdr:col>17</xdr:col>
      <xdr:colOff>510186</xdr:colOff>
      <xdr:row>125</xdr:row>
      <xdr:rowOff>142874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EF7709A2-869A-4893-9D67-1EE43497A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572249" y="17597438"/>
          <a:ext cx="6082312" cy="1952624"/>
        </a:xfrm>
        <a:prstGeom prst="rect">
          <a:avLst/>
        </a:prstGeom>
      </xdr:spPr>
    </xdr:pic>
    <xdr:clientData/>
  </xdr:twoCellAnchor>
  <xdr:twoCellAnchor editAs="oneCell">
    <xdr:from>
      <xdr:col>18</xdr:col>
      <xdr:colOff>214312</xdr:colOff>
      <xdr:row>112</xdr:row>
      <xdr:rowOff>23813</xdr:rowOff>
    </xdr:from>
    <xdr:to>
      <xdr:col>28</xdr:col>
      <xdr:colOff>243652</xdr:colOff>
      <xdr:row>126</xdr:row>
      <xdr:rowOff>47624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B3086B52-98C3-4341-916C-AA46DF29B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2977812" y="17264063"/>
          <a:ext cx="6220590" cy="2357436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</xdr:colOff>
      <xdr:row>128</xdr:row>
      <xdr:rowOff>33617</xdr:rowOff>
    </xdr:from>
    <xdr:to>
      <xdr:col>5</xdr:col>
      <xdr:colOff>322853</xdr:colOff>
      <xdr:row>147</xdr:row>
      <xdr:rowOff>44119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8A026F97-3F12-49CD-B5F9-9C925C6CE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2058" y="18814676"/>
          <a:ext cx="4906060" cy="2991267"/>
        </a:xfrm>
        <a:prstGeom prst="rect">
          <a:avLst/>
        </a:prstGeom>
      </xdr:spPr>
    </xdr:pic>
    <xdr:clientData/>
  </xdr:twoCellAnchor>
  <xdr:twoCellAnchor editAs="oneCell">
    <xdr:from>
      <xdr:col>0</xdr:col>
      <xdr:colOff>78441</xdr:colOff>
      <xdr:row>148</xdr:row>
      <xdr:rowOff>22411</xdr:rowOff>
    </xdr:from>
    <xdr:to>
      <xdr:col>7</xdr:col>
      <xdr:colOff>374031</xdr:colOff>
      <xdr:row>166</xdr:row>
      <xdr:rowOff>94533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E4483528-AEA6-4212-8C23-CF8748CBD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8441" y="21941117"/>
          <a:ext cx="6268325" cy="2896004"/>
        </a:xfrm>
        <a:prstGeom prst="rect">
          <a:avLst/>
        </a:prstGeom>
      </xdr:spPr>
    </xdr:pic>
    <xdr:clientData/>
  </xdr:twoCellAnchor>
  <xdr:twoCellAnchor editAs="oneCell">
    <xdr:from>
      <xdr:col>0</xdr:col>
      <xdr:colOff>33618</xdr:colOff>
      <xdr:row>167</xdr:row>
      <xdr:rowOff>100853</xdr:rowOff>
    </xdr:from>
    <xdr:to>
      <xdr:col>5</xdr:col>
      <xdr:colOff>196781</xdr:colOff>
      <xdr:row>186</xdr:row>
      <xdr:rowOff>25619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A65D9A8A-AFD8-4B10-AB4D-B052949B3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3618" y="25000324"/>
          <a:ext cx="4858428" cy="29055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187</xdr:row>
      <xdr:rowOff>22411</xdr:rowOff>
    </xdr:from>
    <xdr:to>
      <xdr:col>5</xdr:col>
      <xdr:colOff>277479</xdr:colOff>
      <xdr:row>202</xdr:row>
      <xdr:rowOff>136495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FFEE43AA-EF91-425B-A223-1D03E1FFC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28059529"/>
          <a:ext cx="4972744" cy="246731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204</xdr:row>
      <xdr:rowOff>22412</xdr:rowOff>
    </xdr:from>
    <xdr:to>
      <xdr:col>3</xdr:col>
      <xdr:colOff>633073</xdr:colOff>
      <xdr:row>225</xdr:row>
      <xdr:rowOff>147835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DE60284E-0ACD-4BC4-97CD-AC9EDD235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90500" y="30726530"/>
          <a:ext cx="3591426" cy="3419952"/>
        </a:xfrm>
        <a:prstGeom prst="rect">
          <a:avLst/>
        </a:prstGeom>
      </xdr:spPr>
    </xdr:pic>
    <xdr:clientData/>
  </xdr:twoCellAnchor>
  <xdr:twoCellAnchor editAs="oneCell">
    <xdr:from>
      <xdr:col>0</xdr:col>
      <xdr:colOff>78441</xdr:colOff>
      <xdr:row>226</xdr:row>
      <xdr:rowOff>145676</xdr:rowOff>
    </xdr:from>
    <xdr:to>
      <xdr:col>3</xdr:col>
      <xdr:colOff>559120</xdr:colOff>
      <xdr:row>249</xdr:row>
      <xdr:rowOff>4966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3C816006-AFF1-41E9-861B-A7C106D11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8441" y="34301205"/>
          <a:ext cx="3629532" cy="3467584"/>
        </a:xfrm>
        <a:prstGeom prst="rect">
          <a:avLst/>
        </a:prstGeom>
      </xdr:spPr>
    </xdr:pic>
    <xdr:clientData/>
  </xdr:twoCellAnchor>
  <xdr:twoCellAnchor editAs="oneCell">
    <xdr:from>
      <xdr:col>0</xdr:col>
      <xdr:colOff>145676</xdr:colOff>
      <xdr:row>249</xdr:row>
      <xdr:rowOff>112059</xdr:rowOff>
    </xdr:from>
    <xdr:to>
      <xdr:col>7</xdr:col>
      <xdr:colOff>117371</xdr:colOff>
      <xdr:row>272</xdr:row>
      <xdr:rowOff>18981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20F24575-AAC5-47F6-B501-E9ED40B34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45676" y="37875883"/>
          <a:ext cx="5944430" cy="3515216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273</xdr:row>
      <xdr:rowOff>89647</xdr:rowOff>
    </xdr:from>
    <xdr:to>
      <xdr:col>3</xdr:col>
      <xdr:colOff>493564</xdr:colOff>
      <xdr:row>295</xdr:row>
      <xdr:rowOff>48661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B30282B8-9CF2-4843-B7B7-A42884B5B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2412" y="41618647"/>
          <a:ext cx="3620005" cy="34104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296</xdr:row>
      <xdr:rowOff>56030</xdr:rowOff>
    </xdr:from>
    <xdr:to>
      <xdr:col>7</xdr:col>
      <xdr:colOff>257484</xdr:colOff>
      <xdr:row>317</xdr:row>
      <xdr:rowOff>9978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7312D049-3A83-4226-A7E3-ADC68A585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45193324"/>
          <a:ext cx="6230219" cy="3248478"/>
        </a:xfrm>
        <a:prstGeom prst="rect">
          <a:avLst/>
        </a:prstGeom>
      </xdr:spPr>
    </xdr:pic>
    <xdr:clientData/>
  </xdr:twoCellAnchor>
  <xdr:twoCellAnchor editAs="oneCell">
    <xdr:from>
      <xdr:col>0</xdr:col>
      <xdr:colOff>54429</xdr:colOff>
      <xdr:row>318</xdr:row>
      <xdr:rowOff>68036</xdr:rowOff>
    </xdr:from>
    <xdr:to>
      <xdr:col>4</xdr:col>
      <xdr:colOff>727263</xdr:colOff>
      <xdr:row>337</xdr:row>
      <xdr:rowOff>61665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878EB482-E825-4225-93F8-FB4299F0E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4429" y="50618572"/>
          <a:ext cx="4591691" cy="3096057"/>
        </a:xfrm>
        <a:prstGeom prst="rect">
          <a:avLst/>
        </a:prstGeom>
      </xdr:spPr>
    </xdr:pic>
    <xdr:clientData/>
  </xdr:twoCellAnchor>
  <xdr:twoCellAnchor editAs="oneCell">
    <xdr:from>
      <xdr:col>0</xdr:col>
      <xdr:colOff>56030</xdr:colOff>
      <xdr:row>338</xdr:row>
      <xdr:rowOff>89647</xdr:rowOff>
    </xdr:from>
    <xdr:to>
      <xdr:col>4</xdr:col>
      <xdr:colOff>716135</xdr:colOff>
      <xdr:row>357</xdr:row>
      <xdr:rowOff>147781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EBB9228E-57F5-4534-9211-4424A69CE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6030" y="51816000"/>
          <a:ext cx="4582164" cy="3038899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</xdr:colOff>
      <xdr:row>358</xdr:row>
      <xdr:rowOff>123265</xdr:rowOff>
    </xdr:from>
    <xdr:to>
      <xdr:col>5</xdr:col>
      <xdr:colOff>63411</xdr:colOff>
      <xdr:row>379</xdr:row>
      <xdr:rowOff>105792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772B5522-0D3A-4ACF-B9E7-AC6AC6C32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3617" y="54987265"/>
          <a:ext cx="4725059" cy="3277057"/>
        </a:xfrm>
        <a:prstGeom prst="rect">
          <a:avLst/>
        </a:prstGeom>
      </xdr:spPr>
    </xdr:pic>
    <xdr:clientData/>
  </xdr:twoCellAnchor>
  <xdr:twoCellAnchor editAs="oneCell">
    <xdr:from>
      <xdr:col>0</xdr:col>
      <xdr:colOff>11206</xdr:colOff>
      <xdr:row>381</xdr:row>
      <xdr:rowOff>100853</xdr:rowOff>
    </xdr:from>
    <xdr:to>
      <xdr:col>10</xdr:col>
      <xdr:colOff>349077</xdr:colOff>
      <xdr:row>401</xdr:row>
      <xdr:rowOff>78316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74C843B5-9FD9-42C3-A23C-0B2DE9C5A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1206" y="58573147"/>
          <a:ext cx="8125959" cy="31151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402</xdr:row>
      <xdr:rowOff>145676</xdr:rowOff>
    </xdr:from>
    <xdr:to>
      <xdr:col>5</xdr:col>
      <xdr:colOff>191742</xdr:colOff>
      <xdr:row>423</xdr:row>
      <xdr:rowOff>128204</xdr:rowOff>
    </xdr:to>
    <xdr:pic>
      <xdr:nvPicPr>
        <xdr:cNvPr id="31" name="Imagem 30">
          <a:extLst>
            <a:ext uri="{FF2B5EF4-FFF2-40B4-BE49-F238E27FC236}">
              <a16:creationId xmlns:a16="http://schemas.microsoft.com/office/drawing/2014/main" id="{01FE6730-94BC-441C-9A0C-BDDE074C6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61912500"/>
          <a:ext cx="4887007" cy="3277057"/>
        </a:xfrm>
        <a:prstGeom prst="rect">
          <a:avLst/>
        </a:prstGeom>
      </xdr:spPr>
    </xdr:pic>
    <xdr:clientData/>
  </xdr:twoCellAnchor>
  <xdr:twoCellAnchor editAs="oneCell">
    <xdr:from>
      <xdr:col>0</xdr:col>
      <xdr:colOff>33618</xdr:colOff>
      <xdr:row>425</xdr:row>
      <xdr:rowOff>22411</xdr:rowOff>
    </xdr:from>
    <xdr:to>
      <xdr:col>5</xdr:col>
      <xdr:colOff>44360</xdr:colOff>
      <xdr:row>445</xdr:row>
      <xdr:rowOff>114190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515C5569-F9C1-419E-8EC7-53161C93E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3618" y="65397529"/>
          <a:ext cx="4706007" cy="3229426"/>
        </a:xfrm>
        <a:prstGeom prst="rect">
          <a:avLst/>
        </a:prstGeom>
      </xdr:spPr>
    </xdr:pic>
    <xdr:clientData/>
  </xdr:twoCellAnchor>
  <xdr:twoCellAnchor editAs="oneCell">
    <xdr:from>
      <xdr:col>5</xdr:col>
      <xdr:colOff>392206</xdr:colOff>
      <xdr:row>426</xdr:row>
      <xdr:rowOff>33618</xdr:rowOff>
    </xdr:from>
    <xdr:to>
      <xdr:col>13</xdr:col>
      <xdr:colOff>190037</xdr:colOff>
      <xdr:row>446</xdr:row>
      <xdr:rowOff>11081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95D8A140-9F07-4E4A-A808-CEDE2EB8A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087471" y="65565618"/>
          <a:ext cx="4706007" cy="3115110"/>
        </a:xfrm>
        <a:prstGeom prst="rect">
          <a:avLst/>
        </a:prstGeom>
      </xdr:spPr>
    </xdr:pic>
    <xdr:clientData/>
  </xdr:twoCellAnchor>
  <xdr:twoCellAnchor editAs="oneCell">
    <xdr:from>
      <xdr:col>13</xdr:col>
      <xdr:colOff>459442</xdr:colOff>
      <xdr:row>427</xdr:row>
      <xdr:rowOff>22412</xdr:rowOff>
    </xdr:from>
    <xdr:to>
      <xdr:col>21</xdr:col>
      <xdr:colOff>334034</xdr:colOff>
      <xdr:row>446</xdr:row>
      <xdr:rowOff>61493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C1F28F57-0310-4557-924E-439481A9D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62883" y="65711294"/>
          <a:ext cx="4715533" cy="30198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448</xdr:row>
      <xdr:rowOff>33618</xdr:rowOff>
    </xdr:from>
    <xdr:to>
      <xdr:col>4</xdr:col>
      <xdr:colOff>669632</xdr:colOff>
      <xdr:row>467</xdr:row>
      <xdr:rowOff>101278</xdr:rowOff>
    </xdr:to>
    <xdr:pic>
      <xdr:nvPicPr>
        <xdr:cNvPr id="35" name="Imagem 34">
          <a:extLst>
            <a:ext uri="{FF2B5EF4-FFF2-40B4-BE49-F238E27FC236}">
              <a16:creationId xmlns:a16="http://schemas.microsoft.com/office/drawing/2014/main" id="{DE0E10A8-0F50-4759-AE98-EE9A15BBD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69017030"/>
          <a:ext cx="4591691" cy="30484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469</xdr:row>
      <xdr:rowOff>67236</xdr:rowOff>
    </xdr:from>
    <xdr:to>
      <xdr:col>4</xdr:col>
      <xdr:colOff>736316</xdr:colOff>
      <xdr:row>489</xdr:row>
      <xdr:rowOff>101857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3D0C877B-4EA3-4E71-A056-94F363174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72345177"/>
          <a:ext cx="4658375" cy="317226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490</xdr:row>
      <xdr:rowOff>78442</xdr:rowOff>
    </xdr:from>
    <xdr:to>
      <xdr:col>5</xdr:col>
      <xdr:colOff>10742</xdr:colOff>
      <xdr:row>509</xdr:row>
      <xdr:rowOff>88945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87452319-1607-4F75-8D8B-6302CE3A7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75650913"/>
          <a:ext cx="4706007" cy="2991267"/>
        </a:xfrm>
        <a:prstGeom prst="rect">
          <a:avLst/>
        </a:prstGeom>
      </xdr:spPr>
    </xdr:pic>
    <xdr:clientData/>
  </xdr:twoCellAnchor>
  <xdr:twoCellAnchor editAs="oneCell">
    <xdr:from>
      <xdr:col>0</xdr:col>
      <xdr:colOff>71438</xdr:colOff>
      <xdr:row>510</xdr:row>
      <xdr:rowOff>119063</xdr:rowOff>
    </xdr:from>
    <xdr:to>
      <xdr:col>5</xdr:col>
      <xdr:colOff>119721</xdr:colOff>
      <xdr:row>527</xdr:row>
      <xdr:rowOff>86116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545189E3-B25E-4615-BA72-F23F3411D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1438" y="83700938"/>
          <a:ext cx="4715533" cy="2800741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528</xdr:row>
      <xdr:rowOff>33618</xdr:rowOff>
    </xdr:from>
    <xdr:to>
      <xdr:col>4</xdr:col>
      <xdr:colOff>758729</xdr:colOff>
      <xdr:row>547</xdr:row>
      <xdr:rowOff>72699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02D197B8-DE8B-4CEA-8EE9-B220DAA86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413" y="81567618"/>
          <a:ext cx="4658375" cy="3019846"/>
        </a:xfrm>
        <a:prstGeom prst="rect">
          <a:avLst/>
        </a:prstGeom>
      </xdr:spPr>
    </xdr:pic>
    <xdr:clientData/>
  </xdr:twoCellAnchor>
  <xdr:twoCellAnchor editAs="oneCell">
    <xdr:from>
      <xdr:col>0</xdr:col>
      <xdr:colOff>67236</xdr:colOff>
      <xdr:row>548</xdr:row>
      <xdr:rowOff>100853</xdr:rowOff>
    </xdr:from>
    <xdr:to>
      <xdr:col>5</xdr:col>
      <xdr:colOff>192294</xdr:colOff>
      <xdr:row>568</xdr:row>
      <xdr:rowOff>49737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F2B13DA7-61C6-47EB-9E83-69F8BD9F9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7236" y="84772500"/>
          <a:ext cx="4820323" cy="3086531"/>
        </a:xfrm>
        <a:prstGeom prst="rect">
          <a:avLst/>
        </a:prstGeom>
      </xdr:spPr>
    </xdr:pic>
    <xdr:clientData/>
  </xdr:twoCellAnchor>
  <xdr:twoCellAnchor editAs="oneCell">
    <xdr:from>
      <xdr:col>0</xdr:col>
      <xdr:colOff>11206</xdr:colOff>
      <xdr:row>569</xdr:row>
      <xdr:rowOff>22413</xdr:rowOff>
    </xdr:from>
    <xdr:to>
      <xdr:col>8</xdr:col>
      <xdr:colOff>73205</xdr:colOff>
      <xdr:row>590</xdr:row>
      <xdr:rowOff>71626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E2F46C74-5563-4448-8ABD-6CBFB34EE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1206" y="87988589"/>
          <a:ext cx="6639852" cy="33437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593</xdr:row>
      <xdr:rowOff>0</xdr:rowOff>
    </xdr:from>
    <xdr:to>
      <xdr:col>7</xdr:col>
      <xdr:colOff>228905</xdr:colOff>
      <xdr:row>613</xdr:row>
      <xdr:rowOff>53673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42ED4D7D-0085-44AF-BF17-11DC84D9D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91731353"/>
          <a:ext cx="6201640" cy="31913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614</xdr:row>
      <xdr:rowOff>112059</xdr:rowOff>
    </xdr:from>
    <xdr:to>
      <xdr:col>10</xdr:col>
      <xdr:colOff>13976</xdr:colOff>
      <xdr:row>634</xdr:row>
      <xdr:rowOff>108573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C6D9ED7F-CB1C-4377-B0C3-3B376837D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95137941"/>
          <a:ext cx="7802064" cy="31341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637</xdr:row>
      <xdr:rowOff>0</xdr:rowOff>
    </xdr:from>
    <xdr:to>
      <xdr:col>10</xdr:col>
      <xdr:colOff>290239</xdr:colOff>
      <xdr:row>656</xdr:row>
      <xdr:rowOff>115293</xdr:rowOff>
    </xdr:to>
    <xdr:pic>
      <xdr:nvPicPr>
        <xdr:cNvPr id="44" name="Imagem 43">
          <a:extLst>
            <a:ext uri="{FF2B5EF4-FFF2-40B4-BE49-F238E27FC236}">
              <a16:creationId xmlns:a16="http://schemas.microsoft.com/office/drawing/2014/main" id="{0907DA09-807C-469D-9B7B-24D9689C5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98634176"/>
          <a:ext cx="8078327" cy="30960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660</xdr:row>
      <xdr:rowOff>0</xdr:rowOff>
    </xdr:from>
    <xdr:to>
      <xdr:col>7</xdr:col>
      <xdr:colOff>247958</xdr:colOff>
      <xdr:row>682</xdr:row>
      <xdr:rowOff>111436</xdr:rowOff>
    </xdr:to>
    <xdr:pic>
      <xdr:nvPicPr>
        <xdr:cNvPr id="45" name="Imagem 44">
          <a:extLst>
            <a:ext uri="{FF2B5EF4-FFF2-40B4-BE49-F238E27FC236}">
              <a16:creationId xmlns:a16="http://schemas.microsoft.com/office/drawing/2014/main" id="{5C7C8FE2-DBCE-4317-8578-5796DD2CA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02242471"/>
          <a:ext cx="6220693" cy="3562847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</xdr:colOff>
      <xdr:row>684</xdr:row>
      <xdr:rowOff>56029</xdr:rowOff>
    </xdr:from>
    <xdr:to>
      <xdr:col>10</xdr:col>
      <xdr:colOff>266698</xdr:colOff>
      <xdr:row>705</xdr:row>
      <xdr:rowOff>95714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10A68F80-ABB1-4AE0-91B0-E6113B7BA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3617" y="106063676"/>
          <a:ext cx="8021169" cy="3334215"/>
        </a:xfrm>
        <a:prstGeom prst="rect">
          <a:avLst/>
        </a:prstGeom>
      </xdr:spPr>
    </xdr:pic>
    <xdr:clientData/>
  </xdr:twoCellAnchor>
  <xdr:twoCellAnchor editAs="oneCell">
    <xdr:from>
      <xdr:col>0</xdr:col>
      <xdr:colOff>44823</xdr:colOff>
      <xdr:row>708</xdr:row>
      <xdr:rowOff>22411</xdr:rowOff>
    </xdr:from>
    <xdr:to>
      <xdr:col>10</xdr:col>
      <xdr:colOff>344589</xdr:colOff>
      <xdr:row>727</xdr:row>
      <xdr:rowOff>80546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EAC871B0-1030-47E9-A65C-E9C1D0280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4823" y="109795235"/>
          <a:ext cx="8087854" cy="30388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732</xdr:row>
      <xdr:rowOff>0</xdr:rowOff>
    </xdr:from>
    <xdr:to>
      <xdr:col>4</xdr:col>
      <xdr:colOff>669632</xdr:colOff>
      <xdr:row>751</xdr:row>
      <xdr:rowOff>153397</xdr:rowOff>
    </xdr:to>
    <xdr:pic>
      <xdr:nvPicPr>
        <xdr:cNvPr id="48" name="Imagem 47">
          <a:extLst>
            <a:ext uri="{FF2B5EF4-FFF2-40B4-BE49-F238E27FC236}">
              <a16:creationId xmlns:a16="http://schemas.microsoft.com/office/drawing/2014/main" id="{BC834CEB-7DBB-40CA-89A3-28BECECF6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113538000"/>
          <a:ext cx="4591691" cy="31341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753</xdr:row>
      <xdr:rowOff>33618</xdr:rowOff>
    </xdr:from>
    <xdr:to>
      <xdr:col>10</xdr:col>
      <xdr:colOff>252134</xdr:colOff>
      <xdr:row>772</xdr:row>
      <xdr:rowOff>63174</xdr:rowOff>
    </xdr:to>
    <xdr:pic>
      <xdr:nvPicPr>
        <xdr:cNvPr id="49" name="Imagem 48">
          <a:extLst>
            <a:ext uri="{FF2B5EF4-FFF2-40B4-BE49-F238E27FC236}">
              <a16:creationId xmlns:a16="http://schemas.microsoft.com/office/drawing/2014/main" id="{DE6E3C83-C65B-4032-91A9-748D1EEE4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116866147"/>
          <a:ext cx="8040222" cy="3010320"/>
        </a:xfrm>
        <a:prstGeom prst="rect">
          <a:avLst/>
        </a:prstGeom>
      </xdr:spPr>
    </xdr:pic>
    <xdr:clientData/>
  </xdr:twoCellAnchor>
  <xdr:twoCellAnchor editAs="oneCell">
    <xdr:from>
      <xdr:col>7</xdr:col>
      <xdr:colOff>67236</xdr:colOff>
      <xdr:row>11</xdr:row>
      <xdr:rowOff>44824</xdr:rowOff>
    </xdr:from>
    <xdr:to>
      <xdr:col>9</xdr:col>
      <xdr:colOff>124928</xdr:colOff>
      <xdr:row>20</xdr:row>
      <xdr:rowOff>403412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D24273F7-13B4-A1DE-CFF0-F17FEF67A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039971" y="2028265"/>
          <a:ext cx="1267928" cy="1770529"/>
        </a:xfrm>
        <a:prstGeom prst="rect">
          <a:avLst/>
        </a:prstGeom>
      </xdr:spPr>
    </xdr:pic>
    <xdr:clientData/>
  </xdr:twoCellAnchor>
  <xdr:twoCellAnchor editAs="oneCell">
    <xdr:from>
      <xdr:col>9</xdr:col>
      <xdr:colOff>246530</xdr:colOff>
      <xdr:row>11</xdr:row>
      <xdr:rowOff>123264</xdr:rowOff>
    </xdr:from>
    <xdr:to>
      <xdr:col>11</xdr:col>
      <xdr:colOff>101410</xdr:colOff>
      <xdr:row>20</xdr:row>
      <xdr:rowOff>313765</xdr:rowOff>
    </xdr:to>
    <xdr:pic>
      <xdr:nvPicPr>
        <xdr:cNvPr id="50" name="Imagem 49">
          <a:extLst>
            <a:ext uri="{FF2B5EF4-FFF2-40B4-BE49-F238E27FC236}">
              <a16:creationId xmlns:a16="http://schemas.microsoft.com/office/drawing/2014/main" id="{64E9876C-1F1A-AB5C-68AF-5759C93E6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7429501" y="2106705"/>
          <a:ext cx="1065115" cy="1602442"/>
        </a:xfrm>
        <a:prstGeom prst="rect">
          <a:avLst/>
        </a:prstGeom>
      </xdr:spPr>
    </xdr:pic>
    <xdr:clientData/>
  </xdr:twoCellAnchor>
  <xdr:twoCellAnchor editAs="oneCell">
    <xdr:from>
      <xdr:col>11</xdr:col>
      <xdr:colOff>145676</xdr:colOff>
      <xdr:row>11</xdr:row>
      <xdr:rowOff>123265</xdr:rowOff>
    </xdr:from>
    <xdr:to>
      <xdr:col>12</xdr:col>
      <xdr:colOff>602885</xdr:colOff>
      <xdr:row>20</xdr:row>
      <xdr:rowOff>280148</xdr:rowOff>
    </xdr:to>
    <xdr:pic>
      <xdr:nvPicPr>
        <xdr:cNvPr id="51" name="Imagem 50">
          <a:extLst>
            <a:ext uri="{FF2B5EF4-FFF2-40B4-BE49-F238E27FC236}">
              <a16:creationId xmlns:a16="http://schemas.microsoft.com/office/drawing/2014/main" id="{5161AA3A-D784-E61D-FF5C-C8052B5BD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8538882" y="2106706"/>
          <a:ext cx="1062327" cy="1568824"/>
        </a:xfrm>
        <a:prstGeom prst="rect">
          <a:avLst/>
        </a:prstGeom>
      </xdr:spPr>
    </xdr:pic>
    <xdr:clientData/>
  </xdr:twoCellAnchor>
  <xdr:twoCellAnchor editAs="oneCell">
    <xdr:from>
      <xdr:col>7</xdr:col>
      <xdr:colOff>134471</xdr:colOff>
      <xdr:row>21</xdr:row>
      <xdr:rowOff>56029</xdr:rowOff>
    </xdr:from>
    <xdr:to>
      <xdr:col>8</xdr:col>
      <xdr:colOff>526357</xdr:colOff>
      <xdr:row>29</xdr:row>
      <xdr:rowOff>100853</xdr:rowOff>
    </xdr:to>
    <xdr:pic>
      <xdr:nvPicPr>
        <xdr:cNvPr id="52" name="Imagem 51">
          <a:extLst>
            <a:ext uri="{FF2B5EF4-FFF2-40B4-BE49-F238E27FC236}">
              <a16:creationId xmlns:a16="http://schemas.microsoft.com/office/drawing/2014/main" id="{63126566-5388-2FCA-B2FA-3171AFFF2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107206" y="3933264"/>
          <a:ext cx="997004" cy="1311089"/>
        </a:xfrm>
        <a:prstGeom prst="rect">
          <a:avLst/>
        </a:prstGeom>
      </xdr:spPr>
    </xdr:pic>
    <xdr:clientData/>
  </xdr:twoCellAnchor>
  <xdr:twoCellAnchor editAs="oneCell">
    <xdr:from>
      <xdr:col>9</xdr:col>
      <xdr:colOff>89648</xdr:colOff>
      <xdr:row>21</xdr:row>
      <xdr:rowOff>22412</xdr:rowOff>
    </xdr:from>
    <xdr:to>
      <xdr:col>11</xdr:col>
      <xdr:colOff>46447</xdr:colOff>
      <xdr:row>30</xdr:row>
      <xdr:rowOff>134471</xdr:rowOff>
    </xdr:to>
    <xdr:pic>
      <xdr:nvPicPr>
        <xdr:cNvPr id="53" name="Imagem 52">
          <a:extLst>
            <a:ext uri="{FF2B5EF4-FFF2-40B4-BE49-F238E27FC236}">
              <a16:creationId xmlns:a16="http://schemas.microsoft.com/office/drawing/2014/main" id="{1C8ECB26-50A3-7D13-A2BB-3B27DE099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7272619" y="3899647"/>
          <a:ext cx="1167034" cy="1535206"/>
        </a:xfrm>
        <a:prstGeom prst="rect">
          <a:avLst/>
        </a:prstGeom>
      </xdr:spPr>
    </xdr:pic>
    <xdr:clientData/>
  </xdr:twoCellAnchor>
  <xdr:twoCellAnchor editAs="oneCell">
    <xdr:from>
      <xdr:col>11</xdr:col>
      <xdr:colOff>224119</xdr:colOff>
      <xdr:row>20</xdr:row>
      <xdr:rowOff>448236</xdr:rowOff>
    </xdr:from>
    <xdr:to>
      <xdr:col>13</xdr:col>
      <xdr:colOff>144379</xdr:colOff>
      <xdr:row>30</xdr:row>
      <xdr:rowOff>67236</xdr:rowOff>
    </xdr:to>
    <xdr:pic>
      <xdr:nvPicPr>
        <xdr:cNvPr id="54" name="Imagem 53">
          <a:extLst>
            <a:ext uri="{FF2B5EF4-FFF2-40B4-BE49-F238E27FC236}">
              <a16:creationId xmlns:a16="http://schemas.microsoft.com/office/drawing/2014/main" id="{2EF0E204-7936-4DD9-0B23-9E94C2D29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8617325" y="3843618"/>
          <a:ext cx="1130495" cy="152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773</xdr:row>
      <xdr:rowOff>81643</xdr:rowOff>
    </xdr:from>
    <xdr:to>
      <xdr:col>4</xdr:col>
      <xdr:colOff>568044</xdr:colOff>
      <xdr:row>799</xdr:row>
      <xdr:rowOff>142115</xdr:rowOff>
    </xdr:to>
    <xdr:pic>
      <xdr:nvPicPr>
        <xdr:cNvPr id="56" name="Imagem 55">
          <a:extLst>
            <a:ext uri="{FF2B5EF4-FFF2-40B4-BE49-F238E27FC236}">
              <a16:creationId xmlns:a16="http://schemas.microsoft.com/office/drawing/2014/main" id="{912D3683-E3E0-4D2F-F589-355C67060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26886607"/>
          <a:ext cx="4486901" cy="4305901"/>
        </a:xfrm>
        <a:prstGeom prst="rect">
          <a:avLst/>
        </a:prstGeom>
      </xdr:spPr>
    </xdr:pic>
    <xdr:clientData/>
  </xdr:twoCellAnchor>
  <xdr:twoCellAnchor editAs="oneCell">
    <xdr:from>
      <xdr:col>0</xdr:col>
      <xdr:colOff>204107</xdr:colOff>
      <xdr:row>801</xdr:row>
      <xdr:rowOff>54428</xdr:rowOff>
    </xdr:from>
    <xdr:to>
      <xdr:col>11</xdr:col>
      <xdr:colOff>150848</xdr:colOff>
      <xdr:row>826</xdr:row>
      <xdr:rowOff>1922</xdr:rowOff>
    </xdr:to>
    <xdr:pic>
      <xdr:nvPicPr>
        <xdr:cNvPr id="58" name="Imagem 57">
          <a:extLst>
            <a:ext uri="{FF2B5EF4-FFF2-40B4-BE49-F238E27FC236}">
              <a16:creationId xmlns:a16="http://schemas.microsoft.com/office/drawing/2014/main" id="{C26C0F8F-30B2-C01C-7381-F8685F84C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204107" y="131431392"/>
          <a:ext cx="8383170" cy="40296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828</xdr:row>
      <xdr:rowOff>0</xdr:rowOff>
    </xdr:from>
    <xdr:to>
      <xdr:col>6</xdr:col>
      <xdr:colOff>302871</xdr:colOff>
      <xdr:row>849</xdr:row>
      <xdr:rowOff>19531</xdr:rowOff>
    </xdr:to>
    <xdr:pic>
      <xdr:nvPicPr>
        <xdr:cNvPr id="59" name="Imagem 58">
          <a:extLst>
            <a:ext uri="{FF2B5EF4-FFF2-40B4-BE49-F238E27FC236}">
              <a16:creationId xmlns:a16="http://schemas.microsoft.com/office/drawing/2014/main" id="{4DFFF014-D568-F108-19C1-573FC2BBE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135785679"/>
          <a:ext cx="5677692" cy="34485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852</xdr:row>
      <xdr:rowOff>0</xdr:rowOff>
    </xdr:from>
    <xdr:to>
      <xdr:col>6</xdr:col>
      <xdr:colOff>312398</xdr:colOff>
      <xdr:row>873</xdr:row>
      <xdr:rowOff>67163</xdr:rowOff>
    </xdr:to>
    <xdr:pic>
      <xdr:nvPicPr>
        <xdr:cNvPr id="60" name="Imagem 59">
          <a:extLst>
            <a:ext uri="{FF2B5EF4-FFF2-40B4-BE49-F238E27FC236}">
              <a16:creationId xmlns:a16="http://schemas.microsoft.com/office/drawing/2014/main" id="{C27C3317-6211-FB32-E241-60CE4BBA6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139704536"/>
          <a:ext cx="5687219" cy="34961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875</xdr:row>
      <xdr:rowOff>0</xdr:rowOff>
    </xdr:from>
    <xdr:to>
      <xdr:col>6</xdr:col>
      <xdr:colOff>236187</xdr:colOff>
      <xdr:row>899</xdr:row>
      <xdr:rowOff>53622</xdr:rowOff>
    </xdr:to>
    <xdr:pic>
      <xdr:nvPicPr>
        <xdr:cNvPr id="61" name="Imagem 60">
          <a:extLst>
            <a:ext uri="{FF2B5EF4-FFF2-40B4-BE49-F238E27FC236}">
              <a16:creationId xmlns:a16="http://schemas.microsoft.com/office/drawing/2014/main" id="{4A128CD0-6873-B322-DCF6-F6307EA43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143460107"/>
          <a:ext cx="5611008" cy="39724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901</xdr:row>
      <xdr:rowOff>0</xdr:rowOff>
    </xdr:from>
    <xdr:to>
      <xdr:col>6</xdr:col>
      <xdr:colOff>245713</xdr:colOff>
      <xdr:row>925</xdr:row>
      <xdr:rowOff>15517</xdr:rowOff>
    </xdr:to>
    <xdr:pic>
      <xdr:nvPicPr>
        <xdr:cNvPr id="62" name="Imagem 61">
          <a:extLst>
            <a:ext uri="{FF2B5EF4-FFF2-40B4-BE49-F238E27FC236}">
              <a16:creationId xmlns:a16="http://schemas.microsoft.com/office/drawing/2014/main" id="{BA5D1E3F-C65B-F9C5-AF1A-B4592D318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147705536"/>
          <a:ext cx="5620534" cy="39343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928</xdr:row>
      <xdr:rowOff>0</xdr:rowOff>
    </xdr:from>
    <xdr:to>
      <xdr:col>10</xdr:col>
      <xdr:colOff>82746</xdr:colOff>
      <xdr:row>950</xdr:row>
      <xdr:rowOff>161088</xdr:rowOff>
    </xdr:to>
    <xdr:pic>
      <xdr:nvPicPr>
        <xdr:cNvPr id="64" name="Imagem 63">
          <a:extLst>
            <a:ext uri="{FF2B5EF4-FFF2-40B4-BE49-F238E27FC236}">
              <a16:creationId xmlns:a16="http://schemas.microsoft.com/office/drawing/2014/main" id="{550C513F-A936-80FF-BA91-00D7CD4E3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152114250"/>
          <a:ext cx="7906853" cy="3753374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108857</xdr:colOff>
      <xdr:row>954</xdr:row>
      <xdr:rowOff>68036</xdr:rowOff>
    </xdr:from>
    <xdr:to>
      <xdr:col>6</xdr:col>
      <xdr:colOff>335518</xdr:colOff>
      <xdr:row>978</xdr:row>
      <xdr:rowOff>35921</xdr:rowOff>
    </xdr:to>
    <xdr:pic>
      <xdr:nvPicPr>
        <xdr:cNvPr id="65" name="Imagem 64">
          <a:extLst>
            <a:ext uri="{FF2B5EF4-FFF2-40B4-BE49-F238E27FC236}">
              <a16:creationId xmlns:a16="http://schemas.microsoft.com/office/drawing/2014/main" id="{8D8BB84E-8731-BE93-A2F0-88DA47CC4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08857" y="156427715"/>
          <a:ext cx="5601482" cy="38867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981</xdr:row>
      <xdr:rowOff>0</xdr:rowOff>
    </xdr:from>
    <xdr:to>
      <xdr:col>13</xdr:col>
      <xdr:colOff>227259</xdr:colOff>
      <xdr:row>1004</xdr:row>
      <xdr:rowOff>74013</xdr:rowOff>
    </xdr:to>
    <xdr:pic>
      <xdr:nvPicPr>
        <xdr:cNvPr id="66" name="Imagem 65">
          <a:extLst>
            <a:ext uri="{FF2B5EF4-FFF2-40B4-BE49-F238E27FC236}">
              <a16:creationId xmlns:a16="http://schemas.microsoft.com/office/drawing/2014/main" id="{ABBD2BB2-7E0D-3F9B-C683-B413B89E9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160768393"/>
          <a:ext cx="9888330" cy="3829584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</xdr:colOff>
      <xdr:row>1006</xdr:row>
      <xdr:rowOff>68035</xdr:rowOff>
    </xdr:from>
    <xdr:to>
      <xdr:col>6</xdr:col>
      <xdr:colOff>297426</xdr:colOff>
      <xdr:row>1027</xdr:row>
      <xdr:rowOff>135198</xdr:rowOff>
    </xdr:to>
    <xdr:pic>
      <xdr:nvPicPr>
        <xdr:cNvPr id="67" name="Imagem 66">
          <a:extLst>
            <a:ext uri="{FF2B5EF4-FFF2-40B4-BE49-F238E27FC236}">
              <a16:creationId xmlns:a16="http://schemas.microsoft.com/office/drawing/2014/main" id="{44BD2F68-2B77-F77F-C519-06D86EB34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3607" y="164918571"/>
          <a:ext cx="5658640" cy="34961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1031</xdr:row>
      <xdr:rowOff>0</xdr:rowOff>
    </xdr:from>
    <xdr:to>
      <xdr:col>9</xdr:col>
      <xdr:colOff>504541</xdr:colOff>
      <xdr:row>1058</xdr:row>
      <xdr:rowOff>68661</xdr:rowOff>
    </xdr:to>
    <xdr:pic>
      <xdr:nvPicPr>
        <xdr:cNvPr id="68" name="Imagem 67">
          <a:extLst>
            <a:ext uri="{FF2B5EF4-FFF2-40B4-BE49-F238E27FC236}">
              <a16:creationId xmlns:a16="http://schemas.microsoft.com/office/drawing/2014/main" id="{5B82482A-3B7E-BD43-E3E2-F46218384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168932679"/>
          <a:ext cx="7716327" cy="44773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1060</xdr:row>
      <xdr:rowOff>0</xdr:rowOff>
    </xdr:from>
    <xdr:to>
      <xdr:col>6</xdr:col>
      <xdr:colOff>207608</xdr:colOff>
      <xdr:row>1084</xdr:row>
      <xdr:rowOff>15517</xdr:rowOff>
    </xdr:to>
    <xdr:pic>
      <xdr:nvPicPr>
        <xdr:cNvPr id="69" name="Imagem 68">
          <a:extLst>
            <a:ext uri="{FF2B5EF4-FFF2-40B4-BE49-F238E27FC236}">
              <a16:creationId xmlns:a16="http://schemas.microsoft.com/office/drawing/2014/main" id="{9121E8BF-B6DE-CC12-14E5-67D52B70A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173667964"/>
          <a:ext cx="5582429" cy="39343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1084</xdr:row>
      <xdr:rowOff>122465</xdr:rowOff>
    </xdr:from>
    <xdr:to>
      <xdr:col>6</xdr:col>
      <xdr:colOff>283819</xdr:colOff>
      <xdr:row>1108</xdr:row>
      <xdr:rowOff>71297</xdr:rowOff>
    </xdr:to>
    <xdr:pic>
      <xdr:nvPicPr>
        <xdr:cNvPr id="70" name="Imagem 69">
          <a:extLst>
            <a:ext uri="{FF2B5EF4-FFF2-40B4-BE49-F238E27FC236}">
              <a16:creationId xmlns:a16="http://schemas.microsoft.com/office/drawing/2014/main" id="{1F97CB91-8206-841B-94D7-2683BDFC5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177709286"/>
          <a:ext cx="5658640" cy="38676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1109</xdr:row>
      <xdr:rowOff>0</xdr:rowOff>
    </xdr:from>
    <xdr:to>
      <xdr:col>6</xdr:col>
      <xdr:colOff>217134</xdr:colOff>
      <xdr:row>1136</xdr:row>
      <xdr:rowOff>21028</xdr:rowOff>
    </xdr:to>
    <xdr:pic>
      <xdr:nvPicPr>
        <xdr:cNvPr id="71" name="Imagem 70">
          <a:extLst>
            <a:ext uri="{FF2B5EF4-FFF2-40B4-BE49-F238E27FC236}">
              <a16:creationId xmlns:a16="http://schemas.microsoft.com/office/drawing/2014/main" id="{D8F223E4-43CA-6209-0042-665331050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181668964"/>
          <a:ext cx="5591955" cy="44297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1137</xdr:row>
      <xdr:rowOff>136072</xdr:rowOff>
    </xdr:from>
    <xdr:to>
      <xdr:col>9</xdr:col>
      <xdr:colOff>285435</xdr:colOff>
      <xdr:row>1160</xdr:row>
      <xdr:rowOff>48137</xdr:rowOff>
    </xdr:to>
    <xdr:pic>
      <xdr:nvPicPr>
        <xdr:cNvPr id="73" name="Imagem 72">
          <a:extLst>
            <a:ext uri="{FF2B5EF4-FFF2-40B4-BE49-F238E27FC236}">
              <a16:creationId xmlns:a16="http://schemas.microsoft.com/office/drawing/2014/main" id="{EEDF58EA-0E7C-4300-0688-39C31CB81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186377036"/>
          <a:ext cx="7497221" cy="366763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513360</xdr:colOff>
      <xdr:row>0</xdr:row>
      <xdr:rowOff>0</xdr:rowOff>
    </xdr:from>
    <xdr:to>
      <xdr:col>4</xdr:col>
      <xdr:colOff>73920</xdr:colOff>
      <xdr:row>6</xdr:row>
      <xdr:rowOff>15330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9FE9AE34-771B-49BD-BE4B-A7E645F7C5B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485160" y="0"/>
          <a:ext cx="1389360" cy="9868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433"/>
  <sheetViews>
    <sheetView showGridLines="0" tabSelected="1" topLeftCell="A397" zoomScaleNormal="100" workbookViewId="0">
      <selection activeCell="A255" sqref="A255"/>
    </sheetView>
  </sheetViews>
  <sheetFormatPr defaultRowHeight="15" x14ac:dyDescent="0.2"/>
  <cols>
    <col min="1" max="1" width="44.5703125" style="1" customWidth="1"/>
    <col min="2" max="2" width="16" style="1" customWidth="1"/>
    <col min="3" max="3" width="20.28515625" style="1" customWidth="1"/>
    <col min="4" max="4" width="19.85546875" style="2" bestFit="1" customWidth="1"/>
    <col min="5" max="5" width="17.85546875" style="2" bestFit="1" customWidth="1"/>
    <col min="6" max="6" width="11.5703125" style="2" bestFit="1" customWidth="1"/>
    <col min="7" max="7" width="21.7109375" style="2" customWidth="1"/>
    <col min="8" max="8" width="9.140625" style="1" customWidth="1"/>
    <col min="9" max="9" width="14.5703125" style="1" customWidth="1"/>
    <col min="10" max="10" width="13.42578125" style="1" customWidth="1"/>
    <col min="11" max="1025" width="9.140625" style="1" customWidth="1"/>
  </cols>
  <sheetData>
    <row r="1" spans="1:6" ht="16.5" customHeight="1" x14ac:dyDescent="0.2">
      <c r="B1" s="3"/>
      <c r="C1" s="3"/>
    </row>
    <row r="2" spans="1:6" ht="16.5" customHeight="1" x14ac:dyDescent="0.2">
      <c r="B2" s="3"/>
      <c r="C2" s="3"/>
    </row>
    <row r="3" spans="1:6" ht="16.5" customHeight="1" x14ac:dyDescent="0.2">
      <c r="B3" s="3"/>
      <c r="C3" s="3"/>
    </row>
    <row r="4" spans="1:6" ht="16.5" customHeight="1" x14ac:dyDescent="0.2">
      <c r="B4" s="3"/>
      <c r="C4" s="3"/>
    </row>
    <row r="5" spans="1:6" ht="16.5" customHeight="1" x14ac:dyDescent="0.2">
      <c r="B5" s="3"/>
      <c r="C5" s="3"/>
    </row>
    <row r="6" spans="1:6" ht="16.5" customHeight="1" x14ac:dyDescent="0.2">
      <c r="B6" s="3"/>
      <c r="C6" s="3"/>
    </row>
    <row r="7" spans="1:6" ht="16.5" customHeight="1" x14ac:dyDescent="0.2">
      <c r="A7" s="294" t="s">
        <v>0</v>
      </c>
      <c r="B7" s="294"/>
      <c r="C7" s="294"/>
      <c r="D7" s="294"/>
      <c r="E7" s="294"/>
      <c r="F7" s="294"/>
    </row>
    <row r="8" spans="1:6" ht="16.5" customHeight="1" x14ac:dyDescent="0.2">
      <c r="A8" s="294" t="s">
        <v>1</v>
      </c>
      <c r="B8" s="294"/>
      <c r="C8" s="294"/>
      <c r="D8" s="294"/>
      <c r="E8" s="294"/>
      <c r="F8" s="294"/>
    </row>
    <row r="9" spans="1:6" ht="16.5" customHeight="1" x14ac:dyDescent="0.2">
      <c r="A9" s="294" t="s">
        <v>249</v>
      </c>
      <c r="B9" s="294"/>
      <c r="C9" s="294"/>
      <c r="D9" s="294"/>
      <c r="E9" s="294"/>
      <c r="F9" s="294"/>
    </row>
    <row r="10" spans="1:6" ht="16.5" customHeight="1" x14ac:dyDescent="0.2">
      <c r="B10" s="3"/>
      <c r="C10" s="3"/>
    </row>
    <row r="11" spans="1:6" ht="16.5" customHeight="1" x14ac:dyDescent="0.2">
      <c r="B11" s="3"/>
      <c r="C11" s="3"/>
    </row>
    <row r="12" spans="1:6" ht="21" x14ac:dyDescent="0.2">
      <c r="A12" s="295" t="s">
        <v>281</v>
      </c>
      <c r="B12" s="295"/>
      <c r="C12" s="295"/>
      <c r="D12" s="295"/>
      <c r="E12" s="295"/>
      <c r="F12" s="295"/>
    </row>
    <row r="13" spans="1:6" ht="15.75" x14ac:dyDescent="0.2">
      <c r="A13" s="296" t="s">
        <v>2</v>
      </c>
      <c r="B13" s="296"/>
      <c r="C13" s="296"/>
      <c r="D13" s="296"/>
      <c r="E13" s="296"/>
      <c r="F13" s="296"/>
    </row>
    <row r="14" spans="1:6" x14ac:dyDescent="0.2">
      <c r="A14" s="298" t="s">
        <v>283</v>
      </c>
      <c r="B14" s="299"/>
      <c r="C14" s="299"/>
      <c r="D14" s="299"/>
      <c r="E14" s="299"/>
      <c r="F14" s="300"/>
    </row>
    <row r="15" spans="1:6" x14ac:dyDescent="0.2">
      <c r="A15" s="301"/>
      <c r="B15" s="302"/>
      <c r="C15" s="302"/>
      <c r="D15" s="302"/>
      <c r="E15" s="302"/>
      <c r="F15" s="303"/>
    </row>
    <row r="16" spans="1:6" x14ac:dyDescent="0.2">
      <c r="A16" s="301"/>
      <c r="B16" s="302"/>
      <c r="C16" s="302"/>
      <c r="D16" s="302"/>
      <c r="E16" s="302"/>
      <c r="F16" s="303"/>
    </row>
    <row r="17" spans="1:7" ht="15.75" thickBot="1" x14ac:dyDescent="0.25">
      <c r="A17" s="304"/>
      <c r="B17" s="305"/>
      <c r="C17" s="305"/>
      <c r="D17" s="305"/>
      <c r="E17" s="305"/>
      <c r="F17" s="306"/>
    </row>
    <row r="18" spans="1:7" ht="15.75" customHeight="1" thickBot="1" x14ac:dyDescent="0.25">
      <c r="A18" s="308" t="s">
        <v>3</v>
      </c>
      <c r="B18" s="308"/>
      <c r="C18" s="308"/>
      <c r="D18" s="308"/>
      <c r="E18" s="308"/>
      <c r="F18" s="308"/>
    </row>
    <row r="19" spans="1:7" ht="15.75" customHeight="1" x14ac:dyDescent="0.2">
      <c r="A19" s="5" t="s">
        <v>4</v>
      </c>
      <c r="B19" s="6"/>
      <c r="C19" s="6"/>
      <c r="D19" s="7"/>
      <c r="E19" s="8" t="s">
        <v>5</v>
      </c>
      <c r="F19" s="9" t="s">
        <v>6</v>
      </c>
    </row>
    <row r="20" spans="1:7" s="16" customFormat="1" ht="15.75" customHeight="1" x14ac:dyDescent="0.2">
      <c r="A20" s="10" t="str">
        <f>A60</f>
        <v>1. Mão-de-obra</v>
      </c>
      <c r="B20" s="11"/>
      <c r="C20" s="12"/>
      <c r="D20" s="12"/>
      <c r="E20" s="13">
        <f>+F174</f>
        <v>128485.31</v>
      </c>
      <c r="F20" s="14">
        <f>IFERROR(E20/$E$38,0)</f>
        <v>0.61364158463651697</v>
      </c>
      <c r="G20" s="15"/>
    </row>
    <row r="21" spans="1:7" ht="15.75" customHeight="1" x14ac:dyDescent="0.2">
      <c r="A21" s="17" t="str">
        <f>A62</f>
        <v>1.1. Pedreiro</v>
      </c>
      <c r="B21" s="18"/>
      <c r="C21" s="19"/>
      <c r="D21" s="19"/>
      <c r="E21" s="20">
        <f>F73</f>
        <v>18947.64</v>
      </c>
      <c r="F21" s="21">
        <f>IFERROR(E21/$E$38,0)</f>
        <v>9.0493301021900896E-2</v>
      </c>
    </row>
    <row r="22" spans="1:7" ht="15.75" customHeight="1" x14ac:dyDescent="0.2">
      <c r="A22" s="17" t="str">
        <f>A75</f>
        <v>1.2. Servente de pedreiro</v>
      </c>
      <c r="B22" s="18"/>
      <c r="C22" s="19"/>
      <c r="D22" s="19"/>
      <c r="E22" s="20">
        <f>F84</f>
        <v>19008.12</v>
      </c>
      <c r="F22" s="21">
        <f>IFERROR(E22/$E$38,0)</f>
        <v>9.0782151498572647E-2</v>
      </c>
    </row>
    <row r="23" spans="1:7" ht="15.75" customHeight="1" x14ac:dyDescent="0.2">
      <c r="A23" s="17" t="str">
        <f>A86</f>
        <v>1.3. Auxiliar de Serviços Gerais</v>
      </c>
      <c r="B23" s="18"/>
      <c r="C23" s="19"/>
      <c r="D23" s="19"/>
      <c r="E23" s="20">
        <f>F95</f>
        <v>54231.48</v>
      </c>
      <c r="F23" s="14">
        <f>IFERROR(E23/$E$38,0)</f>
        <v>0.25900775212655502</v>
      </c>
    </row>
    <row r="24" spans="1:7" ht="15.75" customHeight="1" x14ac:dyDescent="0.2">
      <c r="A24" s="17" t="str">
        <f>A46</f>
        <v>1.4. Soldador</v>
      </c>
      <c r="B24" s="18"/>
      <c r="C24" s="19"/>
      <c r="D24" s="19"/>
      <c r="E24" s="20">
        <f>F106</f>
        <v>4803.8062500000005</v>
      </c>
      <c r="F24" s="14">
        <f t="shared" ref="F24:F37" si="0">IFERROR(E24/$E$38,0)</f>
        <v>2.2942819529616302E-2</v>
      </c>
    </row>
    <row r="25" spans="1:7" ht="15.75" customHeight="1" x14ac:dyDescent="0.2">
      <c r="A25" s="17" t="str">
        <f>A47</f>
        <v>1.5. Eletricista</v>
      </c>
      <c r="B25" s="18"/>
      <c r="C25" s="19"/>
      <c r="D25" s="19"/>
      <c r="E25" s="20">
        <f>F117</f>
        <v>4223.0875000000005</v>
      </c>
      <c r="F25" s="21">
        <f t="shared" si="0"/>
        <v>2.0169326015236039E-2</v>
      </c>
    </row>
    <row r="26" spans="1:7" ht="15.75" customHeight="1" x14ac:dyDescent="0.2">
      <c r="A26" s="17" t="str">
        <f>A48</f>
        <v>1.6. Supervisor</v>
      </c>
      <c r="B26" s="18"/>
      <c r="C26" s="19"/>
      <c r="D26" s="19"/>
      <c r="E26" s="20">
        <f>F128</f>
        <v>6025.71</v>
      </c>
      <c r="F26" s="21">
        <f t="shared" si="0"/>
        <v>2.8778591365504015E-2</v>
      </c>
    </row>
    <row r="27" spans="1:7" ht="15.75" customHeight="1" x14ac:dyDescent="0.2">
      <c r="A27" s="17" t="str">
        <f>A130</f>
        <v>1.7. Técnico Segurança do Trabalho</v>
      </c>
      <c r="B27" s="18"/>
      <c r="C27" s="19"/>
      <c r="D27" s="19"/>
      <c r="E27" s="20">
        <f>F135</f>
        <v>491.72</v>
      </c>
      <c r="F27" s="14">
        <f t="shared" si="0"/>
        <v>2.3484384323582842E-3</v>
      </c>
    </row>
    <row r="28" spans="1:7" ht="15.75" customHeight="1" x14ac:dyDescent="0.2">
      <c r="A28" s="17" t="str">
        <f>A50</f>
        <v>1.8. Responsável Técnico (Engenheiro Civil)</v>
      </c>
      <c r="B28" s="18"/>
      <c r="C28" s="19"/>
      <c r="D28" s="19"/>
      <c r="E28" s="20">
        <f>F142</f>
        <v>957.56</v>
      </c>
      <c r="F28" s="14">
        <f t="shared" si="0"/>
        <v>4.5732748419608686E-3</v>
      </c>
    </row>
    <row r="29" spans="1:7" ht="15.75" customHeight="1" x14ac:dyDescent="0.2">
      <c r="A29" s="17" t="str">
        <f>A147</f>
        <v>1.5. Vale Transporte</v>
      </c>
      <c r="B29" s="18"/>
      <c r="C29" s="19"/>
      <c r="D29" s="19"/>
      <c r="E29" s="20">
        <f>F159</f>
        <v>6111.9</v>
      </c>
      <c r="F29" s="21">
        <f t="shared" si="0"/>
        <v>2.9190231950562504E-2</v>
      </c>
    </row>
    <row r="30" spans="1:7" ht="15.75" customHeight="1" x14ac:dyDescent="0.2">
      <c r="A30" s="17" t="str">
        <f>A161</f>
        <v>1.6. Cartão Alimentação</v>
      </c>
      <c r="B30" s="18"/>
      <c r="C30" s="19"/>
      <c r="D30" s="19"/>
      <c r="E30" s="20">
        <f>F171</f>
        <v>19709.999999999996</v>
      </c>
      <c r="F30" s="21">
        <f t="shared" si="0"/>
        <v>9.413430712963021E-2</v>
      </c>
    </row>
    <row r="31" spans="1:7" s="16" customFormat="1" ht="15.75" customHeight="1" x14ac:dyDescent="0.2">
      <c r="A31" s="309" t="str">
        <f>A176</f>
        <v>2. Uniformes e Equipamentos de Proteção Individual</v>
      </c>
      <c r="B31" s="309"/>
      <c r="C31" s="309"/>
      <c r="D31" s="12"/>
      <c r="E31" s="13">
        <f>+F246</f>
        <v>8220.93</v>
      </c>
      <c r="F31" s="14">
        <f t="shared" si="0"/>
        <v>3.9262889371445509E-2</v>
      </c>
      <c r="G31" s="15"/>
    </row>
    <row r="32" spans="1:7" ht="15.75" customHeight="1" x14ac:dyDescent="0.2">
      <c r="A32" s="22" t="str">
        <f>A248</f>
        <v>3. Veículos</v>
      </c>
      <c r="B32" s="23"/>
      <c r="C32" s="12"/>
      <c r="D32" s="12"/>
      <c r="E32" s="13">
        <f>+F363</f>
        <v>12692.66</v>
      </c>
      <c r="F32" s="14">
        <f t="shared" si="0"/>
        <v>6.061972373069368E-2</v>
      </c>
      <c r="G32" s="15"/>
    </row>
    <row r="33" spans="1:7" ht="15.75" customHeight="1" x14ac:dyDescent="0.2">
      <c r="A33" s="24" t="str">
        <f>A250</f>
        <v>3.1. Veículo Tipo Pick-Up 4x2 ou 4x4</v>
      </c>
      <c r="B33" s="25"/>
      <c r="C33" s="19"/>
      <c r="D33" s="19"/>
      <c r="E33" s="20">
        <f>F261</f>
        <v>2582.04</v>
      </c>
      <c r="F33" s="21">
        <f t="shared" si="0"/>
        <v>1.2331737512987846E-2</v>
      </c>
    </row>
    <row r="34" spans="1:7" ht="15.75" hidden="1" customHeight="1" x14ac:dyDescent="0.2">
      <c r="A34" s="24" t="str">
        <f>A306</f>
        <v xml:space="preserve">3.2. </v>
      </c>
      <c r="B34" s="25"/>
      <c r="C34" s="19"/>
      <c r="D34" s="19"/>
      <c r="E34" s="238">
        <f>F317</f>
        <v>0</v>
      </c>
      <c r="F34" s="21">
        <f t="shared" si="0"/>
        <v>0</v>
      </c>
    </row>
    <row r="35" spans="1:7" s="16" customFormat="1" ht="15.75" customHeight="1" x14ac:dyDescent="0.2">
      <c r="A35" s="22" t="str">
        <f>A365</f>
        <v>4. Ferramentas e Materiais de Consumo</v>
      </c>
      <c r="B35" s="23"/>
      <c r="C35" s="12"/>
      <c r="D35" s="12"/>
      <c r="E35" s="13">
        <f>+F402</f>
        <v>10316.049999999999</v>
      </c>
      <c r="F35" s="14">
        <f t="shared" si="0"/>
        <v>4.9269113093080762E-2</v>
      </c>
      <c r="G35" s="15"/>
    </row>
    <row r="36" spans="1:7" s="16" customFormat="1" ht="15.75" customHeight="1" x14ac:dyDescent="0.2">
      <c r="A36" s="22" t="str">
        <f>A406</f>
        <v>5. Reforma dos Banheiros</v>
      </c>
      <c r="B36" s="23"/>
      <c r="C36" s="12"/>
      <c r="D36" s="12"/>
      <c r="E36" s="231">
        <f>F413</f>
        <v>10930.276666666667</v>
      </c>
      <c r="F36" s="14">
        <f t="shared" si="0"/>
        <v>5.2202639307551035E-2</v>
      </c>
      <c r="G36" s="15"/>
    </row>
    <row r="37" spans="1:7" ht="15.75" customHeight="1" x14ac:dyDescent="0.2">
      <c r="A37" s="234" t="str">
        <f>A419</f>
        <v>6. Benefícios e Despesas Indiretas - BDI</v>
      </c>
      <c r="B37" s="235"/>
      <c r="C37" s="236"/>
      <c r="D37" s="236"/>
      <c r="E37" s="231">
        <f>+F424</f>
        <v>38736.46</v>
      </c>
      <c r="F37" s="21">
        <f t="shared" si="0"/>
        <v>0.18500404986071212</v>
      </c>
      <c r="G37" s="15"/>
    </row>
    <row r="38" spans="1:7" ht="15.75" customHeight="1" x14ac:dyDescent="0.2">
      <c r="A38" s="291" t="s">
        <v>229</v>
      </c>
      <c r="B38" s="292"/>
      <c r="C38" s="292"/>
      <c r="D38" s="293"/>
      <c r="E38" s="254">
        <f>SUM(E20+E31+E32+E36+E35+E37)</f>
        <v>209381.68666666665</v>
      </c>
      <c r="F38" s="237">
        <f>F20+F31+F36+F32+F35+F37</f>
        <v>1.0000000000000002</v>
      </c>
    </row>
    <row r="39" spans="1:7" x14ac:dyDescent="0.2">
      <c r="A39" s="310" t="s">
        <v>230</v>
      </c>
      <c r="B39" s="310"/>
      <c r="C39" s="310"/>
      <c r="D39" s="310"/>
      <c r="E39" s="13">
        <f>E38*3</f>
        <v>628145.05999999994</v>
      </c>
      <c r="F39" s="27"/>
    </row>
    <row r="40" spans="1:7" ht="15.75" thickBot="1" x14ac:dyDescent="0.25"/>
    <row r="41" spans="1:7" ht="15" customHeight="1" thickBot="1" x14ac:dyDescent="0.25">
      <c r="A41" s="311" t="s">
        <v>7</v>
      </c>
      <c r="B41" s="311"/>
      <c r="C41" s="311"/>
      <c r="D41" s="311"/>
      <c r="E41" s="311"/>
    </row>
    <row r="42" spans="1:7" ht="15" customHeight="1" x14ac:dyDescent="0.2">
      <c r="A42" s="312" t="s">
        <v>8</v>
      </c>
      <c r="B42" s="312"/>
      <c r="C42" s="312"/>
      <c r="D42" s="312"/>
      <c r="E42" s="29" t="s">
        <v>9</v>
      </c>
    </row>
    <row r="43" spans="1:7" ht="15" customHeight="1" x14ac:dyDescent="0.2">
      <c r="A43" s="30" t="str">
        <f>A21</f>
        <v>1.1. Pedreiro</v>
      </c>
      <c r="B43" s="19"/>
      <c r="C43" s="19"/>
      <c r="D43" s="32"/>
      <c r="E43" s="239">
        <v>3</v>
      </c>
    </row>
    <row r="44" spans="1:7" ht="15" customHeight="1" x14ac:dyDescent="0.2">
      <c r="A44" s="30" t="str">
        <f>A22</f>
        <v>1.2. Servente de pedreiro</v>
      </c>
      <c r="B44" s="33"/>
      <c r="C44" s="33"/>
      <c r="D44" s="34"/>
      <c r="E44" s="239">
        <v>6</v>
      </c>
    </row>
    <row r="45" spans="1:7" ht="15" customHeight="1" x14ac:dyDescent="0.2">
      <c r="A45" s="30" t="str">
        <f>A86</f>
        <v>1.3. Auxiliar de Serviços Gerais</v>
      </c>
      <c r="B45" s="33"/>
      <c r="C45" s="33"/>
      <c r="D45" s="34"/>
      <c r="E45" s="239">
        <v>18</v>
      </c>
    </row>
    <row r="46" spans="1:7" ht="15" customHeight="1" x14ac:dyDescent="0.2">
      <c r="A46" s="30" t="str">
        <f>A97</f>
        <v>1.4. Soldador</v>
      </c>
      <c r="B46" s="33"/>
      <c r="C46" s="33"/>
      <c r="D46" s="34"/>
      <c r="E46" s="239">
        <v>3</v>
      </c>
    </row>
    <row r="47" spans="1:7" ht="15" customHeight="1" x14ac:dyDescent="0.2">
      <c r="A47" s="30" t="str">
        <f>A108</f>
        <v>1.5. Eletricista</v>
      </c>
      <c r="B47" s="33"/>
      <c r="C47" s="33"/>
      <c r="D47" s="34"/>
      <c r="E47" s="239">
        <v>3</v>
      </c>
    </row>
    <row r="48" spans="1:7" ht="15" customHeight="1" x14ac:dyDescent="0.2">
      <c r="A48" s="30" t="str">
        <f>A119</f>
        <v>1.6. Supervisor</v>
      </c>
      <c r="B48" s="33"/>
      <c r="C48" s="33"/>
      <c r="D48" s="34"/>
      <c r="E48" s="239">
        <v>1</v>
      </c>
    </row>
    <row r="49" spans="1:8" ht="15" customHeight="1" x14ac:dyDescent="0.2">
      <c r="A49" s="30" t="str">
        <f>A27</f>
        <v>1.7. Técnico Segurança do Trabalho</v>
      </c>
      <c r="B49" s="19"/>
      <c r="C49" s="19"/>
      <c r="D49" s="32"/>
      <c r="E49" s="239">
        <v>1</v>
      </c>
    </row>
    <row r="50" spans="1:8" ht="15" customHeight="1" x14ac:dyDescent="0.2">
      <c r="A50" s="30" t="str">
        <f>A137</f>
        <v>1.8. Responsável Técnico (Engenheiro Civil)</v>
      </c>
      <c r="B50" s="33"/>
      <c r="C50" s="33"/>
      <c r="D50" s="34"/>
      <c r="E50" s="239">
        <v>1</v>
      </c>
    </row>
    <row r="51" spans="1:8" ht="15" customHeight="1" x14ac:dyDescent="0.2">
      <c r="A51" s="30" t="s">
        <v>10</v>
      </c>
      <c r="B51" s="33"/>
      <c r="C51" s="33"/>
      <c r="D51" s="34"/>
      <c r="E51" s="240">
        <f>SUM(E43:E50)</f>
        <v>36</v>
      </c>
    </row>
    <row r="52" spans="1:8" ht="15" customHeight="1" thickBot="1" x14ac:dyDescent="0.25">
      <c r="A52" s="35"/>
      <c r="B52" s="36"/>
      <c r="C52" s="2"/>
      <c r="E52" s="4"/>
    </row>
    <row r="53" spans="1:8" ht="15" customHeight="1" x14ac:dyDescent="0.2">
      <c r="A53" s="297" t="s">
        <v>11</v>
      </c>
      <c r="B53" s="297"/>
      <c r="C53" s="297"/>
      <c r="D53" s="297"/>
      <c r="E53" s="37" t="s">
        <v>9</v>
      </c>
      <c r="F53" s="1"/>
    </row>
    <row r="54" spans="1:8" ht="15" customHeight="1" x14ac:dyDescent="0.2">
      <c r="A54" s="241" t="str">
        <f>+A250</f>
        <v>3.1. Veículo Tipo Pick-Up 4x2 ou 4x4</v>
      </c>
      <c r="B54" s="31"/>
      <c r="C54" s="31"/>
      <c r="D54" s="242"/>
      <c r="E54" s="243">
        <v>2</v>
      </c>
      <c r="F54" s="1"/>
    </row>
    <row r="55" spans="1:8" ht="15" hidden="1" customHeight="1" x14ac:dyDescent="0.2">
      <c r="A55" s="30" t="str">
        <f>A306</f>
        <v xml:space="preserve">3.2. </v>
      </c>
      <c r="B55" s="19"/>
      <c r="C55" s="19"/>
      <c r="D55" s="32"/>
      <c r="E55" s="239">
        <v>0</v>
      </c>
      <c r="F55" s="1"/>
    </row>
    <row r="56" spans="1:8" s="1" customFormat="1" ht="15" customHeight="1" x14ac:dyDescent="0.2">
      <c r="A56" s="2"/>
      <c r="B56" s="2"/>
      <c r="C56" s="2"/>
      <c r="E56" s="38"/>
      <c r="G56" s="2"/>
    </row>
    <row r="57" spans="1:8" s="1" customFormat="1" ht="15.75" thickBot="1" x14ac:dyDescent="0.25">
      <c r="A57" s="2"/>
      <c r="B57" s="2"/>
      <c r="C57" s="2"/>
      <c r="E57" s="39"/>
      <c r="G57" s="2"/>
    </row>
    <row r="58" spans="1:8" s="16" customFormat="1" ht="15.75" customHeight="1" thickBot="1" x14ac:dyDescent="0.25">
      <c r="A58" s="40" t="s">
        <v>12</v>
      </c>
      <c r="B58" s="41">
        <v>1</v>
      </c>
      <c r="C58" s="15"/>
      <c r="E58" s="42"/>
      <c r="G58" s="15"/>
    </row>
    <row r="59" spans="1:8" s="1" customFormat="1" ht="15.75" customHeight="1" x14ac:dyDescent="0.2">
      <c r="A59" s="2"/>
      <c r="B59" s="2"/>
      <c r="C59" s="2"/>
      <c r="E59" s="39"/>
      <c r="G59" s="2"/>
    </row>
    <row r="60" spans="1:8" ht="13.15" customHeight="1" x14ac:dyDescent="0.2">
      <c r="A60" s="16" t="s">
        <v>13</v>
      </c>
    </row>
    <row r="61" spans="1:8" ht="11.25" customHeight="1" x14ac:dyDescent="0.2"/>
    <row r="62" spans="1:8" ht="13.9" customHeight="1" thickBot="1" x14ac:dyDescent="0.25">
      <c r="A62" s="1" t="s">
        <v>251</v>
      </c>
    </row>
    <row r="63" spans="1:8" ht="13.9" customHeight="1" thickBot="1" x14ac:dyDescent="0.25">
      <c r="A63" s="43" t="s">
        <v>14</v>
      </c>
      <c r="B63" s="44" t="s">
        <v>15</v>
      </c>
      <c r="C63" s="44" t="s">
        <v>9</v>
      </c>
      <c r="D63" s="45" t="s">
        <v>16</v>
      </c>
      <c r="E63" s="45" t="s">
        <v>17</v>
      </c>
      <c r="F63" s="46" t="s">
        <v>18</v>
      </c>
    </row>
    <row r="64" spans="1:8" x14ac:dyDescent="0.25">
      <c r="A64" s="47" t="s">
        <v>19</v>
      </c>
      <c r="B64" s="48" t="s">
        <v>20</v>
      </c>
      <c r="C64" s="48">
        <v>1</v>
      </c>
      <c r="D64" s="49">
        <v>3701.79</v>
      </c>
      <c r="E64" s="50">
        <f>TRUNC(C64*D64,2)</f>
        <v>3701.79</v>
      </c>
      <c r="G64" s="51"/>
      <c r="H64" s="1" t="s">
        <v>252</v>
      </c>
    </row>
    <row r="65" spans="1:8" x14ac:dyDescent="0.2">
      <c r="A65" s="27" t="s">
        <v>21</v>
      </c>
      <c r="B65" s="52" t="s">
        <v>22</v>
      </c>
      <c r="C65" s="53">
        <v>0</v>
      </c>
      <c r="D65" s="54">
        <f>D64/220*2</f>
        <v>33.652636363636361</v>
      </c>
      <c r="E65" s="54">
        <f>TRUNC(C65*D65,2)</f>
        <v>0</v>
      </c>
    </row>
    <row r="66" spans="1:8" ht="13.15" customHeight="1" x14ac:dyDescent="0.2">
      <c r="A66" s="27" t="s">
        <v>23</v>
      </c>
      <c r="B66" s="52" t="s">
        <v>22</v>
      </c>
      <c r="C66" s="53"/>
      <c r="D66" s="54">
        <f>D64/220*1.5</f>
        <v>25.239477272727271</v>
      </c>
      <c r="E66" s="54">
        <f>C66*D66</f>
        <v>0</v>
      </c>
    </row>
    <row r="67" spans="1:8" ht="13.15" customHeight="1" x14ac:dyDescent="0.2">
      <c r="A67" s="27" t="s">
        <v>24</v>
      </c>
      <c r="B67" s="52" t="s">
        <v>25</v>
      </c>
      <c r="C67" s="1">
        <v>1.53</v>
      </c>
      <c r="D67" s="54">
        <f>63/302*(SUM(E65))</f>
        <v>0</v>
      </c>
      <c r="E67" s="54">
        <f>D67*C67</f>
        <v>0</v>
      </c>
    </row>
    <row r="68" spans="1:8" x14ac:dyDescent="0.2">
      <c r="A68" s="27" t="s">
        <v>26</v>
      </c>
      <c r="B68" s="52" t="s">
        <v>6</v>
      </c>
      <c r="C68" s="55">
        <v>0</v>
      </c>
      <c r="D68" s="54">
        <f>D64</f>
        <v>3701.79</v>
      </c>
      <c r="E68" s="54">
        <f>TRUNC(C68*D68/100,2)</f>
        <v>0</v>
      </c>
    </row>
    <row r="69" spans="1:8" x14ac:dyDescent="0.2">
      <c r="A69" s="56" t="s">
        <v>27</v>
      </c>
      <c r="B69" s="57"/>
      <c r="C69" s="57"/>
      <c r="D69" s="58"/>
      <c r="E69" s="59">
        <f>TRUNC(SUM(E64:E68),2)</f>
        <v>3701.79</v>
      </c>
    </row>
    <row r="70" spans="1:8" x14ac:dyDescent="0.2">
      <c r="A70" s="27" t="s">
        <v>28</v>
      </c>
      <c r="B70" s="52" t="s">
        <v>6</v>
      </c>
      <c r="C70" s="60">
        <f>'3.Encargos Sociais'!$C$35*100</f>
        <v>70.616959999999992</v>
      </c>
      <c r="D70" s="54">
        <f>E69</f>
        <v>3701.79</v>
      </c>
      <c r="E70" s="54">
        <f>TRUNC(D70*C70/100,2)</f>
        <v>2614.09</v>
      </c>
    </row>
    <row r="71" spans="1:8" x14ac:dyDescent="0.2">
      <c r="A71" s="56" t="s">
        <v>339</v>
      </c>
      <c r="B71" s="57"/>
      <c r="C71" s="57"/>
      <c r="D71" s="58"/>
      <c r="E71" s="59">
        <f>TRUNC(E69+E70,2)</f>
        <v>6315.88</v>
      </c>
    </row>
    <row r="72" spans="1:8" ht="15.75" thickBot="1" x14ac:dyDescent="0.25">
      <c r="A72" s="27" t="s">
        <v>29</v>
      </c>
      <c r="B72" s="52" t="s">
        <v>30</v>
      </c>
      <c r="C72" s="61">
        <f>E43</f>
        <v>3</v>
      </c>
      <c r="D72" s="54">
        <f>E71</f>
        <v>6315.88</v>
      </c>
      <c r="E72" s="54">
        <f>TRUNC(C72*D72,2)</f>
        <v>18947.64</v>
      </c>
    </row>
    <row r="73" spans="1:8" ht="13.9" customHeight="1" thickBot="1" x14ac:dyDescent="0.25">
      <c r="D73" s="62" t="s">
        <v>31</v>
      </c>
      <c r="E73" s="63">
        <f>$B$58</f>
        <v>1</v>
      </c>
      <c r="F73" s="64">
        <f>TRUNC(E72*E73,2)</f>
        <v>18947.64</v>
      </c>
    </row>
    <row r="74" spans="1:8" ht="11.25" customHeight="1" x14ac:dyDescent="0.2"/>
    <row r="75" spans="1:8" ht="15.75" thickBot="1" x14ac:dyDescent="0.25">
      <c r="A75" s="1" t="s">
        <v>278</v>
      </c>
    </row>
    <row r="76" spans="1:8" ht="13.15" customHeight="1" thickBot="1" x14ac:dyDescent="0.25">
      <c r="A76" s="43" t="s">
        <v>14</v>
      </c>
      <c r="B76" s="44" t="s">
        <v>15</v>
      </c>
      <c r="C76" s="44" t="s">
        <v>9</v>
      </c>
      <c r="D76" s="45" t="s">
        <v>16</v>
      </c>
      <c r="E76" s="45" t="s">
        <v>17</v>
      </c>
      <c r="F76" s="46" t="s">
        <v>18</v>
      </c>
    </row>
    <row r="77" spans="1:8" x14ac:dyDescent="0.25">
      <c r="A77" s="47" t="s">
        <v>32</v>
      </c>
      <c r="B77" s="48" t="s">
        <v>20</v>
      </c>
      <c r="C77" s="65">
        <v>1</v>
      </c>
      <c r="D77" s="49">
        <v>1856.8</v>
      </c>
      <c r="E77" s="66">
        <f>ROUND(D77*C77,2)</f>
        <v>1856.8</v>
      </c>
      <c r="G77" s="51"/>
      <c r="H77" s="1" t="s">
        <v>255</v>
      </c>
    </row>
    <row r="78" spans="1:8" x14ac:dyDescent="0.2">
      <c r="A78" s="47" t="s">
        <v>21</v>
      </c>
      <c r="B78" s="48" t="s">
        <v>22</v>
      </c>
      <c r="C78" s="67">
        <v>0</v>
      </c>
      <c r="D78" s="66">
        <v>25.6026363636364</v>
      </c>
      <c r="E78" s="66">
        <f>ROUND(D78*C78,2)</f>
        <v>0</v>
      </c>
    </row>
    <row r="79" spans="1:8" x14ac:dyDescent="0.2">
      <c r="A79" s="27" t="s">
        <v>26</v>
      </c>
      <c r="B79" s="52" t="s">
        <v>6</v>
      </c>
      <c r="C79" s="53">
        <v>0</v>
      </c>
      <c r="D79" s="68">
        <v>1412</v>
      </c>
      <c r="E79" s="66">
        <f>ROUND(C79/100*D79,2)</f>
        <v>0</v>
      </c>
    </row>
    <row r="80" spans="1:8" x14ac:dyDescent="0.2">
      <c r="A80" s="27" t="s">
        <v>27</v>
      </c>
      <c r="B80" s="52"/>
      <c r="C80" s="69"/>
      <c r="D80" s="68"/>
      <c r="E80" s="66">
        <f>SUM(E77:E79)</f>
        <v>1856.8</v>
      </c>
    </row>
    <row r="81" spans="1:8" ht="13.15" customHeight="1" x14ac:dyDescent="0.2">
      <c r="A81" s="27" t="s">
        <v>28</v>
      </c>
      <c r="B81" s="52" t="s">
        <v>6</v>
      </c>
      <c r="C81" s="246">
        <f>C70</f>
        <v>70.616959999999992</v>
      </c>
      <c r="D81" s="68">
        <f>D77</f>
        <v>1856.8</v>
      </c>
      <c r="E81" s="66">
        <f>ROUND(C81/100*D81,2)</f>
        <v>1311.22</v>
      </c>
    </row>
    <row r="82" spans="1:8" x14ac:dyDescent="0.2">
      <c r="A82" s="27" t="s">
        <v>341</v>
      </c>
      <c r="B82" s="52"/>
      <c r="C82" s="70"/>
      <c r="D82" s="68"/>
      <c r="E82" s="66">
        <f>E80+E81</f>
        <v>3168.02</v>
      </c>
    </row>
    <row r="83" spans="1:8" ht="15.75" thickBot="1" x14ac:dyDescent="0.25">
      <c r="A83" s="27" t="s">
        <v>29</v>
      </c>
      <c r="B83" s="52" t="s">
        <v>30</v>
      </c>
      <c r="C83" s="70">
        <f>E44</f>
        <v>6</v>
      </c>
      <c r="D83" s="68">
        <f>E82</f>
        <v>3168.02</v>
      </c>
      <c r="E83" s="66">
        <f>ROUND(D83*C83,2)</f>
        <v>19008.12</v>
      </c>
    </row>
    <row r="84" spans="1:8" ht="15.75" thickBot="1" x14ac:dyDescent="0.25">
      <c r="D84" s="62" t="s">
        <v>31</v>
      </c>
      <c r="E84" s="63">
        <f>$B$58</f>
        <v>1</v>
      </c>
      <c r="F84" s="64">
        <f>E83*E84</f>
        <v>19008.12</v>
      </c>
    </row>
    <row r="85" spans="1:8" x14ac:dyDescent="0.2">
      <c r="D85" s="62"/>
      <c r="F85" s="58"/>
    </row>
    <row r="86" spans="1:8" ht="15.75" thickBot="1" x14ac:dyDescent="0.25">
      <c r="A86" s="1" t="s">
        <v>276</v>
      </c>
    </row>
    <row r="87" spans="1:8" ht="15.75" thickBot="1" x14ac:dyDescent="0.25">
      <c r="A87" s="43" t="s">
        <v>14</v>
      </c>
      <c r="B87" s="44" t="s">
        <v>15</v>
      </c>
      <c r="C87" s="44" t="s">
        <v>9</v>
      </c>
      <c r="D87" s="45" t="s">
        <v>16</v>
      </c>
      <c r="E87" s="45" t="s">
        <v>17</v>
      </c>
      <c r="F87" s="46" t="s">
        <v>18</v>
      </c>
    </row>
    <row r="88" spans="1:8" x14ac:dyDescent="0.2">
      <c r="A88" s="47" t="s">
        <v>32</v>
      </c>
      <c r="B88" s="48" t="s">
        <v>20</v>
      </c>
      <c r="C88" s="65">
        <v>1</v>
      </c>
      <c r="D88" s="49">
        <v>1765.86</v>
      </c>
      <c r="E88" s="66">
        <f>ROUND(D88*C88,2)</f>
        <v>1765.86</v>
      </c>
      <c r="H88" s="1" t="s">
        <v>277</v>
      </c>
    </row>
    <row r="89" spans="1:8" x14ac:dyDescent="0.2">
      <c r="A89" s="47" t="s">
        <v>21</v>
      </c>
      <c r="B89" s="48" t="s">
        <v>22</v>
      </c>
      <c r="C89" s="67">
        <v>0</v>
      </c>
      <c r="D89" s="66">
        <v>25.6026363636364</v>
      </c>
      <c r="E89" s="66">
        <f>ROUND(D89*C89,2)</f>
        <v>0</v>
      </c>
    </row>
    <row r="90" spans="1:8" x14ac:dyDescent="0.2">
      <c r="A90" s="27" t="s">
        <v>26</v>
      </c>
      <c r="B90" s="52" t="s">
        <v>6</v>
      </c>
      <c r="C90" s="53">
        <v>0</v>
      </c>
      <c r="D90" s="68">
        <v>1412</v>
      </c>
      <c r="E90" s="66">
        <f>ROUND(C90/100*D90,2)</f>
        <v>0</v>
      </c>
    </row>
    <row r="91" spans="1:8" x14ac:dyDescent="0.2">
      <c r="A91" s="27" t="s">
        <v>27</v>
      </c>
      <c r="B91" s="52"/>
      <c r="C91" s="69"/>
      <c r="D91" s="68"/>
      <c r="E91" s="66">
        <f>SUM(E88:E90)</f>
        <v>1765.86</v>
      </c>
    </row>
    <row r="92" spans="1:8" x14ac:dyDescent="0.2">
      <c r="A92" s="27" t="s">
        <v>28</v>
      </c>
      <c r="B92" s="52" t="s">
        <v>6</v>
      </c>
      <c r="C92" s="246">
        <f>C81</f>
        <v>70.616959999999992</v>
      </c>
      <c r="D92" s="68">
        <f>D88</f>
        <v>1765.86</v>
      </c>
      <c r="E92" s="66">
        <f>ROUND(C92/100*D92,2)</f>
        <v>1247</v>
      </c>
    </row>
    <row r="93" spans="1:8" x14ac:dyDescent="0.2">
      <c r="A93" s="27" t="s">
        <v>342</v>
      </c>
      <c r="B93" s="52"/>
      <c r="C93" s="70"/>
      <c r="D93" s="68"/>
      <c r="E93" s="66">
        <f>E91+E92</f>
        <v>3012.8599999999997</v>
      </c>
    </row>
    <row r="94" spans="1:8" ht="15.75" thickBot="1" x14ac:dyDescent="0.25">
      <c r="A94" s="27" t="s">
        <v>29</v>
      </c>
      <c r="B94" s="52" t="s">
        <v>30</v>
      </c>
      <c r="C94" s="70">
        <f>E45</f>
        <v>18</v>
      </c>
      <c r="D94" s="68">
        <f>E93</f>
        <v>3012.8599999999997</v>
      </c>
      <c r="E94" s="66">
        <f>ROUND(D94*C94,2)</f>
        <v>54231.48</v>
      </c>
    </row>
    <row r="95" spans="1:8" ht="11.25" customHeight="1" thickBot="1" x14ac:dyDescent="0.25">
      <c r="D95" s="62" t="s">
        <v>31</v>
      </c>
      <c r="E95" s="63">
        <f>$B$58</f>
        <v>1</v>
      </c>
      <c r="F95" s="64">
        <f>E94*E95</f>
        <v>54231.48</v>
      </c>
    </row>
    <row r="96" spans="1:8" ht="11.25" customHeight="1" x14ac:dyDescent="0.2">
      <c r="D96" s="62"/>
      <c r="F96" s="58"/>
    </row>
    <row r="97" spans="1:8" ht="11.25" customHeight="1" thickBot="1" x14ac:dyDescent="0.25">
      <c r="A97" s="1" t="s">
        <v>300</v>
      </c>
    </row>
    <row r="98" spans="1:8" ht="11.25" customHeight="1" thickBot="1" x14ac:dyDescent="0.25">
      <c r="A98" s="43" t="s">
        <v>14</v>
      </c>
      <c r="B98" s="44" t="s">
        <v>15</v>
      </c>
      <c r="C98" s="44" t="s">
        <v>9</v>
      </c>
      <c r="D98" s="45" t="s">
        <v>16</v>
      </c>
      <c r="E98" s="45" t="s">
        <v>17</v>
      </c>
      <c r="F98" s="46" t="s">
        <v>18</v>
      </c>
      <c r="H98" s="1" t="s">
        <v>306</v>
      </c>
    </row>
    <row r="99" spans="1:8" ht="11.25" customHeight="1" x14ac:dyDescent="0.2">
      <c r="A99" s="47" t="s">
        <v>32</v>
      </c>
      <c r="B99" s="48" t="s">
        <v>20</v>
      </c>
      <c r="C99" s="65">
        <v>1</v>
      </c>
      <c r="D99" s="49">
        <v>4504.88</v>
      </c>
      <c r="E99" s="66">
        <f>ROUND(D99*C99,2)</f>
        <v>4504.88</v>
      </c>
    </row>
    <row r="100" spans="1:8" ht="11.25" customHeight="1" x14ac:dyDescent="0.2">
      <c r="A100" s="47" t="s">
        <v>21</v>
      </c>
      <c r="B100" s="48" t="s">
        <v>22</v>
      </c>
      <c r="C100" s="67">
        <v>0</v>
      </c>
      <c r="D100" s="66">
        <v>25.6026363636364</v>
      </c>
      <c r="E100" s="66">
        <f>ROUND(D100*C100,2)</f>
        <v>0</v>
      </c>
    </row>
    <row r="101" spans="1:8" ht="11.25" customHeight="1" x14ac:dyDescent="0.2">
      <c r="A101" s="27" t="s">
        <v>26</v>
      </c>
      <c r="B101" s="52" t="s">
        <v>6</v>
      </c>
      <c r="C101" s="53">
        <v>0</v>
      </c>
      <c r="D101" s="68">
        <v>1412</v>
      </c>
      <c r="E101" s="66">
        <f>ROUND(C101/100*D101,2)</f>
        <v>0</v>
      </c>
    </row>
    <row r="102" spans="1:8" ht="11.25" customHeight="1" x14ac:dyDescent="0.2">
      <c r="A102" s="27" t="s">
        <v>27</v>
      </c>
      <c r="B102" s="52"/>
      <c r="C102" s="69"/>
      <c r="D102" s="68"/>
      <c r="E102" s="66">
        <f>SUM(E99:E101)</f>
        <v>4504.88</v>
      </c>
    </row>
    <row r="103" spans="1:8" ht="11.25" customHeight="1" x14ac:dyDescent="0.2">
      <c r="A103" s="27" t="s">
        <v>28</v>
      </c>
      <c r="B103" s="52" t="s">
        <v>6</v>
      </c>
      <c r="C103" s="246">
        <f>C92</f>
        <v>70.616959999999992</v>
      </c>
      <c r="D103" s="68">
        <f>D99</f>
        <v>4504.88</v>
      </c>
      <c r="E103" s="66">
        <f>ROUND(C103/100*D103,2)</f>
        <v>3181.21</v>
      </c>
    </row>
    <row r="104" spans="1:8" ht="11.25" customHeight="1" x14ac:dyDescent="0.2">
      <c r="A104" s="27" t="s">
        <v>343</v>
      </c>
      <c r="B104" s="52"/>
      <c r="C104" s="70"/>
      <c r="D104" s="68"/>
      <c r="E104" s="66">
        <f>E102+E103</f>
        <v>7686.09</v>
      </c>
    </row>
    <row r="105" spans="1:8" ht="11.25" customHeight="1" thickBot="1" x14ac:dyDescent="0.25">
      <c r="A105" s="27" t="s">
        <v>29</v>
      </c>
      <c r="B105" s="52" t="s">
        <v>30</v>
      </c>
      <c r="C105" s="70">
        <f>E46</f>
        <v>3</v>
      </c>
      <c r="D105" s="68">
        <f>E104</f>
        <v>7686.09</v>
      </c>
      <c r="E105" s="66">
        <f>ROUND(D105*C105,2)</f>
        <v>23058.27</v>
      </c>
    </row>
    <row r="106" spans="1:8" ht="11.25" customHeight="1" thickBot="1" x14ac:dyDescent="0.25">
      <c r="A106" s="282" t="s">
        <v>308</v>
      </c>
      <c r="D106" s="62" t="s">
        <v>31</v>
      </c>
      <c r="E106" s="63">
        <f>10/(6*8)</f>
        <v>0.20833333333333334</v>
      </c>
      <c r="F106" s="64">
        <f>E105*E106</f>
        <v>4803.8062500000005</v>
      </c>
    </row>
    <row r="107" spans="1:8" ht="11.25" customHeight="1" x14ac:dyDescent="0.2">
      <c r="A107" s="1" t="s">
        <v>301</v>
      </c>
      <c r="D107" s="62"/>
      <c r="F107" s="58"/>
    </row>
    <row r="108" spans="1:8" ht="14.25" customHeight="1" thickBot="1" x14ac:dyDescent="0.25">
      <c r="A108" s="1" t="s">
        <v>302</v>
      </c>
    </row>
    <row r="109" spans="1:8" ht="11.25" customHeight="1" thickBot="1" x14ac:dyDescent="0.25">
      <c r="A109" s="43" t="s">
        <v>14</v>
      </c>
      <c r="B109" s="44" t="s">
        <v>15</v>
      </c>
      <c r="C109" s="44" t="s">
        <v>9</v>
      </c>
      <c r="D109" s="45" t="s">
        <v>16</v>
      </c>
      <c r="E109" s="45" t="s">
        <v>17</v>
      </c>
      <c r="F109" s="46" t="s">
        <v>18</v>
      </c>
    </row>
    <row r="110" spans="1:8" ht="11.25" customHeight="1" x14ac:dyDescent="0.2">
      <c r="A110" s="47" t="s">
        <v>32</v>
      </c>
      <c r="B110" s="48" t="s">
        <v>20</v>
      </c>
      <c r="C110" s="65">
        <v>1</v>
      </c>
      <c r="D110" s="49">
        <v>3960.3</v>
      </c>
      <c r="E110" s="66">
        <f>ROUND(D110*C110,2)</f>
        <v>3960.3</v>
      </c>
      <c r="H110" s="1" t="s">
        <v>307</v>
      </c>
    </row>
    <row r="111" spans="1:8" ht="11.25" customHeight="1" x14ac:dyDescent="0.2">
      <c r="A111" s="47" t="s">
        <v>21</v>
      </c>
      <c r="B111" s="48" t="s">
        <v>22</v>
      </c>
      <c r="C111" s="67">
        <v>0</v>
      </c>
      <c r="D111" s="66">
        <v>25.6026363636364</v>
      </c>
      <c r="E111" s="66">
        <f>ROUND(D111*C111,2)</f>
        <v>0</v>
      </c>
    </row>
    <row r="112" spans="1:8" ht="11.25" customHeight="1" x14ac:dyDescent="0.2">
      <c r="A112" s="27" t="s">
        <v>26</v>
      </c>
      <c r="B112" s="52" t="s">
        <v>6</v>
      </c>
      <c r="C112" s="53">
        <v>0</v>
      </c>
      <c r="D112" s="68">
        <v>1412</v>
      </c>
      <c r="E112" s="66">
        <f>ROUND(C112/100*D112,2)</f>
        <v>0</v>
      </c>
    </row>
    <row r="113" spans="1:8 1025:1025" ht="11.25" customHeight="1" x14ac:dyDescent="0.2">
      <c r="A113" s="27" t="s">
        <v>27</v>
      </c>
      <c r="B113" s="52"/>
      <c r="C113" s="69"/>
      <c r="D113" s="68"/>
      <c r="E113" s="66">
        <f>SUM(E110:E112)</f>
        <v>3960.3</v>
      </c>
    </row>
    <row r="114" spans="1:8 1025:1025" ht="11.25" customHeight="1" x14ac:dyDescent="0.2">
      <c r="A114" s="27" t="s">
        <v>28</v>
      </c>
      <c r="B114" s="52" t="s">
        <v>6</v>
      </c>
      <c r="C114" s="246">
        <f>C103</f>
        <v>70.616959999999992</v>
      </c>
      <c r="D114" s="68">
        <f>D110</f>
        <v>3960.3</v>
      </c>
      <c r="E114" s="66">
        <f>ROUND(C114/100*D114,2)</f>
        <v>2796.64</v>
      </c>
    </row>
    <row r="115" spans="1:8 1025:1025" ht="11.25" customHeight="1" x14ac:dyDescent="0.2">
      <c r="A115" s="27" t="s">
        <v>344</v>
      </c>
      <c r="B115" s="52"/>
      <c r="C115" s="70"/>
      <c r="D115" s="68"/>
      <c r="E115" s="66">
        <f>E113+E114</f>
        <v>6756.9400000000005</v>
      </c>
    </row>
    <row r="116" spans="1:8 1025:1025" ht="11.25" customHeight="1" thickBot="1" x14ac:dyDescent="0.25">
      <c r="A116" s="27" t="s">
        <v>29</v>
      </c>
      <c r="B116" s="52" t="s">
        <v>30</v>
      </c>
      <c r="C116" s="70">
        <f>E47</f>
        <v>3</v>
      </c>
      <c r="D116" s="68">
        <f>E115</f>
        <v>6756.9400000000005</v>
      </c>
      <c r="E116" s="66">
        <f>ROUND(D116*C116,2)</f>
        <v>20270.82</v>
      </c>
    </row>
    <row r="117" spans="1:8 1025:1025" ht="11.25" customHeight="1" thickBot="1" x14ac:dyDescent="0.25">
      <c r="A117" s="282" t="s">
        <v>308</v>
      </c>
      <c r="D117" s="62" t="s">
        <v>31</v>
      </c>
      <c r="E117" s="63">
        <f>10/(6*8)</f>
        <v>0.20833333333333334</v>
      </c>
      <c r="F117" s="64">
        <f>E116*E117</f>
        <v>4223.0875000000005</v>
      </c>
    </row>
    <row r="118" spans="1:8 1025:1025" ht="11.25" customHeight="1" x14ac:dyDescent="0.2">
      <c r="D118" s="62"/>
      <c r="F118" s="58"/>
    </row>
    <row r="119" spans="1:8 1025:1025" ht="11.25" customHeight="1" thickBot="1" x14ac:dyDescent="0.25">
      <c r="A119" s="1" t="s">
        <v>303</v>
      </c>
      <c r="G119" s="1"/>
      <c r="AMK119"/>
    </row>
    <row r="120" spans="1:8 1025:1025" ht="11.25" customHeight="1" thickBot="1" x14ac:dyDescent="0.25">
      <c r="A120" s="43" t="s">
        <v>14</v>
      </c>
      <c r="B120" s="44" t="s">
        <v>15</v>
      </c>
      <c r="C120" s="44" t="s">
        <v>9</v>
      </c>
      <c r="D120" s="45" t="s">
        <v>16</v>
      </c>
      <c r="E120" s="45" t="s">
        <v>17</v>
      </c>
      <c r="F120" s="46" t="s">
        <v>18</v>
      </c>
      <c r="G120" s="1"/>
      <c r="AMK120"/>
    </row>
    <row r="121" spans="1:8 1025:1025" ht="11.25" customHeight="1" x14ac:dyDescent="0.2">
      <c r="A121" s="47" t="s">
        <v>32</v>
      </c>
      <c r="B121" s="48" t="s">
        <v>20</v>
      </c>
      <c r="C121" s="65">
        <v>1</v>
      </c>
      <c r="D121" s="49">
        <f>D88*2</f>
        <v>3531.72</v>
      </c>
      <c r="E121" s="66">
        <f>ROUND(D121*C121,2)</f>
        <v>3531.72</v>
      </c>
      <c r="G121" s="1"/>
      <c r="H121" s="1" t="s">
        <v>279</v>
      </c>
      <c r="AMK121"/>
    </row>
    <row r="122" spans="1:8 1025:1025" ht="11.25" customHeight="1" x14ac:dyDescent="0.2">
      <c r="A122" s="47" t="s">
        <v>21</v>
      </c>
      <c r="B122" s="48" t="s">
        <v>22</v>
      </c>
      <c r="C122" s="67">
        <v>0</v>
      </c>
      <c r="D122" s="66">
        <v>25.6026363636364</v>
      </c>
      <c r="E122" s="66">
        <f>ROUND(D122*C122,2)</f>
        <v>0</v>
      </c>
      <c r="G122" s="1"/>
      <c r="AMK122"/>
    </row>
    <row r="123" spans="1:8 1025:1025" ht="11.25" customHeight="1" x14ac:dyDescent="0.2">
      <c r="A123" s="27" t="s">
        <v>26</v>
      </c>
      <c r="B123" s="52" t="s">
        <v>6</v>
      </c>
      <c r="C123" s="53">
        <v>0</v>
      </c>
      <c r="D123" s="68">
        <v>1412</v>
      </c>
      <c r="E123" s="66">
        <f>ROUND(C123/100*D123,2)</f>
        <v>0</v>
      </c>
      <c r="G123" s="1"/>
      <c r="AMK123"/>
    </row>
    <row r="124" spans="1:8 1025:1025" ht="11.25" customHeight="1" x14ac:dyDescent="0.2">
      <c r="A124" s="27" t="s">
        <v>27</v>
      </c>
      <c r="B124" s="52"/>
      <c r="C124" s="69"/>
      <c r="D124" s="68"/>
      <c r="E124" s="66">
        <f>SUM(E121:E123)</f>
        <v>3531.72</v>
      </c>
      <c r="G124" s="1"/>
      <c r="AMK124"/>
    </row>
    <row r="125" spans="1:8 1025:1025" ht="11.25" customHeight="1" x14ac:dyDescent="0.2">
      <c r="A125" s="27" t="s">
        <v>28</v>
      </c>
      <c r="B125" s="52" t="s">
        <v>6</v>
      </c>
      <c r="C125" s="246">
        <f>C92</f>
        <v>70.616959999999992</v>
      </c>
      <c r="D125" s="68">
        <f>D121</f>
        <v>3531.72</v>
      </c>
      <c r="E125" s="66">
        <f>ROUND(C125/100*D125,2)</f>
        <v>2493.9899999999998</v>
      </c>
      <c r="G125" s="1"/>
      <c r="AMK125"/>
    </row>
    <row r="126" spans="1:8 1025:1025" ht="11.25" customHeight="1" x14ac:dyDescent="0.2">
      <c r="A126" s="27" t="s">
        <v>345</v>
      </c>
      <c r="B126" s="52"/>
      <c r="C126" s="70"/>
      <c r="D126" s="68"/>
      <c r="E126" s="66">
        <f>E124+E125</f>
        <v>6025.7099999999991</v>
      </c>
      <c r="G126" s="1"/>
      <c r="AMK126"/>
    </row>
    <row r="127" spans="1:8 1025:1025" ht="11.25" customHeight="1" thickBot="1" x14ac:dyDescent="0.25">
      <c r="A127" s="27" t="s">
        <v>29</v>
      </c>
      <c r="B127" s="52" t="s">
        <v>30</v>
      </c>
      <c r="C127" s="70">
        <f>E48</f>
        <v>1</v>
      </c>
      <c r="D127" s="68">
        <f>E126</f>
        <v>6025.7099999999991</v>
      </c>
      <c r="E127" s="66">
        <f>ROUND(D127*C127,2)</f>
        <v>6025.71</v>
      </c>
      <c r="G127" s="1"/>
      <c r="AMK127"/>
    </row>
    <row r="128" spans="1:8 1025:1025" ht="11.25" customHeight="1" thickBot="1" x14ac:dyDescent="0.25">
      <c r="D128" s="62" t="s">
        <v>31</v>
      </c>
      <c r="E128" s="63">
        <f>$B$58</f>
        <v>1</v>
      </c>
      <c r="F128" s="64">
        <f>E127*E128</f>
        <v>6025.71</v>
      </c>
      <c r="G128" s="1"/>
      <c r="AMK128"/>
    </row>
    <row r="129" spans="1:8 1025:1025" ht="11.25" customHeight="1" x14ac:dyDescent="0.2">
      <c r="D129" s="62"/>
      <c r="G129" s="1"/>
      <c r="AMK129"/>
    </row>
    <row r="130" spans="1:8 1025:1025" ht="11.25" customHeight="1" thickBot="1" x14ac:dyDescent="0.25">
      <c r="A130" s="71" t="s">
        <v>304</v>
      </c>
      <c r="B130" s="71"/>
      <c r="C130" s="71"/>
      <c r="D130" s="71"/>
      <c r="E130" s="71"/>
      <c r="F130" s="71"/>
    </row>
    <row r="131" spans="1:8 1025:1025" ht="11.25" customHeight="1" thickTop="1" thickBot="1" x14ac:dyDescent="0.25">
      <c r="A131" s="72" t="s">
        <v>14</v>
      </c>
      <c r="B131" s="73" t="s">
        <v>15</v>
      </c>
      <c r="C131" s="73" t="s">
        <v>9</v>
      </c>
      <c r="D131" s="73" t="s">
        <v>33</v>
      </c>
      <c r="E131" s="73" t="s">
        <v>34</v>
      </c>
      <c r="F131" s="74" t="s">
        <v>35</v>
      </c>
      <c r="H131" s="2"/>
    </row>
    <row r="132" spans="1:8 1025:1025" ht="11.25" customHeight="1" thickTop="1" thickBot="1" x14ac:dyDescent="0.25">
      <c r="A132" s="75" t="s">
        <v>32</v>
      </c>
      <c r="B132" s="76" t="s">
        <v>20</v>
      </c>
      <c r="C132" s="76">
        <v>1</v>
      </c>
      <c r="D132" s="49">
        <v>6916.86</v>
      </c>
      <c r="E132" s="50">
        <f>TRUNC(C132*D132,2)</f>
        <v>6916.86</v>
      </c>
      <c r="F132" s="71"/>
      <c r="H132" s="2" t="s">
        <v>253</v>
      </c>
    </row>
    <row r="133" spans="1:8 1025:1025" ht="11.25" customHeight="1" thickBot="1" x14ac:dyDescent="0.25">
      <c r="A133" s="77" t="s">
        <v>28</v>
      </c>
      <c r="B133" s="78" t="s">
        <v>6</v>
      </c>
      <c r="C133" s="247">
        <f>C70</f>
        <v>70.616959999999992</v>
      </c>
      <c r="D133" s="79">
        <f>E132</f>
        <v>6916.86</v>
      </c>
      <c r="E133" s="54">
        <f>TRUNC(D133*C133/100,2)</f>
        <v>4884.47</v>
      </c>
      <c r="F133" s="71"/>
    </row>
    <row r="134" spans="1:8 1025:1025" ht="11.25" customHeight="1" thickBot="1" x14ac:dyDescent="0.25">
      <c r="A134" s="77" t="s">
        <v>36</v>
      </c>
      <c r="B134" s="78" t="s">
        <v>30</v>
      </c>
      <c r="C134" s="78">
        <v>1</v>
      </c>
      <c r="D134" s="79">
        <f>E132+E133</f>
        <v>11801.33</v>
      </c>
      <c r="E134" s="50">
        <f>TRUNC(C134*D134,2)</f>
        <v>11801.33</v>
      </c>
      <c r="F134" s="71"/>
    </row>
    <row r="135" spans="1:8 1025:1025" ht="9" customHeight="1" thickBot="1" x14ac:dyDescent="0.25">
      <c r="A135" s="80" t="s">
        <v>37</v>
      </c>
      <c r="B135" s="71"/>
      <c r="C135" s="71"/>
      <c r="D135" s="62" t="s">
        <v>38</v>
      </c>
      <c r="E135" s="81">
        <f>2/(6*8)</f>
        <v>4.1666666666666664E-2</v>
      </c>
      <c r="F135" s="64">
        <f>TRUNC(E134*E135,2)</f>
        <v>491.72</v>
      </c>
    </row>
    <row r="136" spans="1:8 1025:1025" ht="11.25" customHeight="1" x14ac:dyDescent="0.2"/>
    <row r="137" spans="1:8 1025:1025" ht="11.25" customHeight="1" thickBot="1" x14ac:dyDescent="0.25">
      <c r="A137" s="71" t="s">
        <v>305</v>
      </c>
      <c r="B137" s="71"/>
      <c r="C137" s="71"/>
      <c r="D137" s="71"/>
      <c r="E137" s="71"/>
      <c r="F137" s="71"/>
    </row>
    <row r="138" spans="1:8 1025:1025" ht="11.25" customHeight="1" thickTop="1" thickBot="1" x14ac:dyDescent="0.25">
      <c r="A138" s="72" t="s">
        <v>14</v>
      </c>
      <c r="B138" s="73" t="s">
        <v>15</v>
      </c>
      <c r="C138" s="73" t="s">
        <v>9</v>
      </c>
      <c r="D138" s="73" t="s">
        <v>33</v>
      </c>
      <c r="E138" s="73" t="s">
        <v>34</v>
      </c>
      <c r="F138" s="74" t="s">
        <v>35</v>
      </c>
    </row>
    <row r="139" spans="1:8 1025:1025" ht="11.25" customHeight="1" thickTop="1" thickBot="1" x14ac:dyDescent="0.25">
      <c r="A139" s="75" t="s">
        <v>32</v>
      </c>
      <c r="B139" s="76" t="s">
        <v>20</v>
      </c>
      <c r="C139" s="76">
        <v>1</v>
      </c>
      <c r="D139" s="49">
        <v>22753.919999999998</v>
      </c>
      <c r="E139" s="50">
        <f>TRUNC(C139*D139,2)</f>
        <v>22753.919999999998</v>
      </c>
      <c r="F139" s="71"/>
      <c r="H139" s="1" t="s">
        <v>254</v>
      </c>
    </row>
    <row r="140" spans="1:8 1025:1025" ht="11.25" customHeight="1" thickBot="1" x14ac:dyDescent="0.25">
      <c r="A140" s="77" t="s">
        <v>28</v>
      </c>
      <c r="B140" s="78" t="s">
        <v>6</v>
      </c>
      <c r="C140" s="247">
        <f>C77</f>
        <v>1</v>
      </c>
      <c r="D140" s="79">
        <f>E139</f>
        <v>22753.919999999998</v>
      </c>
      <c r="E140" s="54">
        <f>TRUNC(D140*C140/100,2)</f>
        <v>227.53</v>
      </c>
      <c r="F140" s="71"/>
    </row>
    <row r="141" spans="1:8 1025:1025" ht="11.25" customHeight="1" thickBot="1" x14ac:dyDescent="0.25">
      <c r="A141" s="77" t="s">
        <v>36</v>
      </c>
      <c r="B141" s="78" t="s">
        <v>30</v>
      </c>
      <c r="C141" s="258">
        <f>E50</f>
        <v>1</v>
      </c>
      <c r="D141" s="79">
        <f>E139+E140</f>
        <v>22981.449999999997</v>
      </c>
      <c r="E141" s="50">
        <f>TRUNC(C141*D141,2)</f>
        <v>22981.45</v>
      </c>
      <c r="F141" s="71"/>
    </row>
    <row r="142" spans="1:8 1025:1025" ht="11.25" customHeight="1" thickBot="1" x14ac:dyDescent="0.25">
      <c r="A142" s="80" t="s">
        <v>37</v>
      </c>
      <c r="B142" s="71"/>
      <c r="C142" s="71"/>
      <c r="D142" s="62" t="s">
        <v>38</v>
      </c>
      <c r="E142" s="81">
        <f>2/(6*8)</f>
        <v>4.1666666666666664E-2</v>
      </c>
      <c r="F142" s="64">
        <f>TRUNC(E141*E142,2)</f>
        <v>957.56</v>
      </c>
    </row>
    <row r="143" spans="1:8 1025:1025" ht="11.25" customHeight="1" x14ac:dyDescent="0.2"/>
    <row r="144" spans="1:8 1025:1025" ht="11.25" customHeight="1" x14ac:dyDescent="0.2"/>
    <row r="145" spans="1:8" ht="11.25" customHeight="1" x14ac:dyDescent="0.2"/>
    <row r="146" spans="1:8" ht="11.25" customHeight="1" x14ac:dyDescent="0.2"/>
    <row r="147" spans="1:8" s="1" customFormat="1" ht="15.75" thickBot="1" x14ac:dyDescent="0.25">
      <c r="A147" s="1" t="s">
        <v>232</v>
      </c>
      <c r="B147" s="82"/>
      <c r="F147" s="2"/>
    </row>
    <row r="148" spans="1:8" s="1" customFormat="1" ht="15.75" thickBot="1" x14ac:dyDescent="0.25">
      <c r="A148" s="43" t="s">
        <v>14</v>
      </c>
      <c r="B148" s="44" t="s">
        <v>15</v>
      </c>
      <c r="C148" s="44" t="s">
        <v>9</v>
      </c>
      <c r="D148" s="45" t="s">
        <v>16</v>
      </c>
      <c r="E148" s="45" t="s">
        <v>17</v>
      </c>
      <c r="F148" s="46" t="s">
        <v>18</v>
      </c>
    </row>
    <row r="149" spans="1:8" x14ac:dyDescent="0.2">
      <c r="A149" s="27" t="s">
        <v>39</v>
      </c>
      <c r="B149" s="52" t="s">
        <v>25</v>
      </c>
      <c r="C149" s="83">
        <v>1</v>
      </c>
      <c r="D149" s="84">
        <v>4.5</v>
      </c>
      <c r="E149" s="54"/>
      <c r="G149" s="1"/>
      <c r="H149" s="1" t="s">
        <v>274</v>
      </c>
    </row>
    <row r="150" spans="1:8" x14ac:dyDescent="0.2">
      <c r="A150" s="85" t="s">
        <v>40</v>
      </c>
      <c r="B150" s="86" t="s">
        <v>41</v>
      </c>
      <c r="C150" s="87">
        <v>24</v>
      </c>
      <c r="D150" s="88"/>
      <c r="E150" s="88"/>
      <c r="G150" s="1"/>
    </row>
    <row r="151" spans="1:8" s="1" customFormat="1" x14ac:dyDescent="0.2">
      <c r="A151" s="248" t="str">
        <f>A43</f>
        <v>1.1. Pedreiro</v>
      </c>
      <c r="B151" s="52" t="s">
        <v>42</v>
      </c>
      <c r="C151" s="89">
        <f>$C$150*2*(E43)</f>
        <v>144</v>
      </c>
      <c r="D151" s="54">
        <f>IFERROR((($C$150*2*$D$149)-(E64*0.06*$C$150/26))/($C$150*2),"-")</f>
        <v>0.22870384615384629</v>
      </c>
      <c r="E151" s="54">
        <f>TRUNC(IFERROR(C151*D151,"-"),2)</f>
        <v>32.93</v>
      </c>
      <c r="F151" s="63"/>
    </row>
    <row r="152" spans="1:8" s="1" customFormat="1" x14ac:dyDescent="0.2">
      <c r="A152" s="248" t="str">
        <f>A44</f>
        <v>1.2. Servente de pedreiro</v>
      </c>
      <c r="B152" s="52" t="s">
        <v>42</v>
      </c>
      <c r="C152" s="89">
        <f>$C$150*2*(E44)</f>
        <v>288</v>
      </c>
      <c r="D152" s="54">
        <f>IFERROR((($C$150*2*$D$149)-(E77*0.06*C150/26))/($C$150*2),"-")</f>
        <v>2.357538461538462</v>
      </c>
      <c r="E152" s="54">
        <f>TRUNC(IFERROR(C152*D152,"-"),2)</f>
        <v>678.97</v>
      </c>
      <c r="F152" s="63"/>
    </row>
    <row r="153" spans="1:8" s="1" customFormat="1" x14ac:dyDescent="0.2">
      <c r="A153" s="248" t="str">
        <f>A86</f>
        <v>1.3. Auxiliar de Serviços Gerais</v>
      </c>
      <c r="B153" s="52" t="s">
        <v>42</v>
      </c>
      <c r="C153" s="89">
        <f>$C$150*2*(E45)</f>
        <v>864</v>
      </c>
      <c r="D153" s="54">
        <f>IFERROR((($C$150*2*$D$149)-(E66*0.06*$C$150/26))/($C$150*2),"-")</f>
        <v>4.5</v>
      </c>
      <c r="E153" s="54">
        <f>TRUNC(IFERROR(C153*D153,"-"),2)</f>
        <v>3888</v>
      </c>
      <c r="F153" s="63"/>
    </row>
    <row r="154" spans="1:8" s="1" customFormat="1" x14ac:dyDescent="0.2">
      <c r="A154" s="248" t="str">
        <f>A97</f>
        <v>1.4. Soldador</v>
      </c>
      <c r="B154" s="52" t="s">
        <v>42</v>
      </c>
      <c r="C154" s="89">
        <f t="shared" ref="C154:C155" si="1">$C$150*2*(E46)</f>
        <v>144</v>
      </c>
      <c r="D154" s="54">
        <f>IFERROR((($C$150*2*$D$149)-(E67*0.06*$C$150/26))/($C$150*2),"-")</f>
        <v>4.5</v>
      </c>
      <c r="E154" s="54">
        <f t="shared" ref="E154:E155" si="2">TRUNC(IFERROR(C154*D154,"-"),2)</f>
        <v>648</v>
      </c>
      <c r="F154" s="63"/>
    </row>
    <row r="155" spans="1:8" s="1" customFormat="1" x14ac:dyDescent="0.2">
      <c r="A155" s="248" t="str">
        <f>A108</f>
        <v>1.5. Eletricista</v>
      </c>
      <c r="B155" s="52" t="s">
        <v>42</v>
      </c>
      <c r="C155" s="89">
        <f t="shared" si="1"/>
        <v>144</v>
      </c>
      <c r="D155" s="54">
        <f>IFERROR((($C$150*2*$D$149)-(E68*0.06*$C$150/26))/($C$150*2),"-")</f>
        <v>4.5</v>
      </c>
      <c r="E155" s="54">
        <f t="shared" si="2"/>
        <v>648</v>
      </c>
      <c r="F155" s="63"/>
    </row>
    <row r="156" spans="1:8" s="1" customFormat="1" x14ac:dyDescent="0.2">
      <c r="A156" s="248" t="str">
        <f>A119</f>
        <v>1.6. Supervisor</v>
      </c>
      <c r="B156" s="52" t="s">
        <v>42</v>
      </c>
      <c r="C156" s="89">
        <f>$C$150*2*(E48)</f>
        <v>48</v>
      </c>
      <c r="D156" s="54">
        <f>IFERROR((($C$150*2*$D$149)-(E67*0.06*$C$150/26))/($C$150*2),"-")</f>
        <v>4.5</v>
      </c>
      <c r="E156" s="54">
        <f>TRUNC(IFERROR(C156*D156,"-"),2)</f>
        <v>216</v>
      </c>
      <c r="F156" s="63"/>
    </row>
    <row r="157" spans="1:8" s="1" customFormat="1" x14ac:dyDescent="0.2">
      <c r="A157" s="248" t="str">
        <f>A49</f>
        <v>1.7. Técnico Segurança do Trabalho</v>
      </c>
      <c r="B157" s="52" t="s">
        <v>42</v>
      </c>
      <c r="C157" s="89">
        <v>0</v>
      </c>
      <c r="D157" s="54">
        <v>0</v>
      </c>
      <c r="E157" s="54">
        <v>0</v>
      </c>
      <c r="F157" s="63"/>
    </row>
    <row r="158" spans="1:8" s="1" customFormat="1" x14ac:dyDescent="0.2">
      <c r="A158" s="27" t="str">
        <f>A137</f>
        <v>1.8. Responsável Técnico (Engenheiro Civil)</v>
      </c>
      <c r="B158" s="52" t="s">
        <v>42</v>
      </c>
      <c r="C158" s="89">
        <v>0</v>
      </c>
      <c r="D158" s="54">
        <v>0</v>
      </c>
      <c r="E158" s="54">
        <v>0</v>
      </c>
      <c r="F158" s="63"/>
    </row>
    <row r="159" spans="1:8" ht="15.75" thickBot="1" x14ac:dyDescent="0.25">
      <c r="B159" s="90"/>
      <c r="F159" s="91">
        <f>TRUNC(SUM(E151:E158),2)</f>
        <v>6111.9</v>
      </c>
      <c r="G159" s="1"/>
    </row>
    <row r="160" spans="1:8" ht="11.25" customHeight="1" x14ac:dyDescent="0.2">
      <c r="G160" s="1"/>
    </row>
    <row r="161" spans="1:14" ht="15.75" thickBot="1" x14ac:dyDescent="0.25">
      <c r="A161" s="1" t="s">
        <v>256</v>
      </c>
      <c r="F161" s="15"/>
      <c r="G161" s="1"/>
    </row>
    <row r="162" spans="1:14" ht="15.75" thickBot="1" x14ac:dyDescent="0.25">
      <c r="A162" s="43" t="s">
        <v>14</v>
      </c>
      <c r="B162" s="44" t="s">
        <v>15</v>
      </c>
      <c r="C162" s="44" t="s">
        <v>9</v>
      </c>
      <c r="D162" s="45" t="s">
        <v>16</v>
      </c>
      <c r="E162" s="45" t="s">
        <v>17</v>
      </c>
      <c r="F162" s="46" t="s">
        <v>18</v>
      </c>
      <c r="G162" s="92"/>
      <c r="H162" s="92"/>
      <c r="I162" s="92"/>
      <c r="J162" s="92"/>
      <c r="K162" s="92"/>
      <c r="L162" s="92"/>
      <c r="M162" s="92"/>
      <c r="N162" s="92"/>
    </row>
    <row r="163" spans="1:14" x14ac:dyDescent="0.25">
      <c r="A163" s="249" t="str">
        <f>+A151</f>
        <v>1.1. Pedreiro</v>
      </c>
      <c r="B163" s="52" t="s">
        <v>20</v>
      </c>
      <c r="C163" s="93">
        <f>C72</f>
        <v>3</v>
      </c>
      <c r="D163" s="94">
        <v>380</v>
      </c>
      <c r="E163" s="63">
        <f>TRUNC(C163*D163,2)</f>
        <v>1140</v>
      </c>
      <c r="F163" s="15"/>
      <c r="G163" s="51"/>
      <c r="H163" s="1" t="s">
        <v>255</v>
      </c>
      <c r="I163" s="92"/>
      <c r="J163" s="92"/>
      <c r="K163" s="95"/>
      <c r="L163" s="92"/>
      <c r="M163" s="92"/>
      <c r="N163" s="92"/>
    </row>
    <row r="164" spans="1:14" s="1" customFormat="1" x14ac:dyDescent="0.2">
      <c r="A164" s="249" t="str">
        <f>+A152</f>
        <v>1.2. Servente de pedreiro</v>
      </c>
      <c r="B164" s="52" t="s">
        <v>20</v>
      </c>
      <c r="C164" s="93">
        <f>C83</f>
        <v>6</v>
      </c>
      <c r="D164" s="94">
        <v>380</v>
      </c>
      <c r="E164" s="63">
        <f>TRUNC(C164*D164,2)</f>
        <v>2280</v>
      </c>
      <c r="F164" s="15"/>
      <c r="H164" s="92"/>
      <c r="I164" s="92"/>
      <c r="J164" s="92"/>
      <c r="K164" s="95"/>
      <c r="L164" s="92"/>
      <c r="M164" s="92"/>
      <c r="N164" s="92"/>
    </row>
    <row r="165" spans="1:14" s="1" customFormat="1" x14ac:dyDescent="0.2">
      <c r="A165" s="249" t="str">
        <f>A86</f>
        <v>1.3. Auxiliar de Serviços Gerais</v>
      </c>
      <c r="B165" s="52" t="s">
        <v>15</v>
      </c>
      <c r="C165" s="93">
        <f>$C$150*(E45)</f>
        <v>432</v>
      </c>
      <c r="D165" s="94">
        <v>27.15</v>
      </c>
      <c r="E165" s="63">
        <f t="shared" ref="E165:E170" si="3">TRUNC(C165*D165,2)</f>
        <v>11728.8</v>
      </c>
      <c r="F165" s="15"/>
      <c r="H165" s="1" t="s">
        <v>277</v>
      </c>
      <c r="I165" s="92"/>
      <c r="J165" s="92"/>
      <c r="K165" s="95"/>
      <c r="L165" s="92"/>
      <c r="M165" s="92"/>
      <c r="N165" s="92"/>
    </row>
    <row r="166" spans="1:14" s="1" customFormat="1" x14ac:dyDescent="0.2">
      <c r="A166" s="285" t="str">
        <f>A154</f>
        <v>1.4. Soldador</v>
      </c>
      <c r="B166" s="52" t="s">
        <v>15</v>
      </c>
      <c r="C166" s="93">
        <f>$C$150*(E46)</f>
        <v>72</v>
      </c>
      <c r="D166" s="94">
        <v>27.15</v>
      </c>
      <c r="E166" s="63">
        <f t="shared" si="3"/>
        <v>1954.8</v>
      </c>
      <c r="F166" s="15"/>
      <c r="I166" s="92"/>
      <c r="J166" s="92"/>
      <c r="K166" s="95"/>
      <c r="L166" s="92"/>
      <c r="M166" s="92"/>
      <c r="N166" s="92"/>
    </row>
    <row r="167" spans="1:14" s="1" customFormat="1" x14ac:dyDescent="0.2">
      <c r="A167" s="285" t="str">
        <f>A155</f>
        <v>1.5. Eletricista</v>
      </c>
      <c r="B167" s="52" t="s">
        <v>15</v>
      </c>
      <c r="C167" s="93">
        <f>$C$150*(E47)</f>
        <v>72</v>
      </c>
      <c r="D167" s="94">
        <v>27.15</v>
      </c>
      <c r="E167" s="63">
        <f t="shared" si="3"/>
        <v>1954.8</v>
      </c>
      <c r="F167" s="15"/>
      <c r="I167" s="92"/>
      <c r="J167" s="92"/>
      <c r="K167" s="95"/>
      <c r="L167" s="92"/>
      <c r="M167" s="92"/>
      <c r="N167" s="92"/>
    </row>
    <row r="168" spans="1:14" s="1" customFormat="1" x14ac:dyDescent="0.2">
      <c r="A168" s="285" t="str">
        <f>A156</f>
        <v>1.6. Supervisor</v>
      </c>
      <c r="B168" s="52" t="s">
        <v>15</v>
      </c>
      <c r="C168" s="93">
        <f>$C$150*(E48)</f>
        <v>24</v>
      </c>
      <c r="D168" s="94">
        <v>27.15</v>
      </c>
      <c r="E168" s="63">
        <f t="shared" si="3"/>
        <v>651.6</v>
      </c>
      <c r="F168" s="15"/>
      <c r="I168" s="92"/>
      <c r="J168" s="92"/>
      <c r="K168" s="95"/>
      <c r="L168" s="92"/>
      <c r="M168" s="92"/>
      <c r="N168" s="92"/>
    </row>
    <row r="169" spans="1:14" s="1" customFormat="1" x14ac:dyDescent="0.2">
      <c r="A169" s="249" t="str">
        <f>A130</f>
        <v>1.7. Técnico Segurança do Trabalho</v>
      </c>
      <c r="B169" s="52" t="s">
        <v>20</v>
      </c>
      <c r="C169" s="93">
        <v>0</v>
      </c>
      <c r="D169" s="94">
        <v>0</v>
      </c>
      <c r="E169" s="63">
        <f t="shared" si="3"/>
        <v>0</v>
      </c>
      <c r="F169" s="15"/>
      <c r="H169" s="92"/>
      <c r="I169" s="92"/>
      <c r="J169" s="92"/>
      <c r="K169" s="95"/>
      <c r="L169" s="92"/>
      <c r="M169" s="92"/>
      <c r="N169" s="92"/>
    </row>
    <row r="170" spans="1:14" s="1" customFormat="1" ht="15.75" thickBot="1" x14ac:dyDescent="0.25">
      <c r="A170" s="249" t="str">
        <f>A137</f>
        <v>1.8. Responsável Técnico (Engenheiro Civil)</v>
      </c>
      <c r="B170" s="52" t="s">
        <v>20</v>
      </c>
      <c r="C170" s="93">
        <v>0</v>
      </c>
      <c r="D170" s="94">
        <v>0</v>
      </c>
      <c r="E170" s="63">
        <f t="shared" si="3"/>
        <v>0</v>
      </c>
      <c r="F170" s="15"/>
      <c r="H170" s="92"/>
      <c r="I170" s="92"/>
      <c r="J170" s="92"/>
      <c r="K170" s="95"/>
      <c r="L170" s="92"/>
      <c r="M170" s="92"/>
      <c r="N170" s="92"/>
    </row>
    <row r="171" spans="1:14" ht="15.75" thickBot="1" x14ac:dyDescent="0.25">
      <c r="F171" s="96">
        <f>SUM(E163:E170)</f>
        <v>19709.999999999996</v>
      </c>
      <c r="G171" s="92"/>
      <c r="H171" s="92"/>
      <c r="I171" s="92"/>
      <c r="J171" s="92"/>
      <c r="K171" s="92"/>
      <c r="L171" s="92"/>
      <c r="M171" s="92"/>
      <c r="N171" s="92"/>
    </row>
    <row r="172" spans="1:14" x14ac:dyDescent="0.2">
      <c r="F172" s="15"/>
      <c r="G172" s="92"/>
      <c r="H172" s="92"/>
      <c r="I172" s="92"/>
      <c r="J172" s="92"/>
      <c r="K172" s="92"/>
      <c r="L172" s="92"/>
      <c r="M172" s="92"/>
      <c r="N172" s="92"/>
    </row>
    <row r="173" spans="1:14" ht="15.75" thickBot="1" x14ac:dyDescent="0.25">
      <c r="G173" s="1"/>
    </row>
    <row r="174" spans="1:14" ht="15.75" thickBot="1" x14ac:dyDescent="0.25">
      <c r="A174" s="97" t="s">
        <v>44</v>
      </c>
      <c r="B174" s="98"/>
      <c r="C174" s="98"/>
      <c r="D174" s="99"/>
      <c r="E174" s="100"/>
      <c r="F174" s="96">
        <f>TRUNC(+F171+F117+F106+F95+F159+F84+F73+F142+F135,2)</f>
        <v>128485.31</v>
      </c>
      <c r="G174" s="307"/>
      <c r="H174" s="307"/>
      <c r="I174" s="307"/>
      <c r="J174" s="307"/>
      <c r="K174" s="307"/>
      <c r="L174" s="307"/>
      <c r="M174" s="307"/>
      <c r="N174" s="307"/>
    </row>
    <row r="175" spans="1:14" x14ac:dyDescent="0.2">
      <c r="G175" s="307"/>
      <c r="H175" s="307"/>
      <c r="I175" s="307"/>
      <c r="J175" s="307"/>
      <c r="K175" s="307"/>
      <c r="L175" s="307"/>
      <c r="M175" s="307"/>
      <c r="N175" s="307"/>
    </row>
    <row r="176" spans="1:14" x14ac:dyDescent="0.2">
      <c r="A176" s="16" t="s">
        <v>45</v>
      </c>
      <c r="G176" s="307"/>
      <c r="H176" s="307"/>
      <c r="I176" s="307"/>
      <c r="J176" s="307"/>
      <c r="K176" s="307"/>
      <c r="L176" s="307"/>
      <c r="M176" s="307"/>
      <c r="N176" s="307"/>
    </row>
    <row r="177" spans="1:14" ht="11.25" customHeight="1" x14ac:dyDescent="0.2">
      <c r="G177" s="307"/>
      <c r="H177" s="307"/>
      <c r="I177" s="307"/>
      <c r="J177" s="307"/>
      <c r="K177" s="307"/>
      <c r="L177" s="307"/>
      <c r="M177" s="307"/>
      <c r="N177" s="307"/>
    </row>
    <row r="178" spans="1:14" ht="13.9" customHeight="1" x14ac:dyDescent="0.2">
      <c r="A178" s="1" t="s">
        <v>215</v>
      </c>
      <c r="G178" s="1"/>
    </row>
    <row r="179" spans="1:14" ht="11.25" customHeight="1" thickBot="1" x14ac:dyDescent="0.25">
      <c r="G179" s="1"/>
    </row>
    <row r="180" spans="1:14" s="1" customFormat="1" ht="27.75" customHeight="1" thickBot="1" x14ac:dyDescent="0.3">
      <c r="A180" s="43" t="s">
        <v>14</v>
      </c>
      <c r="B180" s="44" t="s">
        <v>15</v>
      </c>
      <c r="C180" s="101" t="s">
        <v>46</v>
      </c>
      <c r="D180" s="45" t="s">
        <v>16</v>
      </c>
      <c r="E180" s="45" t="s">
        <v>17</v>
      </c>
      <c r="F180" s="46" t="s">
        <v>18</v>
      </c>
      <c r="G180" s="51"/>
    </row>
    <row r="181" spans="1:14" x14ac:dyDescent="0.25">
      <c r="A181" s="47" t="s">
        <v>47</v>
      </c>
      <c r="B181" s="48" t="s">
        <v>43</v>
      </c>
      <c r="C181" s="102">
        <v>12</v>
      </c>
      <c r="D181" s="49">
        <f>SUM(160+153.98+142.5)/3</f>
        <v>152.16</v>
      </c>
      <c r="E181" s="50">
        <f t="shared" ref="E181:E191" si="4">TRUNC(IFERROR(D181/C181,0),2)</f>
        <v>12.68</v>
      </c>
      <c r="G181" s="51"/>
      <c r="H181" s="1" t="s">
        <v>275</v>
      </c>
    </row>
    <row r="182" spans="1:14" x14ac:dyDescent="0.25">
      <c r="A182" s="27" t="s">
        <v>48</v>
      </c>
      <c r="B182" s="52" t="s">
        <v>43</v>
      </c>
      <c r="C182" s="102">
        <v>4</v>
      </c>
      <c r="D182" s="49">
        <f>SUM(54.9+70.3+71.1)/3</f>
        <v>65.433333333333323</v>
      </c>
      <c r="E182" s="50">
        <f t="shared" si="4"/>
        <v>16.350000000000001</v>
      </c>
      <c r="G182" s="51"/>
      <c r="H182" s="1" t="s">
        <v>275</v>
      </c>
    </row>
    <row r="183" spans="1:14" x14ac:dyDescent="0.25">
      <c r="A183" s="27" t="s">
        <v>49</v>
      </c>
      <c r="B183" s="52" t="s">
        <v>43</v>
      </c>
      <c r="C183" s="102">
        <v>3</v>
      </c>
      <c r="D183" s="49">
        <f>SUM(60.9+69.9+66.4+59.42)/4</f>
        <v>64.155000000000001</v>
      </c>
      <c r="E183" s="50">
        <f t="shared" si="4"/>
        <v>21.38</v>
      </c>
      <c r="G183" s="51"/>
      <c r="H183" s="1" t="s">
        <v>275</v>
      </c>
    </row>
    <row r="184" spans="1:14" x14ac:dyDescent="0.25">
      <c r="A184" s="27" t="s">
        <v>258</v>
      </c>
      <c r="B184" s="52" t="s">
        <v>43</v>
      </c>
      <c r="C184" s="102">
        <v>6</v>
      </c>
      <c r="D184" s="49">
        <f>SUM(20+10.59+9.34)/3</f>
        <v>13.31</v>
      </c>
      <c r="E184" s="50">
        <f t="shared" si="4"/>
        <v>2.21</v>
      </c>
      <c r="G184" s="51"/>
      <c r="H184" s="1" t="s">
        <v>275</v>
      </c>
    </row>
    <row r="185" spans="1:14" x14ac:dyDescent="0.25">
      <c r="A185" s="27" t="s">
        <v>202</v>
      </c>
      <c r="B185" s="52" t="s">
        <v>50</v>
      </c>
      <c r="C185" s="102">
        <v>2</v>
      </c>
      <c r="D185" s="49">
        <f>SUM(39.81+55.62+53.26)/3</f>
        <v>49.563333333333333</v>
      </c>
      <c r="E185" s="50">
        <f>TRUNC(IFERROR(D185/C185,0),2)</f>
        <v>24.78</v>
      </c>
      <c r="G185" s="51"/>
      <c r="H185" s="1" t="s">
        <v>275</v>
      </c>
    </row>
    <row r="186" spans="1:14" x14ac:dyDescent="0.25">
      <c r="A186" s="27" t="s">
        <v>51</v>
      </c>
      <c r="B186" s="52" t="s">
        <v>50</v>
      </c>
      <c r="C186" s="102">
        <v>2</v>
      </c>
      <c r="D186" s="49">
        <v>5</v>
      </c>
      <c r="E186" s="50">
        <f t="shared" si="4"/>
        <v>2.5</v>
      </c>
      <c r="G186" s="51"/>
      <c r="H186" s="1" t="s">
        <v>275</v>
      </c>
    </row>
    <row r="187" spans="1:14" x14ac:dyDescent="0.25">
      <c r="A187" s="27" t="s">
        <v>52</v>
      </c>
      <c r="B187" s="52" t="s">
        <v>43</v>
      </c>
      <c r="C187" s="102">
        <v>3</v>
      </c>
      <c r="D187" s="49">
        <f>(28.99+53.35+49.16)/3</f>
        <v>43.833333333333336</v>
      </c>
      <c r="E187" s="50">
        <f t="shared" si="4"/>
        <v>14.61</v>
      </c>
      <c r="G187" s="51"/>
      <c r="H187" s="1" t="s">
        <v>275</v>
      </c>
    </row>
    <row r="188" spans="1:14" s="106" customFormat="1" x14ac:dyDescent="0.25">
      <c r="A188" s="103" t="s">
        <v>53</v>
      </c>
      <c r="B188" s="104" t="s">
        <v>43</v>
      </c>
      <c r="C188" s="102">
        <v>3</v>
      </c>
      <c r="D188" s="49">
        <f>(19.92+17.7+11.09)/3</f>
        <v>16.236666666666668</v>
      </c>
      <c r="E188" s="50">
        <f t="shared" si="4"/>
        <v>5.41</v>
      </c>
      <c r="F188" s="105"/>
      <c r="G188" s="51"/>
      <c r="H188" s="1" t="s">
        <v>275</v>
      </c>
    </row>
    <row r="189" spans="1:14" x14ac:dyDescent="0.25">
      <c r="A189" s="27" t="s">
        <v>54</v>
      </c>
      <c r="B189" s="52" t="s">
        <v>50</v>
      </c>
      <c r="C189" s="102">
        <v>2</v>
      </c>
      <c r="D189" s="49">
        <f>(7.96+4.91+19.9+4.92+15)/5</f>
        <v>10.538</v>
      </c>
      <c r="E189" s="50">
        <f t="shared" si="4"/>
        <v>5.26</v>
      </c>
      <c r="G189" s="51"/>
      <c r="H189" s="1" t="s">
        <v>275</v>
      </c>
    </row>
    <row r="190" spans="1:14" x14ac:dyDescent="0.25">
      <c r="A190" s="27" t="s">
        <v>55</v>
      </c>
      <c r="B190" s="52" t="s">
        <v>259</v>
      </c>
      <c r="C190" s="102">
        <v>1</v>
      </c>
      <c r="D190" s="49">
        <f>(22.67+19.86+10.9)/3</f>
        <v>17.809999999999999</v>
      </c>
      <c r="E190" s="50">
        <f t="shared" si="4"/>
        <v>17.809999999999999</v>
      </c>
      <c r="G190" s="51"/>
      <c r="H190" s="1" t="s">
        <v>275</v>
      </c>
    </row>
    <row r="191" spans="1:14" x14ac:dyDescent="0.25">
      <c r="A191" s="27" t="s">
        <v>56</v>
      </c>
      <c r="B191" s="52" t="s">
        <v>57</v>
      </c>
      <c r="C191" s="61">
        <v>1</v>
      </c>
      <c r="D191" s="49">
        <v>100</v>
      </c>
      <c r="E191" s="50">
        <f t="shared" si="4"/>
        <v>100</v>
      </c>
      <c r="G191" s="51"/>
    </row>
    <row r="192" spans="1:14" ht="15.75" thickBot="1" x14ac:dyDescent="0.25">
      <c r="A192" s="27" t="s">
        <v>29</v>
      </c>
      <c r="B192" s="52" t="s">
        <v>30</v>
      </c>
      <c r="C192" s="61">
        <f>E43+E44+E45+E48</f>
        <v>28</v>
      </c>
      <c r="D192" s="54">
        <f>+SUM(E181:E191)</f>
        <v>222.99</v>
      </c>
      <c r="E192" s="54">
        <f>TRUNC(C192*D192,2)</f>
        <v>6243.72</v>
      </c>
    </row>
    <row r="193" spans="1:8" ht="15.75" thickBot="1" x14ac:dyDescent="0.25">
      <c r="D193" s="62" t="s">
        <v>31</v>
      </c>
      <c r="E193" s="63">
        <f>$B$58</f>
        <v>1</v>
      </c>
      <c r="F193" s="64">
        <f>TRUNC(E192*E193,2)</f>
        <v>6243.72</v>
      </c>
    </row>
    <row r="194" spans="1:8" ht="11.25" customHeight="1" x14ac:dyDescent="0.2"/>
    <row r="195" spans="1:8" ht="13.9" customHeight="1" x14ac:dyDescent="0.2">
      <c r="A195" s="1" t="s">
        <v>58</v>
      </c>
    </row>
    <row r="196" spans="1:8" ht="11.25" customHeight="1" thickBot="1" x14ac:dyDescent="0.25"/>
    <row r="197" spans="1:8" ht="15.75" thickBot="1" x14ac:dyDescent="0.25">
      <c r="A197" s="43" t="s">
        <v>14</v>
      </c>
      <c r="B197" s="44" t="s">
        <v>15</v>
      </c>
      <c r="C197" s="101" t="s">
        <v>46</v>
      </c>
      <c r="D197" s="45" t="s">
        <v>16</v>
      </c>
      <c r="E197" s="45" t="s">
        <v>17</v>
      </c>
      <c r="F197" s="46" t="s">
        <v>18</v>
      </c>
    </row>
    <row r="198" spans="1:8" x14ac:dyDescent="0.25">
      <c r="A198" s="47" t="s">
        <v>47</v>
      </c>
      <c r="B198" s="48" t="s">
        <v>43</v>
      </c>
      <c r="C198" s="107">
        <v>12</v>
      </c>
      <c r="D198" s="50">
        <f>+D181</f>
        <v>152.16</v>
      </c>
      <c r="E198" s="50">
        <f t="shared" ref="E198:E204" si="5">TRUNC(IFERROR(D198/C198,0),2)</f>
        <v>12.68</v>
      </c>
      <c r="G198" s="51"/>
      <c r="H198" s="1" t="s">
        <v>275</v>
      </c>
    </row>
    <row r="199" spans="1:8" x14ac:dyDescent="0.25">
      <c r="A199" s="27" t="s">
        <v>48</v>
      </c>
      <c r="B199" s="52" t="s">
        <v>43</v>
      </c>
      <c r="C199" s="107">
        <v>4</v>
      </c>
      <c r="D199" s="54">
        <f>D182</f>
        <v>65.433333333333323</v>
      </c>
      <c r="E199" s="50">
        <f t="shared" si="5"/>
        <v>16.350000000000001</v>
      </c>
      <c r="G199" s="51"/>
      <c r="H199" s="1" t="s">
        <v>275</v>
      </c>
    </row>
    <row r="200" spans="1:8" x14ac:dyDescent="0.25">
      <c r="A200" s="27" t="s">
        <v>59</v>
      </c>
      <c r="B200" s="52" t="s">
        <v>43</v>
      </c>
      <c r="C200" s="107">
        <v>2</v>
      </c>
      <c r="D200" s="54">
        <f>D183</f>
        <v>64.155000000000001</v>
      </c>
      <c r="E200" s="50">
        <f t="shared" si="5"/>
        <v>32.07</v>
      </c>
      <c r="G200" s="51"/>
      <c r="H200" s="1" t="s">
        <v>275</v>
      </c>
    </row>
    <row r="201" spans="1:8" x14ac:dyDescent="0.25">
      <c r="A201" s="27" t="s">
        <v>202</v>
      </c>
      <c r="B201" s="52" t="s">
        <v>50</v>
      </c>
      <c r="C201" s="107">
        <v>6</v>
      </c>
      <c r="D201" s="54">
        <f>D185</f>
        <v>49.563333333333333</v>
      </c>
      <c r="E201" s="50">
        <f t="shared" si="5"/>
        <v>8.26</v>
      </c>
      <c r="G201" s="51"/>
      <c r="H201" s="1" t="s">
        <v>275</v>
      </c>
    </row>
    <row r="202" spans="1:8" x14ac:dyDescent="0.25">
      <c r="A202" s="27" t="s">
        <v>52</v>
      </c>
      <c r="B202" s="52" t="s">
        <v>43</v>
      </c>
      <c r="C202" s="107">
        <v>4</v>
      </c>
      <c r="D202" s="54">
        <f>D187</f>
        <v>43.833333333333336</v>
      </c>
      <c r="E202" s="50">
        <f t="shared" si="5"/>
        <v>10.95</v>
      </c>
      <c r="G202" s="51"/>
      <c r="H202" s="1" t="s">
        <v>275</v>
      </c>
    </row>
    <row r="203" spans="1:8" x14ac:dyDescent="0.25">
      <c r="A203" s="27" t="s">
        <v>55</v>
      </c>
      <c r="B203" s="52" t="s">
        <v>60</v>
      </c>
      <c r="C203" s="107">
        <v>2</v>
      </c>
      <c r="D203" s="54">
        <f>+D190</f>
        <v>17.809999999999999</v>
      </c>
      <c r="E203" s="50">
        <f t="shared" si="5"/>
        <v>8.9</v>
      </c>
      <c r="G203" s="51"/>
      <c r="H203" s="1" t="s">
        <v>275</v>
      </c>
    </row>
    <row r="204" spans="1:8" x14ac:dyDescent="0.25">
      <c r="A204" s="27" t="s">
        <v>56</v>
      </c>
      <c r="B204" s="52" t="s">
        <v>57</v>
      </c>
      <c r="C204" s="61">
        <v>1</v>
      </c>
      <c r="D204" s="49">
        <f>D191</f>
        <v>100</v>
      </c>
      <c r="E204" s="50">
        <f t="shared" si="5"/>
        <v>100</v>
      </c>
      <c r="G204" s="51"/>
    </row>
    <row r="205" spans="1:8" ht="15.75" thickBot="1" x14ac:dyDescent="0.25">
      <c r="A205" s="27" t="s">
        <v>29</v>
      </c>
      <c r="B205" s="52" t="s">
        <v>30</v>
      </c>
      <c r="C205" s="61">
        <f>E49+E50</f>
        <v>2</v>
      </c>
      <c r="D205" s="54">
        <f>+SUM(E198:E204)</f>
        <v>189.21</v>
      </c>
      <c r="E205" s="54">
        <f>TRUNC(C205*D205,2)</f>
        <v>378.42</v>
      </c>
      <c r="G205" s="1"/>
    </row>
    <row r="206" spans="1:8" s="1" customFormat="1" ht="15.75" thickBot="1" x14ac:dyDescent="0.25">
      <c r="D206" s="62" t="s">
        <v>31</v>
      </c>
      <c r="E206" s="63">
        <f>$B$58</f>
        <v>1</v>
      </c>
      <c r="F206" s="64">
        <f>TRUNC(E205*E206,2)</f>
        <v>378.42</v>
      </c>
    </row>
    <row r="207" spans="1:8" ht="11.25" customHeight="1" x14ac:dyDescent="0.2">
      <c r="D207" s="62"/>
      <c r="F207" s="58"/>
      <c r="G207" s="1"/>
    </row>
    <row r="208" spans="1:8" s="1" customFormat="1" x14ac:dyDescent="0.2">
      <c r="A208" s="1" t="s">
        <v>310</v>
      </c>
      <c r="D208" s="2"/>
      <c r="E208" s="2"/>
      <c r="F208" s="2"/>
      <c r="G208" s="2"/>
    </row>
    <row r="209" spans="1:8" ht="11.25" customHeight="1" thickBot="1" x14ac:dyDescent="0.25"/>
    <row r="210" spans="1:8" ht="15.75" thickBot="1" x14ac:dyDescent="0.25">
      <c r="A210" s="43" t="s">
        <v>14</v>
      </c>
      <c r="B210" s="44" t="s">
        <v>15</v>
      </c>
      <c r="C210" s="101" t="s">
        <v>46</v>
      </c>
      <c r="D210" s="45" t="s">
        <v>16</v>
      </c>
      <c r="E210" s="45" t="s">
        <v>17</v>
      </c>
      <c r="F210" s="46" t="s">
        <v>18</v>
      </c>
    </row>
    <row r="211" spans="1:8" ht="11.25" customHeight="1" x14ac:dyDescent="0.25">
      <c r="A211" s="47" t="s">
        <v>47</v>
      </c>
      <c r="B211" s="48" t="s">
        <v>43</v>
      </c>
      <c r="C211" s="107">
        <v>12</v>
      </c>
      <c r="D211" s="50">
        <f>D198</f>
        <v>152.16</v>
      </c>
      <c r="E211" s="50">
        <f t="shared" ref="E211:E222" si="6">TRUNC(IFERROR(D211/C211,0),2)</f>
        <v>12.68</v>
      </c>
      <c r="G211" s="51"/>
      <c r="H211" s="1" t="s">
        <v>275</v>
      </c>
    </row>
    <row r="212" spans="1:8" x14ac:dyDescent="0.25">
      <c r="A212" s="27" t="s">
        <v>48</v>
      </c>
      <c r="B212" s="52" t="s">
        <v>43</v>
      </c>
      <c r="C212" s="107">
        <v>4</v>
      </c>
      <c r="D212" s="50">
        <f t="shared" ref="D212:D216" si="7">D199</f>
        <v>65.433333333333323</v>
      </c>
      <c r="E212" s="50">
        <f t="shared" si="6"/>
        <v>16.350000000000001</v>
      </c>
      <c r="G212" s="51"/>
      <c r="H212" s="1" t="s">
        <v>275</v>
      </c>
    </row>
    <row r="213" spans="1:8" ht="11.25" customHeight="1" x14ac:dyDescent="0.25">
      <c r="A213" s="27" t="s">
        <v>59</v>
      </c>
      <c r="B213" s="52" t="s">
        <v>43</v>
      </c>
      <c r="C213" s="107">
        <v>2</v>
      </c>
      <c r="D213" s="50">
        <f t="shared" si="7"/>
        <v>64.155000000000001</v>
      </c>
      <c r="E213" s="50">
        <f t="shared" si="6"/>
        <v>32.07</v>
      </c>
      <c r="G213" s="51"/>
      <c r="H213" s="1" t="s">
        <v>275</v>
      </c>
    </row>
    <row r="214" spans="1:8" x14ac:dyDescent="0.25">
      <c r="A214" s="27" t="s">
        <v>202</v>
      </c>
      <c r="B214" s="52" t="s">
        <v>50</v>
      </c>
      <c r="C214" s="107">
        <v>6</v>
      </c>
      <c r="D214" s="50">
        <f t="shared" si="7"/>
        <v>49.563333333333333</v>
      </c>
      <c r="E214" s="50">
        <f t="shared" si="6"/>
        <v>8.26</v>
      </c>
      <c r="G214" s="51"/>
      <c r="H214" s="1" t="s">
        <v>275</v>
      </c>
    </row>
    <row r="215" spans="1:8" s="1" customFormat="1" x14ac:dyDescent="0.25">
      <c r="A215" s="27" t="s">
        <v>52</v>
      </c>
      <c r="B215" s="52" t="s">
        <v>43</v>
      </c>
      <c r="C215" s="107">
        <v>4</v>
      </c>
      <c r="D215" s="50">
        <f t="shared" si="7"/>
        <v>43.833333333333336</v>
      </c>
      <c r="E215" s="50">
        <f t="shared" si="6"/>
        <v>10.95</v>
      </c>
      <c r="F215" s="2"/>
      <c r="G215" s="51"/>
      <c r="H215" s="1" t="s">
        <v>275</v>
      </c>
    </row>
    <row r="216" spans="1:8" x14ac:dyDescent="0.25">
      <c r="A216" s="27" t="s">
        <v>55</v>
      </c>
      <c r="B216" s="52" t="s">
        <v>60</v>
      </c>
      <c r="C216" s="107">
        <v>2</v>
      </c>
      <c r="D216" s="50">
        <f t="shared" si="7"/>
        <v>17.809999999999999</v>
      </c>
      <c r="E216" s="50">
        <f t="shared" si="6"/>
        <v>8.9</v>
      </c>
      <c r="G216" s="51"/>
      <c r="H216" s="1" t="s">
        <v>275</v>
      </c>
    </row>
    <row r="217" spans="1:8" x14ac:dyDescent="0.25">
      <c r="A217" s="27" t="s">
        <v>318</v>
      </c>
      <c r="B217" s="52" t="s">
        <v>50</v>
      </c>
      <c r="C217" s="107">
        <v>6</v>
      </c>
      <c r="D217" s="50">
        <f>SUM(61.49+39+239+59.99)/4</f>
        <v>99.87</v>
      </c>
      <c r="E217" s="50">
        <f t="shared" si="6"/>
        <v>16.64</v>
      </c>
      <c r="G217" s="51"/>
    </row>
    <row r="218" spans="1:8" s="1" customFormat="1" x14ac:dyDescent="0.25">
      <c r="A218" s="27" t="s">
        <v>319</v>
      </c>
      <c r="B218" s="52" t="s">
        <v>43</v>
      </c>
      <c r="C218" s="107">
        <v>6</v>
      </c>
      <c r="D218" s="50">
        <f>SUM(14.9+11.7+12.24)/3</f>
        <v>12.946666666666667</v>
      </c>
      <c r="E218" s="50">
        <f t="shared" si="6"/>
        <v>2.15</v>
      </c>
      <c r="F218" s="2"/>
      <c r="G218" s="51"/>
    </row>
    <row r="219" spans="1:8" x14ac:dyDescent="0.25">
      <c r="A219" s="27" t="s">
        <v>320</v>
      </c>
      <c r="B219" s="52" t="s">
        <v>50</v>
      </c>
      <c r="C219" s="107">
        <v>12</v>
      </c>
      <c r="D219" s="50">
        <f>SUM(1066.28+481.6+899+953.54+766.35)/5</f>
        <v>833.35400000000004</v>
      </c>
      <c r="E219" s="50">
        <f t="shared" si="6"/>
        <v>69.44</v>
      </c>
      <c r="G219" s="51"/>
    </row>
    <row r="220" spans="1:8" x14ac:dyDescent="0.25">
      <c r="A220" s="27" t="s">
        <v>315</v>
      </c>
      <c r="B220" s="52" t="s">
        <v>43</v>
      </c>
      <c r="C220" s="107">
        <v>1</v>
      </c>
      <c r="D220" s="50">
        <f>D239</f>
        <v>6.5666666666666673</v>
      </c>
      <c r="E220" s="50">
        <f t="shared" si="6"/>
        <v>6.56</v>
      </c>
      <c r="G220" s="51"/>
    </row>
    <row r="221" spans="1:8" x14ac:dyDescent="0.25">
      <c r="A221" s="27" t="s">
        <v>321</v>
      </c>
      <c r="B221" s="52" t="s">
        <v>43</v>
      </c>
      <c r="C221" s="107">
        <v>6</v>
      </c>
      <c r="D221" s="50">
        <f>SUM(26.78+118.9+69.9)/3</f>
        <v>71.86</v>
      </c>
      <c r="E221" s="50">
        <f t="shared" si="6"/>
        <v>11.97</v>
      </c>
      <c r="G221" s="51"/>
    </row>
    <row r="222" spans="1:8" x14ac:dyDescent="0.25">
      <c r="A222" s="27" t="s">
        <v>56</v>
      </c>
      <c r="B222" s="52" t="s">
        <v>57</v>
      </c>
      <c r="C222" s="61">
        <v>1</v>
      </c>
      <c r="D222" s="49">
        <f>D204</f>
        <v>100</v>
      </c>
      <c r="E222" s="50">
        <f t="shared" si="6"/>
        <v>100</v>
      </c>
      <c r="G222" s="51"/>
    </row>
    <row r="223" spans="1:8" ht="15.75" thickBot="1" x14ac:dyDescent="0.25">
      <c r="A223" s="27" t="s">
        <v>29</v>
      </c>
      <c r="B223" s="52" t="s">
        <v>30</v>
      </c>
      <c r="C223" s="61">
        <f>C116</f>
        <v>3</v>
      </c>
      <c r="D223" s="54">
        <f>+SUM(E211:E222)</f>
        <v>295.97000000000003</v>
      </c>
      <c r="E223" s="54">
        <f>TRUNC(C223*D223,2)</f>
        <v>887.91</v>
      </c>
      <c r="G223" s="1"/>
    </row>
    <row r="224" spans="1:8" ht="11.25" customHeight="1" thickBot="1" x14ac:dyDescent="0.25">
      <c r="D224" s="62" t="s">
        <v>31</v>
      </c>
      <c r="E224" s="63">
        <f>$B$58</f>
        <v>1</v>
      </c>
      <c r="F224" s="64">
        <f>TRUNC(E223*E224,2)</f>
        <v>887.91</v>
      </c>
      <c r="G224" s="1"/>
    </row>
    <row r="225" spans="1:8" x14ac:dyDescent="0.2">
      <c r="D225" s="62"/>
      <c r="F225" s="58"/>
      <c r="G225" s="1"/>
    </row>
    <row r="226" spans="1:8" x14ac:dyDescent="0.2">
      <c r="A226" s="1" t="s">
        <v>317</v>
      </c>
    </row>
    <row r="227" spans="1:8" ht="15.75" thickBot="1" x14ac:dyDescent="0.25"/>
    <row r="228" spans="1:8" ht="15.75" thickBot="1" x14ac:dyDescent="0.25">
      <c r="A228" s="43" t="s">
        <v>14</v>
      </c>
      <c r="B228" s="44" t="s">
        <v>15</v>
      </c>
      <c r="C228" s="101" t="s">
        <v>46</v>
      </c>
      <c r="D228" s="45" t="s">
        <v>16</v>
      </c>
      <c r="E228" s="45" t="s">
        <v>17</v>
      </c>
      <c r="F228" s="46" t="s">
        <v>18</v>
      </c>
    </row>
    <row r="229" spans="1:8" x14ac:dyDescent="0.25">
      <c r="A229" s="47" t="s">
        <v>47</v>
      </c>
      <c r="B229" s="48" t="s">
        <v>43</v>
      </c>
      <c r="C229" s="107">
        <v>12</v>
      </c>
      <c r="D229" s="50">
        <f>D211</f>
        <v>152.16</v>
      </c>
      <c r="E229" s="50">
        <f t="shared" ref="E229:E241" si="8">TRUNC(IFERROR(D229/C229,0),2)</f>
        <v>12.68</v>
      </c>
      <c r="G229" s="51"/>
      <c r="H229" s="1" t="s">
        <v>275</v>
      </c>
    </row>
    <row r="230" spans="1:8" x14ac:dyDescent="0.25">
      <c r="A230" s="27" t="s">
        <v>48</v>
      </c>
      <c r="B230" s="52" t="s">
        <v>43</v>
      </c>
      <c r="C230" s="107">
        <v>4</v>
      </c>
      <c r="D230" s="50">
        <f t="shared" ref="D230:D234" si="9">D212</f>
        <v>65.433333333333323</v>
      </c>
      <c r="E230" s="50">
        <f t="shared" si="8"/>
        <v>16.350000000000001</v>
      </c>
      <c r="G230" s="51"/>
      <c r="H230" s="1" t="s">
        <v>275</v>
      </c>
    </row>
    <row r="231" spans="1:8" x14ac:dyDescent="0.25">
      <c r="A231" s="27" t="s">
        <v>59</v>
      </c>
      <c r="B231" s="52" t="s">
        <v>43</v>
      </c>
      <c r="C231" s="107">
        <v>2</v>
      </c>
      <c r="D231" s="50">
        <f t="shared" si="9"/>
        <v>64.155000000000001</v>
      </c>
      <c r="E231" s="50">
        <f t="shared" si="8"/>
        <v>32.07</v>
      </c>
      <c r="G231" s="51"/>
      <c r="H231" s="1" t="s">
        <v>275</v>
      </c>
    </row>
    <row r="232" spans="1:8" x14ac:dyDescent="0.25">
      <c r="A232" s="27" t="s">
        <v>202</v>
      </c>
      <c r="B232" s="52" t="s">
        <v>50</v>
      </c>
      <c r="C232" s="107">
        <v>6</v>
      </c>
      <c r="D232" s="50">
        <f t="shared" si="9"/>
        <v>49.563333333333333</v>
      </c>
      <c r="E232" s="50">
        <f t="shared" si="8"/>
        <v>8.26</v>
      </c>
      <c r="G232" s="51"/>
      <c r="H232" s="1" t="s">
        <v>275</v>
      </c>
    </row>
    <row r="233" spans="1:8" x14ac:dyDescent="0.25">
      <c r="A233" s="27" t="s">
        <v>52</v>
      </c>
      <c r="B233" s="52" t="s">
        <v>43</v>
      </c>
      <c r="C233" s="107">
        <v>4</v>
      </c>
      <c r="D233" s="50">
        <f t="shared" si="9"/>
        <v>43.833333333333336</v>
      </c>
      <c r="E233" s="50">
        <f t="shared" si="8"/>
        <v>10.95</v>
      </c>
      <c r="G233" s="51"/>
      <c r="H233" s="1" t="s">
        <v>275</v>
      </c>
    </row>
    <row r="234" spans="1:8" ht="11.25" customHeight="1" x14ac:dyDescent="0.25">
      <c r="A234" s="27" t="s">
        <v>55</v>
      </c>
      <c r="B234" s="52" t="s">
        <v>60</v>
      </c>
      <c r="C234" s="107">
        <v>2</v>
      </c>
      <c r="D234" s="50">
        <f t="shared" si="9"/>
        <v>17.809999999999999</v>
      </c>
      <c r="E234" s="50">
        <f t="shared" si="8"/>
        <v>8.9</v>
      </c>
      <c r="G234" s="51"/>
      <c r="H234" s="1" t="s">
        <v>275</v>
      </c>
    </row>
    <row r="235" spans="1:8" x14ac:dyDescent="0.25">
      <c r="A235" s="27" t="s">
        <v>311</v>
      </c>
      <c r="B235" s="52" t="s">
        <v>43</v>
      </c>
      <c r="C235" s="107">
        <v>12</v>
      </c>
      <c r="D235" s="50">
        <f>SUM(383.25+112.45+85.4+158.99+179.9+278.26)/6</f>
        <v>199.70833333333334</v>
      </c>
      <c r="E235" s="50">
        <f t="shared" si="8"/>
        <v>16.64</v>
      </c>
      <c r="G235" s="51"/>
      <c r="H235" s="1" t="s">
        <v>275</v>
      </c>
    </row>
    <row r="236" spans="1:8" x14ac:dyDescent="0.25">
      <c r="A236" s="27" t="s">
        <v>312</v>
      </c>
      <c r="B236" s="52" t="s">
        <v>50</v>
      </c>
      <c r="C236" s="107">
        <v>6</v>
      </c>
      <c r="D236" s="50">
        <f>SUM(42.08+15.99+32)/3</f>
        <v>30.02333333333333</v>
      </c>
      <c r="E236" s="50">
        <f t="shared" si="8"/>
        <v>5</v>
      </c>
      <c r="G236" s="51"/>
      <c r="H236" s="1" t="s">
        <v>275</v>
      </c>
    </row>
    <row r="237" spans="1:8" x14ac:dyDescent="0.25">
      <c r="A237" s="27" t="s">
        <v>313</v>
      </c>
      <c r="B237" s="52" t="s">
        <v>43</v>
      </c>
      <c r="C237" s="107">
        <v>6</v>
      </c>
      <c r="D237" s="50">
        <f>SUM(65.57+81.77+62.65)/3</f>
        <v>69.996666666666655</v>
      </c>
      <c r="E237" s="50">
        <f t="shared" si="8"/>
        <v>11.66</v>
      </c>
      <c r="G237" s="51"/>
      <c r="H237" s="1" t="s">
        <v>275</v>
      </c>
    </row>
    <row r="238" spans="1:8" x14ac:dyDescent="0.25">
      <c r="A238" s="27" t="s">
        <v>314</v>
      </c>
      <c r="B238" s="52" t="s">
        <v>50</v>
      </c>
      <c r="C238" s="107">
        <v>6</v>
      </c>
      <c r="D238" s="50">
        <f>SUM(41.99+36.34+24)/3</f>
        <v>34.110000000000007</v>
      </c>
      <c r="E238" s="50">
        <f t="shared" si="8"/>
        <v>5.68</v>
      </c>
      <c r="G238" s="51"/>
      <c r="H238" s="1" t="s">
        <v>275</v>
      </c>
    </row>
    <row r="239" spans="1:8" x14ac:dyDescent="0.25">
      <c r="A239" s="27" t="s">
        <v>315</v>
      </c>
      <c r="B239" s="52" t="s">
        <v>43</v>
      </c>
      <c r="C239" s="107">
        <v>1</v>
      </c>
      <c r="D239" s="50">
        <f>SUM(4.41+8.72+6.57)/3</f>
        <v>6.5666666666666673</v>
      </c>
      <c r="E239" s="50">
        <f t="shared" si="8"/>
        <v>6.56</v>
      </c>
      <c r="G239" s="51"/>
      <c r="H239" s="1" t="s">
        <v>275</v>
      </c>
    </row>
    <row r="240" spans="1:8" x14ac:dyDescent="0.25">
      <c r="A240" s="27" t="s">
        <v>316</v>
      </c>
      <c r="B240" s="52" t="s">
        <v>43</v>
      </c>
      <c r="C240" s="107">
        <v>6</v>
      </c>
      <c r="D240" s="50">
        <f>D184</f>
        <v>13.31</v>
      </c>
      <c r="E240" s="50">
        <f t="shared" si="8"/>
        <v>2.21</v>
      </c>
      <c r="G240" s="51"/>
      <c r="H240" s="1" t="s">
        <v>275</v>
      </c>
    </row>
    <row r="241" spans="1:10" x14ac:dyDescent="0.25">
      <c r="A241" s="27" t="s">
        <v>56</v>
      </c>
      <c r="B241" s="52" t="s">
        <v>57</v>
      </c>
      <c r="C241" s="61">
        <v>1</v>
      </c>
      <c r="D241" s="49">
        <f>D222</f>
        <v>100</v>
      </c>
      <c r="E241" s="50">
        <f t="shared" si="8"/>
        <v>100</v>
      </c>
      <c r="G241" s="51"/>
    </row>
    <row r="242" spans="1:10" ht="11.25" customHeight="1" thickBot="1" x14ac:dyDescent="0.25">
      <c r="A242" s="27" t="s">
        <v>29</v>
      </c>
      <c r="B242" s="52" t="s">
        <v>30</v>
      </c>
      <c r="C242" s="61">
        <f>C105</f>
        <v>3</v>
      </c>
      <c r="D242" s="54">
        <f>+SUM(E229:E241)</f>
        <v>236.96</v>
      </c>
      <c r="E242" s="54">
        <f>TRUNC(C242*D242,2)</f>
        <v>710.88</v>
      </c>
      <c r="G242" s="1"/>
    </row>
    <row r="243" spans="1:10" ht="15.75" thickBot="1" x14ac:dyDescent="0.25">
      <c r="D243" s="62" t="s">
        <v>31</v>
      </c>
      <c r="E243" s="63">
        <f>$B$58</f>
        <v>1</v>
      </c>
      <c r="F243" s="64">
        <f>TRUNC(E242*E243,2)</f>
        <v>710.88</v>
      </c>
      <c r="G243" s="1"/>
    </row>
    <row r="244" spans="1:10" x14ac:dyDescent="0.2">
      <c r="D244" s="62"/>
      <c r="F244" s="58"/>
      <c r="G244" s="1"/>
    </row>
    <row r="245" spans="1:10" ht="15.75" thickBot="1" x14ac:dyDescent="0.25">
      <c r="G245" s="1"/>
    </row>
    <row r="246" spans="1:10" ht="15.75" thickBot="1" x14ac:dyDescent="0.25">
      <c r="A246" s="97" t="s">
        <v>61</v>
      </c>
      <c r="B246" s="108"/>
      <c r="C246" s="108"/>
      <c r="D246" s="109"/>
      <c r="E246" s="110"/>
      <c r="F246" s="111">
        <f>TRUNC(+F193+F243+F224+F206,2)</f>
        <v>8220.93</v>
      </c>
      <c r="G246" s="1"/>
    </row>
    <row r="247" spans="1:10" x14ac:dyDescent="0.2">
      <c r="G247" s="1"/>
    </row>
    <row r="248" spans="1:10" x14ac:dyDescent="0.2">
      <c r="A248" s="16" t="s">
        <v>231</v>
      </c>
      <c r="G248" s="1"/>
    </row>
    <row r="249" spans="1:10" x14ac:dyDescent="0.2">
      <c r="B249" s="112"/>
      <c r="G249" s="1"/>
    </row>
    <row r="250" spans="1:10" x14ac:dyDescent="0.2">
      <c r="A250" s="1" t="s">
        <v>257</v>
      </c>
      <c r="G250" s="1"/>
    </row>
    <row r="251" spans="1:10" x14ac:dyDescent="0.2">
      <c r="G251" s="1"/>
    </row>
    <row r="252" spans="1:10" ht="15.75" thickBot="1" x14ac:dyDescent="0.25">
      <c r="A252" s="113" t="s">
        <v>62</v>
      </c>
      <c r="G252" s="1"/>
    </row>
    <row r="253" spans="1:10" ht="15.75" thickBot="1" x14ac:dyDescent="0.25">
      <c r="A253" s="43" t="s">
        <v>14</v>
      </c>
      <c r="B253" s="44" t="s">
        <v>15</v>
      </c>
      <c r="C253" s="44" t="s">
        <v>9</v>
      </c>
      <c r="D253" s="45" t="s">
        <v>16</v>
      </c>
      <c r="E253" s="45" t="s">
        <v>17</v>
      </c>
      <c r="F253" s="46" t="s">
        <v>18</v>
      </c>
      <c r="G253" s="1"/>
    </row>
    <row r="254" spans="1:10" ht="11.25" customHeight="1" x14ac:dyDescent="0.25">
      <c r="A254" s="47" t="s">
        <v>63</v>
      </c>
      <c r="B254" s="48" t="s">
        <v>43</v>
      </c>
      <c r="C254" s="48">
        <v>1</v>
      </c>
      <c r="D254" s="49">
        <f>(221903+240533+250620)/3</f>
        <v>237685.33333333334</v>
      </c>
      <c r="E254" s="50">
        <f>TRUNC(C254*D254,2)</f>
        <v>237685.33</v>
      </c>
      <c r="G254" s="51"/>
      <c r="H254" s="1" t="s">
        <v>275</v>
      </c>
    </row>
    <row r="255" spans="1:10" x14ac:dyDescent="0.2">
      <c r="A255" s="27" t="s">
        <v>64</v>
      </c>
      <c r="B255" s="52" t="s">
        <v>65</v>
      </c>
      <c r="C255" s="55">
        <v>10</v>
      </c>
      <c r="D255" s="54"/>
      <c r="E255" s="54"/>
      <c r="G255" s="1"/>
    </row>
    <row r="256" spans="1:10" x14ac:dyDescent="0.2">
      <c r="A256" s="27" t="s">
        <v>66</v>
      </c>
      <c r="B256" s="52" t="s">
        <v>65</v>
      </c>
      <c r="C256" s="55">
        <v>5</v>
      </c>
      <c r="D256" s="54"/>
      <c r="E256" s="54"/>
      <c r="F256" s="114"/>
      <c r="G256" s="1"/>
      <c r="I256" s="115"/>
      <c r="J256" s="115"/>
    </row>
    <row r="257" spans="1:10" x14ac:dyDescent="0.2">
      <c r="A257" s="27" t="s">
        <v>67</v>
      </c>
      <c r="B257" s="52" t="s">
        <v>6</v>
      </c>
      <c r="C257" s="60">
        <f>IFERROR(VLOOKUP(C255,'5. Depreciação'!A3:B17,2,0),0)</f>
        <v>65.180000000000007</v>
      </c>
      <c r="D257" s="54">
        <f>E254</f>
        <v>237685.33</v>
      </c>
      <c r="E257" s="54">
        <f>TRUNC(C257*D257/100,2)</f>
        <v>154923.29</v>
      </c>
      <c r="G257" s="1"/>
    </row>
    <row r="258" spans="1:10" ht="15.75" thickBot="1" x14ac:dyDescent="0.25">
      <c r="A258" s="116" t="s">
        <v>346</v>
      </c>
      <c r="B258" s="117" t="s">
        <v>20</v>
      </c>
      <c r="C258" s="117">
        <f>C255*12</f>
        <v>120</v>
      </c>
      <c r="D258" s="118">
        <f>IF(C256&lt;=C255,E257,0)</f>
        <v>154923.29</v>
      </c>
      <c r="E258" s="118">
        <f>TRUNC(IFERROR(D258/C258,0),2)</f>
        <v>1291.02</v>
      </c>
      <c r="G258" s="1"/>
    </row>
    <row r="259" spans="1:10" ht="11.25" customHeight="1" thickTop="1" x14ac:dyDescent="0.2">
      <c r="A259" s="56"/>
      <c r="B259" s="57"/>
      <c r="C259" s="57"/>
      <c r="D259" s="58"/>
      <c r="E259" s="59">
        <f>TRUNC(E258,2)</f>
        <v>1291.02</v>
      </c>
    </row>
    <row r="260" spans="1:10" ht="15.75" thickBot="1" x14ac:dyDescent="0.25">
      <c r="A260" s="119" t="s">
        <v>68</v>
      </c>
      <c r="B260" s="26" t="s">
        <v>43</v>
      </c>
      <c r="C260" s="245">
        <f>E54</f>
        <v>2</v>
      </c>
      <c r="D260" s="28">
        <f>E259</f>
        <v>1291.02</v>
      </c>
      <c r="E260" s="59">
        <f>TRUNC(C260*D260,2)</f>
        <v>2582.04</v>
      </c>
    </row>
    <row r="261" spans="1:10" ht="15.75" thickBot="1" x14ac:dyDescent="0.25">
      <c r="A261" s="71"/>
      <c r="B261" s="71"/>
      <c r="C261" s="71"/>
      <c r="D261" s="62" t="s">
        <v>31</v>
      </c>
      <c r="E261" s="63">
        <v>1</v>
      </c>
      <c r="F261" s="111">
        <f>TRUNC(E260*E261,2)</f>
        <v>2582.04</v>
      </c>
    </row>
    <row r="263" spans="1:10" ht="15.75" thickBot="1" x14ac:dyDescent="0.25">
      <c r="A263" s="113" t="s">
        <v>69</v>
      </c>
    </row>
    <row r="264" spans="1:10" ht="15.75" thickBot="1" x14ac:dyDescent="0.25">
      <c r="A264" s="45" t="s">
        <v>14</v>
      </c>
      <c r="B264" s="45" t="s">
        <v>15</v>
      </c>
      <c r="C264" s="45" t="s">
        <v>9</v>
      </c>
      <c r="D264" s="45" t="s">
        <v>16</v>
      </c>
      <c r="E264" s="45" t="s">
        <v>17</v>
      </c>
      <c r="F264" s="45" t="s">
        <v>18</v>
      </c>
      <c r="I264" s="115"/>
      <c r="J264" s="115"/>
    </row>
    <row r="265" spans="1:10" x14ac:dyDescent="0.25">
      <c r="A265" s="27" t="s">
        <v>70</v>
      </c>
      <c r="B265" s="52" t="s">
        <v>43</v>
      </c>
      <c r="C265" s="48">
        <f>C254</f>
        <v>1</v>
      </c>
      <c r="D265" s="54">
        <v>300000</v>
      </c>
      <c r="E265" s="54">
        <f>TRUNC(C265*D265,2)</f>
        <v>300000</v>
      </c>
      <c r="F265" s="114"/>
      <c r="G265" s="51"/>
      <c r="I265" s="115"/>
      <c r="J265" s="115"/>
    </row>
    <row r="266" spans="1:10" x14ac:dyDescent="0.25">
      <c r="A266" s="27" t="s">
        <v>71</v>
      </c>
      <c r="B266" s="52" t="s">
        <v>6</v>
      </c>
      <c r="C266" s="53">
        <v>12.25</v>
      </c>
      <c r="D266" s="54"/>
      <c r="E266" s="54"/>
      <c r="F266" s="114"/>
      <c r="G266" s="51"/>
      <c r="I266" s="115"/>
      <c r="J266" s="115"/>
    </row>
    <row r="267" spans="1:10" x14ac:dyDescent="0.2">
      <c r="A267" s="27" t="s">
        <v>72</v>
      </c>
      <c r="B267" s="52" t="s">
        <v>25</v>
      </c>
      <c r="C267" s="120">
        <f>IFERROR(IF(C256&lt;=C255,E254-(C257/(100*C255)*C256)*E254,E254-E257),0)</f>
        <v>160223.68095299997</v>
      </c>
      <c r="D267" s="54"/>
      <c r="E267" s="54"/>
      <c r="F267" s="114"/>
      <c r="I267" s="115"/>
      <c r="J267" s="115"/>
    </row>
    <row r="268" spans="1:10" ht="11.25" customHeight="1" x14ac:dyDescent="0.2">
      <c r="A268" s="27" t="s">
        <v>73</v>
      </c>
      <c r="B268" s="52" t="s">
        <v>25</v>
      </c>
      <c r="C268" s="54">
        <f>IFERROR(IF(C256&gt;=C255,C267,((((C267)-(E254-E257))*(((C255-C256)+1)/(2*(C255-C256))))+(E254-E257))),0)</f>
        <v>129239.02457179996</v>
      </c>
      <c r="D268" s="54"/>
      <c r="E268" s="54"/>
      <c r="F268" s="114"/>
      <c r="I268" s="115"/>
      <c r="J268" s="115"/>
    </row>
    <row r="269" spans="1:10" ht="11.25" customHeight="1" thickBot="1" x14ac:dyDescent="0.25">
      <c r="A269" s="116" t="s">
        <v>74</v>
      </c>
      <c r="B269" s="117" t="s">
        <v>25</v>
      </c>
      <c r="C269" s="117"/>
      <c r="D269" s="118">
        <f>C266*C268/12/100</f>
        <v>1319.3150425037913</v>
      </c>
      <c r="E269" s="118">
        <f>TRUNC(D269,2)</f>
        <v>1319.31</v>
      </c>
      <c r="F269" s="114"/>
      <c r="I269" s="115"/>
      <c r="J269" s="115"/>
    </row>
    <row r="270" spans="1:10" ht="11.25" customHeight="1" thickTop="1" thickBot="1" x14ac:dyDescent="0.25">
      <c r="A270" s="119" t="s">
        <v>75</v>
      </c>
      <c r="B270" s="26" t="s">
        <v>43</v>
      </c>
      <c r="C270" s="52">
        <f>C260</f>
        <v>2</v>
      </c>
      <c r="D270" s="28">
        <f>D269</f>
        <v>1319.3150425037913</v>
      </c>
      <c r="E270" s="59">
        <f>E269</f>
        <v>1319.31</v>
      </c>
      <c r="F270" s="114"/>
      <c r="I270" s="115"/>
      <c r="J270" s="115"/>
    </row>
    <row r="271" spans="1:10" ht="11.25" customHeight="1" thickBot="1" x14ac:dyDescent="0.25">
      <c r="C271" s="90"/>
      <c r="D271" s="62" t="s">
        <v>31</v>
      </c>
      <c r="E271" s="63">
        <v>1</v>
      </c>
      <c r="F271" s="111">
        <f>TRUNC(E270*E271,2)</f>
        <v>1319.31</v>
      </c>
      <c r="I271" s="115"/>
      <c r="J271" s="115"/>
    </row>
    <row r="272" spans="1:10" ht="11.25" customHeight="1" x14ac:dyDescent="0.2">
      <c r="I272" s="115"/>
      <c r="J272" s="115"/>
    </row>
    <row r="273" spans="1:10" ht="11.25" customHeight="1" thickBot="1" x14ac:dyDescent="0.25">
      <c r="A273" s="1" t="s">
        <v>76</v>
      </c>
      <c r="I273" s="115"/>
      <c r="J273" s="115"/>
    </row>
    <row r="274" spans="1:10" ht="11.25" customHeight="1" thickBot="1" x14ac:dyDescent="0.25">
      <c r="A274" s="43" t="s">
        <v>14</v>
      </c>
      <c r="B274" s="44" t="s">
        <v>15</v>
      </c>
      <c r="C274" s="44" t="s">
        <v>9</v>
      </c>
      <c r="D274" s="45" t="s">
        <v>16</v>
      </c>
      <c r="E274" s="45" t="s">
        <v>17</v>
      </c>
      <c r="F274" s="46" t="s">
        <v>18</v>
      </c>
      <c r="I274" s="115"/>
      <c r="J274" s="115"/>
    </row>
    <row r="275" spans="1:10" ht="11.25" customHeight="1" x14ac:dyDescent="0.25">
      <c r="A275" s="47" t="s">
        <v>77</v>
      </c>
      <c r="B275" s="48" t="s">
        <v>43</v>
      </c>
      <c r="C275" s="50">
        <v>1</v>
      </c>
      <c r="D275" s="50">
        <f>3*E254/100</f>
        <v>7130.5599000000002</v>
      </c>
      <c r="E275" s="50">
        <f>TRUNC(C275*D275,2)</f>
        <v>7130.55</v>
      </c>
      <c r="G275" s="51"/>
      <c r="I275" s="115"/>
      <c r="J275" s="115"/>
    </row>
    <row r="276" spans="1:10" ht="11.25" customHeight="1" x14ac:dyDescent="0.2">
      <c r="A276" s="27" t="s">
        <v>78</v>
      </c>
      <c r="B276" s="52" t="s">
        <v>43</v>
      </c>
      <c r="C276" s="50">
        <v>1</v>
      </c>
      <c r="D276" s="94">
        <f>(114+50)/2</f>
        <v>82</v>
      </c>
      <c r="E276" s="54">
        <f>TRUNC(C276*D276,2)</f>
        <v>82</v>
      </c>
      <c r="I276" s="115"/>
      <c r="J276" s="115"/>
    </row>
    <row r="277" spans="1:10" ht="11.25" customHeight="1" x14ac:dyDescent="0.2">
      <c r="A277" s="27" t="s">
        <v>79</v>
      </c>
      <c r="B277" s="52" t="s">
        <v>43</v>
      </c>
      <c r="C277" s="50">
        <v>1</v>
      </c>
      <c r="D277" s="94">
        <f>(2000+3500)/2</f>
        <v>2750</v>
      </c>
      <c r="E277" s="54">
        <f>TRUNC(C277*D277,2)</f>
        <v>2750</v>
      </c>
      <c r="F277" s="58"/>
      <c r="I277" s="115"/>
      <c r="J277" s="115"/>
    </row>
    <row r="278" spans="1:10" ht="11.25" customHeight="1" thickBot="1" x14ac:dyDescent="0.25">
      <c r="A278" s="119" t="s">
        <v>80</v>
      </c>
      <c r="B278" s="26" t="s">
        <v>20</v>
      </c>
      <c r="C278" s="26">
        <v>12</v>
      </c>
      <c r="D278" s="28">
        <f>SUM(E275:E277)</f>
        <v>9962.5499999999993</v>
      </c>
      <c r="E278" s="28">
        <f>TRUNC(D278/C278,2)</f>
        <v>830.21</v>
      </c>
      <c r="I278" s="115"/>
      <c r="J278" s="115"/>
    </row>
    <row r="279" spans="1:10" ht="11.25" customHeight="1" thickBot="1" x14ac:dyDescent="0.25">
      <c r="D279" s="62" t="s">
        <v>31</v>
      </c>
      <c r="E279" s="63">
        <f>$B$58</f>
        <v>1</v>
      </c>
      <c r="F279" s="64">
        <f>TRUNC(E278*E279,2)</f>
        <v>830.21</v>
      </c>
      <c r="I279" s="115"/>
      <c r="J279" s="115"/>
    </row>
    <row r="280" spans="1:10" ht="11.25" customHeight="1" x14ac:dyDescent="0.2">
      <c r="I280" s="115"/>
      <c r="J280" s="115"/>
    </row>
    <row r="281" spans="1:10" ht="11.25" customHeight="1" x14ac:dyDescent="0.2">
      <c r="A281" s="1" t="s">
        <v>81</v>
      </c>
      <c r="B281" s="122"/>
      <c r="I281" s="115"/>
      <c r="J281" s="115"/>
    </row>
    <row r="282" spans="1:10" ht="11.25" customHeight="1" x14ac:dyDescent="0.2">
      <c r="B282" s="123" t="s">
        <v>82</v>
      </c>
      <c r="C282" s="26" t="s">
        <v>83</v>
      </c>
      <c r="D282" s="124" t="s">
        <v>84</v>
      </c>
      <c r="I282" s="115"/>
      <c r="J282" s="115"/>
    </row>
    <row r="283" spans="1:10" ht="11.25" customHeight="1" x14ac:dyDescent="0.2">
      <c r="A283" s="119" t="s">
        <v>85</v>
      </c>
      <c r="B283" s="125">
        <v>1000</v>
      </c>
      <c r="C283" s="61">
        <v>2</v>
      </c>
      <c r="D283" s="126">
        <f>B283*C283</f>
        <v>2000</v>
      </c>
      <c r="G283" s="127"/>
      <c r="I283" s="115"/>
      <c r="J283" s="115"/>
    </row>
    <row r="284" spans="1:10" ht="11.25" customHeight="1" thickBot="1" x14ac:dyDescent="0.25">
      <c r="B284" s="122"/>
      <c r="I284" s="115"/>
      <c r="J284" s="115"/>
    </row>
    <row r="285" spans="1:10" ht="11.25" customHeight="1" thickBot="1" x14ac:dyDescent="0.25">
      <c r="A285" s="43" t="s">
        <v>14</v>
      </c>
      <c r="B285" s="44" t="s">
        <v>15</v>
      </c>
      <c r="C285" s="44" t="s">
        <v>86</v>
      </c>
      <c r="D285" s="45" t="s">
        <v>16</v>
      </c>
      <c r="E285" s="45" t="s">
        <v>17</v>
      </c>
      <c r="F285" s="46" t="s">
        <v>18</v>
      </c>
      <c r="I285" s="115"/>
      <c r="J285" s="115"/>
    </row>
    <row r="286" spans="1:10" ht="11.25" customHeight="1" x14ac:dyDescent="0.25">
      <c r="A286" s="47" t="s">
        <v>87</v>
      </c>
      <c r="B286" s="48" t="s">
        <v>88</v>
      </c>
      <c r="C286" s="128">
        <v>4</v>
      </c>
      <c r="D286" s="49">
        <v>5.86</v>
      </c>
      <c r="E286" s="50"/>
      <c r="G286" s="51" t="s">
        <v>205</v>
      </c>
      <c r="H286" s="1" t="s">
        <v>206</v>
      </c>
      <c r="I286" s="115"/>
      <c r="J286" s="115"/>
    </row>
    <row r="287" spans="1:10" ht="11.25" customHeight="1" x14ac:dyDescent="0.2">
      <c r="A287" s="27" t="s">
        <v>89</v>
      </c>
      <c r="B287" s="52" t="s">
        <v>90</v>
      </c>
      <c r="C287" s="83">
        <f>D283</f>
        <v>2000</v>
      </c>
      <c r="D287" s="129">
        <f>D286/C286</f>
        <v>1.4650000000000001</v>
      </c>
      <c r="E287" s="130">
        <f>C287*D287</f>
        <v>2930</v>
      </c>
      <c r="I287" s="115"/>
      <c r="J287" s="115"/>
    </row>
    <row r="288" spans="1:10" ht="11.25" customHeight="1" x14ac:dyDescent="0.2">
      <c r="A288" s="27" t="s">
        <v>91</v>
      </c>
      <c r="B288" s="52" t="s">
        <v>92</v>
      </c>
      <c r="C288" s="131">
        <v>1</v>
      </c>
      <c r="D288" s="121">
        <v>15.99</v>
      </c>
      <c r="E288" s="132"/>
      <c r="F288" s="127"/>
      <c r="G288" s="127"/>
      <c r="I288" s="115"/>
    </row>
    <row r="289" spans="1:10" ht="11.25" customHeight="1" x14ac:dyDescent="0.25">
      <c r="A289" s="27" t="s">
        <v>93</v>
      </c>
      <c r="B289" s="52" t="s">
        <v>90</v>
      </c>
      <c r="C289" s="83">
        <f>C287</f>
        <v>2000</v>
      </c>
      <c r="D289" s="133">
        <f>+C288*D288/1000</f>
        <v>1.5990000000000001E-2</v>
      </c>
      <c r="E289" s="54">
        <f>TRUNC(C289*D289,2)</f>
        <v>31.98</v>
      </c>
      <c r="G289" s="51"/>
      <c r="I289" s="115"/>
      <c r="J289" s="115"/>
    </row>
    <row r="290" spans="1:10" ht="11.25" customHeight="1" thickBot="1" x14ac:dyDescent="0.25">
      <c r="A290" s="119" t="s">
        <v>94</v>
      </c>
      <c r="B290" s="26" t="s">
        <v>95</v>
      </c>
      <c r="C290" s="134"/>
      <c r="D290" s="135">
        <f>IFERROR(D287+D289+#REF!+#REF!+#REF!+#REF!,0)</f>
        <v>0</v>
      </c>
      <c r="E290" s="54"/>
      <c r="I290" s="115"/>
      <c r="J290" s="115"/>
    </row>
    <row r="291" spans="1:10" ht="11.25" customHeight="1" thickBot="1" x14ac:dyDescent="0.25">
      <c r="F291" s="111">
        <f>SUM(E287:E289)</f>
        <v>2961.98</v>
      </c>
      <c r="I291" s="115"/>
      <c r="J291" s="115"/>
    </row>
    <row r="292" spans="1:10" ht="11.25" customHeight="1" x14ac:dyDescent="0.2">
      <c r="I292" s="115"/>
      <c r="J292" s="115"/>
    </row>
    <row r="293" spans="1:10" ht="11.25" customHeight="1" thickBot="1" x14ac:dyDescent="0.25">
      <c r="A293" s="1" t="s">
        <v>96</v>
      </c>
      <c r="I293" s="115"/>
      <c r="J293" s="115"/>
    </row>
    <row r="294" spans="1:10" ht="11.25" customHeight="1" thickBot="1" x14ac:dyDescent="0.25">
      <c r="A294" s="43" t="s">
        <v>14</v>
      </c>
      <c r="B294" s="44" t="s">
        <v>15</v>
      </c>
      <c r="C294" s="44" t="s">
        <v>9</v>
      </c>
      <c r="D294" s="45" t="s">
        <v>16</v>
      </c>
      <c r="E294" s="45" t="s">
        <v>17</v>
      </c>
      <c r="F294" s="46" t="s">
        <v>18</v>
      </c>
      <c r="I294" s="115"/>
      <c r="J294" s="115"/>
    </row>
    <row r="295" spans="1:10" ht="11.25" customHeight="1" thickBot="1" x14ac:dyDescent="0.3">
      <c r="A295" s="47" t="s">
        <v>97</v>
      </c>
      <c r="B295" s="48" t="s">
        <v>95</v>
      </c>
      <c r="C295" s="83">
        <f>C287</f>
        <v>2000</v>
      </c>
      <c r="D295" s="49">
        <f>(1.75+1.1)/2</f>
        <v>1.425</v>
      </c>
      <c r="E295" s="50">
        <f>TRUNC(C295*D295,2)</f>
        <v>2850</v>
      </c>
      <c r="G295" s="51"/>
      <c r="I295" s="115"/>
      <c r="J295" s="115"/>
    </row>
    <row r="296" spans="1:10" ht="11.25" customHeight="1" thickBot="1" x14ac:dyDescent="0.25">
      <c r="F296" s="111">
        <f>E295</f>
        <v>2850</v>
      </c>
      <c r="I296" s="115"/>
      <c r="J296" s="115"/>
    </row>
    <row r="297" spans="1:10" ht="11.25" customHeight="1" x14ac:dyDescent="0.2">
      <c r="I297" s="115"/>
      <c r="J297" s="115"/>
    </row>
    <row r="298" spans="1:10" ht="11.25" customHeight="1" thickBot="1" x14ac:dyDescent="0.25">
      <c r="A298" s="1" t="s">
        <v>98</v>
      </c>
      <c r="I298" s="115"/>
      <c r="J298" s="115"/>
    </row>
    <row r="299" spans="1:10" ht="11.25" customHeight="1" thickBot="1" x14ac:dyDescent="0.25">
      <c r="A299" s="43" t="s">
        <v>14</v>
      </c>
      <c r="B299" s="44" t="s">
        <v>15</v>
      </c>
      <c r="C299" s="44" t="s">
        <v>9</v>
      </c>
      <c r="D299" s="45" t="s">
        <v>16</v>
      </c>
      <c r="E299" s="45" t="s">
        <v>17</v>
      </c>
      <c r="F299" s="46" t="s">
        <v>18</v>
      </c>
      <c r="I299" s="115"/>
      <c r="J299" s="115"/>
    </row>
    <row r="300" spans="1:10" ht="11.25" customHeight="1" x14ac:dyDescent="0.25">
      <c r="A300" s="47" t="s">
        <v>99</v>
      </c>
      <c r="B300" s="48" t="s">
        <v>43</v>
      </c>
      <c r="C300" s="67">
        <v>4</v>
      </c>
      <c r="D300" s="49">
        <f>SUM(850.57+699.9+723.45)/3</f>
        <v>757.97333333333336</v>
      </c>
      <c r="E300" s="50">
        <f>TRUNC(C300*D300,2)</f>
        <v>3031.89</v>
      </c>
      <c r="G300" s="51"/>
      <c r="H300" s="1" t="s">
        <v>275</v>
      </c>
      <c r="I300" s="115"/>
      <c r="J300" s="115"/>
    </row>
    <row r="301" spans="1:10" ht="11.25" customHeight="1" x14ac:dyDescent="0.2">
      <c r="A301" s="47" t="s">
        <v>100</v>
      </c>
      <c r="B301" s="48" t="s">
        <v>43</v>
      </c>
      <c r="C301" s="67">
        <v>2</v>
      </c>
      <c r="D301" s="50"/>
      <c r="E301" s="50"/>
      <c r="I301" s="115"/>
      <c r="J301" s="115"/>
    </row>
    <row r="302" spans="1:10" ht="11.25" customHeight="1" x14ac:dyDescent="0.2">
      <c r="A302" s="47" t="s">
        <v>101</v>
      </c>
      <c r="B302" s="48" t="s">
        <v>43</v>
      </c>
      <c r="C302" s="50">
        <v>12</v>
      </c>
      <c r="D302" s="49">
        <v>109.98</v>
      </c>
      <c r="E302" s="50">
        <f>TRUNC(C302*D302,2)</f>
        <v>1319.76</v>
      </c>
      <c r="I302" s="115"/>
      <c r="J302" s="115"/>
    </row>
    <row r="303" spans="1:10" ht="11.25" customHeight="1" x14ac:dyDescent="0.25">
      <c r="A303" s="27" t="s">
        <v>207</v>
      </c>
      <c r="B303" s="52" t="s">
        <v>102</v>
      </c>
      <c r="C303" s="125">
        <v>55000</v>
      </c>
      <c r="D303" s="54">
        <f>E300+E302</f>
        <v>4351.6499999999996</v>
      </c>
      <c r="E303" s="136">
        <f>IFERROR(D303/C303,"0")</f>
        <v>7.9120909090909089E-2</v>
      </c>
      <c r="G303" s="51"/>
      <c r="I303" s="115"/>
      <c r="J303" s="115"/>
    </row>
    <row r="304" spans="1:10" ht="11.25" customHeight="1" thickBot="1" x14ac:dyDescent="0.25">
      <c r="A304" s="119" t="s">
        <v>103</v>
      </c>
      <c r="B304" s="26" t="s">
        <v>90</v>
      </c>
      <c r="C304" s="134">
        <f>B283</f>
        <v>1000</v>
      </c>
      <c r="D304" s="137">
        <f>E303</f>
        <v>7.9120909090909089E-2</v>
      </c>
      <c r="E304" s="28">
        <f>TRUNC(IFERROR(C304*D304,0),2)</f>
        <v>79.12</v>
      </c>
      <c r="I304" s="115"/>
      <c r="J304" s="115"/>
    </row>
    <row r="305" spans="1:10" ht="11.25" customHeight="1" thickBot="1" x14ac:dyDescent="0.25">
      <c r="F305" s="111">
        <f>E304</f>
        <v>79.12</v>
      </c>
      <c r="I305" s="115"/>
      <c r="J305" s="115"/>
    </row>
    <row r="306" spans="1:10" ht="11.25" hidden="1" customHeight="1" x14ac:dyDescent="0.2">
      <c r="A306" s="1" t="s">
        <v>338</v>
      </c>
      <c r="G306" s="1"/>
    </row>
    <row r="307" spans="1:10" ht="11.25" hidden="1" customHeight="1" x14ac:dyDescent="0.2">
      <c r="G307" s="1"/>
    </row>
    <row r="308" spans="1:10" ht="11.25" hidden="1" customHeight="1" thickBot="1" x14ac:dyDescent="0.25">
      <c r="A308" s="113" t="s">
        <v>217</v>
      </c>
      <c r="G308" s="1"/>
    </row>
    <row r="309" spans="1:10" ht="11.25" hidden="1" customHeight="1" thickBot="1" x14ac:dyDescent="0.25">
      <c r="A309" s="43" t="s">
        <v>14</v>
      </c>
      <c r="B309" s="44" t="s">
        <v>15</v>
      </c>
      <c r="C309" s="44" t="s">
        <v>9</v>
      </c>
      <c r="D309" s="45" t="s">
        <v>16</v>
      </c>
      <c r="E309" s="45" t="s">
        <v>17</v>
      </c>
      <c r="F309" s="46" t="s">
        <v>18</v>
      </c>
      <c r="G309" s="1"/>
    </row>
    <row r="310" spans="1:10" ht="11.25" hidden="1" customHeight="1" x14ac:dyDescent="0.2">
      <c r="A310" s="47" t="s">
        <v>214</v>
      </c>
      <c r="B310" s="48" t="s">
        <v>43</v>
      </c>
      <c r="C310" s="244">
        <f>C316</f>
        <v>0</v>
      </c>
      <c r="D310" s="49">
        <f>(84115+89692+90802)/3</f>
        <v>88203</v>
      </c>
      <c r="E310" s="50">
        <f>TRUNC(C316*D310,2)</f>
        <v>0</v>
      </c>
      <c r="G310" s="1"/>
      <c r="H310" s="1" t="s">
        <v>275</v>
      </c>
    </row>
    <row r="311" spans="1:10" ht="11.25" hidden="1" customHeight="1" x14ac:dyDescent="0.2">
      <c r="A311" s="27" t="s">
        <v>64</v>
      </c>
      <c r="B311" s="52" t="s">
        <v>65</v>
      </c>
      <c r="C311" s="55">
        <v>10</v>
      </c>
      <c r="D311" s="54"/>
      <c r="E311" s="54"/>
      <c r="G311" s="1"/>
    </row>
    <row r="312" spans="1:10" ht="11.25" hidden="1" customHeight="1" x14ac:dyDescent="0.2">
      <c r="A312" s="27" t="s">
        <v>66</v>
      </c>
      <c r="B312" s="52" t="s">
        <v>65</v>
      </c>
      <c r="C312" s="55">
        <v>0</v>
      </c>
      <c r="D312" s="54"/>
      <c r="E312" s="54"/>
      <c r="F312" s="114"/>
      <c r="G312" s="1"/>
    </row>
    <row r="313" spans="1:10" ht="11.25" hidden="1" customHeight="1" x14ac:dyDescent="0.2">
      <c r="A313" s="27" t="s">
        <v>67</v>
      </c>
      <c r="B313" s="52" t="s">
        <v>6</v>
      </c>
      <c r="C313" s="60">
        <v>65.180000000000007</v>
      </c>
      <c r="D313" s="54">
        <f>E310</f>
        <v>0</v>
      </c>
      <c r="E313" s="54">
        <f>TRUNC(C313*D313/100,2)</f>
        <v>0</v>
      </c>
      <c r="G313" s="1"/>
    </row>
    <row r="314" spans="1:10" ht="11.25" hidden="1" customHeight="1" thickBot="1" x14ac:dyDescent="0.25">
      <c r="A314" s="116" t="s">
        <v>212</v>
      </c>
      <c r="B314" s="117" t="s">
        <v>20</v>
      </c>
      <c r="C314" s="117">
        <f>C311*12</f>
        <v>120</v>
      </c>
      <c r="D314" s="118">
        <f>IF(C312&lt;=C311,E313,0)</f>
        <v>0</v>
      </c>
      <c r="E314" s="118">
        <f>TRUNC(IFERROR(D314/C314,0),2)</f>
        <v>0</v>
      </c>
      <c r="G314" s="1"/>
    </row>
    <row r="315" spans="1:10" ht="11.25" hidden="1" customHeight="1" thickTop="1" x14ac:dyDescent="0.2">
      <c r="A315" s="56"/>
      <c r="B315" s="57"/>
      <c r="C315" s="57"/>
      <c r="D315" s="58"/>
      <c r="E315" s="59">
        <f>TRUNC(E314,2)</f>
        <v>0</v>
      </c>
      <c r="G315" s="1"/>
    </row>
    <row r="316" spans="1:10" ht="11.25" hidden="1" customHeight="1" thickBot="1" x14ac:dyDescent="0.25">
      <c r="A316" s="119" t="s">
        <v>68</v>
      </c>
      <c r="B316" s="26" t="s">
        <v>43</v>
      </c>
      <c r="C316" s="245">
        <f>E55</f>
        <v>0</v>
      </c>
      <c r="D316" s="28">
        <f>E315</f>
        <v>0</v>
      </c>
      <c r="E316" s="59">
        <f>TRUNC(C316*D316,2)</f>
        <v>0</v>
      </c>
      <c r="G316" s="1"/>
    </row>
    <row r="317" spans="1:10" ht="11.25" hidden="1" customHeight="1" thickBot="1" x14ac:dyDescent="0.25">
      <c r="A317" s="71"/>
      <c r="B317" s="71"/>
      <c r="C317" s="71"/>
      <c r="D317" s="62" t="s">
        <v>31</v>
      </c>
      <c r="E317" s="63">
        <v>1</v>
      </c>
      <c r="F317" s="111">
        <f>TRUNC(E316*E317,2)</f>
        <v>0</v>
      </c>
      <c r="G317" s="1"/>
    </row>
    <row r="318" spans="1:10" ht="11.25" hidden="1" customHeight="1" x14ac:dyDescent="0.2">
      <c r="G318" s="1"/>
    </row>
    <row r="319" spans="1:10" ht="11.25" hidden="1" customHeight="1" thickBot="1" x14ac:dyDescent="0.25">
      <c r="A319" s="113" t="s">
        <v>218</v>
      </c>
      <c r="G319" s="1"/>
    </row>
    <row r="320" spans="1:10" ht="11.25" hidden="1" customHeight="1" thickBot="1" x14ac:dyDescent="0.25">
      <c r="A320" s="45" t="s">
        <v>14</v>
      </c>
      <c r="B320" s="45" t="s">
        <v>15</v>
      </c>
      <c r="C320" s="45" t="s">
        <v>9</v>
      </c>
      <c r="D320" s="45" t="s">
        <v>16</v>
      </c>
      <c r="E320" s="45" t="s">
        <v>17</v>
      </c>
      <c r="F320" s="45" t="s">
        <v>18</v>
      </c>
      <c r="G320" s="1"/>
    </row>
    <row r="321" spans="1:7" ht="11.25" hidden="1" customHeight="1" x14ac:dyDescent="0.2">
      <c r="A321" s="27" t="s">
        <v>70</v>
      </c>
      <c r="B321" s="52" t="s">
        <v>43</v>
      </c>
      <c r="C321" s="48">
        <f>C310</f>
        <v>0</v>
      </c>
      <c r="D321" s="54">
        <f>D310</f>
        <v>88203</v>
      </c>
      <c r="E321" s="54">
        <f>TRUNC(C321*D321,2)</f>
        <v>0</v>
      </c>
      <c r="F321" s="114"/>
      <c r="G321" s="1"/>
    </row>
    <row r="322" spans="1:7" ht="11.25" hidden="1" customHeight="1" x14ac:dyDescent="0.2">
      <c r="A322" s="27" t="s">
        <v>71</v>
      </c>
      <c r="B322" s="52" t="s">
        <v>6</v>
      </c>
      <c r="C322" s="53">
        <v>12.75</v>
      </c>
      <c r="D322" s="54"/>
      <c r="E322" s="54"/>
      <c r="F322" s="114"/>
      <c r="G322" s="1"/>
    </row>
    <row r="323" spans="1:7" ht="11.25" hidden="1" customHeight="1" x14ac:dyDescent="0.2">
      <c r="A323" s="27" t="s">
        <v>72</v>
      </c>
      <c r="B323" s="52" t="s">
        <v>25</v>
      </c>
      <c r="C323" s="120">
        <f>IFERROR(IF(C312&lt;=C311,E310-(C313/(100*C311)*C312)*E310,E310-E313),0)</f>
        <v>0</v>
      </c>
      <c r="D323" s="54"/>
      <c r="E323" s="54"/>
      <c r="F323" s="114"/>
      <c r="G323" s="1"/>
    </row>
    <row r="324" spans="1:7" ht="11.25" hidden="1" customHeight="1" x14ac:dyDescent="0.2">
      <c r="A324" s="27" t="s">
        <v>73</v>
      </c>
      <c r="B324" s="52" t="s">
        <v>25</v>
      </c>
      <c r="C324" s="54">
        <f>IFERROR(IF(C312&gt;=C311,C323,((((C323)-(E310-E313))*(((C311-C312)+1)/(2*(C311-C312))))+(E310-E313))),0)</f>
        <v>0</v>
      </c>
      <c r="D324" s="54"/>
      <c r="E324" s="54"/>
      <c r="F324" s="114"/>
      <c r="G324" s="1"/>
    </row>
    <row r="325" spans="1:7" s="1" customFormat="1" ht="15.75" hidden="1" thickBot="1" x14ac:dyDescent="0.25">
      <c r="A325" s="116" t="s">
        <v>213</v>
      </c>
      <c r="B325" s="117" t="s">
        <v>25</v>
      </c>
      <c r="C325" s="117"/>
      <c r="D325" s="118">
        <f>C322*C324/12/100</f>
        <v>0</v>
      </c>
      <c r="E325" s="118">
        <f>TRUNC(D325,2)</f>
        <v>0</v>
      </c>
      <c r="F325" s="114"/>
    </row>
    <row r="326" spans="1:7" ht="11.25" hidden="1" customHeight="1" thickTop="1" thickBot="1" x14ac:dyDescent="0.25">
      <c r="A326" s="119" t="s">
        <v>75</v>
      </c>
      <c r="B326" s="26" t="s">
        <v>43</v>
      </c>
      <c r="C326" s="52">
        <f>C316</f>
        <v>0</v>
      </c>
      <c r="D326" s="28">
        <f>D325</f>
        <v>0</v>
      </c>
      <c r="E326" s="59">
        <f>E325</f>
        <v>0</v>
      </c>
      <c r="F326" s="114"/>
      <c r="G326" s="1"/>
    </row>
    <row r="327" spans="1:7" s="1" customFormat="1" ht="15.75" hidden="1" thickBot="1" x14ac:dyDescent="0.25">
      <c r="C327" s="90"/>
      <c r="D327" s="62" t="s">
        <v>31</v>
      </c>
      <c r="E327" s="63">
        <v>1</v>
      </c>
      <c r="F327" s="111">
        <f>TRUNC(E326*E327,2)</f>
        <v>0</v>
      </c>
    </row>
    <row r="328" spans="1:7" ht="11.25" hidden="1" customHeight="1" x14ac:dyDescent="0.2">
      <c r="G328" s="1"/>
    </row>
    <row r="329" spans="1:7" s="1" customFormat="1" ht="15.75" hidden="1" thickBot="1" x14ac:dyDescent="0.25">
      <c r="A329" s="1" t="s">
        <v>219</v>
      </c>
      <c r="D329" s="2"/>
      <c r="E329" s="2"/>
      <c r="F329" s="2"/>
    </row>
    <row r="330" spans="1:7" ht="15.75" hidden="1" thickBot="1" x14ac:dyDescent="0.25">
      <c r="A330" s="43" t="s">
        <v>14</v>
      </c>
      <c r="B330" s="44" t="s">
        <v>15</v>
      </c>
      <c r="C330" s="44" t="s">
        <v>9</v>
      </c>
      <c r="D330" s="45" t="s">
        <v>16</v>
      </c>
      <c r="E330" s="45" t="s">
        <v>17</v>
      </c>
      <c r="F330" s="46" t="s">
        <v>18</v>
      </c>
      <c r="G330" s="1"/>
    </row>
    <row r="331" spans="1:7" hidden="1" x14ac:dyDescent="0.2">
      <c r="A331" s="47" t="s">
        <v>77</v>
      </c>
      <c r="B331" s="48" t="s">
        <v>43</v>
      </c>
      <c r="C331" s="50">
        <f>C316</f>
        <v>0</v>
      </c>
      <c r="D331" s="50">
        <f>E310*3/100</f>
        <v>0</v>
      </c>
      <c r="E331" s="50">
        <f>TRUNC(C331*D331,2)</f>
        <v>0</v>
      </c>
      <c r="G331" s="1"/>
    </row>
    <row r="332" spans="1:7" hidden="1" x14ac:dyDescent="0.2">
      <c r="A332" s="27" t="s">
        <v>78</v>
      </c>
      <c r="B332" s="52" t="s">
        <v>43</v>
      </c>
      <c r="C332" s="50">
        <f>C331</f>
        <v>0</v>
      </c>
      <c r="D332" s="94">
        <f>114*C332</f>
        <v>0</v>
      </c>
      <c r="E332" s="54">
        <f>TRUNC(C332*D332,2)</f>
        <v>0</v>
      </c>
      <c r="G332" s="1"/>
    </row>
    <row r="333" spans="1:7" hidden="1" x14ac:dyDescent="0.2">
      <c r="A333" s="27" t="s">
        <v>79</v>
      </c>
      <c r="B333" s="52" t="s">
        <v>43</v>
      </c>
      <c r="C333" s="50">
        <f>C331</f>
        <v>0</v>
      </c>
      <c r="D333" s="94">
        <f>1937.48*C333</f>
        <v>0</v>
      </c>
      <c r="E333" s="54">
        <f>TRUNC(C333*D333,2)</f>
        <v>0</v>
      </c>
      <c r="F333" s="58"/>
      <c r="G333" s="1"/>
    </row>
    <row r="334" spans="1:7" ht="15.75" hidden="1" thickBot="1" x14ac:dyDescent="0.25">
      <c r="A334" s="119" t="s">
        <v>80</v>
      </c>
      <c r="B334" s="26" t="s">
        <v>20</v>
      </c>
      <c r="C334" s="26">
        <v>12</v>
      </c>
      <c r="D334" s="28">
        <f>SUM(E331:E333)</f>
        <v>0</v>
      </c>
      <c r="E334" s="28">
        <f>TRUNC(D334/C334,2)</f>
        <v>0</v>
      </c>
      <c r="G334" s="1"/>
    </row>
    <row r="335" spans="1:7" ht="15.75" hidden="1" thickBot="1" x14ac:dyDescent="0.25">
      <c r="D335" s="62" t="s">
        <v>31</v>
      </c>
      <c r="E335" s="63">
        <f>$B$58</f>
        <v>1</v>
      </c>
      <c r="F335" s="64">
        <f>TRUNC(E334*E335,2)</f>
        <v>0</v>
      </c>
      <c r="G335" s="1"/>
    </row>
    <row r="336" spans="1:7" hidden="1" x14ac:dyDescent="0.2">
      <c r="G336" s="1"/>
    </row>
    <row r="337" spans="1:9" hidden="1" x14ac:dyDescent="0.2">
      <c r="A337" s="1" t="s">
        <v>220</v>
      </c>
      <c r="B337" s="122"/>
      <c r="G337" s="1"/>
    </row>
    <row r="338" spans="1:9" hidden="1" x14ac:dyDescent="0.2">
      <c r="B338" s="123" t="s">
        <v>82</v>
      </c>
      <c r="C338" s="26" t="s">
        <v>83</v>
      </c>
      <c r="D338" s="124" t="s">
        <v>84</v>
      </c>
      <c r="G338" s="1"/>
    </row>
    <row r="339" spans="1:9" hidden="1" x14ac:dyDescent="0.2">
      <c r="A339" s="119" t="s">
        <v>85</v>
      </c>
      <c r="B339" s="125">
        <v>1000</v>
      </c>
      <c r="C339" s="61">
        <f>C316</f>
        <v>0</v>
      </c>
      <c r="D339" s="126">
        <f>B339*C339</f>
        <v>0</v>
      </c>
      <c r="G339" s="1"/>
    </row>
    <row r="340" spans="1:9" ht="15.75" hidden="1" thickBot="1" x14ac:dyDescent="0.25">
      <c r="B340" s="122"/>
      <c r="G340" s="1"/>
    </row>
    <row r="341" spans="1:9" ht="15.75" hidden="1" thickBot="1" x14ac:dyDescent="0.25">
      <c r="A341" s="43" t="s">
        <v>14</v>
      </c>
      <c r="B341" s="44" t="s">
        <v>15</v>
      </c>
      <c r="C341" s="44" t="s">
        <v>86</v>
      </c>
      <c r="D341" s="45" t="s">
        <v>16</v>
      </c>
      <c r="E341" s="45" t="s">
        <v>17</v>
      </c>
      <c r="F341" s="46" t="s">
        <v>18</v>
      </c>
      <c r="G341" s="1"/>
    </row>
    <row r="342" spans="1:9" hidden="1" x14ac:dyDescent="0.25">
      <c r="A342" s="47" t="s">
        <v>208</v>
      </c>
      <c r="B342" s="48" t="s">
        <v>88</v>
      </c>
      <c r="C342" s="128">
        <v>10</v>
      </c>
      <c r="D342" s="49">
        <v>6.2</v>
      </c>
      <c r="E342" s="50"/>
      <c r="G342" s="51" t="s">
        <v>205</v>
      </c>
      <c r="H342" s="1" t="s">
        <v>206</v>
      </c>
      <c r="I342" s="115"/>
    </row>
    <row r="343" spans="1:9" hidden="1" x14ac:dyDescent="0.2">
      <c r="A343" s="27" t="s">
        <v>209</v>
      </c>
      <c r="B343" s="52" t="s">
        <v>90</v>
      </c>
      <c r="C343" s="83">
        <f>B339</f>
        <v>1000</v>
      </c>
      <c r="D343" s="129">
        <f>D342/C342</f>
        <v>0.62</v>
      </c>
      <c r="E343" s="130">
        <f>C343*D343</f>
        <v>620</v>
      </c>
      <c r="G343" s="1"/>
    </row>
    <row r="344" spans="1:9" hidden="1" x14ac:dyDescent="0.2">
      <c r="A344" s="27" t="s">
        <v>210</v>
      </c>
      <c r="B344" s="52" t="s">
        <v>92</v>
      </c>
      <c r="C344" s="131">
        <v>1</v>
      </c>
      <c r="D344" s="121">
        <v>25</v>
      </c>
      <c r="E344" s="132"/>
      <c r="F344" s="127"/>
      <c r="G344" s="1"/>
    </row>
    <row r="345" spans="1:9" hidden="1" x14ac:dyDescent="0.2">
      <c r="A345" s="27" t="s">
        <v>93</v>
      </c>
      <c r="B345" s="52" t="s">
        <v>90</v>
      </c>
      <c r="C345" s="83">
        <f>C343</f>
        <v>1000</v>
      </c>
      <c r="D345" s="133">
        <f>+C344*D344/1000</f>
        <v>2.5000000000000001E-2</v>
      </c>
      <c r="E345" s="54">
        <f>TRUNC(C345*D345,2)</f>
        <v>25</v>
      </c>
      <c r="G345" s="1"/>
    </row>
    <row r="346" spans="1:9" ht="15.75" hidden="1" thickBot="1" x14ac:dyDescent="0.25">
      <c r="A346" s="119" t="s">
        <v>94</v>
      </c>
      <c r="B346" s="26" t="s">
        <v>95</v>
      </c>
      <c r="C346" s="134"/>
      <c r="D346" s="135">
        <f>IFERROR(D343+D345,0)</f>
        <v>0.64500000000000002</v>
      </c>
      <c r="E346" s="54"/>
      <c r="G346" s="1"/>
    </row>
    <row r="347" spans="1:9" ht="15.75" hidden="1" thickBot="1" x14ac:dyDescent="0.25">
      <c r="F347" s="111">
        <f>SUM(E343:E345)</f>
        <v>645</v>
      </c>
      <c r="G347" s="1"/>
    </row>
    <row r="348" spans="1:9" hidden="1" x14ac:dyDescent="0.2">
      <c r="G348" s="1"/>
    </row>
    <row r="349" spans="1:9" ht="15.75" hidden="1" thickBot="1" x14ac:dyDescent="0.25">
      <c r="A349" s="1" t="s">
        <v>221</v>
      </c>
      <c r="G349" s="1"/>
    </row>
    <row r="350" spans="1:9" ht="15.75" hidden="1" thickBot="1" x14ac:dyDescent="0.25">
      <c r="A350" s="43" t="s">
        <v>14</v>
      </c>
      <c r="B350" s="44" t="s">
        <v>15</v>
      </c>
      <c r="C350" s="44" t="s">
        <v>9</v>
      </c>
      <c r="D350" s="45" t="s">
        <v>16</v>
      </c>
      <c r="E350" s="45" t="s">
        <v>17</v>
      </c>
      <c r="F350" s="46" t="s">
        <v>18</v>
      </c>
      <c r="G350" s="1"/>
    </row>
    <row r="351" spans="1:9" ht="15.75" hidden="1" thickBot="1" x14ac:dyDescent="0.25">
      <c r="A351" s="47" t="s">
        <v>97</v>
      </c>
      <c r="B351" s="48" t="s">
        <v>95</v>
      </c>
      <c r="C351" s="83">
        <f>C343</f>
        <v>1000</v>
      </c>
      <c r="D351" s="49">
        <f>(1.75+1.1)/2</f>
        <v>1.425</v>
      </c>
      <c r="E351" s="50">
        <f>TRUNC(C351*D351,2)</f>
        <v>1425</v>
      </c>
      <c r="G351" s="1"/>
    </row>
    <row r="352" spans="1:9" ht="15.75" hidden="1" thickBot="1" x14ac:dyDescent="0.25">
      <c r="F352" s="111">
        <f>E351</f>
        <v>1425</v>
      </c>
      <c r="G352" s="1"/>
    </row>
    <row r="353" spans="1:8" hidden="1" x14ac:dyDescent="0.2">
      <c r="G353" s="1"/>
    </row>
    <row r="354" spans="1:8" s="1" customFormat="1" ht="15.75" hidden="1" thickBot="1" x14ac:dyDescent="0.25">
      <c r="A354" s="1" t="s">
        <v>222</v>
      </c>
      <c r="D354" s="2"/>
      <c r="E354" s="2"/>
      <c r="F354" s="2"/>
    </row>
    <row r="355" spans="1:8" ht="11.25" hidden="1" customHeight="1" thickBot="1" x14ac:dyDescent="0.25">
      <c r="A355" s="43" t="s">
        <v>14</v>
      </c>
      <c r="B355" s="44" t="s">
        <v>15</v>
      </c>
      <c r="C355" s="44" t="s">
        <v>9</v>
      </c>
      <c r="D355" s="45" t="s">
        <v>16</v>
      </c>
      <c r="E355" s="45" t="s">
        <v>17</v>
      </c>
      <c r="F355" s="46" t="s">
        <v>18</v>
      </c>
      <c r="G355" s="1"/>
    </row>
    <row r="356" spans="1:8" s="1" customFormat="1" hidden="1" x14ac:dyDescent="0.2">
      <c r="A356" s="47" t="s">
        <v>99</v>
      </c>
      <c r="B356" s="48" t="s">
        <v>43</v>
      </c>
      <c r="C356" s="67">
        <f>C316*4</f>
        <v>0</v>
      </c>
      <c r="D356" s="49">
        <f>SUM(420.8+436.91+366.57)/3</f>
        <v>408.09333333333331</v>
      </c>
      <c r="E356" s="50">
        <f>TRUNC(C356*D356,2)</f>
        <v>0</v>
      </c>
      <c r="F356" s="2"/>
      <c r="H356" s="1" t="s">
        <v>275</v>
      </c>
    </row>
    <row r="357" spans="1:8" ht="11.25" hidden="1" customHeight="1" x14ac:dyDescent="0.2">
      <c r="A357" s="27" t="s">
        <v>211</v>
      </c>
      <c r="B357" s="52" t="s">
        <v>102</v>
      </c>
      <c r="C357" s="125">
        <v>40000</v>
      </c>
      <c r="D357" s="54">
        <f>E356</f>
        <v>0</v>
      </c>
      <c r="E357" s="136">
        <f>IFERROR(D357/C357,"0")</f>
        <v>0</v>
      </c>
      <c r="G357" s="1"/>
    </row>
    <row r="358" spans="1:8" ht="11.25" hidden="1" customHeight="1" thickBot="1" x14ac:dyDescent="0.25">
      <c r="A358" s="119" t="s">
        <v>103</v>
      </c>
      <c r="B358" s="26" t="s">
        <v>90</v>
      </c>
      <c r="C358" s="134">
        <f>B339</f>
        <v>1000</v>
      </c>
      <c r="D358" s="137">
        <f>E357</f>
        <v>0</v>
      </c>
      <c r="E358" s="28">
        <f>TRUNC(IFERROR(C358*D358,0),2)</f>
        <v>0</v>
      </c>
      <c r="G358" s="1"/>
    </row>
    <row r="359" spans="1:8" ht="11.25" hidden="1" customHeight="1" thickBot="1" x14ac:dyDescent="0.25">
      <c r="F359" s="111">
        <f>E358</f>
        <v>0</v>
      </c>
      <c r="G359" s="1"/>
    </row>
    <row r="360" spans="1:8" ht="11.25" customHeight="1" x14ac:dyDescent="0.2">
      <c r="G360" s="1"/>
    </row>
    <row r="361" spans="1:8" ht="11.25" customHeight="1" x14ac:dyDescent="0.2">
      <c r="G361" s="1"/>
    </row>
    <row r="362" spans="1:8" ht="11.25" customHeight="1" thickBot="1" x14ac:dyDescent="0.25">
      <c r="G362" s="1"/>
    </row>
    <row r="363" spans="1:8" ht="11.25" customHeight="1" thickBot="1" x14ac:dyDescent="0.25">
      <c r="A363" s="97" t="s">
        <v>104</v>
      </c>
      <c r="B363" s="98"/>
      <c r="C363" s="98"/>
      <c r="D363" s="99"/>
      <c r="E363" s="100"/>
      <c r="F363" s="111">
        <f>SUM(F254:F359)</f>
        <v>12692.66</v>
      </c>
      <c r="G363" s="1"/>
    </row>
    <row r="364" spans="1:8" ht="11.25" customHeight="1" x14ac:dyDescent="0.2">
      <c r="G364" s="1"/>
    </row>
    <row r="365" spans="1:8" ht="11.25" customHeight="1" x14ac:dyDescent="0.2">
      <c r="A365" s="16" t="s">
        <v>105</v>
      </c>
      <c r="B365" s="16"/>
      <c r="C365" s="16"/>
      <c r="D365" s="15"/>
      <c r="E365" s="15"/>
      <c r="F365" s="58"/>
      <c r="G365" s="1"/>
    </row>
    <row r="366" spans="1:8" ht="11.25" customHeight="1" thickBot="1" x14ac:dyDescent="0.25">
      <c r="G366" s="1"/>
    </row>
    <row r="367" spans="1:8" ht="11.25" customHeight="1" thickBot="1" x14ac:dyDescent="0.25">
      <c r="A367" s="43" t="s">
        <v>14</v>
      </c>
      <c r="B367" s="44" t="s">
        <v>15</v>
      </c>
      <c r="C367" s="44" t="s">
        <v>9</v>
      </c>
      <c r="D367" s="45" t="s">
        <v>16</v>
      </c>
      <c r="E367" s="45" t="s">
        <v>17</v>
      </c>
      <c r="F367" s="46" t="s">
        <v>18</v>
      </c>
      <c r="G367" s="1"/>
    </row>
    <row r="368" spans="1:8" ht="15.75" customHeight="1" x14ac:dyDescent="0.25">
      <c r="A368" s="250" t="s">
        <v>223</v>
      </c>
      <c r="B368" s="251" t="s">
        <v>15</v>
      </c>
      <c r="C368" s="252">
        <v>3</v>
      </c>
      <c r="D368" s="253">
        <f>SUM(46.82+29.64+43.64+43.26)/4</f>
        <v>40.840000000000003</v>
      </c>
      <c r="E368" s="54">
        <f t="shared" ref="E368:E399" si="10">TRUNC(C368*D368,2)</f>
        <v>122.52</v>
      </c>
      <c r="F368" s="114"/>
      <c r="G368" s="51"/>
      <c r="H368" s="1" t="s">
        <v>275</v>
      </c>
    </row>
    <row r="369" spans="1:8" ht="11.25" customHeight="1" x14ac:dyDescent="0.25">
      <c r="A369" s="250" t="s">
        <v>224</v>
      </c>
      <c r="B369" s="251" t="s">
        <v>15</v>
      </c>
      <c r="C369" s="252">
        <v>18</v>
      </c>
      <c r="D369" s="253">
        <f>(4.49+7.9+7.89)/3</f>
        <v>6.7600000000000007</v>
      </c>
      <c r="E369" s="54">
        <f t="shared" si="10"/>
        <v>121.68</v>
      </c>
      <c r="F369" s="114"/>
      <c r="G369" s="51"/>
      <c r="H369" s="1" t="s">
        <v>275</v>
      </c>
    </row>
    <row r="370" spans="1:8" ht="11.25" customHeight="1" x14ac:dyDescent="0.2">
      <c r="A370" s="259" t="s">
        <v>225</v>
      </c>
      <c r="B370" s="251" t="s">
        <v>15</v>
      </c>
      <c r="C370" s="252">
        <v>18</v>
      </c>
      <c r="D370" s="253">
        <f>SUM(15.99+37.9+28.5)/3</f>
        <v>27.463333333333335</v>
      </c>
      <c r="E370" s="54">
        <f t="shared" si="10"/>
        <v>494.34</v>
      </c>
      <c r="F370" s="114"/>
      <c r="G370" s="138"/>
      <c r="H370" s="1" t="s">
        <v>275</v>
      </c>
    </row>
    <row r="371" spans="1:8" x14ac:dyDescent="0.2">
      <c r="A371" s="250" t="s">
        <v>106</v>
      </c>
      <c r="B371" s="251" t="s">
        <v>15</v>
      </c>
      <c r="C371" s="252">
        <v>3</v>
      </c>
      <c r="D371" s="253">
        <f>(54.32+24.74+35.44)/3</f>
        <v>38.166666666666664</v>
      </c>
      <c r="E371" s="54">
        <f t="shared" si="10"/>
        <v>114.5</v>
      </c>
      <c r="F371" s="114"/>
      <c r="G371" s="138"/>
      <c r="H371" s="1" t="s">
        <v>275</v>
      </c>
    </row>
    <row r="372" spans="1:8" ht="11.25" customHeight="1" x14ac:dyDescent="0.2">
      <c r="A372" s="259" t="s">
        <v>268</v>
      </c>
      <c r="B372" s="260" t="s">
        <v>15</v>
      </c>
      <c r="C372" s="252">
        <v>2</v>
      </c>
      <c r="D372" s="253">
        <f>(29.93+29.9+29.61+13.07+29.49)/5</f>
        <v>26.4</v>
      </c>
      <c r="E372" s="54">
        <f t="shared" si="10"/>
        <v>52.8</v>
      </c>
      <c r="F372" s="114"/>
      <c r="G372" s="138"/>
      <c r="H372" s="1" t="s">
        <v>275</v>
      </c>
    </row>
    <row r="373" spans="1:8" ht="11.25" customHeight="1" x14ac:dyDescent="0.2">
      <c r="A373" s="259" t="s">
        <v>299</v>
      </c>
      <c r="B373" s="260" t="s">
        <v>15</v>
      </c>
      <c r="C373" s="252">
        <v>60</v>
      </c>
      <c r="D373" s="253">
        <f>SUM(3.5+1.02+2.46)/3</f>
        <v>2.3266666666666667</v>
      </c>
      <c r="E373" s="54">
        <f t="shared" si="10"/>
        <v>139.6</v>
      </c>
      <c r="F373" s="114"/>
      <c r="G373" s="138"/>
      <c r="H373" s="1" t="s">
        <v>275</v>
      </c>
    </row>
    <row r="374" spans="1:8" x14ac:dyDescent="0.2">
      <c r="A374" s="250" t="s">
        <v>226</v>
      </c>
      <c r="B374" s="251" t="s">
        <v>15</v>
      </c>
      <c r="C374" s="252">
        <v>3</v>
      </c>
      <c r="D374" s="253">
        <f>(51.12+65.9+49.68)/3</f>
        <v>55.56666666666667</v>
      </c>
      <c r="E374" s="54">
        <f t="shared" si="10"/>
        <v>166.7</v>
      </c>
      <c r="F374" s="114"/>
      <c r="G374" s="138"/>
      <c r="H374" s="1" t="s">
        <v>275</v>
      </c>
    </row>
    <row r="375" spans="1:8" x14ac:dyDescent="0.2">
      <c r="A375" s="259" t="s">
        <v>261</v>
      </c>
      <c r="B375" s="260" t="s">
        <v>15</v>
      </c>
      <c r="C375" s="252">
        <v>12</v>
      </c>
      <c r="D375" s="253">
        <f>(3.3+2.43+5.5)/3</f>
        <v>3.7433333333333336</v>
      </c>
      <c r="E375" s="54">
        <f t="shared" si="10"/>
        <v>44.92</v>
      </c>
      <c r="F375" s="114"/>
      <c r="G375" s="138"/>
      <c r="H375" s="1" t="s">
        <v>275</v>
      </c>
    </row>
    <row r="376" spans="1:8" x14ac:dyDescent="0.2">
      <c r="A376" s="259" t="s">
        <v>262</v>
      </c>
      <c r="B376" s="260" t="s">
        <v>15</v>
      </c>
      <c r="C376" s="252">
        <v>12</v>
      </c>
      <c r="D376" s="253">
        <f>(3.9+8.21+6.1)/3</f>
        <v>6.07</v>
      </c>
      <c r="E376" s="54">
        <f t="shared" si="10"/>
        <v>72.84</v>
      </c>
      <c r="F376" s="114"/>
      <c r="G376" s="138"/>
      <c r="H376" s="1" t="s">
        <v>275</v>
      </c>
    </row>
    <row r="377" spans="1:8" x14ac:dyDescent="0.2">
      <c r="A377" s="259" t="s">
        <v>263</v>
      </c>
      <c r="B377" s="260" t="s">
        <v>15</v>
      </c>
      <c r="C377" s="252">
        <v>12</v>
      </c>
      <c r="D377" s="253">
        <f>(16.06+10.15+8.62)/3</f>
        <v>11.61</v>
      </c>
      <c r="E377" s="54">
        <f t="shared" si="10"/>
        <v>139.32</v>
      </c>
      <c r="F377" s="114"/>
      <c r="G377" s="138"/>
      <c r="H377" s="1" t="s">
        <v>275</v>
      </c>
    </row>
    <row r="378" spans="1:8" ht="11.25" customHeight="1" x14ac:dyDescent="0.2">
      <c r="A378" s="259" t="s">
        <v>264</v>
      </c>
      <c r="B378" s="260" t="s">
        <v>15</v>
      </c>
      <c r="C378" s="252">
        <v>6</v>
      </c>
      <c r="D378" s="253">
        <f>(15.79+28.25+14.59)/3</f>
        <v>19.543333333333333</v>
      </c>
      <c r="E378" s="54">
        <f t="shared" si="10"/>
        <v>117.26</v>
      </c>
      <c r="F378" s="114"/>
      <c r="G378" s="138"/>
      <c r="H378" s="1" t="s">
        <v>275</v>
      </c>
    </row>
    <row r="379" spans="1:8" x14ac:dyDescent="0.2">
      <c r="A379" s="259" t="s">
        <v>265</v>
      </c>
      <c r="B379" s="260" t="s">
        <v>15</v>
      </c>
      <c r="C379" s="252">
        <v>6</v>
      </c>
      <c r="D379" s="253">
        <f>(26.5+6.76+20.9)/3</f>
        <v>18.053333333333331</v>
      </c>
      <c r="E379" s="54">
        <f t="shared" si="10"/>
        <v>108.32</v>
      </c>
      <c r="F379" s="114"/>
      <c r="G379" s="138"/>
      <c r="H379" s="1" t="s">
        <v>275</v>
      </c>
    </row>
    <row r="380" spans="1:8" x14ac:dyDescent="0.2">
      <c r="A380" s="259" t="s">
        <v>266</v>
      </c>
      <c r="B380" s="260" t="s">
        <v>15</v>
      </c>
      <c r="C380" s="252">
        <v>6</v>
      </c>
      <c r="D380" s="253">
        <f>(11.99+18.99+37.99)/3</f>
        <v>22.99</v>
      </c>
      <c r="E380" s="54">
        <f t="shared" si="10"/>
        <v>137.94</v>
      </c>
      <c r="F380" s="114"/>
      <c r="G380" s="138"/>
      <c r="H380" s="1" t="s">
        <v>275</v>
      </c>
    </row>
    <row r="381" spans="1:8" x14ac:dyDescent="0.2">
      <c r="A381" s="259" t="s">
        <v>269</v>
      </c>
      <c r="B381" s="260" t="s">
        <v>15</v>
      </c>
      <c r="C381" s="252">
        <v>12</v>
      </c>
      <c r="D381" s="253">
        <f>(7.9+18.84+12.9)/3</f>
        <v>13.213333333333333</v>
      </c>
      <c r="E381" s="54">
        <f t="shared" si="10"/>
        <v>158.56</v>
      </c>
      <c r="F381" s="114"/>
      <c r="G381" s="138"/>
      <c r="H381" s="1" t="s">
        <v>275</v>
      </c>
    </row>
    <row r="382" spans="1:8" ht="12.6" customHeight="1" x14ac:dyDescent="0.2">
      <c r="A382" s="259" t="s">
        <v>267</v>
      </c>
      <c r="B382" s="260" t="s">
        <v>15</v>
      </c>
      <c r="C382" s="252">
        <v>6</v>
      </c>
      <c r="D382" s="253">
        <f>(2.19+6.9+10.04)/3</f>
        <v>6.376666666666666</v>
      </c>
      <c r="E382" s="54">
        <f t="shared" si="10"/>
        <v>38.26</v>
      </c>
      <c r="F382" s="114"/>
      <c r="G382" s="138"/>
      <c r="H382" s="1" t="s">
        <v>275</v>
      </c>
    </row>
    <row r="383" spans="1:8" ht="12.6" customHeight="1" x14ac:dyDescent="0.2">
      <c r="A383" s="259" t="s">
        <v>260</v>
      </c>
      <c r="B383" s="260" t="s">
        <v>15</v>
      </c>
      <c r="C383" s="252">
        <v>3</v>
      </c>
      <c r="D383" s="253">
        <f>(38.9+43.22+30.77)/3</f>
        <v>37.630000000000003</v>
      </c>
      <c r="E383" s="54">
        <f t="shared" si="10"/>
        <v>112.89</v>
      </c>
      <c r="F383" s="114"/>
      <c r="G383" s="138"/>
      <c r="H383" s="1" t="s">
        <v>275</v>
      </c>
    </row>
    <row r="384" spans="1:8" ht="12.6" customHeight="1" x14ac:dyDescent="0.2">
      <c r="A384" s="259" t="s">
        <v>270</v>
      </c>
      <c r="B384" s="251" t="s">
        <v>15</v>
      </c>
      <c r="C384" s="252">
        <v>6</v>
      </c>
      <c r="D384" s="253">
        <f>(15.9+21.69+25+26.78)/4</f>
        <v>22.342500000000001</v>
      </c>
      <c r="E384" s="54">
        <f t="shared" si="10"/>
        <v>134.05000000000001</v>
      </c>
      <c r="F384" s="114"/>
      <c r="G384" s="138"/>
      <c r="H384" s="1" t="s">
        <v>275</v>
      </c>
    </row>
    <row r="385" spans="1:8" ht="12.6" customHeight="1" x14ac:dyDescent="0.2">
      <c r="A385" s="259" t="s">
        <v>272</v>
      </c>
      <c r="B385" s="260" t="s">
        <v>15</v>
      </c>
      <c r="C385" s="252">
        <v>2</v>
      </c>
      <c r="D385" s="253">
        <f>(38.47+41.99+22.41+33.9+39.72)/5</f>
        <v>35.298000000000002</v>
      </c>
      <c r="E385" s="54">
        <f t="shared" si="10"/>
        <v>70.59</v>
      </c>
      <c r="F385" s="114"/>
      <c r="G385" s="138"/>
      <c r="H385" s="1" t="s">
        <v>275</v>
      </c>
    </row>
    <row r="386" spans="1:8" ht="12.6" customHeight="1" x14ac:dyDescent="0.2">
      <c r="A386" s="259" t="s">
        <v>271</v>
      </c>
      <c r="B386" s="260" t="s">
        <v>15</v>
      </c>
      <c r="C386" s="252">
        <v>2</v>
      </c>
      <c r="D386" s="253">
        <f>(49.9+52.24+35+33.9)/4</f>
        <v>42.76</v>
      </c>
      <c r="E386" s="54">
        <f t="shared" si="10"/>
        <v>85.52</v>
      </c>
      <c r="F386" s="114"/>
      <c r="G386" s="138"/>
      <c r="H386" s="1" t="s">
        <v>275</v>
      </c>
    </row>
    <row r="387" spans="1:8" ht="12.6" customHeight="1" x14ac:dyDescent="0.2">
      <c r="A387" s="250" t="s">
        <v>227</v>
      </c>
      <c r="B387" s="251" t="s">
        <v>15</v>
      </c>
      <c r="C387" s="252">
        <v>6</v>
      </c>
      <c r="D387" s="253">
        <f>(17.73+33.99+67.5+34+50.98)/5</f>
        <v>40.839999999999996</v>
      </c>
      <c r="E387" s="54">
        <f t="shared" si="10"/>
        <v>245.04</v>
      </c>
      <c r="F387" s="114"/>
      <c r="G387" s="138"/>
      <c r="H387" s="1" t="s">
        <v>275</v>
      </c>
    </row>
    <row r="388" spans="1:8" ht="12.6" customHeight="1" x14ac:dyDescent="0.2">
      <c r="A388" s="259" t="s">
        <v>297</v>
      </c>
      <c r="B388" s="260" t="s">
        <v>15</v>
      </c>
      <c r="C388" s="252">
        <v>36</v>
      </c>
      <c r="D388" s="253">
        <f>(139.9+73.06+49.41+42.29)/4</f>
        <v>76.165000000000006</v>
      </c>
      <c r="E388" s="54">
        <f t="shared" si="10"/>
        <v>2741.94</v>
      </c>
      <c r="F388" s="114"/>
      <c r="G388" s="138"/>
      <c r="H388" s="1" t="s">
        <v>275</v>
      </c>
    </row>
    <row r="389" spans="1:8" ht="12.6" customHeight="1" x14ac:dyDescent="0.2">
      <c r="A389" s="259" t="s">
        <v>298</v>
      </c>
      <c r="B389" s="260" t="s">
        <v>15</v>
      </c>
      <c r="C389" s="252">
        <v>20</v>
      </c>
      <c r="D389" s="253">
        <f>(42.98+32.9+33.99+46.9+33.9)/5</f>
        <v>38.134</v>
      </c>
      <c r="E389" s="54">
        <f t="shared" si="10"/>
        <v>762.68</v>
      </c>
      <c r="F389" s="114"/>
      <c r="G389" s="138"/>
      <c r="H389" s="1" t="s">
        <v>275</v>
      </c>
    </row>
    <row r="390" spans="1:8" ht="12.6" customHeight="1" x14ac:dyDescent="0.2">
      <c r="A390" s="259" t="s">
        <v>324</v>
      </c>
      <c r="B390" s="260" t="s">
        <v>15</v>
      </c>
      <c r="C390" s="252">
        <v>1</v>
      </c>
      <c r="D390" s="253">
        <f>SUM(214.46+219.9+209.99)/3</f>
        <v>214.78333333333333</v>
      </c>
      <c r="E390" s="54">
        <f t="shared" si="10"/>
        <v>214.78</v>
      </c>
      <c r="F390" s="114"/>
      <c r="G390" s="138"/>
      <c r="H390" s="1" t="s">
        <v>275</v>
      </c>
    </row>
    <row r="391" spans="1:8" ht="12.6" customHeight="1" x14ac:dyDescent="0.2">
      <c r="A391" s="259" t="s">
        <v>325</v>
      </c>
      <c r="B391" s="260" t="s">
        <v>15</v>
      </c>
      <c r="C391" s="252">
        <v>2</v>
      </c>
      <c r="D391" s="253">
        <f>SUM(53.91+57.4+75.5)/3</f>
        <v>62.27</v>
      </c>
      <c r="E391" s="54">
        <f t="shared" si="10"/>
        <v>124.54</v>
      </c>
      <c r="F391" s="114"/>
      <c r="G391" s="138"/>
      <c r="H391" s="1" t="s">
        <v>275</v>
      </c>
    </row>
    <row r="392" spans="1:8" ht="12.6" customHeight="1" x14ac:dyDescent="0.2">
      <c r="A392" s="259" t="s">
        <v>323</v>
      </c>
      <c r="B392" s="260" t="s">
        <v>15</v>
      </c>
      <c r="C392" s="252">
        <v>1</v>
      </c>
      <c r="D392" s="253">
        <f>SUM(33.9+357.98+76.9)/3</f>
        <v>156.26</v>
      </c>
      <c r="E392" s="54">
        <f t="shared" si="10"/>
        <v>156.26</v>
      </c>
      <c r="F392" s="114"/>
      <c r="G392" s="138"/>
      <c r="H392" s="1" t="s">
        <v>275</v>
      </c>
    </row>
    <row r="393" spans="1:8" ht="12.6" customHeight="1" x14ac:dyDescent="0.2">
      <c r="A393" s="259" t="s">
        <v>322</v>
      </c>
      <c r="B393" s="260" t="s">
        <v>15</v>
      </c>
      <c r="C393" s="252">
        <v>6</v>
      </c>
      <c r="D393" s="253">
        <f>SUM(19.99+9.12+21.59)/3</f>
        <v>16.900000000000002</v>
      </c>
      <c r="E393" s="54">
        <f t="shared" si="10"/>
        <v>101.4</v>
      </c>
      <c r="F393" s="114"/>
      <c r="G393" s="138"/>
      <c r="H393" s="1" t="s">
        <v>275</v>
      </c>
    </row>
    <row r="394" spans="1:8" ht="12.6" customHeight="1" x14ac:dyDescent="0.2">
      <c r="A394" s="259" t="s">
        <v>326</v>
      </c>
      <c r="B394" s="260" t="s">
        <v>15</v>
      </c>
      <c r="C394" s="252">
        <v>2</v>
      </c>
      <c r="D394" s="253">
        <f>SUM(72.8+134.9+134.9+159.9)/4</f>
        <v>125.625</v>
      </c>
      <c r="E394" s="54">
        <f t="shared" si="10"/>
        <v>251.25</v>
      </c>
      <c r="F394" s="114"/>
      <c r="G394" s="138"/>
      <c r="H394" s="1" t="s">
        <v>275</v>
      </c>
    </row>
    <row r="395" spans="1:8" ht="12.6" customHeight="1" x14ac:dyDescent="0.2">
      <c r="A395" s="259" t="s">
        <v>273</v>
      </c>
      <c r="B395" s="251" t="s">
        <v>15</v>
      </c>
      <c r="C395" s="252">
        <v>3</v>
      </c>
      <c r="D395" s="253">
        <f>(689+849.5+788.41)/3</f>
        <v>775.63666666666666</v>
      </c>
      <c r="E395" s="54">
        <f t="shared" si="10"/>
        <v>2326.91</v>
      </c>
      <c r="F395" s="114"/>
      <c r="G395" s="138"/>
      <c r="H395" s="1" t="s">
        <v>275</v>
      </c>
    </row>
    <row r="396" spans="1:8" ht="12.6" customHeight="1" x14ac:dyDescent="0.2">
      <c r="A396" s="259" t="s">
        <v>335</v>
      </c>
      <c r="B396" s="260" t="s">
        <v>15</v>
      </c>
      <c r="C396" s="252">
        <v>20</v>
      </c>
      <c r="D396" s="253">
        <v>4.6500000000000004</v>
      </c>
      <c r="E396" s="54">
        <f t="shared" si="10"/>
        <v>93</v>
      </c>
      <c r="F396" s="114"/>
      <c r="G396" s="138"/>
      <c r="H396" s="1" t="s">
        <v>332</v>
      </c>
    </row>
    <row r="397" spans="1:8" ht="12.6" customHeight="1" x14ac:dyDescent="0.2">
      <c r="A397" s="259" t="s">
        <v>336</v>
      </c>
      <c r="B397" s="260" t="s">
        <v>15</v>
      </c>
      <c r="C397" s="252">
        <v>20</v>
      </c>
      <c r="D397" s="253">
        <v>4.04</v>
      </c>
      <c r="E397" s="54">
        <f t="shared" si="10"/>
        <v>80.8</v>
      </c>
      <c r="F397" s="114"/>
      <c r="G397" s="138"/>
      <c r="H397" s="1" t="s">
        <v>333</v>
      </c>
    </row>
    <row r="398" spans="1:8" ht="12.6" customHeight="1" x14ac:dyDescent="0.2">
      <c r="A398" s="259" t="s">
        <v>334</v>
      </c>
      <c r="B398" s="260" t="s">
        <v>15</v>
      </c>
      <c r="C398" s="252">
        <v>40</v>
      </c>
      <c r="D398" s="253">
        <v>4.5199999999999996</v>
      </c>
      <c r="E398" s="54">
        <f t="shared" si="10"/>
        <v>180.8</v>
      </c>
      <c r="F398" s="114"/>
      <c r="G398" s="138"/>
      <c r="H398" s="1" t="s">
        <v>337</v>
      </c>
    </row>
    <row r="399" spans="1:8" ht="12.6" customHeight="1" thickBot="1" x14ac:dyDescent="0.25">
      <c r="A399" s="250" t="s">
        <v>228</v>
      </c>
      <c r="B399" s="251" t="s">
        <v>15</v>
      </c>
      <c r="C399" s="252">
        <v>3</v>
      </c>
      <c r="D399" s="253">
        <f>(139.9+324.9+129.96+259.99+151.99)/5</f>
        <v>201.34800000000001</v>
      </c>
      <c r="E399" s="54">
        <f t="shared" si="10"/>
        <v>604.04</v>
      </c>
      <c r="F399" s="114"/>
      <c r="G399" s="138"/>
      <c r="H399" s="1" t="s">
        <v>275</v>
      </c>
    </row>
    <row r="400" spans="1:8" ht="12.6" customHeight="1" thickBot="1" x14ac:dyDescent="0.25">
      <c r="A400" s="16"/>
      <c r="B400" s="16"/>
      <c r="C400" s="16"/>
      <c r="D400" s="16"/>
      <c r="E400" s="15"/>
      <c r="F400" s="111">
        <f>TRUNC(SUM(E368:E399),2)</f>
        <v>10316.049999999999</v>
      </c>
      <c r="G400" s="1"/>
    </row>
    <row r="401" spans="1:8" ht="12.6" customHeight="1" thickBot="1" x14ac:dyDescent="0.25">
      <c r="G401" s="1"/>
    </row>
    <row r="402" spans="1:8" ht="12.6" customHeight="1" thickBot="1" x14ac:dyDescent="0.25">
      <c r="A402" s="97" t="s">
        <v>107</v>
      </c>
      <c r="B402" s="98"/>
      <c r="C402" s="98"/>
      <c r="D402" s="99"/>
      <c r="E402" s="100"/>
      <c r="F402" s="111">
        <f>F400</f>
        <v>10316.049999999999</v>
      </c>
      <c r="G402" s="1"/>
    </row>
    <row r="403" spans="1:8" x14ac:dyDescent="0.2">
      <c r="G403" s="1"/>
    </row>
    <row r="405" spans="1:8" s="1" customFormat="1" x14ac:dyDescent="0.2">
      <c r="D405" s="2"/>
      <c r="E405" s="2"/>
      <c r="F405" s="2"/>
      <c r="G405" s="2"/>
    </row>
    <row r="406" spans="1:8" ht="15.75" thickBot="1" x14ac:dyDescent="0.25">
      <c r="A406" s="16" t="s">
        <v>248</v>
      </c>
    </row>
    <row r="407" spans="1:8" ht="15.75" thickBot="1" x14ac:dyDescent="0.25">
      <c r="A407" s="222" t="s">
        <v>14</v>
      </c>
      <c r="B407" s="223" t="s">
        <v>15</v>
      </c>
      <c r="C407" s="223" t="s">
        <v>9</v>
      </c>
      <c r="D407" s="224" t="s">
        <v>16</v>
      </c>
      <c r="E407" s="224" t="s">
        <v>17</v>
      </c>
      <c r="F407" s="225" t="s">
        <v>204</v>
      </c>
    </row>
    <row r="408" spans="1:8" x14ac:dyDescent="0.2">
      <c r="A408" s="27" t="s">
        <v>233</v>
      </c>
      <c r="B408" s="52" t="s">
        <v>15</v>
      </c>
      <c r="C408" s="232">
        <v>10</v>
      </c>
      <c r="D408" s="271">
        <v>555.35</v>
      </c>
      <c r="E408" s="226">
        <f>+D408*C408</f>
        <v>5553.5</v>
      </c>
      <c r="F408" s="227"/>
      <c r="H408" s="1" t="s">
        <v>275</v>
      </c>
    </row>
    <row r="409" spans="1:8" x14ac:dyDescent="0.2">
      <c r="A409" s="27" t="s">
        <v>236</v>
      </c>
      <c r="B409" s="52" t="s">
        <v>15</v>
      </c>
      <c r="C409" s="232">
        <v>4</v>
      </c>
      <c r="D409" s="271">
        <v>843.66</v>
      </c>
      <c r="E409" s="228">
        <f>+D409*C409</f>
        <v>3374.64</v>
      </c>
      <c r="F409" s="227"/>
      <c r="H409" s="1" t="s">
        <v>275</v>
      </c>
    </row>
    <row r="410" spans="1:8" x14ac:dyDescent="0.2">
      <c r="A410" s="27" t="s">
        <v>234</v>
      </c>
      <c r="B410" s="52" t="s">
        <v>243</v>
      </c>
      <c r="C410" s="232">
        <v>1</v>
      </c>
      <c r="D410" s="271">
        <f>'7. Cotações'!F5</f>
        <v>146.27666666666667</v>
      </c>
      <c r="E410" s="226">
        <f>C410*D410</f>
        <v>146.27666666666667</v>
      </c>
      <c r="F410" s="227"/>
      <c r="H410" s="1" t="s">
        <v>275</v>
      </c>
    </row>
    <row r="411" spans="1:8" x14ac:dyDescent="0.2">
      <c r="A411" s="27" t="s">
        <v>250</v>
      </c>
      <c r="B411" s="52" t="s">
        <v>15</v>
      </c>
      <c r="C411" s="232">
        <v>10</v>
      </c>
      <c r="D411" s="271">
        <f>'7. Cotações'!F9</f>
        <v>55.77</v>
      </c>
      <c r="E411" s="226">
        <f>D411*C411</f>
        <v>557.70000000000005</v>
      </c>
      <c r="F411" s="227"/>
      <c r="H411" s="1" t="s">
        <v>275</v>
      </c>
    </row>
    <row r="412" spans="1:8" ht="15.75" thickBot="1" x14ac:dyDescent="0.25">
      <c r="A412" s="27" t="s">
        <v>235</v>
      </c>
      <c r="B412" s="52" t="s">
        <v>15</v>
      </c>
      <c r="C412" s="232">
        <v>6</v>
      </c>
      <c r="D412" s="271">
        <f>'7. Cotações'!F13</f>
        <v>216.35999999999999</v>
      </c>
      <c r="E412" s="286">
        <f>+D412*C412</f>
        <v>1298.1599999999999</v>
      </c>
      <c r="F412" s="227"/>
      <c r="H412" s="1" t="s">
        <v>275</v>
      </c>
    </row>
    <row r="413" spans="1:8" ht="15.75" thickBot="1" x14ac:dyDescent="0.25">
      <c r="A413" s="229"/>
      <c r="B413" s="229"/>
      <c r="C413" s="229"/>
      <c r="D413" s="230"/>
      <c r="E413" s="275"/>
      <c r="F413" s="64">
        <f>SUM(E408+E409+E410+E411+E412)</f>
        <v>10930.276666666667</v>
      </c>
    </row>
    <row r="414" spans="1:8" x14ac:dyDescent="0.2">
      <c r="A414" s="229"/>
      <c r="B414" s="229"/>
      <c r="C414" s="229"/>
      <c r="D414" s="230"/>
      <c r="E414" s="233"/>
      <c r="F414" s="58"/>
    </row>
    <row r="415" spans="1:8" ht="15.75" thickBot="1" x14ac:dyDescent="0.25"/>
    <row r="416" spans="1:8" ht="15.75" thickBot="1" x14ac:dyDescent="0.25">
      <c r="A416" s="97" t="s">
        <v>108</v>
      </c>
      <c r="B416" s="108"/>
      <c r="C416" s="108"/>
      <c r="D416" s="109"/>
      <c r="E416" s="110"/>
      <c r="F416" s="96">
        <f>F174+F246+F363+F402+F413</f>
        <v>170645.22666666665</v>
      </c>
    </row>
    <row r="419" spans="1:6" ht="15.75" thickBot="1" x14ac:dyDescent="0.25">
      <c r="A419" s="16" t="s">
        <v>203</v>
      </c>
    </row>
    <row r="420" spans="1:6" ht="15.75" thickBot="1" x14ac:dyDescent="0.25">
      <c r="A420" s="43" t="s">
        <v>14</v>
      </c>
      <c r="B420" s="44" t="s">
        <v>15</v>
      </c>
      <c r="C420" s="44" t="s">
        <v>9</v>
      </c>
      <c r="D420" s="45" t="s">
        <v>16</v>
      </c>
      <c r="E420" s="45" t="s">
        <v>17</v>
      </c>
      <c r="F420" s="46" t="s">
        <v>18</v>
      </c>
    </row>
    <row r="421" spans="1:6" ht="15.75" thickBot="1" x14ac:dyDescent="0.25">
      <c r="A421" s="47" t="s">
        <v>109</v>
      </c>
      <c r="B421" s="48" t="s">
        <v>6</v>
      </c>
      <c r="C421" s="60">
        <f>'4.BDI'!C18*100</f>
        <v>22.7</v>
      </c>
      <c r="D421" s="50">
        <f>+F416</f>
        <v>170645.22666666665</v>
      </c>
      <c r="E421" s="50">
        <f>C421*D421/100</f>
        <v>38736.466453333327</v>
      </c>
    </row>
    <row r="422" spans="1:6" ht="15.75" thickBot="1" x14ac:dyDescent="0.25">
      <c r="F422" s="111">
        <f>TRUNC(+E421,2)</f>
        <v>38736.46</v>
      </c>
    </row>
    <row r="423" spans="1:6" ht="15.75" thickBot="1" x14ac:dyDescent="0.25"/>
    <row r="424" spans="1:6" ht="9" customHeight="1" thickBot="1" x14ac:dyDescent="0.25">
      <c r="A424" s="97" t="s">
        <v>110</v>
      </c>
      <c r="B424" s="108"/>
      <c r="C424" s="108"/>
      <c r="D424" s="109"/>
      <c r="E424" s="110"/>
      <c r="F424" s="96">
        <f>TRUNC(F422,2)</f>
        <v>38736.46</v>
      </c>
    </row>
    <row r="425" spans="1:6" ht="15.75" thickBot="1" x14ac:dyDescent="0.25">
      <c r="A425" s="16"/>
      <c r="B425" s="16"/>
      <c r="C425" s="16"/>
      <c r="D425" s="15"/>
      <c r="E425" s="15"/>
      <c r="F425" s="58"/>
    </row>
    <row r="426" spans="1:6" ht="15.75" thickBot="1" x14ac:dyDescent="0.25">
      <c r="A426" s="97" t="s">
        <v>111</v>
      </c>
      <c r="B426" s="108"/>
      <c r="C426" s="108"/>
      <c r="D426" s="109"/>
      <c r="E426" s="110"/>
      <c r="F426" s="96">
        <f>TRUNC(F416+F424,2)</f>
        <v>209381.68</v>
      </c>
    </row>
    <row r="427" spans="1:6" x14ac:dyDescent="0.2">
      <c r="A427" s="16"/>
      <c r="B427" s="16"/>
      <c r="C427" s="16"/>
      <c r="D427" s="15"/>
      <c r="E427" s="15"/>
      <c r="F427" s="15"/>
    </row>
    <row r="428" spans="1:6" x14ac:dyDescent="0.2">
      <c r="A428" s="16"/>
      <c r="B428" s="16"/>
      <c r="C428" s="16"/>
      <c r="D428" s="15"/>
      <c r="E428" s="15"/>
      <c r="F428" s="15"/>
    </row>
    <row r="429" spans="1:6" x14ac:dyDescent="0.2">
      <c r="A429" s="16"/>
      <c r="B429" s="16"/>
      <c r="C429" s="16"/>
      <c r="D429" s="15"/>
      <c r="E429" s="15"/>
      <c r="F429" s="15"/>
    </row>
    <row r="430" spans="1:6" x14ac:dyDescent="0.2">
      <c r="A430" s="16"/>
      <c r="B430" s="16"/>
      <c r="C430" s="16"/>
      <c r="D430" s="15"/>
      <c r="E430" s="15"/>
      <c r="F430" s="15"/>
    </row>
    <row r="431" spans="1:6" x14ac:dyDescent="0.2">
      <c r="A431" s="139"/>
      <c r="B431" s="139"/>
      <c r="C431" s="140"/>
      <c r="D431" s="140"/>
      <c r="E431" s="140"/>
      <c r="F431" s="140"/>
    </row>
    <row r="432" spans="1:6" x14ac:dyDescent="0.2">
      <c r="A432" s="139"/>
      <c r="B432" s="139"/>
      <c r="C432" s="141" t="s">
        <v>112</v>
      </c>
      <c r="D432" s="290">
        <f ca="1">TODAY()</f>
        <v>46120</v>
      </c>
      <c r="E432" s="290"/>
      <c r="F432" s="290"/>
    </row>
    <row r="433" spans="1:6" x14ac:dyDescent="0.2">
      <c r="A433" s="139"/>
      <c r="B433" s="139"/>
      <c r="C433" s="141"/>
      <c r="D433" s="142"/>
      <c r="E433" s="142"/>
      <c r="F433" s="142"/>
    </row>
  </sheetData>
  <mergeCells count="15">
    <mergeCell ref="G174:N177"/>
    <mergeCell ref="A18:F18"/>
    <mergeCell ref="A31:C31"/>
    <mergeCell ref="A39:D39"/>
    <mergeCell ref="A41:E41"/>
    <mergeCell ref="A42:D42"/>
    <mergeCell ref="D432:F432"/>
    <mergeCell ref="A38:D38"/>
    <mergeCell ref="A7:F7"/>
    <mergeCell ref="A8:F8"/>
    <mergeCell ref="A9:F9"/>
    <mergeCell ref="A12:F12"/>
    <mergeCell ref="A13:F13"/>
    <mergeCell ref="A53:D53"/>
    <mergeCell ref="A14:F17"/>
  </mergeCells>
  <hyperlinks>
    <hyperlink ref="A252" location="AbaDeprec" display="3.1.1. Depreciação" xr:uid="{60738B36-1067-45ED-8A19-591510B110F3}"/>
    <hyperlink ref="A263" location="AbaRemun" display="3.1.2. Remuneração do Capital" xr:uid="{3751A5F0-7103-4CFE-908D-7C05EA43B8B3}"/>
    <hyperlink ref="A308" location="AbaDeprec" display="3.1.1. Depreciação" xr:uid="{5F83A44A-4A9C-4BF2-9A9A-1A0E49447E34}"/>
    <hyperlink ref="A319" location="AbaRemun" display="3.1.2. Remuneração do Capital" xr:uid="{BF499417-FDF9-40C2-9BB3-9B954F4BB7AC}"/>
  </hyperlinks>
  <pageMargins left="0.25" right="0.25" top="0.75" bottom="0.75" header="0.3" footer="0.3"/>
  <pageSetup paperSize="9" scale="77" firstPageNumber="0" fitToHeight="0" orientation="portrait" horizontalDpi="300" verticalDpi="300" r:id="rId1"/>
  <rowBreaks count="4" manualBreakCount="4">
    <brk id="59" max="16383" man="1"/>
    <brk id="174" max="16383" man="1"/>
    <brk id="209" max="16383" man="1"/>
    <brk id="254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BF67-B6B8-4DBC-9297-8E9D3E5563C7}">
  <sheetPr>
    <pageSetUpPr fitToPage="1"/>
  </sheetPr>
  <dimension ref="A1:N420"/>
  <sheetViews>
    <sheetView topLeftCell="A123" workbookViewId="0">
      <selection activeCell="A125" sqref="A125"/>
    </sheetView>
  </sheetViews>
  <sheetFormatPr defaultRowHeight="12.75" x14ac:dyDescent="0.2"/>
  <cols>
    <col min="1" max="1" width="60.85546875" bestFit="1" customWidth="1"/>
    <col min="2" max="2" width="15.85546875" bestFit="1" customWidth="1"/>
    <col min="3" max="3" width="12.85546875" bestFit="1" customWidth="1"/>
    <col min="4" max="4" width="19.85546875" bestFit="1" customWidth="1"/>
    <col min="5" max="5" width="16.140625" bestFit="1" customWidth="1"/>
    <col min="6" max="6" width="11.5703125" bestFit="1" customWidth="1"/>
    <col min="7" max="7" width="21.5703125" customWidth="1"/>
  </cols>
  <sheetData>
    <row r="1" spans="1:14" ht="15" x14ac:dyDescent="0.2">
      <c r="A1" s="1"/>
      <c r="B1" s="3"/>
      <c r="C1" s="3"/>
      <c r="D1" s="2"/>
      <c r="E1" s="2"/>
      <c r="F1" s="2"/>
      <c r="G1" s="2"/>
      <c r="H1" s="1"/>
      <c r="I1" s="1"/>
      <c r="J1" s="1"/>
      <c r="K1" s="1"/>
      <c r="L1" s="1"/>
      <c r="M1" s="1"/>
      <c r="N1" s="1"/>
    </row>
    <row r="2" spans="1:14" ht="15" x14ac:dyDescent="0.2">
      <c r="A2" s="1"/>
      <c r="B2" s="3"/>
      <c r="C2" s="3"/>
      <c r="D2" s="2"/>
      <c r="E2" s="2"/>
      <c r="F2" s="2"/>
      <c r="G2" s="2"/>
      <c r="H2" s="1"/>
      <c r="I2" s="1"/>
      <c r="J2" s="1"/>
      <c r="K2" s="1"/>
      <c r="L2" s="1"/>
      <c r="M2" s="1"/>
      <c r="N2" s="1"/>
    </row>
    <row r="3" spans="1:14" ht="15" x14ac:dyDescent="0.2">
      <c r="A3" s="1"/>
      <c r="B3" s="3"/>
      <c r="C3" s="3"/>
      <c r="D3" s="2"/>
      <c r="E3" s="2"/>
      <c r="F3" s="2"/>
      <c r="G3" s="2"/>
      <c r="H3" s="1"/>
      <c r="I3" s="1"/>
      <c r="J3" s="1"/>
      <c r="K3" s="1"/>
      <c r="L3" s="1"/>
      <c r="M3" s="1"/>
      <c r="N3" s="1"/>
    </row>
    <row r="4" spans="1:14" ht="15" x14ac:dyDescent="0.2">
      <c r="A4" s="1"/>
      <c r="B4" s="3"/>
      <c r="C4" s="3"/>
      <c r="D4" s="2"/>
      <c r="E4" s="2"/>
      <c r="F4" s="2"/>
      <c r="G4" s="2"/>
      <c r="H4" s="1"/>
      <c r="I4" s="1"/>
      <c r="J4" s="1"/>
      <c r="K4" s="1"/>
      <c r="L4" s="1"/>
      <c r="M4" s="1"/>
      <c r="N4" s="1"/>
    </row>
    <row r="5" spans="1:14" ht="15" x14ac:dyDescent="0.2">
      <c r="A5" s="1"/>
      <c r="B5" s="3"/>
      <c r="C5" s="3"/>
      <c r="D5" s="2"/>
      <c r="E5" s="2"/>
      <c r="F5" s="2"/>
      <c r="G5" s="2"/>
      <c r="H5" s="1"/>
      <c r="I5" s="1"/>
      <c r="J5" s="1"/>
      <c r="K5" s="1"/>
      <c r="L5" s="1"/>
      <c r="M5" s="1"/>
      <c r="N5" s="1"/>
    </row>
    <row r="6" spans="1:14" ht="15" x14ac:dyDescent="0.2">
      <c r="A6" s="1"/>
      <c r="B6" s="3"/>
      <c r="C6" s="3"/>
      <c r="D6" s="2"/>
      <c r="E6" s="2"/>
      <c r="F6" s="2"/>
      <c r="G6" s="2"/>
      <c r="H6" s="1"/>
      <c r="I6" s="1"/>
      <c r="J6" s="1"/>
      <c r="K6" s="1"/>
      <c r="L6" s="1"/>
      <c r="M6" s="1"/>
      <c r="N6" s="1"/>
    </row>
    <row r="7" spans="1:14" ht="15" x14ac:dyDescent="0.2">
      <c r="A7" s="294" t="s">
        <v>0</v>
      </c>
      <c r="B7" s="294"/>
      <c r="C7" s="294"/>
      <c r="D7" s="294"/>
      <c r="E7" s="294"/>
      <c r="F7" s="294"/>
      <c r="G7" s="2"/>
      <c r="H7" s="1"/>
      <c r="I7" s="1"/>
      <c r="J7" s="1"/>
      <c r="K7" s="1"/>
      <c r="L7" s="1"/>
      <c r="M7" s="1"/>
      <c r="N7" s="1"/>
    </row>
    <row r="8" spans="1:14" ht="15" x14ac:dyDescent="0.2">
      <c r="A8" s="294" t="s">
        <v>1</v>
      </c>
      <c r="B8" s="294"/>
      <c r="C8" s="294"/>
      <c r="D8" s="294"/>
      <c r="E8" s="294"/>
      <c r="F8" s="294"/>
      <c r="G8" s="2"/>
      <c r="H8" s="1"/>
      <c r="I8" s="1"/>
      <c r="J8" s="1"/>
      <c r="K8" s="1"/>
      <c r="L8" s="1"/>
      <c r="M8" s="1"/>
      <c r="N8" s="1"/>
    </row>
    <row r="9" spans="1:14" ht="15" x14ac:dyDescent="0.2">
      <c r="A9" s="294" t="s">
        <v>249</v>
      </c>
      <c r="B9" s="294"/>
      <c r="C9" s="294"/>
      <c r="D9" s="294"/>
      <c r="E9" s="294"/>
      <c r="F9" s="294"/>
      <c r="G9" s="2"/>
      <c r="H9" s="1"/>
      <c r="I9" s="1"/>
      <c r="J9" s="1"/>
      <c r="K9" s="1"/>
      <c r="L9" s="1"/>
      <c r="M9" s="1"/>
      <c r="N9" s="1"/>
    </row>
    <row r="10" spans="1:14" ht="15" x14ac:dyDescent="0.2">
      <c r="A10" s="1"/>
      <c r="B10" s="3"/>
      <c r="C10" s="3"/>
      <c r="D10" s="2"/>
      <c r="E10" s="2"/>
      <c r="F10" s="2"/>
      <c r="G10" s="2"/>
      <c r="H10" s="1"/>
      <c r="I10" s="1"/>
      <c r="J10" s="1"/>
      <c r="K10" s="1"/>
      <c r="L10" s="1"/>
      <c r="M10" s="1"/>
      <c r="N10" s="1"/>
    </row>
    <row r="11" spans="1:14" ht="15" x14ac:dyDescent="0.2">
      <c r="A11" s="1"/>
      <c r="B11" s="3"/>
      <c r="C11" s="3"/>
      <c r="D11" s="2"/>
      <c r="E11" s="2"/>
      <c r="F11" s="2"/>
      <c r="G11" s="2"/>
      <c r="H11" s="1"/>
      <c r="I11" s="1"/>
      <c r="J11" s="1"/>
      <c r="K11" s="1"/>
      <c r="L11" s="1"/>
      <c r="M11" s="1"/>
      <c r="N11" s="1"/>
    </row>
    <row r="12" spans="1:14" ht="21" x14ac:dyDescent="0.2">
      <c r="A12" s="295" t="s">
        <v>329</v>
      </c>
      <c r="B12" s="295"/>
      <c r="C12" s="295"/>
      <c r="D12" s="295"/>
      <c r="E12" s="295"/>
      <c r="F12" s="295"/>
      <c r="G12" s="2"/>
      <c r="H12" s="1"/>
      <c r="I12" s="1"/>
      <c r="J12" s="1"/>
      <c r="K12" s="1"/>
      <c r="L12" s="1"/>
      <c r="M12" s="1"/>
      <c r="N12" s="1"/>
    </row>
    <row r="13" spans="1:14" ht="15.75" x14ac:dyDescent="0.2">
      <c r="A13" s="296" t="s">
        <v>2</v>
      </c>
      <c r="B13" s="296"/>
      <c r="C13" s="296"/>
      <c r="D13" s="296"/>
      <c r="E13" s="296"/>
      <c r="F13" s="296"/>
      <c r="G13" s="2"/>
      <c r="H13" s="1"/>
      <c r="I13" s="1"/>
      <c r="J13" s="1"/>
      <c r="K13" s="1"/>
      <c r="L13" s="1"/>
      <c r="M13" s="1"/>
      <c r="N13" s="1"/>
    </row>
    <row r="14" spans="1:14" ht="15" x14ac:dyDescent="0.2">
      <c r="A14" s="298" t="s">
        <v>282</v>
      </c>
      <c r="B14" s="299"/>
      <c r="C14" s="299"/>
      <c r="D14" s="299"/>
      <c r="E14" s="299"/>
      <c r="F14" s="300"/>
      <c r="G14" s="2"/>
      <c r="H14" s="1"/>
      <c r="I14" s="1"/>
      <c r="J14" s="1"/>
      <c r="K14" s="1"/>
      <c r="L14" s="1"/>
      <c r="M14" s="1"/>
      <c r="N14" s="1"/>
    </row>
    <row r="15" spans="1:14" ht="15" x14ac:dyDescent="0.2">
      <c r="A15" s="301"/>
      <c r="B15" s="302"/>
      <c r="C15" s="302"/>
      <c r="D15" s="302"/>
      <c r="E15" s="302"/>
      <c r="F15" s="303"/>
      <c r="G15" s="2"/>
      <c r="H15" s="1"/>
      <c r="I15" s="1"/>
      <c r="J15" s="1"/>
      <c r="K15" s="1"/>
      <c r="L15" s="1"/>
      <c r="M15" s="1"/>
      <c r="N15" s="1"/>
    </row>
    <row r="16" spans="1:14" ht="15" x14ac:dyDescent="0.2">
      <c r="A16" s="301"/>
      <c r="B16" s="302"/>
      <c r="C16" s="302"/>
      <c r="D16" s="302"/>
      <c r="E16" s="302"/>
      <c r="F16" s="303"/>
      <c r="G16" s="2"/>
      <c r="H16" s="1"/>
      <c r="I16" s="1"/>
      <c r="J16" s="1"/>
      <c r="K16" s="1"/>
      <c r="L16" s="1"/>
      <c r="M16" s="1"/>
      <c r="N16" s="1"/>
    </row>
    <row r="17" spans="1:14" ht="15.75" thickBot="1" x14ac:dyDescent="0.25">
      <c r="A17" s="304"/>
      <c r="B17" s="305"/>
      <c r="C17" s="305"/>
      <c r="D17" s="305"/>
      <c r="E17" s="305"/>
      <c r="F17" s="306"/>
      <c r="G17" s="2"/>
      <c r="H17" s="1"/>
      <c r="I17" s="1"/>
      <c r="J17" s="1"/>
      <c r="K17" s="1"/>
      <c r="L17" s="1"/>
      <c r="M17" s="1"/>
      <c r="N17" s="1"/>
    </row>
    <row r="18" spans="1:14" ht="15.75" thickBot="1" x14ac:dyDescent="0.25">
      <c r="A18" s="308" t="s">
        <v>3</v>
      </c>
      <c r="B18" s="308"/>
      <c r="C18" s="308"/>
      <c r="D18" s="308"/>
      <c r="E18" s="308"/>
      <c r="F18" s="308"/>
      <c r="G18" s="2"/>
      <c r="H18" s="1"/>
      <c r="I18" s="1"/>
      <c r="J18" s="1"/>
      <c r="K18" s="1"/>
      <c r="L18" s="1"/>
      <c r="M18" s="1"/>
      <c r="N18" s="1"/>
    </row>
    <row r="19" spans="1:14" ht="15" x14ac:dyDescent="0.2">
      <c r="A19" s="5" t="s">
        <v>4</v>
      </c>
      <c r="B19" s="6"/>
      <c r="C19" s="6"/>
      <c r="D19" s="7"/>
      <c r="E19" s="8" t="s">
        <v>5</v>
      </c>
      <c r="F19" s="9" t="s">
        <v>6</v>
      </c>
      <c r="G19" s="2"/>
      <c r="H19" s="1"/>
      <c r="I19" s="1"/>
      <c r="J19" s="1"/>
      <c r="K19" s="1"/>
      <c r="L19" s="1"/>
      <c r="M19" s="1"/>
      <c r="N19" s="1"/>
    </row>
    <row r="20" spans="1:14" ht="15" x14ac:dyDescent="0.2">
      <c r="A20" s="10" t="str">
        <f>A59</f>
        <v>1. Mão-de-obra</v>
      </c>
      <c r="B20" s="11"/>
      <c r="C20" s="12"/>
      <c r="D20" s="12"/>
      <c r="E20" s="13">
        <f>+F171</f>
        <v>79260.210000000006</v>
      </c>
      <c r="F20" s="14">
        <f t="shared" ref="F20:F36" si="0">IFERROR(E20/$E$37,0)</f>
        <v>0.59399762716338111</v>
      </c>
      <c r="G20" s="15"/>
      <c r="H20" s="16"/>
      <c r="I20" s="16"/>
      <c r="J20" s="16"/>
      <c r="K20" s="16"/>
      <c r="L20" s="16"/>
      <c r="M20" s="16"/>
      <c r="N20" s="16"/>
    </row>
    <row r="21" spans="1:14" ht="15" x14ac:dyDescent="0.2">
      <c r="A21" s="17" t="str">
        <f>A61</f>
        <v>1.1. Pedreiro</v>
      </c>
      <c r="B21" s="18"/>
      <c r="C21" s="19"/>
      <c r="D21" s="19"/>
      <c r="E21" s="20">
        <f>F72</f>
        <v>6315.88</v>
      </c>
      <c r="F21" s="21">
        <f t="shared" si="0"/>
        <v>4.733292699386811E-2</v>
      </c>
      <c r="G21" s="2"/>
      <c r="H21" s="1"/>
      <c r="I21" s="1"/>
      <c r="J21" s="1"/>
      <c r="K21" s="1"/>
      <c r="L21" s="1"/>
      <c r="M21" s="1"/>
      <c r="N21" s="1"/>
    </row>
    <row r="22" spans="1:14" ht="15" x14ac:dyDescent="0.2">
      <c r="A22" s="17" t="str">
        <f>A74</f>
        <v>1.2. Servente de pedreiro</v>
      </c>
      <c r="B22" s="18"/>
      <c r="C22" s="19"/>
      <c r="D22" s="19"/>
      <c r="E22" s="20">
        <f>F83</f>
        <v>6336.04</v>
      </c>
      <c r="F22" s="21">
        <f t="shared" si="0"/>
        <v>4.74840115312875E-2</v>
      </c>
      <c r="G22" s="2"/>
      <c r="H22" s="1"/>
      <c r="I22" s="1"/>
      <c r="J22" s="1"/>
      <c r="K22" s="1"/>
      <c r="L22" s="1"/>
      <c r="M22" s="1"/>
      <c r="N22" s="1"/>
    </row>
    <row r="23" spans="1:14" ht="15" x14ac:dyDescent="0.2">
      <c r="A23" s="17" t="str">
        <f>A85</f>
        <v>1.3. Auxiliar de Serviços Gerais</v>
      </c>
      <c r="B23" s="18"/>
      <c r="C23" s="19"/>
      <c r="D23" s="19"/>
      <c r="E23" s="20">
        <f>F94</f>
        <v>36154.32</v>
      </c>
      <c r="F23" s="14">
        <f t="shared" si="0"/>
        <v>0.27095033298177695</v>
      </c>
      <c r="G23" s="2"/>
      <c r="H23" s="1"/>
      <c r="I23" s="1"/>
      <c r="J23" s="1"/>
      <c r="K23" s="1"/>
      <c r="L23" s="1"/>
      <c r="M23" s="1"/>
      <c r="N23" s="1"/>
    </row>
    <row r="24" spans="1:14" ht="15" x14ac:dyDescent="0.2">
      <c r="A24" s="17" t="str">
        <f>A45</f>
        <v>1.4. Soldador</v>
      </c>
      <c r="B24" s="18"/>
      <c r="C24" s="19"/>
      <c r="D24" s="19"/>
      <c r="E24" s="20">
        <f>F105</f>
        <v>4803.8062500000005</v>
      </c>
      <c r="F24" s="14">
        <f t="shared" si="0"/>
        <v>3.6001033984802963E-2</v>
      </c>
      <c r="G24" s="2"/>
      <c r="H24" s="1"/>
      <c r="I24" s="1"/>
      <c r="J24" s="1"/>
      <c r="K24" s="1"/>
      <c r="L24" s="1"/>
      <c r="M24" s="1"/>
      <c r="N24" s="1"/>
    </row>
    <row r="25" spans="1:14" ht="15" x14ac:dyDescent="0.2">
      <c r="A25" s="17" t="str">
        <f>A46</f>
        <v>1.5. Eletricista</v>
      </c>
      <c r="B25" s="18"/>
      <c r="C25" s="19"/>
      <c r="D25" s="19"/>
      <c r="E25" s="20">
        <f>F116</f>
        <v>4223.0875000000005</v>
      </c>
      <c r="F25" s="21">
        <f t="shared" si="0"/>
        <v>3.1648969316424157E-2</v>
      </c>
      <c r="G25" s="2"/>
      <c r="H25" s="1"/>
      <c r="I25" s="1"/>
      <c r="J25" s="1"/>
      <c r="K25" s="1"/>
      <c r="L25" s="1"/>
      <c r="M25" s="1"/>
      <c r="N25" s="1"/>
    </row>
    <row r="26" spans="1:14" ht="15" x14ac:dyDescent="0.2">
      <c r="A26" s="17" t="str">
        <f>A47</f>
        <v>1.6. Supervisor</v>
      </c>
      <c r="B26" s="18"/>
      <c r="C26" s="19"/>
      <c r="D26" s="19"/>
      <c r="E26" s="20">
        <f>F127</f>
        <v>6025.71</v>
      </c>
      <c r="F26" s="21">
        <f t="shared" si="0"/>
        <v>4.5158313887569267E-2</v>
      </c>
      <c r="G26" s="2"/>
      <c r="H26" s="1"/>
      <c r="I26" s="1"/>
      <c r="J26" s="1"/>
      <c r="K26" s="1"/>
      <c r="L26" s="1"/>
      <c r="M26" s="1"/>
      <c r="N26" s="1"/>
    </row>
    <row r="27" spans="1:14" ht="15" x14ac:dyDescent="0.2">
      <c r="A27" s="17" t="str">
        <f>A129</f>
        <v>1.7. Técnico Segurança do Trabalho</v>
      </c>
      <c r="B27" s="18"/>
      <c r="C27" s="19"/>
      <c r="D27" s="19"/>
      <c r="E27" s="20">
        <f>F134</f>
        <v>491.72</v>
      </c>
      <c r="F27" s="14">
        <f t="shared" si="0"/>
        <v>3.6850837668582727E-3</v>
      </c>
      <c r="G27" s="2"/>
      <c r="H27" s="1"/>
      <c r="I27" s="1"/>
      <c r="J27" s="1"/>
      <c r="K27" s="1"/>
      <c r="L27" s="1"/>
      <c r="M27" s="1"/>
      <c r="N27" s="1"/>
    </row>
    <row r="28" spans="1:14" ht="15" x14ac:dyDescent="0.2">
      <c r="A28" s="17" t="str">
        <f>A49</f>
        <v>1.8. Responsável Técnico (Engenheiro Civil)</v>
      </c>
      <c r="B28" s="18"/>
      <c r="C28" s="19"/>
      <c r="D28" s="19"/>
      <c r="E28" s="20">
        <f>F141</f>
        <v>957.56</v>
      </c>
      <c r="F28" s="14">
        <f t="shared" si="0"/>
        <v>7.1762157565134774E-3</v>
      </c>
      <c r="G28" s="2"/>
      <c r="H28" s="1"/>
      <c r="I28" s="1"/>
      <c r="J28" s="1"/>
      <c r="K28" s="1"/>
      <c r="L28" s="1"/>
      <c r="M28" s="1"/>
      <c r="N28" s="1"/>
    </row>
    <row r="29" spans="1:14" ht="15" x14ac:dyDescent="0.2">
      <c r="A29" s="17" t="str">
        <f>A146</f>
        <v>1.5. Vale Transporte</v>
      </c>
      <c r="B29" s="18"/>
      <c r="C29" s="19"/>
      <c r="D29" s="19"/>
      <c r="E29" s="20">
        <f>F158</f>
        <v>4341.29</v>
      </c>
      <c r="F29" s="21">
        <f t="shared" si="0"/>
        <v>3.2534811083999325E-2</v>
      </c>
      <c r="G29" s="2"/>
      <c r="H29" s="1"/>
      <c r="I29" s="1"/>
      <c r="J29" s="1"/>
      <c r="K29" s="1"/>
      <c r="L29" s="1"/>
      <c r="M29" s="1"/>
      <c r="N29" s="1"/>
    </row>
    <row r="30" spans="1:14" ht="15" x14ac:dyDescent="0.2">
      <c r="A30" s="17" t="str">
        <f>A160</f>
        <v>1.6. Cartão Alimentação</v>
      </c>
      <c r="B30" s="18"/>
      <c r="C30" s="19"/>
      <c r="D30" s="19"/>
      <c r="E30" s="20">
        <f>F168</f>
        <v>9610.8000000000011</v>
      </c>
      <c r="F30" s="21">
        <f t="shared" si="0"/>
        <v>7.2025955963803567E-2</v>
      </c>
      <c r="G30" s="2"/>
      <c r="H30" s="1"/>
      <c r="I30" s="1"/>
      <c r="J30" s="1"/>
      <c r="K30" s="1"/>
      <c r="L30" s="1"/>
      <c r="M30" s="1"/>
      <c r="N30" s="1"/>
    </row>
    <row r="31" spans="1:14" ht="15" x14ac:dyDescent="0.2">
      <c r="A31" s="309" t="str">
        <f>A173</f>
        <v>2. Uniformes e Equipamentos de Proteção Individual</v>
      </c>
      <c r="B31" s="309"/>
      <c r="C31" s="309"/>
      <c r="D31" s="12"/>
      <c r="E31" s="13">
        <f>+F243</f>
        <v>5545.05</v>
      </c>
      <c r="F31" s="14">
        <f t="shared" si="0"/>
        <v>4.1556116776656361E-2</v>
      </c>
      <c r="G31" s="15"/>
      <c r="H31" s="16"/>
      <c r="I31" s="16"/>
      <c r="J31" s="16"/>
      <c r="K31" s="16"/>
      <c r="L31" s="16"/>
      <c r="M31" s="16"/>
      <c r="N31" s="16"/>
    </row>
    <row r="32" spans="1:14" ht="15" x14ac:dyDescent="0.2">
      <c r="A32" s="22" t="str">
        <f>A245</f>
        <v>3. Veículos</v>
      </c>
      <c r="B32" s="23"/>
      <c r="C32" s="12"/>
      <c r="D32" s="12"/>
      <c r="E32" s="13">
        <f>+F360</f>
        <v>11401.640000000001</v>
      </c>
      <c r="F32" s="14">
        <f t="shared" si="0"/>
        <v>8.5446999266985194E-2</v>
      </c>
      <c r="G32" s="15"/>
      <c r="H32" s="1"/>
      <c r="I32" s="1"/>
      <c r="J32" s="1"/>
      <c r="K32" s="1"/>
      <c r="L32" s="1"/>
      <c r="M32" s="1"/>
      <c r="N32" s="1"/>
    </row>
    <row r="33" spans="1:14" ht="15" x14ac:dyDescent="0.2">
      <c r="A33" s="24" t="str">
        <f>A247</f>
        <v>3.1. Veículo Tipo Pick-Up 4x2 ou 4x4</v>
      </c>
      <c r="B33" s="25"/>
      <c r="C33" s="19"/>
      <c r="D33" s="19"/>
      <c r="E33" s="20">
        <f>F258</f>
        <v>1291.02</v>
      </c>
      <c r="F33" s="21">
        <f t="shared" si="0"/>
        <v>9.6752559275387756E-3</v>
      </c>
      <c r="G33" s="2"/>
      <c r="H33" s="1"/>
      <c r="I33" s="1"/>
      <c r="J33" s="1"/>
      <c r="K33" s="1"/>
      <c r="L33" s="1"/>
      <c r="M33" s="1"/>
      <c r="N33" s="1"/>
    </row>
    <row r="34" spans="1:14" ht="15" hidden="1" x14ac:dyDescent="0.2">
      <c r="A34" s="24" t="str">
        <f>A303</f>
        <v>3.2. Veículo utilitário para fiscal</v>
      </c>
      <c r="B34" s="25"/>
      <c r="C34" s="19"/>
      <c r="D34" s="19"/>
      <c r="E34" s="238">
        <f>F314</f>
        <v>0</v>
      </c>
      <c r="F34" s="21">
        <f t="shared" si="0"/>
        <v>0</v>
      </c>
      <c r="G34" s="2"/>
      <c r="H34" s="1"/>
      <c r="I34" s="1"/>
      <c r="J34" s="1"/>
      <c r="K34" s="1"/>
      <c r="L34" s="1"/>
      <c r="M34" s="1"/>
      <c r="N34" s="1"/>
    </row>
    <row r="35" spans="1:14" ht="15" x14ac:dyDescent="0.2">
      <c r="A35" s="22" t="str">
        <f>A362</f>
        <v>4. Ferramentas e Materiais de Consumo</v>
      </c>
      <c r="B35" s="23"/>
      <c r="C35" s="12"/>
      <c r="D35" s="12"/>
      <c r="E35" s="13">
        <f>+F396</f>
        <v>12542.27</v>
      </c>
      <c r="F35" s="14">
        <f t="shared" si="0"/>
        <v>9.3995191524756994E-2</v>
      </c>
      <c r="G35" s="15"/>
      <c r="H35" s="16"/>
      <c r="I35" s="16"/>
      <c r="J35" s="16"/>
      <c r="K35" s="16"/>
      <c r="L35" s="16"/>
      <c r="M35" s="16"/>
      <c r="N35" s="16"/>
    </row>
    <row r="36" spans="1:14" ht="15" x14ac:dyDescent="0.2">
      <c r="A36" s="234" t="str">
        <f>A405</f>
        <v>5. Benefícios e Despesas Indiretas - BDI</v>
      </c>
      <c r="B36" s="235"/>
      <c r="C36" s="236"/>
      <c r="D36" s="236"/>
      <c r="E36" s="231">
        <f>+F410</f>
        <v>24686.06</v>
      </c>
      <c r="F36" s="21">
        <f t="shared" si="0"/>
        <v>0.18500406526822039</v>
      </c>
      <c r="G36" s="15"/>
      <c r="H36" s="1"/>
      <c r="I36" s="1"/>
      <c r="J36" s="1"/>
      <c r="K36" s="1"/>
      <c r="L36" s="1"/>
      <c r="M36" s="1"/>
      <c r="N36" s="1"/>
    </row>
    <row r="37" spans="1:14" ht="15" x14ac:dyDescent="0.2">
      <c r="A37" s="291" t="s">
        <v>229</v>
      </c>
      <c r="B37" s="292"/>
      <c r="C37" s="292"/>
      <c r="D37" s="293"/>
      <c r="E37" s="254">
        <f>SUM(E20+E31+E32+E35+E36)</f>
        <v>133435.23000000001</v>
      </c>
      <c r="F37" s="237">
        <f>F20+F31+F32+F35+F36</f>
        <v>1</v>
      </c>
      <c r="G37" s="2"/>
      <c r="H37" s="1"/>
      <c r="I37" s="1"/>
      <c r="J37" s="1"/>
      <c r="K37" s="1"/>
      <c r="L37" s="1"/>
      <c r="M37" s="1"/>
      <c r="N37" s="1"/>
    </row>
    <row r="38" spans="1:14" ht="15" x14ac:dyDescent="0.2">
      <c r="A38" s="310" t="s">
        <v>230</v>
      </c>
      <c r="B38" s="310"/>
      <c r="C38" s="310"/>
      <c r="D38" s="310"/>
      <c r="E38" s="13">
        <f>E37*3</f>
        <v>400305.69000000006</v>
      </c>
      <c r="F38" s="27"/>
      <c r="G38" s="2"/>
      <c r="H38" s="1"/>
      <c r="I38" s="1"/>
      <c r="J38" s="1"/>
      <c r="K38" s="1"/>
      <c r="L38" s="1"/>
      <c r="M38" s="1"/>
      <c r="N38" s="1"/>
    </row>
    <row r="39" spans="1:14" ht="15.75" thickBot="1" x14ac:dyDescent="0.25">
      <c r="A39" s="1"/>
      <c r="B39" s="1"/>
      <c r="C39" s="1"/>
      <c r="D39" s="2"/>
      <c r="E39" s="2"/>
      <c r="F39" s="2"/>
      <c r="G39" s="2"/>
      <c r="H39" s="1"/>
      <c r="I39" s="1"/>
      <c r="J39" s="1"/>
      <c r="K39" s="1"/>
      <c r="L39" s="1"/>
      <c r="M39" s="1"/>
      <c r="N39" s="1"/>
    </row>
    <row r="40" spans="1:14" ht="15.75" thickBot="1" x14ac:dyDescent="0.25">
      <c r="A40" s="311" t="s">
        <v>7</v>
      </c>
      <c r="B40" s="311"/>
      <c r="C40" s="311"/>
      <c r="D40" s="311"/>
      <c r="E40" s="311"/>
      <c r="F40" s="2"/>
      <c r="G40" s="2"/>
      <c r="H40" s="1"/>
      <c r="I40" s="1"/>
      <c r="J40" s="1"/>
      <c r="K40" s="1"/>
      <c r="L40" s="1"/>
      <c r="M40" s="1"/>
      <c r="N40" s="1"/>
    </row>
    <row r="41" spans="1:14" ht="15" x14ac:dyDescent="0.2">
      <c r="A41" s="312" t="s">
        <v>8</v>
      </c>
      <c r="B41" s="312"/>
      <c r="C41" s="312"/>
      <c r="D41" s="312"/>
      <c r="E41" s="29" t="s">
        <v>9</v>
      </c>
      <c r="F41" s="2"/>
      <c r="G41" s="2"/>
      <c r="H41" s="1"/>
      <c r="I41" s="1"/>
      <c r="J41" s="1"/>
      <c r="K41" s="1"/>
      <c r="L41" s="1"/>
      <c r="M41" s="1"/>
      <c r="N41" s="1"/>
    </row>
    <row r="42" spans="1:14" ht="15" x14ac:dyDescent="0.2">
      <c r="A42" s="30" t="str">
        <f>A21</f>
        <v>1.1. Pedreiro</v>
      </c>
      <c r="B42" s="19"/>
      <c r="C42" s="19"/>
      <c r="D42" s="32"/>
      <c r="E42" s="239">
        <v>1</v>
      </c>
      <c r="F42" s="2"/>
      <c r="G42" s="2"/>
      <c r="H42" s="1"/>
      <c r="I42" s="1"/>
      <c r="J42" s="1"/>
      <c r="K42" s="1"/>
      <c r="L42" s="1"/>
      <c r="M42" s="1"/>
      <c r="N42" s="1"/>
    </row>
    <row r="43" spans="1:14" ht="15" x14ac:dyDescent="0.2">
      <c r="A43" s="30" t="str">
        <f>A22</f>
        <v>1.2. Servente de pedreiro</v>
      </c>
      <c r="B43" s="33"/>
      <c r="C43" s="33"/>
      <c r="D43" s="34"/>
      <c r="E43" s="239">
        <v>2</v>
      </c>
      <c r="F43" s="2"/>
      <c r="G43" s="2"/>
      <c r="H43" s="1"/>
      <c r="I43" s="1"/>
      <c r="J43" s="1"/>
      <c r="K43" s="1"/>
      <c r="L43" s="1"/>
      <c r="M43" s="1"/>
      <c r="N43" s="1"/>
    </row>
    <row r="44" spans="1:14" ht="15" x14ac:dyDescent="0.2">
      <c r="A44" s="30" t="str">
        <f>A85</f>
        <v>1.3. Auxiliar de Serviços Gerais</v>
      </c>
      <c r="B44" s="33"/>
      <c r="C44" s="33"/>
      <c r="D44" s="34"/>
      <c r="E44" s="239">
        <v>12</v>
      </c>
      <c r="F44" s="2"/>
      <c r="G44" s="2"/>
      <c r="H44" s="1"/>
      <c r="I44" s="1"/>
      <c r="J44" s="1"/>
      <c r="K44" s="1"/>
      <c r="L44" s="1"/>
      <c r="M44" s="1"/>
      <c r="N44" s="1"/>
    </row>
    <row r="45" spans="1:14" ht="15" x14ac:dyDescent="0.2">
      <c r="A45" s="30" t="str">
        <f>A96</f>
        <v>1.4. Soldador</v>
      </c>
      <c r="B45" s="33"/>
      <c r="C45" s="33"/>
      <c r="D45" s="34"/>
      <c r="E45" s="239">
        <v>3</v>
      </c>
      <c r="F45" s="2"/>
      <c r="G45" s="2"/>
      <c r="H45" s="1"/>
      <c r="I45" s="1"/>
      <c r="J45" s="1"/>
      <c r="K45" s="1"/>
      <c r="L45" s="1"/>
      <c r="M45" s="1"/>
      <c r="N45" s="1"/>
    </row>
    <row r="46" spans="1:14" ht="15" x14ac:dyDescent="0.2">
      <c r="A46" s="30" t="str">
        <f>A107</f>
        <v>1.5. Eletricista</v>
      </c>
      <c r="B46" s="33"/>
      <c r="C46" s="33"/>
      <c r="D46" s="34"/>
      <c r="E46" s="239">
        <v>3</v>
      </c>
      <c r="F46" s="2"/>
      <c r="G46" s="2"/>
      <c r="H46" s="1"/>
      <c r="I46" s="1"/>
      <c r="J46" s="1"/>
      <c r="K46" s="1"/>
      <c r="L46" s="1"/>
      <c r="M46" s="1"/>
      <c r="N46" s="1"/>
    </row>
    <row r="47" spans="1:14" ht="15" x14ac:dyDescent="0.2">
      <c r="A47" s="30" t="str">
        <f>A118</f>
        <v>1.6. Supervisor</v>
      </c>
      <c r="B47" s="33"/>
      <c r="C47" s="33"/>
      <c r="D47" s="34"/>
      <c r="E47" s="239">
        <v>1</v>
      </c>
      <c r="F47" s="2"/>
      <c r="G47" s="2"/>
      <c r="H47" s="1"/>
      <c r="I47" s="1"/>
      <c r="J47" s="1"/>
      <c r="K47" s="1"/>
      <c r="L47" s="1"/>
      <c r="M47" s="1"/>
      <c r="N47" s="1"/>
    </row>
    <row r="48" spans="1:14" ht="15" x14ac:dyDescent="0.2">
      <c r="A48" s="30" t="str">
        <f>A27</f>
        <v>1.7. Técnico Segurança do Trabalho</v>
      </c>
      <c r="B48" s="19"/>
      <c r="C48" s="19"/>
      <c r="D48" s="32"/>
      <c r="E48" s="239">
        <v>1</v>
      </c>
      <c r="F48" s="2"/>
      <c r="G48" s="2"/>
      <c r="H48" s="1"/>
      <c r="I48" s="1"/>
      <c r="J48" s="1"/>
      <c r="K48" s="1"/>
      <c r="L48" s="1"/>
      <c r="M48" s="1"/>
      <c r="N48" s="1"/>
    </row>
    <row r="49" spans="1:14" ht="15" x14ac:dyDescent="0.2">
      <c r="A49" s="30" t="str">
        <f>A136</f>
        <v>1.8. Responsável Técnico (Engenheiro Civil)</v>
      </c>
      <c r="B49" s="33"/>
      <c r="C49" s="33"/>
      <c r="D49" s="34"/>
      <c r="E49" s="239">
        <v>1</v>
      </c>
      <c r="F49" s="2"/>
      <c r="G49" s="2"/>
      <c r="H49" s="1"/>
      <c r="I49" s="1"/>
      <c r="J49" s="1"/>
      <c r="K49" s="1"/>
      <c r="L49" s="1"/>
      <c r="M49" s="1"/>
      <c r="N49" s="1"/>
    </row>
    <row r="50" spans="1:14" ht="15" x14ac:dyDescent="0.2">
      <c r="A50" s="30" t="s">
        <v>10</v>
      </c>
      <c r="B50" s="33"/>
      <c r="C50" s="33"/>
      <c r="D50" s="34"/>
      <c r="E50" s="240">
        <f>SUM(E42:E49)</f>
        <v>24</v>
      </c>
      <c r="F50" s="2"/>
      <c r="G50" s="2"/>
      <c r="H50" s="1"/>
      <c r="I50" s="1"/>
      <c r="J50" s="1"/>
      <c r="K50" s="1"/>
      <c r="L50" s="1"/>
      <c r="M50" s="1"/>
      <c r="N50" s="1"/>
    </row>
    <row r="51" spans="1:14" ht="15.75" thickBot="1" x14ac:dyDescent="0.25">
      <c r="A51" s="35"/>
      <c r="B51" s="36"/>
      <c r="C51" s="2"/>
      <c r="D51" s="2"/>
      <c r="E51" s="4"/>
      <c r="F51" s="2"/>
      <c r="G51" s="2"/>
      <c r="H51" s="1"/>
      <c r="I51" s="1"/>
      <c r="J51" s="1"/>
      <c r="K51" s="1"/>
      <c r="L51" s="1"/>
      <c r="M51" s="1"/>
      <c r="N51" s="1"/>
    </row>
    <row r="52" spans="1:14" ht="15" x14ac:dyDescent="0.2">
      <c r="A52" s="297" t="s">
        <v>11</v>
      </c>
      <c r="B52" s="297"/>
      <c r="C52" s="297"/>
      <c r="D52" s="297"/>
      <c r="E52" s="37" t="s">
        <v>9</v>
      </c>
      <c r="F52" s="1"/>
      <c r="G52" s="2"/>
      <c r="H52" s="1"/>
      <c r="I52" s="1"/>
      <c r="J52" s="1"/>
      <c r="K52" s="1"/>
      <c r="L52" s="1"/>
      <c r="M52" s="1"/>
      <c r="N52" s="1"/>
    </row>
    <row r="53" spans="1:14" ht="15" x14ac:dyDescent="0.2">
      <c r="A53" s="241" t="str">
        <f>+A247</f>
        <v>3.1. Veículo Tipo Pick-Up 4x2 ou 4x4</v>
      </c>
      <c r="B53" s="31"/>
      <c r="C53" s="31"/>
      <c r="D53" s="242"/>
      <c r="E53" s="243">
        <v>1</v>
      </c>
      <c r="F53" s="1"/>
      <c r="G53" s="2"/>
      <c r="H53" s="1"/>
      <c r="I53" s="1"/>
      <c r="J53" s="1"/>
      <c r="K53" s="1"/>
      <c r="L53" s="1"/>
      <c r="M53" s="1"/>
      <c r="N53" s="1"/>
    </row>
    <row r="54" spans="1:14" ht="15" hidden="1" x14ac:dyDescent="0.2">
      <c r="A54" s="30" t="str">
        <f>A303</f>
        <v>3.2. Veículo utilitário para fiscal</v>
      </c>
      <c r="B54" s="19"/>
      <c r="C54" s="19"/>
      <c r="D54" s="32"/>
      <c r="E54" s="239">
        <v>0</v>
      </c>
      <c r="F54" s="1"/>
      <c r="G54" s="2"/>
      <c r="H54" s="1"/>
      <c r="I54" s="1"/>
      <c r="J54" s="1"/>
      <c r="K54" s="1"/>
      <c r="L54" s="1"/>
      <c r="M54" s="1"/>
      <c r="N54" s="1"/>
    </row>
    <row r="55" spans="1:14" ht="15" x14ac:dyDescent="0.2">
      <c r="A55" s="2"/>
      <c r="B55" s="2"/>
      <c r="C55" s="2"/>
      <c r="D55" s="1"/>
      <c r="E55" s="38"/>
      <c r="F55" s="1"/>
      <c r="G55" s="2"/>
      <c r="H55" s="1"/>
      <c r="I55" s="1"/>
      <c r="J55" s="1"/>
      <c r="K55" s="1"/>
      <c r="L55" s="1"/>
      <c r="M55" s="1"/>
      <c r="N55" s="1"/>
    </row>
    <row r="56" spans="1:14" ht="15.75" thickBot="1" x14ac:dyDescent="0.25">
      <c r="A56" s="2"/>
      <c r="B56" s="2"/>
      <c r="C56" s="2"/>
      <c r="D56" s="1"/>
      <c r="E56" s="39"/>
      <c r="F56" s="1"/>
      <c r="G56" s="2"/>
      <c r="H56" s="1"/>
      <c r="I56" s="1"/>
      <c r="J56" s="1"/>
      <c r="K56" s="1"/>
      <c r="L56" s="1"/>
      <c r="M56" s="1"/>
      <c r="N56" s="1"/>
    </row>
    <row r="57" spans="1:14" ht="15.75" thickBot="1" x14ac:dyDescent="0.25">
      <c r="A57" s="40" t="s">
        <v>12</v>
      </c>
      <c r="B57" s="41">
        <v>1</v>
      </c>
      <c r="C57" s="15"/>
      <c r="D57" s="16"/>
      <c r="E57" s="42"/>
      <c r="F57" s="16"/>
      <c r="G57" s="15"/>
      <c r="H57" s="16"/>
      <c r="I57" s="16"/>
      <c r="J57" s="16"/>
      <c r="K57" s="16"/>
      <c r="L57" s="16"/>
      <c r="M57" s="16"/>
      <c r="N57" s="16"/>
    </row>
    <row r="58" spans="1:14" ht="15" x14ac:dyDescent="0.2">
      <c r="A58" s="2"/>
      <c r="B58" s="2"/>
      <c r="C58" s="2"/>
      <c r="D58" s="1"/>
      <c r="E58" s="39"/>
      <c r="F58" s="1"/>
      <c r="G58" s="2"/>
      <c r="H58" s="1"/>
      <c r="I58" s="1"/>
      <c r="J58" s="1"/>
      <c r="K58" s="1"/>
      <c r="L58" s="1"/>
      <c r="M58" s="1"/>
      <c r="N58" s="1"/>
    </row>
    <row r="59" spans="1:14" ht="15" x14ac:dyDescent="0.2">
      <c r="A59" s="16" t="s">
        <v>13</v>
      </c>
      <c r="B59" s="1"/>
      <c r="C59" s="1"/>
      <c r="D59" s="2"/>
      <c r="E59" s="2"/>
      <c r="F59" s="2"/>
      <c r="G59" s="2"/>
      <c r="H59" s="1"/>
      <c r="I59" s="1"/>
      <c r="J59" s="1"/>
      <c r="K59" s="1"/>
      <c r="L59" s="1"/>
      <c r="M59" s="1"/>
      <c r="N59" s="1"/>
    </row>
    <row r="60" spans="1:14" ht="15" x14ac:dyDescent="0.2">
      <c r="A60" s="1"/>
      <c r="B60" s="1"/>
      <c r="C60" s="1"/>
      <c r="D60" s="2"/>
      <c r="E60" s="2"/>
      <c r="F60" s="2"/>
      <c r="G60" s="2"/>
      <c r="H60" s="1"/>
      <c r="I60" s="1"/>
      <c r="J60" s="1"/>
      <c r="K60" s="1"/>
      <c r="L60" s="1"/>
      <c r="M60" s="1"/>
      <c r="N60" s="1"/>
    </row>
    <row r="61" spans="1:14" ht="15.75" thickBot="1" x14ac:dyDescent="0.25">
      <c r="A61" s="1" t="s">
        <v>251</v>
      </c>
      <c r="B61" s="1"/>
      <c r="C61" s="1"/>
      <c r="D61" s="2"/>
      <c r="E61" s="2"/>
      <c r="F61" s="2"/>
      <c r="G61" s="2"/>
      <c r="H61" s="1"/>
      <c r="I61" s="1"/>
      <c r="J61" s="1"/>
      <c r="K61" s="1"/>
      <c r="L61" s="1"/>
      <c r="M61" s="1"/>
      <c r="N61" s="1"/>
    </row>
    <row r="62" spans="1:14" ht="15.75" thickBot="1" x14ac:dyDescent="0.25">
      <c r="A62" s="43" t="s">
        <v>14</v>
      </c>
      <c r="B62" s="44" t="s">
        <v>15</v>
      </c>
      <c r="C62" s="44" t="s">
        <v>9</v>
      </c>
      <c r="D62" s="45" t="s">
        <v>16</v>
      </c>
      <c r="E62" s="45" t="s">
        <v>17</v>
      </c>
      <c r="F62" s="46" t="s">
        <v>18</v>
      </c>
      <c r="G62" s="2"/>
      <c r="H62" s="1"/>
      <c r="I62" s="1"/>
      <c r="J62" s="1"/>
      <c r="K62" s="1"/>
      <c r="L62" s="1"/>
      <c r="M62" s="1"/>
      <c r="N62" s="1"/>
    </row>
    <row r="63" spans="1:14" ht="15" x14ac:dyDescent="0.25">
      <c r="A63" s="47" t="s">
        <v>19</v>
      </c>
      <c r="B63" s="48" t="s">
        <v>20</v>
      </c>
      <c r="C63" s="48">
        <v>1</v>
      </c>
      <c r="D63" s="49">
        <v>3701.79</v>
      </c>
      <c r="E63" s="50">
        <f>TRUNC(C63*D63,2)</f>
        <v>3701.79</v>
      </c>
      <c r="F63" s="2"/>
      <c r="G63" s="51"/>
      <c r="H63" s="1" t="s">
        <v>252</v>
      </c>
      <c r="I63" s="1"/>
      <c r="J63" s="1"/>
      <c r="K63" s="1"/>
      <c r="L63" s="1"/>
      <c r="M63" s="1"/>
      <c r="N63" s="1"/>
    </row>
    <row r="64" spans="1:14" ht="15" x14ac:dyDescent="0.2">
      <c r="A64" s="27" t="s">
        <v>21</v>
      </c>
      <c r="B64" s="52" t="s">
        <v>22</v>
      </c>
      <c r="C64" s="53">
        <v>0</v>
      </c>
      <c r="D64" s="54">
        <f>D63/220*2</f>
        <v>33.652636363636361</v>
      </c>
      <c r="E64" s="54">
        <f>TRUNC(C64*D64,2)</f>
        <v>0</v>
      </c>
      <c r="F64" s="2"/>
      <c r="G64" s="2"/>
      <c r="H64" s="1"/>
      <c r="I64" s="1"/>
      <c r="J64" s="1"/>
      <c r="K64" s="1"/>
      <c r="L64" s="1"/>
      <c r="M64" s="1"/>
      <c r="N64" s="1"/>
    </row>
    <row r="65" spans="1:14" ht="15" x14ac:dyDescent="0.2">
      <c r="A65" s="27" t="s">
        <v>23</v>
      </c>
      <c r="B65" s="52" t="s">
        <v>22</v>
      </c>
      <c r="C65" s="53"/>
      <c r="D65" s="54">
        <f>D63/220*1.5</f>
        <v>25.239477272727271</v>
      </c>
      <c r="E65" s="54">
        <f>C65*D65</f>
        <v>0</v>
      </c>
      <c r="F65" s="2"/>
      <c r="G65" s="2"/>
      <c r="H65" s="1"/>
      <c r="I65" s="1"/>
      <c r="J65" s="1"/>
      <c r="K65" s="1"/>
      <c r="L65" s="1"/>
      <c r="M65" s="1"/>
      <c r="N65" s="1"/>
    </row>
    <row r="66" spans="1:14" ht="15" x14ac:dyDescent="0.2">
      <c r="A66" s="27" t="s">
        <v>24</v>
      </c>
      <c r="B66" s="52" t="s">
        <v>25</v>
      </c>
      <c r="C66" s="1">
        <v>1.53</v>
      </c>
      <c r="D66" s="54">
        <f>63/302*(SUM(E64))</f>
        <v>0</v>
      </c>
      <c r="E66" s="54">
        <f>D66*C66</f>
        <v>0</v>
      </c>
      <c r="F66" s="2"/>
      <c r="G66" s="2"/>
      <c r="H66" s="1"/>
      <c r="I66" s="1"/>
      <c r="J66" s="1"/>
      <c r="K66" s="1"/>
      <c r="L66" s="1"/>
      <c r="M66" s="1"/>
      <c r="N66" s="1"/>
    </row>
    <row r="67" spans="1:14" ht="15" x14ac:dyDescent="0.2">
      <c r="A67" s="27" t="s">
        <v>26</v>
      </c>
      <c r="B67" s="52" t="s">
        <v>6</v>
      </c>
      <c r="C67" s="55">
        <v>0</v>
      </c>
      <c r="D67" s="54">
        <f>D63</f>
        <v>3701.79</v>
      </c>
      <c r="E67" s="54">
        <f>TRUNC(C67*D67/100,2)</f>
        <v>0</v>
      </c>
      <c r="F67" s="2"/>
      <c r="G67" s="2"/>
      <c r="H67" s="1"/>
      <c r="I67" s="1"/>
      <c r="J67" s="1"/>
      <c r="K67" s="1"/>
      <c r="L67" s="1"/>
      <c r="M67" s="1"/>
      <c r="N67" s="1"/>
    </row>
    <row r="68" spans="1:14" ht="15" x14ac:dyDescent="0.2">
      <c r="A68" s="56" t="s">
        <v>27</v>
      </c>
      <c r="B68" s="57"/>
      <c r="C68" s="57"/>
      <c r="D68" s="58"/>
      <c r="E68" s="59">
        <f>TRUNC(SUM(E63:E67),2)</f>
        <v>3701.79</v>
      </c>
      <c r="F68" s="2"/>
      <c r="G68" s="2"/>
      <c r="H68" s="1"/>
      <c r="I68" s="1"/>
      <c r="J68" s="1"/>
      <c r="K68" s="1"/>
      <c r="L68" s="1"/>
      <c r="M68" s="1"/>
      <c r="N68" s="1"/>
    </row>
    <row r="69" spans="1:14" ht="15" x14ac:dyDescent="0.2">
      <c r="A69" s="27" t="s">
        <v>28</v>
      </c>
      <c r="B69" s="52" t="s">
        <v>6</v>
      </c>
      <c r="C69" s="60">
        <f>'3.Encargos Sociais'!$C$35*100</f>
        <v>70.616959999999992</v>
      </c>
      <c r="D69" s="54">
        <f>E68</f>
        <v>3701.79</v>
      </c>
      <c r="E69" s="54">
        <f>TRUNC(D69*C69/100,2)</f>
        <v>2614.09</v>
      </c>
      <c r="F69" s="2"/>
      <c r="G69" s="2"/>
      <c r="H69" s="1"/>
      <c r="I69" s="1"/>
      <c r="J69" s="1"/>
      <c r="K69" s="1"/>
      <c r="L69" s="1"/>
      <c r="M69" s="1"/>
      <c r="N69" s="1"/>
    </row>
    <row r="70" spans="1:14" ht="15" x14ac:dyDescent="0.2">
      <c r="A70" s="56" t="s">
        <v>339</v>
      </c>
      <c r="B70" s="57"/>
      <c r="C70" s="57"/>
      <c r="D70" s="58"/>
      <c r="E70" s="59">
        <f>TRUNC(E68+E69,2)</f>
        <v>6315.88</v>
      </c>
      <c r="F70" s="2"/>
      <c r="G70" s="2"/>
      <c r="H70" s="1"/>
      <c r="I70" s="1"/>
      <c r="J70" s="1"/>
      <c r="K70" s="1"/>
      <c r="L70" s="1"/>
      <c r="M70" s="1"/>
      <c r="N70" s="1"/>
    </row>
    <row r="71" spans="1:14" ht="15.75" thickBot="1" x14ac:dyDescent="0.25">
      <c r="A71" s="27" t="s">
        <v>29</v>
      </c>
      <c r="B71" s="52" t="s">
        <v>30</v>
      </c>
      <c r="C71" s="61">
        <f>E42</f>
        <v>1</v>
      </c>
      <c r="D71" s="54">
        <f>E70</f>
        <v>6315.88</v>
      </c>
      <c r="E71" s="54">
        <f>TRUNC(C71*D71,2)</f>
        <v>6315.88</v>
      </c>
      <c r="F71" s="2"/>
      <c r="G71" s="2"/>
      <c r="H71" s="1"/>
      <c r="I71" s="1"/>
      <c r="J71" s="1"/>
      <c r="K71" s="1"/>
      <c r="L71" s="1"/>
      <c r="M71" s="1"/>
      <c r="N71" s="1"/>
    </row>
    <row r="72" spans="1:14" ht="15.75" thickBot="1" x14ac:dyDescent="0.25">
      <c r="A72" s="1"/>
      <c r="B72" s="1"/>
      <c r="C72" s="1"/>
      <c r="D72" s="62" t="s">
        <v>31</v>
      </c>
      <c r="E72" s="63">
        <f>$B$57</f>
        <v>1</v>
      </c>
      <c r="F72" s="64">
        <f>TRUNC(E71*E72,2)</f>
        <v>6315.88</v>
      </c>
      <c r="G72" s="2"/>
      <c r="H72" s="1"/>
      <c r="I72" s="1"/>
      <c r="J72" s="1"/>
      <c r="K72" s="1"/>
      <c r="L72" s="1"/>
      <c r="M72" s="1"/>
      <c r="N72" s="1"/>
    </row>
    <row r="73" spans="1:14" ht="15" x14ac:dyDescent="0.2">
      <c r="A73" s="1"/>
      <c r="B73" s="1"/>
      <c r="C73" s="1"/>
      <c r="D73" s="2"/>
      <c r="E73" s="2"/>
      <c r="F73" s="2"/>
      <c r="G73" s="2"/>
      <c r="H73" s="1"/>
      <c r="I73" s="1"/>
      <c r="J73" s="1"/>
      <c r="K73" s="1"/>
      <c r="L73" s="1"/>
      <c r="M73" s="1"/>
      <c r="N73" s="1"/>
    </row>
    <row r="74" spans="1:14" ht="15.75" thickBot="1" x14ac:dyDescent="0.25">
      <c r="A74" s="1" t="s">
        <v>278</v>
      </c>
      <c r="B74" s="1"/>
      <c r="C74" s="1"/>
      <c r="D74" s="2"/>
      <c r="E74" s="2"/>
      <c r="F74" s="2"/>
      <c r="G74" s="2"/>
      <c r="H74" s="1"/>
      <c r="I74" s="1"/>
      <c r="J74" s="1"/>
      <c r="K74" s="1"/>
      <c r="L74" s="1"/>
      <c r="M74" s="1"/>
      <c r="N74" s="1"/>
    </row>
    <row r="75" spans="1:14" ht="15.75" thickBot="1" x14ac:dyDescent="0.25">
      <c r="A75" s="43" t="s">
        <v>14</v>
      </c>
      <c r="B75" s="44" t="s">
        <v>15</v>
      </c>
      <c r="C75" s="44" t="s">
        <v>9</v>
      </c>
      <c r="D75" s="45" t="s">
        <v>16</v>
      </c>
      <c r="E75" s="45" t="s">
        <v>17</v>
      </c>
      <c r="F75" s="46" t="s">
        <v>18</v>
      </c>
      <c r="G75" s="2"/>
      <c r="H75" s="1"/>
      <c r="I75" s="1"/>
      <c r="J75" s="1"/>
      <c r="K75" s="1"/>
      <c r="L75" s="1"/>
      <c r="M75" s="1"/>
      <c r="N75" s="1"/>
    </row>
    <row r="76" spans="1:14" ht="15" x14ac:dyDescent="0.25">
      <c r="A76" s="47" t="s">
        <v>32</v>
      </c>
      <c r="B76" s="48" t="s">
        <v>20</v>
      </c>
      <c r="C76" s="65">
        <v>1</v>
      </c>
      <c r="D76" s="49">
        <v>1856.8</v>
      </c>
      <c r="E76" s="66">
        <f>ROUND(D76*C76,2)</f>
        <v>1856.8</v>
      </c>
      <c r="F76" s="2"/>
      <c r="G76" s="51"/>
      <c r="H76" s="1" t="s">
        <v>255</v>
      </c>
      <c r="I76" s="1"/>
      <c r="J76" s="1"/>
      <c r="K76" s="1"/>
      <c r="L76" s="1"/>
      <c r="M76" s="1"/>
      <c r="N76" s="1"/>
    </row>
    <row r="77" spans="1:14" ht="15" x14ac:dyDescent="0.2">
      <c r="A77" s="47" t="s">
        <v>21</v>
      </c>
      <c r="B77" s="48" t="s">
        <v>22</v>
      </c>
      <c r="C77" s="67">
        <v>0</v>
      </c>
      <c r="D77" s="66">
        <v>25.6026363636364</v>
      </c>
      <c r="E77" s="66">
        <f>ROUND(D77*C77,2)</f>
        <v>0</v>
      </c>
      <c r="F77" s="2"/>
      <c r="G77" s="2"/>
      <c r="H77" s="1"/>
      <c r="I77" s="1"/>
      <c r="J77" s="1"/>
      <c r="K77" s="1"/>
      <c r="L77" s="1"/>
      <c r="M77" s="1"/>
      <c r="N77" s="1"/>
    </row>
    <row r="78" spans="1:14" ht="15" x14ac:dyDescent="0.2">
      <c r="A78" s="27" t="s">
        <v>26</v>
      </c>
      <c r="B78" s="52" t="s">
        <v>6</v>
      </c>
      <c r="C78" s="53">
        <v>0</v>
      </c>
      <c r="D78" s="68">
        <v>1412</v>
      </c>
      <c r="E78" s="66">
        <f>ROUND(C78/100*D78,2)</f>
        <v>0</v>
      </c>
      <c r="F78" s="2"/>
      <c r="G78" s="2"/>
      <c r="H78" s="1"/>
      <c r="I78" s="1"/>
      <c r="J78" s="1"/>
      <c r="K78" s="1"/>
      <c r="L78" s="1"/>
      <c r="M78" s="1"/>
      <c r="N78" s="1"/>
    </row>
    <row r="79" spans="1:14" ht="15" x14ac:dyDescent="0.2">
      <c r="A79" s="27" t="s">
        <v>27</v>
      </c>
      <c r="B79" s="52"/>
      <c r="C79" s="69"/>
      <c r="D79" s="68"/>
      <c r="E79" s="66">
        <f>SUM(E76:E78)</f>
        <v>1856.8</v>
      </c>
      <c r="F79" s="2"/>
      <c r="G79" s="2"/>
      <c r="H79" s="1"/>
      <c r="I79" s="1"/>
      <c r="J79" s="1"/>
      <c r="K79" s="1"/>
      <c r="L79" s="1"/>
      <c r="M79" s="1"/>
      <c r="N79" s="1"/>
    </row>
    <row r="80" spans="1:14" ht="15" x14ac:dyDescent="0.2">
      <c r="A80" s="27" t="s">
        <v>28</v>
      </c>
      <c r="B80" s="52" t="s">
        <v>6</v>
      </c>
      <c r="C80" s="246">
        <f>C69</f>
        <v>70.616959999999992</v>
      </c>
      <c r="D80" s="68">
        <f>D76</f>
        <v>1856.8</v>
      </c>
      <c r="E80" s="66">
        <f>ROUND(C80/100*D80,2)</f>
        <v>1311.22</v>
      </c>
      <c r="F80" s="2"/>
      <c r="G80" s="2"/>
      <c r="H80" s="1"/>
      <c r="I80" s="1"/>
      <c r="J80" s="1"/>
      <c r="K80" s="1"/>
      <c r="L80" s="1"/>
      <c r="M80" s="1"/>
      <c r="N80" s="1"/>
    </row>
    <row r="81" spans="1:14" ht="15" x14ac:dyDescent="0.2">
      <c r="A81" s="27" t="s">
        <v>341</v>
      </c>
      <c r="B81" s="52"/>
      <c r="C81" s="70"/>
      <c r="D81" s="68"/>
      <c r="E81" s="66">
        <f>E79+E80</f>
        <v>3168.02</v>
      </c>
      <c r="F81" s="2"/>
      <c r="G81" s="2"/>
      <c r="H81" s="1"/>
      <c r="I81" s="1"/>
      <c r="J81" s="1"/>
      <c r="K81" s="1"/>
      <c r="L81" s="1"/>
      <c r="M81" s="1"/>
      <c r="N81" s="1"/>
    </row>
    <row r="82" spans="1:14" ht="15.75" thickBot="1" x14ac:dyDescent="0.25">
      <c r="A82" s="27" t="s">
        <v>29</v>
      </c>
      <c r="B82" s="52" t="s">
        <v>30</v>
      </c>
      <c r="C82" s="70">
        <f>E43</f>
        <v>2</v>
      </c>
      <c r="D82" s="68">
        <f>E81</f>
        <v>3168.02</v>
      </c>
      <c r="E82" s="66">
        <f>ROUND(D82*C82,2)</f>
        <v>6336.04</v>
      </c>
      <c r="F82" s="2"/>
      <c r="G82" s="2"/>
      <c r="H82" s="1"/>
      <c r="I82" s="1"/>
      <c r="J82" s="1"/>
      <c r="K82" s="1"/>
      <c r="L82" s="1"/>
      <c r="M82" s="1"/>
      <c r="N82" s="1"/>
    </row>
    <row r="83" spans="1:14" ht="15.75" thickBot="1" x14ac:dyDescent="0.25">
      <c r="A83" s="1"/>
      <c r="B83" s="1"/>
      <c r="C83" s="1"/>
      <c r="D83" s="62" t="s">
        <v>31</v>
      </c>
      <c r="E83" s="63">
        <f>$B$57</f>
        <v>1</v>
      </c>
      <c r="F83" s="64">
        <f>E82*E83</f>
        <v>6336.04</v>
      </c>
      <c r="G83" s="2"/>
      <c r="H83" s="1"/>
      <c r="I83" s="1"/>
      <c r="J83" s="1"/>
      <c r="K83" s="1"/>
      <c r="L83" s="1"/>
      <c r="M83" s="1"/>
      <c r="N83" s="1"/>
    </row>
    <row r="84" spans="1:14" ht="15" x14ac:dyDescent="0.2">
      <c r="A84" s="1"/>
      <c r="B84" s="1"/>
      <c r="C84" s="1"/>
      <c r="D84" s="62"/>
      <c r="E84" s="2"/>
      <c r="F84" s="58"/>
      <c r="G84" s="2"/>
      <c r="H84" s="1"/>
      <c r="I84" s="1"/>
      <c r="J84" s="1"/>
      <c r="K84" s="1"/>
      <c r="L84" s="1"/>
      <c r="M84" s="1"/>
      <c r="N84" s="1"/>
    </row>
    <row r="85" spans="1:14" ht="15.75" thickBot="1" x14ac:dyDescent="0.25">
      <c r="A85" s="1" t="s">
        <v>276</v>
      </c>
      <c r="B85" s="1"/>
      <c r="C85" s="1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</row>
    <row r="86" spans="1:14" ht="15.75" thickBot="1" x14ac:dyDescent="0.25">
      <c r="A86" s="43" t="s">
        <v>14</v>
      </c>
      <c r="B86" s="44" t="s">
        <v>15</v>
      </c>
      <c r="C86" s="44" t="s">
        <v>9</v>
      </c>
      <c r="D86" s="45" t="s">
        <v>16</v>
      </c>
      <c r="E86" s="45" t="s">
        <v>17</v>
      </c>
      <c r="F86" s="46" t="s">
        <v>18</v>
      </c>
      <c r="G86" s="2"/>
      <c r="H86" s="1"/>
      <c r="I86" s="1"/>
      <c r="J86" s="1"/>
      <c r="K86" s="1"/>
      <c r="L86" s="1"/>
      <c r="M86" s="1"/>
      <c r="N86" s="1"/>
    </row>
    <row r="87" spans="1:14" ht="15" x14ac:dyDescent="0.2">
      <c r="A87" s="47" t="s">
        <v>32</v>
      </c>
      <c r="B87" s="48" t="s">
        <v>20</v>
      </c>
      <c r="C87" s="65">
        <v>1</v>
      </c>
      <c r="D87" s="49">
        <v>1765.86</v>
      </c>
      <c r="E87" s="66">
        <f>ROUND(D87*C87,2)</f>
        <v>1765.86</v>
      </c>
      <c r="F87" s="2"/>
      <c r="G87" s="2"/>
      <c r="H87" s="1" t="s">
        <v>277</v>
      </c>
      <c r="I87" s="1"/>
      <c r="J87" s="1"/>
      <c r="K87" s="1"/>
      <c r="L87" s="1"/>
      <c r="M87" s="1"/>
      <c r="N87" s="1"/>
    </row>
    <row r="88" spans="1:14" ht="15" x14ac:dyDescent="0.2">
      <c r="A88" s="47" t="s">
        <v>21</v>
      </c>
      <c r="B88" s="48" t="s">
        <v>22</v>
      </c>
      <c r="C88" s="67">
        <v>0</v>
      </c>
      <c r="D88" s="66">
        <v>25.6026363636364</v>
      </c>
      <c r="E88" s="66">
        <f>ROUND(D88*C88,2)</f>
        <v>0</v>
      </c>
      <c r="F88" s="2"/>
      <c r="G88" s="2"/>
      <c r="H88" s="1"/>
      <c r="I88" s="1"/>
      <c r="J88" s="1"/>
      <c r="K88" s="1"/>
      <c r="L88" s="1"/>
      <c r="M88" s="1"/>
      <c r="N88" s="1"/>
    </row>
    <row r="89" spans="1:14" ht="15" x14ac:dyDescent="0.2">
      <c r="A89" s="27" t="s">
        <v>26</v>
      </c>
      <c r="B89" s="52" t="s">
        <v>6</v>
      </c>
      <c r="C89" s="53">
        <v>0</v>
      </c>
      <c r="D89" s="68">
        <v>1412</v>
      </c>
      <c r="E89" s="66">
        <f>ROUND(C89/100*D89,2)</f>
        <v>0</v>
      </c>
      <c r="F89" s="2"/>
      <c r="G89" s="2"/>
      <c r="H89" s="1"/>
      <c r="I89" s="1"/>
      <c r="J89" s="1"/>
      <c r="K89" s="1"/>
      <c r="L89" s="1"/>
      <c r="M89" s="1"/>
      <c r="N89" s="1"/>
    </row>
    <row r="90" spans="1:14" ht="15" x14ac:dyDescent="0.2">
      <c r="A90" s="27" t="s">
        <v>27</v>
      </c>
      <c r="B90" s="52"/>
      <c r="C90" s="69"/>
      <c r="D90" s="68"/>
      <c r="E90" s="66">
        <f>SUM(E87:E89)</f>
        <v>1765.86</v>
      </c>
      <c r="F90" s="2"/>
      <c r="G90" s="2"/>
      <c r="H90" s="1"/>
      <c r="I90" s="1"/>
      <c r="J90" s="1"/>
      <c r="K90" s="1"/>
      <c r="L90" s="1"/>
      <c r="M90" s="1"/>
      <c r="N90" s="1"/>
    </row>
    <row r="91" spans="1:14" ht="15" x14ac:dyDescent="0.2">
      <c r="A91" s="27" t="s">
        <v>28</v>
      </c>
      <c r="B91" s="52" t="s">
        <v>6</v>
      </c>
      <c r="C91" s="246">
        <f>C80</f>
        <v>70.616959999999992</v>
      </c>
      <c r="D91" s="68">
        <f>D87</f>
        <v>1765.86</v>
      </c>
      <c r="E91" s="66">
        <f>ROUND(C91/100*D91,2)</f>
        <v>1247</v>
      </c>
      <c r="F91" s="2"/>
      <c r="G91" s="2"/>
      <c r="H91" s="1"/>
      <c r="I91" s="1"/>
      <c r="J91" s="1"/>
      <c r="K91" s="1"/>
      <c r="L91" s="1"/>
      <c r="M91" s="1"/>
      <c r="N91" s="1"/>
    </row>
    <row r="92" spans="1:14" ht="15" x14ac:dyDescent="0.2">
      <c r="A92" s="27" t="s">
        <v>342</v>
      </c>
      <c r="B92" s="52"/>
      <c r="C92" s="70"/>
      <c r="D92" s="68"/>
      <c r="E92" s="66">
        <f>E90+E91</f>
        <v>3012.8599999999997</v>
      </c>
      <c r="F92" s="2"/>
      <c r="G92" s="2"/>
      <c r="H92" s="1"/>
      <c r="I92" s="1"/>
      <c r="J92" s="1"/>
      <c r="K92" s="1"/>
      <c r="L92" s="1"/>
      <c r="M92" s="1"/>
      <c r="N92" s="1"/>
    </row>
    <row r="93" spans="1:14" ht="15.75" thickBot="1" x14ac:dyDescent="0.25">
      <c r="A93" s="27" t="s">
        <v>29</v>
      </c>
      <c r="B93" s="52" t="s">
        <v>30</v>
      </c>
      <c r="C93" s="70">
        <f>E44</f>
        <v>12</v>
      </c>
      <c r="D93" s="68">
        <f>E92</f>
        <v>3012.8599999999997</v>
      </c>
      <c r="E93" s="66">
        <f>ROUND(D93*C93,2)</f>
        <v>36154.32</v>
      </c>
      <c r="F93" s="2"/>
      <c r="G93" s="2"/>
      <c r="H93" s="1"/>
      <c r="I93" s="1"/>
      <c r="J93" s="1"/>
      <c r="K93" s="1"/>
      <c r="L93" s="1"/>
      <c r="M93" s="1"/>
      <c r="N93" s="1"/>
    </row>
    <row r="94" spans="1:14" ht="15.75" thickBot="1" x14ac:dyDescent="0.25">
      <c r="A94" s="1"/>
      <c r="B94" s="1"/>
      <c r="C94" s="1"/>
      <c r="D94" s="62" t="s">
        <v>31</v>
      </c>
      <c r="E94" s="63">
        <f>$B$57</f>
        <v>1</v>
      </c>
      <c r="F94" s="64">
        <f>E93*E94</f>
        <v>36154.32</v>
      </c>
      <c r="G94" s="2"/>
      <c r="H94" s="1"/>
      <c r="I94" s="1"/>
      <c r="J94" s="1"/>
      <c r="K94" s="1"/>
      <c r="L94" s="1"/>
      <c r="M94" s="1"/>
      <c r="N94" s="1"/>
    </row>
    <row r="95" spans="1:14" ht="15" x14ac:dyDescent="0.2">
      <c r="A95" s="1"/>
      <c r="B95" s="1"/>
      <c r="C95" s="1"/>
      <c r="D95" s="62"/>
      <c r="E95" s="2"/>
      <c r="F95" s="58"/>
      <c r="G95" s="2"/>
      <c r="H95" s="1"/>
      <c r="I95" s="1"/>
      <c r="J95" s="1"/>
      <c r="K95" s="1"/>
      <c r="L95" s="1"/>
      <c r="M95" s="1"/>
      <c r="N95" s="1"/>
    </row>
    <row r="96" spans="1:14" ht="15.75" thickBot="1" x14ac:dyDescent="0.25">
      <c r="A96" s="1" t="s">
        <v>300</v>
      </c>
      <c r="B96" s="1"/>
      <c r="C96" s="1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</row>
    <row r="97" spans="1:14" ht="15.75" thickBot="1" x14ac:dyDescent="0.25">
      <c r="A97" s="43" t="s">
        <v>14</v>
      </c>
      <c r="B97" s="44" t="s">
        <v>15</v>
      </c>
      <c r="C97" s="44" t="s">
        <v>9</v>
      </c>
      <c r="D97" s="45" t="s">
        <v>16</v>
      </c>
      <c r="E97" s="45" t="s">
        <v>17</v>
      </c>
      <c r="F97" s="46" t="s">
        <v>18</v>
      </c>
      <c r="G97" s="2"/>
      <c r="H97" s="1" t="s">
        <v>306</v>
      </c>
      <c r="I97" s="1"/>
      <c r="J97" s="1"/>
      <c r="K97" s="1"/>
      <c r="L97" s="1"/>
      <c r="M97" s="1"/>
      <c r="N97" s="1"/>
    </row>
    <row r="98" spans="1:14" ht="15" x14ac:dyDescent="0.2">
      <c r="A98" s="47" t="s">
        <v>32</v>
      </c>
      <c r="B98" s="48" t="s">
        <v>20</v>
      </c>
      <c r="C98" s="65">
        <v>1</v>
      </c>
      <c r="D98" s="49">
        <v>4504.88</v>
      </c>
      <c r="E98" s="66">
        <f>ROUND(D98*C98,2)</f>
        <v>4504.88</v>
      </c>
      <c r="F98" s="2"/>
      <c r="G98" s="2"/>
      <c r="H98" s="1"/>
      <c r="I98" s="1"/>
      <c r="J98" s="1"/>
      <c r="K98" s="1"/>
      <c r="L98" s="1"/>
      <c r="M98" s="1"/>
      <c r="N98" s="1"/>
    </row>
    <row r="99" spans="1:14" ht="15" x14ac:dyDescent="0.2">
      <c r="A99" s="47" t="s">
        <v>21</v>
      </c>
      <c r="B99" s="48" t="s">
        <v>22</v>
      </c>
      <c r="C99" s="67">
        <v>0</v>
      </c>
      <c r="D99" s="66">
        <v>25.6026363636364</v>
      </c>
      <c r="E99" s="66">
        <f>ROUND(D99*C99,2)</f>
        <v>0</v>
      </c>
      <c r="F99" s="2"/>
      <c r="G99" s="2"/>
      <c r="H99" s="1"/>
      <c r="I99" s="1"/>
      <c r="J99" s="1"/>
      <c r="K99" s="1"/>
      <c r="L99" s="1"/>
      <c r="M99" s="1"/>
      <c r="N99" s="1"/>
    </row>
    <row r="100" spans="1:14" ht="15" x14ac:dyDescent="0.2">
      <c r="A100" s="27" t="s">
        <v>26</v>
      </c>
      <c r="B100" s="52" t="s">
        <v>6</v>
      </c>
      <c r="C100" s="53">
        <v>0</v>
      </c>
      <c r="D100" s="68">
        <v>1412</v>
      </c>
      <c r="E100" s="66">
        <f>ROUND(C100/100*D100,2)</f>
        <v>0</v>
      </c>
      <c r="F100" s="2"/>
      <c r="G100" s="2"/>
      <c r="H100" s="1"/>
      <c r="I100" s="1"/>
      <c r="J100" s="1"/>
      <c r="K100" s="1"/>
      <c r="L100" s="1"/>
      <c r="M100" s="1"/>
      <c r="N100" s="1"/>
    </row>
    <row r="101" spans="1:14" ht="15" x14ac:dyDescent="0.2">
      <c r="A101" s="27" t="s">
        <v>27</v>
      </c>
      <c r="B101" s="52"/>
      <c r="C101" s="69"/>
      <c r="D101" s="68"/>
      <c r="E101" s="66">
        <f>SUM(E98:E100)</f>
        <v>4504.88</v>
      </c>
      <c r="F101" s="2"/>
      <c r="G101" s="2"/>
      <c r="H101" s="1"/>
      <c r="I101" s="1"/>
      <c r="J101" s="1"/>
      <c r="K101" s="1"/>
      <c r="L101" s="1"/>
      <c r="M101" s="1"/>
      <c r="N101" s="1"/>
    </row>
    <row r="102" spans="1:14" ht="15" x14ac:dyDescent="0.2">
      <c r="A102" s="27" t="s">
        <v>28</v>
      </c>
      <c r="B102" s="52" t="s">
        <v>6</v>
      </c>
      <c r="C102" s="246">
        <f>C91</f>
        <v>70.616959999999992</v>
      </c>
      <c r="D102" s="68">
        <f>D98</f>
        <v>4504.88</v>
      </c>
      <c r="E102" s="66">
        <f>ROUND(C102/100*D102,2)</f>
        <v>3181.21</v>
      </c>
      <c r="F102" s="2"/>
      <c r="G102" s="2"/>
      <c r="H102" s="1"/>
      <c r="I102" s="1"/>
      <c r="J102" s="1"/>
      <c r="K102" s="1"/>
      <c r="L102" s="1"/>
      <c r="M102" s="1"/>
      <c r="N102" s="1"/>
    </row>
    <row r="103" spans="1:14" ht="15" x14ac:dyDescent="0.2">
      <c r="A103" s="27" t="s">
        <v>343</v>
      </c>
      <c r="B103" s="52"/>
      <c r="C103" s="70"/>
      <c r="D103" s="68"/>
      <c r="E103" s="66">
        <f>E101+E102</f>
        <v>7686.09</v>
      </c>
      <c r="F103" s="2"/>
      <c r="G103" s="2"/>
      <c r="H103" s="1"/>
      <c r="I103" s="1"/>
      <c r="J103" s="1"/>
      <c r="K103" s="1"/>
      <c r="L103" s="1"/>
      <c r="M103" s="1"/>
      <c r="N103" s="1"/>
    </row>
    <row r="104" spans="1:14" ht="15.75" thickBot="1" x14ac:dyDescent="0.25">
      <c r="A104" s="27" t="s">
        <v>29</v>
      </c>
      <c r="B104" s="52" t="s">
        <v>30</v>
      </c>
      <c r="C104" s="70">
        <f>E45</f>
        <v>3</v>
      </c>
      <c r="D104" s="68">
        <f>E103</f>
        <v>7686.09</v>
      </c>
      <c r="E104" s="66">
        <f>ROUND(D104*C104,2)</f>
        <v>23058.27</v>
      </c>
      <c r="F104" s="2"/>
      <c r="G104" s="2"/>
      <c r="H104" s="1"/>
      <c r="I104" s="1"/>
      <c r="J104" s="1"/>
      <c r="K104" s="1"/>
      <c r="L104" s="1"/>
      <c r="M104" s="1"/>
      <c r="N104" s="1"/>
    </row>
    <row r="105" spans="1:14" ht="15.75" thickBot="1" x14ac:dyDescent="0.25">
      <c r="A105" s="282" t="s">
        <v>308</v>
      </c>
      <c r="B105" s="1"/>
      <c r="C105" s="1"/>
      <c r="D105" s="62" t="s">
        <v>31</v>
      </c>
      <c r="E105" s="63">
        <f>10/(6*8)</f>
        <v>0.20833333333333334</v>
      </c>
      <c r="F105" s="64">
        <f>E104*E105</f>
        <v>4803.8062500000005</v>
      </c>
      <c r="G105" s="2"/>
      <c r="H105" s="1"/>
      <c r="I105" s="1"/>
      <c r="J105" s="1"/>
      <c r="K105" s="1"/>
      <c r="L105" s="1"/>
      <c r="M105" s="1"/>
      <c r="N105" s="1"/>
    </row>
    <row r="106" spans="1:14" ht="15" x14ac:dyDescent="0.2">
      <c r="A106" s="1" t="s">
        <v>301</v>
      </c>
      <c r="B106" s="1"/>
      <c r="C106" s="1"/>
      <c r="D106" s="62"/>
      <c r="E106" s="2"/>
      <c r="F106" s="58"/>
      <c r="G106" s="2"/>
      <c r="H106" s="1"/>
      <c r="I106" s="1"/>
      <c r="J106" s="1"/>
      <c r="K106" s="1"/>
      <c r="L106" s="1"/>
      <c r="M106" s="1"/>
      <c r="N106" s="1"/>
    </row>
    <row r="107" spans="1:14" ht="15.75" thickBot="1" x14ac:dyDescent="0.25">
      <c r="A107" s="1" t="s">
        <v>302</v>
      </c>
      <c r="B107" s="1"/>
      <c r="C107" s="1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</row>
    <row r="108" spans="1:14" ht="15.75" thickBot="1" x14ac:dyDescent="0.25">
      <c r="A108" s="43" t="s">
        <v>14</v>
      </c>
      <c r="B108" s="44" t="s">
        <v>15</v>
      </c>
      <c r="C108" s="44" t="s">
        <v>9</v>
      </c>
      <c r="D108" s="45" t="s">
        <v>16</v>
      </c>
      <c r="E108" s="45" t="s">
        <v>17</v>
      </c>
      <c r="F108" s="46" t="s">
        <v>18</v>
      </c>
      <c r="G108" s="2"/>
      <c r="H108" s="1"/>
      <c r="I108" s="1"/>
      <c r="J108" s="1"/>
      <c r="K108" s="1"/>
      <c r="L108" s="1"/>
      <c r="M108" s="1"/>
      <c r="N108" s="1"/>
    </row>
    <row r="109" spans="1:14" ht="15" x14ac:dyDescent="0.2">
      <c r="A109" s="47" t="s">
        <v>32</v>
      </c>
      <c r="B109" s="48" t="s">
        <v>20</v>
      </c>
      <c r="C109" s="65">
        <v>1</v>
      </c>
      <c r="D109" s="49">
        <v>3960.3</v>
      </c>
      <c r="E109" s="66">
        <f>ROUND(D109*C109,2)</f>
        <v>3960.3</v>
      </c>
      <c r="F109" s="2"/>
      <c r="G109" s="2"/>
      <c r="H109" s="1" t="s">
        <v>307</v>
      </c>
      <c r="I109" s="1"/>
      <c r="J109" s="1"/>
      <c r="K109" s="1"/>
      <c r="L109" s="1"/>
      <c r="M109" s="1"/>
      <c r="N109" s="1"/>
    </row>
    <row r="110" spans="1:14" ht="15" x14ac:dyDescent="0.2">
      <c r="A110" s="47" t="s">
        <v>21</v>
      </c>
      <c r="B110" s="48" t="s">
        <v>22</v>
      </c>
      <c r="C110" s="67">
        <v>0</v>
      </c>
      <c r="D110" s="66">
        <v>25.6026363636364</v>
      </c>
      <c r="E110" s="66">
        <f>ROUND(D110*C110,2)</f>
        <v>0</v>
      </c>
      <c r="F110" s="2"/>
      <c r="G110" s="2"/>
      <c r="H110" s="1"/>
      <c r="I110" s="1"/>
      <c r="J110" s="1"/>
      <c r="K110" s="1"/>
      <c r="L110" s="1"/>
      <c r="M110" s="1"/>
      <c r="N110" s="1"/>
    </row>
    <row r="111" spans="1:14" ht="15" x14ac:dyDescent="0.2">
      <c r="A111" s="27" t="s">
        <v>26</v>
      </c>
      <c r="B111" s="52" t="s">
        <v>6</v>
      </c>
      <c r="C111" s="53">
        <v>0</v>
      </c>
      <c r="D111" s="68">
        <v>1412</v>
      </c>
      <c r="E111" s="66">
        <f>ROUND(C111/100*D111,2)</f>
        <v>0</v>
      </c>
      <c r="F111" s="2"/>
      <c r="G111" s="2"/>
      <c r="H111" s="1"/>
      <c r="I111" s="1"/>
      <c r="J111" s="1"/>
      <c r="K111" s="1"/>
      <c r="L111" s="1"/>
      <c r="M111" s="1"/>
      <c r="N111" s="1"/>
    </row>
    <row r="112" spans="1:14" ht="15" x14ac:dyDescent="0.2">
      <c r="A112" s="27" t="s">
        <v>27</v>
      </c>
      <c r="B112" s="52"/>
      <c r="C112" s="69"/>
      <c r="D112" s="68"/>
      <c r="E112" s="66">
        <f>SUM(E109:E111)</f>
        <v>3960.3</v>
      </c>
      <c r="F112" s="2"/>
      <c r="G112" s="2"/>
      <c r="H112" s="1"/>
      <c r="I112" s="1"/>
      <c r="J112" s="1"/>
      <c r="K112" s="1"/>
      <c r="L112" s="1"/>
      <c r="M112" s="1"/>
      <c r="N112" s="1"/>
    </row>
    <row r="113" spans="1:14" ht="15" x14ac:dyDescent="0.2">
      <c r="A113" s="27" t="s">
        <v>28</v>
      </c>
      <c r="B113" s="52" t="s">
        <v>6</v>
      </c>
      <c r="C113" s="246">
        <f>C102</f>
        <v>70.616959999999992</v>
      </c>
      <c r="D113" s="68">
        <f>D109</f>
        <v>3960.3</v>
      </c>
      <c r="E113" s="66">
        <f>ROUND(C113/100*D113,2)</f>
        <v>2796.64</v>
      </c>
      <c r="F113" s="2"/>
      <c r="G113" s="2"/>
      <c r="H113" s="1"/>
      <c r="I113" s="1"/>
      <c r="J113" s="1"/>
      <c r="K113" s="1"/>
      <c r="L113" s="1"/>
      <c r="M113" s="1"/>
      <c r="N113" s="1"/>
    </row>
    <row r="114" spans="1:14" ht="15" x14ac:dyDescent="0.2">
      <c r="A114" s="27" t="s">
        <v>344</v>
      </c>
      <c r="B114" s="52"/>
      <c r="C114" s="70"/>
      <c r="D114" s="68"/>
      <c r="E114" s="66">
        <f>E112+E113</f>
        <v>6756.9400000000005</v>
      </c>
      <c r="F114" s="2"/>
      <c r="G114" s="2"/>
      <c r="H114" s="1"/>
      <c r="I114" s="1"/>
      <c r="J114" s="1"/>
      <c r="K114" s="1"/>
      <c r="L114" s="1"/>
      <c r="M114" s="1"/>
      <c r="N114" s="1"/>
    </row>
    <row r="115" spans="1:14" ht="15.75" thickBot="1" x14ac:dyDescent="0.25">
      <c r="A115" s="27" t="s">
        <v>29</v>
      </c>
      <c r="B115" s="52" t="s">
        <v>30</v>
      </c>
      <c r="C115" s="70">
        <f>E46</f>
        <v>3</v>
      </c>
      <c r="D115" s="68">
        <f>E114</f>
        <v>6756.9400000000005</v>
      </c>
      <c r="E115" s="66">
        <f>ROUND(D115*C115,2)</f>
        <v>20270.82</v>
      </c>
      <c r="F115" s="2"/>
      <c r="G115" s="2"/>
      <c r="H115" s="1"/>
      <c r="I115" s="1"/>
      <c r="J115" s="1"/>
      <c r="K115" s="1"/>
      <c r="L115" s="1"/>
      <c r="M115" s="1"/>
      <c r="N115" s="1"/>
    </row>
    <row r="116" spans="1:14" ht="15.75" thickBot="1" x14ac:dyDescent="0.25">
      <c r="A116" s="282" t="s">
        <v>308</v>
      </c>
      <c r="B116" s="1"/>
      <c r="C116" s="1"/>
      <c r="D116" s="62" t="s">
        <v>31</v>
      </c>
      <c r="E116" s="63">
        <f>10/(6*8)</f>
        <v>0.20833333333333334</v>
      </c>
      <c r="F116" s="64">
        <f>E115*E116</f>
        <v>4223.0875000000005</v>
      </c>
      <c r="G116" s="2"/>
      <c r="H116" s="1"/>
      <c r="I116" s="1"/>
      <c r="J116" s="1"/>
      <c r="K116" s="1"/>
      <c r="L116" s="1"/>
      <c r="M116" s="1"/>
      <c r="N116" s="1"/>
    </row>
    <row r="117" spans="1:14" ht="15" x14ac:dyDescent="0.2">
      <c r="A117" s="1"/>
      <c r="B117" s="1"/>
      <c r="C117" s="1"/>
      <c r="D117" s="62"/>
      <c r="E117" s="2"/>
      <c r="F117" s="58"/>
      <c r="G117" s="2"/>
      <c r="H117" s="1"/>
      <c r="I117" s="1"/>
      <c r="J117" s="1"/>
      <c r="K117" s="1"/>
      <c r="L117" s="1"/>
      <c r="M117" s="1"/>
      <c r="N117" s="1"/>
    </row>
    <row r="118" spans="1:14" ht="15.75" thickBot="1" x14ac:dyDescent="0.25">
      <c r="A118" s="1" t="s">
        <v>303</v>
      </c>
      <c r="B118" s="1"/>
      <c r="C118" s="1"/>
      <c r="D118" s="2"/>
      <c r="E118" s="2"/>
      <c r="F118" s="2"/>
      <c r="G118" s="1"/>
      <c r="H118" s="1"/>
      <c r="I118" s="1"/>
      <c r="J118" s="1"/>
      <c r="K118" s="1"/>
      <c r="L118" s="1"/>
      <c r="M118" s="1"/>
      <c r="N118" s="1"/>
    </row>
    <row r="119" spans="1:14" ht="15.75" thickBot="1" x14ac:dyDescent="0.25">
      <c r="A119" s="43" t="s">
        <v>14</v>
      </c>
      <c r="B119" s="44" t="s">
        <v>15</v>
      </c>
      <c r="C119" s="44" t="s">
        <v>9</v>
      </c>
      <c r="D119" s="45" t="s">
        <v>16</v>
      </c>
      <c r="E119" s="45" t="s">
        <v>17</v>
      </c>
      <c r="F119" s="46" t="s">
        <v>18</v>
      </c>
      <c r="G119" s="1"/>
      <c r="H119" s="1"/>
      <c r="I119" s="1"/>
      <c r="J119" s="1"/>
      <c r="K119" s="1"/>
      <c r="L119" s="1"/>
      <c r="M119" s="1"/>
      <c r="N119" s="1"/>
    </row>
    <row r="120" spans="1:14" ht="15" x14ac:dyDescent="0.2">
      <c r="A120" s="47" t="s">
        <v>32</v>
      </c>
      <c r="B120" s="48" t="s">
        <v>20</v>
      </c>
      <c r="C120" s="65">
        <v>1</v>
      </c>
      <c r="D120" s="49">
        <f>D87*2</f>
        <v>3531.72</v>
      </c>
      <c r="E120" s="66">
        <f>ROUND(D120*C120,2)</f>
        <v>3531.72</v>
      </c>
      <c r="F120" s="2"/>
      <c r="G120" s="1"/>
      <c r="H120" s="1" t="s">
        <v>279</v>
      </c>
      <c r="I120" s="1"/>
      <c r="J120" s="1"/>
      <c r="K120" s="1"/>
      <c r="L120" s="1"/>
      <c r="M120" s="1"/>
      <c r="N120" s="1"/>
    </row>
    <row r="121" spans="1:14" ht="15" x14ac:dyDescent="0.2">
      <c r="A121" s="47" t="s">
        <v>21</v>
      </c>
      <c r="B121" s="48" t="s">
        <v>22</v>
      </c>
      <c r="C121" s="67">
        <v>0</v>
      </c>
      <c r="D121" s="66">
        <v>25.6026363636364</v>
      </c>
      <c r="E121" s="66">
        <f>ROUND(D121*C121,2)</f>
        <v>0</v>
      </c>
      <c r="F121" s="2"/>
      <c r="G121" s="1"/>
      <c r="H121" s="1"/>
      <c r="I121" s="1"/>
      <c r="J121" s="1"/>
      <c r="K121" s="1"/>
      <c r="L121" s="1"/>
      <c r="M121" s="1"/>
      <c r="N121" s="1"/>
    </row>
    <row r="122" spans="1:14" ht="15" x14ac:dyDescent="0.2">
      <c r="A122" s="27" t="s">
        <v>26</v>
      </c>
      <c r="B122" s="52" t="s">
        <v>6</v>
      </c>
      <c r="C122" s="53">
        <v>0</v>
      </c>
      <c r="D122" s="68">
        <v>1412</v>
      </c>
      <c r="E122" s="66">
        <f>ROUND(C122/100*D122,2)</f>
        <v>0</v>
      </c>
      <c r="F122" s="2"/>
      <c r="G122" s="1"/>
      <c r="H122" s="1"/>
      <c r="I122" s="1"/>
      <c r="J122" s="1"/>
      <c r="K122" s="1"/>
      <c r="L122" s="1"/>
      <c r="M122" s="1"/>
      <c r="N122" s="1"/>
    </row>
    <row r="123" spans="1:14" ht="15" x14ac:dyDescent="0.2">
      <c r="A123" s="27" t="s">
        <v>27</v>
      </c>
      <c r="B123" s="52"/>
      <c r="C123" s="69"/>
      <c r="D123" s="68"/>
      <c r="E123" s="66">
        <f>SUM(E120:E122)</f>
        <v>3531.72</v>
      </c>
      <c r="F123" s="2"/>
      <c r="G123" s="1"/>
      <c r="H123" s="1"/>
      <c r="I123" s="1"/>
      <c r="J123" s="1"/>
      <c r="K123" s="1"/>
      <c r="L123" s="1"/>
      <c r="M123" s="1"/>
      <c r="N123" s="1"/>
    </row>
    <row r="124" spans="1:14" ht="15" x14ac:dyDescent="0.2">
      <c r="A124" s="27" t="s">
        <v>28</v>
      </c>
      <c r="B124" s="52" t="s">
        <v>6</v>
      </c>
      <c r="C124" s="246">
        <f>C91</f>
        <v>70.616959999999992</v>
      </c>
      <c r="D124" s="68">
        <f>D120</f>
        <v>3531.72</v>
      </c>
      <c r="E124" s="66">
        <f>ROUND(C124/100*D124,2)</f>
        <v>2493.9899999999998</v>
      </c>
      <c r="F124" s="2"/>
      <c r="G124" s="1"/>
      <c r="H124" s="1"/>
      <c r="I124" s="1"/>
      <c r="J124" s="1"/>
      <c r="K124" s="1"/>
      <c r="L124" s="1"/>
      <c r="M124" s="1"/>
      <c r="N124" s="1"/>
    </row>
    <row r="125" spans="1:14" ht="15" x14ac:dyDescent="0.2">
      <c r="A125" s="27" t="s">
        <v>345</v>
      </c>
      <c r="B125" s="52"/>
      <c r="C125" s="70"/>
      <c r="D125" s="68"/>
      <c r="E125" s="66">
        <f>E123+E124</f>
        <v>6025.7099999999991</v>
      </c>
      <c r="F125" s="2"/>
      <c r="G125" s="1"/>
      <c r="H125" s="1"/>
      <c r="I125" s="1"/>
      <c r="J125" s="1"/>
      <c r="K125" s="1"/>
      <c r="L125" s="1"/>
      <c r="M125" s="1"/>
      <c r="N125" s="1"/>
    </row>
    <row r="126" spans="1:14" ht="15.75" thickBot="1" x14ac:dyDescent="0.25">
      <c r="A126" s="27" t="s">
        <v>29</v>
      </c>
      <c r="B126" s="52" t="s">
        <v>30</v>
      </c>
      <c r="C126" s="70">
        <f>E47</f>
        <v>1</v>
      </c>
      <c r="D126" s="68">
        <f>E125</f>
        <v>6025.7099999999991</v>
      </c>
      <c r="E126" s="66">
        <f>ROUND(D126*C126,2)</f>
        <v>6025.71</v>
      </c>
      <c r="F126" s="2"/>
      <c r="G126" s="1"/>
      <c r="H126" s="1"/>
      <c r="I126" s="1"/>
      <c r="J126" s="1"/>
      <c r="K126" s="1"/>
      <c r="L126" s="1"/>
      <c r="M126" s="1"/>
      <c r="N126" s="1"/>
    </row>
    <row r="127" spans="1:14" ht="15.75" thickBot="1" x14ac:dyDescent="0.25">
      <c r="A127" s="1"/>
      <c r="B127" s="1"/>
      <c r="C127" s="1"/>
      <c r="D127" s="62" t="s">
        <v>31</v>
      </c>
      <c r="E127" s="63">
        <f>$B$57</f>
        <v>1</v>
      </c>
      <c r="F127" s="64">
        <f>E126*E127</f>
        <v>6025.71</v>
      </c>
      <c r="G127" s="1"/>
      <c r="H127" s="1"/>
      <c r="I127" s="1"/>
      <c r="J127" s="1"/>
      <c r="K127" s="1"/>
      <c r="L127" s="1"/>
      <c r="M127" s="1"/>
      <c r="N127" s="1"/>
    </row>
    <row r="128" spans="1:14" ht="15" x14ac:dyDescent="0.2">
      <c r="A128" s="1"/>
      <c r="B128" s="1"/>
      <c r="C128" s="1"/>
      <c r="D128" s="62"/>
      <c r="E128" s="2"/>
      <c r="F128" s="2"/>
      <c r="G128" s="1"/>
      <c r="H128" s="1"/>
      <c r="I128" s="1"/>
      <c r="J128" s="1"/>
      <c r="K128" s="1"/>
      <c r="L128" s="1"/>
      <c r="M128" s="1"/>
      <c r="N128" s="1"/>
    </row>
    <row r="129" spans="1:14" ht="15.75" thickBot="1" x14ac:dyDescent="0.25">
      <c r="A129" s="71" t="s">
        <v>304</v>
      </c>
      <c r="B129" s="71"/>
      <c r="C129" s="71"/>
      <c r="D129" s="71"/>
      <c r="E129" s="71"/>
      <c r="F129" s="71"/>
      <c r="G129" s="2"/>
      <c r="H129" s="1"/>
      <c r="I129" s="1"/>
      <c r="J129" s="1"/>
      <c r="K129" s="1"/>
      <c r="L129" s="1"/>
      <c r="M129" s="1"/>
      <c r="N129" s="1"/>
    </row>
    <row r="130" spans="1:14" ht="16.5" thickTop="1" thickBot="1" x14ac:dyDescent="0.25">
      <c r="A130" s="72" t="s">
        <v>14</v>
      </c>
      <c r="B130" s="73" t="s">
        <v>15</v>
      </c>
      <c r="C130" s="73" t="s">
        <v>9</v>
      </c>
      <c r="D130" s="73" t="s">
        <v>33</v>
      </c>
      <c r="E130" s="73" t="s">
        <v>34</v>
      </c>
      <c r="F130" s="74" t="s">
        <v>35</v>
      </c>
      <c r="G130" s="2"/>
      <c r="H130" s="2"/>
      <c r="I130" s="1"/>
      <c r="J130" s="1"/>
      <c r="K130" s="1"/>
      <c r="L130" s="1"/>
      <c r="M130" s="1"/>
      <c r="N130" s="1"/>
    </row>
    <row r="131" spans="1:14" ht="16.5" thickTop="1" thickBot="1" x14ac:dyDescent="0.25">
      <c r="A131" s="75" t="s">
        <v>32</v>
      </c>
      <c r="B131" s="76" t="s">
        <v>20</v>
      </c>
      <c r="C131" s="76">
        <v>1</v>
      </c>
      <c r="D131" s="49">
        <v>6916.86</v>
      </c>
      <c r="E131" s="50">
        <f>TRUNC(C131*D131,2)</f>
        <v>6916.86</v>
      </c>
      <c r="F131" s="71"/>
      <c r="G131" s="2"/>
      <c r="H131" s="2" t="s">
        <v>253</v>
      </c>
      <c r="I131" s="1"/>
      <c r="J131" s="1"/>
      <c r="K131" s="1"/>
      <c r="L131" s="1"/>
      <c r="M131" s="1"/>
      <c r="N131" s="1"/>
    </row>
    <row r="132" spans="1:14" ht="15.75" thickBot="1" x14ac:dyDescent="0.25">
      <c r="A132" s="77" t="s">
        <v>28</v>
      </c>
      <c r="B132" s="78" t="s">
        <v>6</v>
      </c>
      <c r="C132" s="247">
        <f>C69</f>
        <v>70.616959999999992</v>
      </c>
      <c r="D132" s="79">
        <f>E131</f>
        <v>6916.86</v>
      </c>
      <c r="E132" s="54">
        <f>TRUNC(D132*C132/100,2)</f>
        <v>4884.47</v>
      </c>
      <c r="F132" s="71"/>
      <c r="G132" s="2"/>
      <c r="H132" s="1"/>
      <c r="I132" s="1"/>
      <c r="J132" s="1"/>
      <c r="K132" s="1"/>
      <c r="L132" s="1"/>
      <c r="M132" s="1"/>
      <c r="N132" s="1"/>
    </row>
    <row r="133" spans="1:14" ht="15.75" thickBot="1" x14ac:dyDescent="0.25">
      <c r="A133" s="77" t="s">
        <v>36</v>
      </c>
      <c r="B133" s="78" t="s">
        <v>30</v>
      </c>
      <c r="C133" s="78">
        <v>1</v>
      </c>
      <c r="D133" s="79">
        <f>E131+E132</f>
        <v>11801.33</v>
      </c>
      <c r="E133" s="50">
        <f>TRUNC(C133*D133,2)</f>
        <v>11801.33</v>
      </c>
      <c r="F133" s="71"/>
      <c r="G133" s="2"/>
      <c r="H133" s="1"/>
      <c r="I133" s="1"/>
      <c r="J133" s="1"/>
      <c r="K133" s="1"/>
      <c r="L133" s="1"/>
      <c r="M133" s="1"/>
      <c r="N133" s="1"/>
    </row>
    <row r="134" spans="1:14" ht="15.75" thickBot="1" x14ac:dyDescent="0.25">
      <c r="A134" s="80" t="s">
        <v>37</v>
      </c>
      <c r="B134" s="71"/>
      <c r="C134" s="71"/>
      <c r="D134" s="62" t="s">
        <v>38</v>
      </c>
      <c r="E134" s="81">
        <f>2/(6*8)</f>
        <v>4.1666666666666664E-2</v>
      </c>
      <c r="F134" s="64">
        <f>TRUNC(E133*E134,2)</f>
        <v>491.72</v>
      </c>
      <c r="G134" s="2"/>
      <c r="H134" s="1"/>
      <c r="I134" s="1"/>
      <c r="J134" s="1"/>
      <c r="K134" s="1"/>
      <c r="L134" s="1"/>
      <c r="M134" s="1"/>
      <c r="N134" s="1"/>
    </row>
    <row r="135" spans="1:14" ht="15" x14ac:dyDescent="0.2">
      <c r="A135" s="1"/>
      <c r="B135" s="1"/>
      <c r="C135" s="1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</row>
    <row r="136" spans="1:14" ht="15.75" thickBot="1" x14ac:dyDescent="0.25">
      <c r="A136" s="71" t="s">
        <v>305</v>
      </c>
      <c r="B136" s="71"/>
      <c r="C136" s="71"/>
      <c r="D136" s="71"/>
      <c r="E136" s="71"/>
      <c r="F136" s="71"/>
      <c r="G136" s="2"/>
      <c r="H136" s="1"/>
      <c r="I136" s="1"/>
      <c r="J136" s="1"/>
      <c r="K136" s="1"/>
      <c r="L136" s="1"/>
      <c r="M136" s="1"/>
      <c r="N136" s="1"/>
    </row>
    <row r="137" spans="1:14" ht="16.5" thickTop="1" thickBot="1" x14ac:dyDescent="0.25">
      <c r="A137" s="72" t="s">
        <v>14</v>
      </c>
      <c r="B137" s="73" t="s">
        <v>15</v>
      </c>
      <c r="C137" s="73" t="s">
        <v>9</v>
      </c>
      <c r="D137" s="73" t="s">
        <v>33</v>
      </c>
      <c r="E137" s="73" t="s">
        <v>34</v>
      </c>
      <c r="F137" s="74" t="s">
        <v>35</v>
      </c>
      <c r="G137" s="2"/>
      <c r="H137" s="1"/>
      <c r="I137" s="1"/>
      <c r="J137" s="1"/>
      <c r="K137" s="1"/>
      <c r="L137" s="1"/>
      <c r="M137" s="1"/>
      <c r="N137" s="1"/>
    </row>
    <row r="138" spans="1:14" ht="16.5" thickTop="1" thickBot="1" x14ac:dyDescent="0.25">
      <c r="A138" s="75" t="s">
        <v>32</v>
      </c>
      <c r="B138" s="76" t="s">
        <v>20</v>
      </c>
      <c r="C138" s="76">
        <v>1</v>
      </c>
      <c r="D138" s="49">
        <v>22753.919999999998</v>
      </c>
      <c r="E138" s="50">
        <f>TRUNC(C138*D138,2)</f>
        <v>22753.919999999998</v>
      </c>
      <c r="F138" s="71"/>
      <c r="G138" s="2"/>
      <c r="H138" s="1" t="s">
        <v>254</v>
      </c>
      <c r="I138" s="1"/>
      <c r="J138" s="1"/>
      <c r="K138" s="1"/>
      <c r="L138" s="1"/>
      <c r="M138" s="1"/>
      <c r="N138" s="1"/>
    </row>
    <row r="139" spans="1:14" ht="15.75" thickBot="1" x14ac:dyDescent="0.25">
      <c r="A139" s="77" t="s">
        <v>28</v>
      </c>
      <c r="B139" s="78" t="s">
        <v>6</v>
      </c>
      <c r="C139" s="247">
        <f>C76</f>
        <v>1</v>
      </c>
      <c r="D139" s="79">
        <f>E138</f>
        <v>22753.919999999998</v>
      </c>
      <c r="E139" s="54">
        <f>TRUNC(D139*C139/100,2)</f>
        <v>227.53</v>
      </c>
      <c r="F139" s="71"/>
      <c r="G139" s="2"/>
      <c r="H139" s="1"/>
      <c r="I139" s="1"/>
      <c r="J139" s="1"/>
      <c r="K139" s="1"/>
      <c r="L139" s="1"/>
      <c r="M139" s="1"/>
      <c r="N139" s="1"/>
    </row>
    <row r="140" spans="1:14" ht="15.75" thickBot="1" x14ac:dyDescent="0.25">
      <c r="A140" s="77" t="s">
        <v>36</v>
      </c>
      <c r="B140" s="78" t="s">
        <v>30</v>
      </c>
      <c r="C140" s="258">
        <f>E49</f>
        <v>1</v>
      </c>
      <c r="D140" s="79">
        <f>E138+E139</f>
        <v>22981.449999999997</v>
      </c>
      <c r="E140" s="50">
        <f>TRUNC(C140*D140,2)</f>
        <v>22981.45</v>
      </c>
      <c r="F140" s="71"/>
      <c r="G140" s="2"/>
      <c r="H140" s="1"/>
      <c r="I140" s="1"/>
      <c r="J140" s="1"/>
      <c r="K140" s="1"/>
      <c r="L140" s="1"/>
      <c r="M140" s="1"/>
      <c r="N140" s="1"/>
    </row>
    <row r="141" spans="1:14" ht="15.75" thickBot="1" x14ac:dyDescent="0.25">
      <c r="A141" s="80" t="s">
        <v>37</v>
      </c>
      <c r="B141" s="71"/>
      <c r="C141" s="71"/>
      <c r="D141" s="62" t="s">
        <v>38</v>
      </c>
      <c r="E141" s="81">
        <f>2/(6*8)</f>
        <v>4.1666666666666664E-2</v>
      </c>
      <c r="F141" s="64">
        <f>TRUNC(E140*E141,2)</f>
        <v>957.56</v>
      </c>
      <c r="G141" s="2"/>
      <c r="H141" s="1"/>
      <c r="I141" s="1"/>
      <c r="J141" s="1"/>
      <c r="K141" s="1"/>
      <c r="L141" s="1"/>
      <c r="M141" s="1"/>
      <c r="N141" s="1"/>
    </row>
    <row r="142" spans="1:14" ht="15" x14ac:dyDescent="0.2">
      <c r="A142" s="1"/>
      <c r="B142" s="1"/>
      <c r="C142" s="1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</row>
    <row r="143" spans="1:14" ht="15" x14ac:dyDescent="0.2">
      <c r="A143" s="1"/>
      <c r="B143" s="1"/>
      <c r="C143" s="1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</row>
    <row r="144" spans="1:14" ht="15" x14ac:dyDescent="0.2">
      <c r="A144" s="1"/>
      <c r="B144" s="1"/>
      <c r="C144" s="1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</row>
    <row r="145" spans="1:14" ht="15" x14ac:dyDescent="0.2">
      <c r="A145" s="1"/>
      <c r="B145" s="1"/>
      <c r="C145" s="1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</row>
    <row r="146" spans="1:14" ht="15.75" thickBot="1" x14ac:dyDescent="0.25">
      <c r="A146" s="1" t="s">
        <v>232</v>
      </c>
      <c r="B146" s="82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</row>
    <row r="147" spans="1:14" ht="15.75" thickBot="1" x14ac:dyDescent="0.25">
      <c r="A147" s="43" t="s">
        <v>14</v>
      </c>
      <c r="B147" s="44" t="s">
        <v>15</v>
      </c>
      <c r="C147" s="44" t="s">
        <v>9</v>
      </c>
      <c r="D147" s="45" t="s">
        <v>16</v>
      </c>
      <c r="E147" s="45" t="s">
        <v>17</v>
      </c>
      <c r="F147" s="46" t="s">
        <v>18</v>
      </c>
      <c r="G147" s="1"/>
      <c r="H147" s="1"/>
      <c r="I147" s="1"/>
      <c r="J147" s="1"/>
      <c r="K147" s="1"/>
      <c r="L147" s="1"/>
      <c r="M147" s="1"/>
      <c r="N147" s="1"/>
    </row>
    <row r="148" spans="1:14" ht="15" x14ac:dyDescent="0.2">
      <c r="A148" s="27" t="s">
        <v>39</v>
      </c>
      <c r="B148" s="52" t="s">
        <v>25</v>
      </c>
      <c r="C148" s="83">
        <v>1</v>
      </c>
      <c r="D148" s="84">
        <v>4.5</v>
      </c>
      <c r="E148" s="54"/>
      <c r="F148" s="2"/>
      <c r="G148" s="1"/>
      <c r="H148" s="1" t="s">
        <v>274</v>
      </c>
      <c r="I148" s="1"/>
      <c r="J148" s="1"/>
      <c r="K148" s="1"/>
      <c r="L148" s="1"/>
      <c r="M148" s="1"/>
      <c r="N148" s="1"/>
    </row>
    <row r="149" spans="1:14" ht="15" x14ac:dyDescent="0.2">
      <c r="A149" s="85" t="s">
        <v>40</v>
      </c>
      <c r="B149" s="86" t="s">
        <v>41</v>
      </c>
      <c r="C149" s="87">
        <v>24</v>
      </c>
      <c r="D149" s="88"/>
      <c r="E149" s="88"/>
      <c r="F149" s="2"/>
      <c r="G149" s="1"/>
      <c r="H149" s="1"/>
      <c r="I149" s="1"/>
      <c r="J149" s="1"/>
      <c r="K149" s="1"/>
      <c r="L149" s="1"/>
      <c r="M149" s="1"/>
      <c r="N149" s="1"/>
    </row>
    <row r="150" spans="1:14" ht="15" x14ac:dyDescent="0.2">
      <c r="A150" s="248" t="str">
        <f>A42</f>
        <v>1.1. Pedreiro</v>
      </c>
      <c r="B150" s="52" t="s">
        <v>42</v>
      </c>
      <c r="C150" s="89">
        <f>$C$149*2*(E42)</f>
        <v>48</v>
      </c>
      <c r="D150" s="54">
        <f>IFERROR((($C$149*2*$D$148)-(E63*0.06*$C$149/26))/($C$149*2),"-")</f>
        <v>0.22870384615384629</v>
      </c>
      <c r="E150" s="54">
        <f>TRUNC(IFERROR(C150*D150,"-"),2)</f>
        <v>10.97</v>
      </c>
      <c r="F150" s="63"/>
      <c r="G150" s="1"/>
      <c r="H150" s="1"/>
      <c r="I150" s="1"/>
      <c r="J150" s="1"/>
      <c r="K150" s="1"/>
      <c r="L150" s="1"/>
      <c r="M150" s="1"/>
      <c r="N150" s="1"/>
    </row>
    <row r="151" spans="1:14" ht="15" x14ac:dyDescent="0.2">
      <c r="A151" s="248" t="str">
        <f>A43</f>
        <v>1.2. Servente de pedreiro</v>
      </c>
      <c r="B151" s="52" t="s">
        <v>42</v>
      </c>
      <c r="C151" s="89">
        <f>$C$149*2*(E43)</f>
        <v>96</v>
      </c>
      <c r="D151" s="54">
        <f>IFERROR((($C$149*2*$D$148)-(E76*0.06*C149/26))/($C$149*2),"-")</f>
        <v>2.357538461538462</v>
      </c>
      <c r="E151" s="54">
        <f>TRUNC(IFERROR(C151*D151,"-"),2)</f>
        <v>226.32</v>
      </c>
      <c r="F151" s="63"/>
      <c r="G151" s="1"/>
      <c r="H151" s="1"/>
      <c r="I151" s="1"/>
      <c r="J151" s="1"/>
      <c r="K151" s="1"/>
      <c r="L151" s="1"/>
      <c r="M151" s="1"/>
      <c r="N151" s="1"/>
    </row>
    <row r="152" spans="1:14" ht="15" x14ac:dyDescent="0.2">
      <c r="A152" s="248" t="str">
        <f>A85</f>
        <v>1.3. Auxiliar de Serviços Gerais</v>
      </c>
      <c r="B152" s="52" t="s">
        <v>42</v>
      </c>
      <c r="C152" s="89">
        <f>$C$149*2*(E44)</f>
        <v>576</v>
      </c>
      <c r="D152" s="54">
        <f>IFERROR((($C$149*2*$D$148)-(E65*0.06*$C$149/26))/($C$149*2),"-")</f>
        <v>4.5</v>
      </c>
      <c r="E152" s="54">
        <f>TRUNC(IFERROR(C152*D152,"-"),2)</f>
        <v>2592</v>
      </c>
      <c r="F152" s="63"/>
      <c r="G152" s="1"/>
      <c r="H152" s="1"/>
      <c r="I152" s="1"/>
      <c r="J152" s="1"/>
      <c r="K152" s="1"/>
      <c r="L152" s="1"/>
      <c r="M152" s="1"/>
      <c r="N152" s="1"/>
    </row>
    <row r="153" spans="1:14" ht="15" x14ac:dyDescent="0.2">
      <c r="A153" s="248" t="str">
        <f>A96</f>
        <v>1.4. Soldador</v>
      </c>
      <c r="B153" s="52" t="s">
        <v>42</v>
      </c>
      <c r="C153" s="89">
        <f t="shared" ref="C153:C154" si="1">$C$149*2*(E45)</f>
        <v>144</v>
      </c>
      <c r="D153" s="54">
        <f>IFERROR((($C$149*2*$D$148)-(E66*0.06*$C$149/26))/($C$149*2),"-")</f>
        <v>4.5</v>
      </c>
      <c r="E153" s="54">
        <f t="shared" ref="E153:E154" si="2">TRUNC(IFERROR(C153*D153,"-"),2)</f>
        <v>648</v>
      </c>
      <c r="F153" s="63"/>
      <c r="G153" s="1"/>
      <c r="H153" s="1"/>
      <c r="I153" s="1"/>
      <c r="J153" s="1"/>
      <c r="K153" s="1"/>
      <c r="L153" s="1"/>
      <c r="M153" s="1"/>
      <c r="N153" s="1"/>
    </row>
    <row r="154" spans="1:14" ht="15" x14ac:dyDescent="0.2">
      <c r="A154" s="248" t="str">
        <f>A107</f>
        <v>1.5. Eletricista</v>
      </c>
      <c r="B154" s="52" t="s">
        <v>42</v>
      </c>
      <c r="C154" s="89">
        <f t="shared" si="1"/>
        <v>144</v>
      </c>
      <c r="D154" s="54">
        <f>IFERROR((($C$149*2*$D$148)-(E67*0.06*$C$149/26))/($C$149*2),"-")</f>
        <v>4.5</v>
      </c>
      <c r="E154" s="54">
        <f t="shared" si="2"/>
        <v>648</v>
      </c>
      <c r="F154" s="63"/>
      <c r="G154" s="1"/>
      <c r="H154" s="1"/>
      <c r="I154" s="1"/>
      <c r="J154" s="1"/>
      <c r="K154" s="1"/>
      <c r="L154" s="1"/>
      <c r="M154" s="1"/>
      <c r="N154" s="1"/>
    </row>
    <row r="155" spans="1:14" ht="15" x14ac:dyDescent="0.2">
      <c r="A155" s="248" t="str">
        <f>A118</f>
        <v>1.6. Supervisor</v>
      </c>
      <c r="B155" s="52" t="s">
        <v>42</v>
      </c>
      <c r="C155" s="89">
        <f>$C$149*2*(E47)</f>
        <v>48</v>
      </c>
      <c r="D155" s="54">
        <f>IFERROR((($C$149*2*$D$148)-(E66*0.06*$C$149/26))/($C$149*2),"-")</f>
        <v>4.5</v>
      </c>
      <c r="E155" s="54">
        <f>TRUNC(IFERROR(C155*D155,"-"),2)</f>
        <v>216</v>
      </c>
      <c r="F155" s="63"/>
      <c r="G155" s="1"/>
      <c r="H155" s="1"/>
      <c r="I155" s="1"/>
      <c r="J155" s="1"/>
      <c r="K155" s="1"/>
      <c r="L155" s="1"/>
      <c r="M155" s="1"/>
      <c r="N155" s="1"/>
    </row>
    <row r="156" spans="1:14" ht="15" x14ac:dyDescent="0.2">
      <c r="A156" s="248" t="str">
        <f>A48</f>
        <v>1.7. Técnico Segurança do Trabalho</v>
      </c>
      <c r="B156" s="52" t="s">
        <v>42</v>
      </c>
      <c r="C156" s="89">
        <v>0</v>
      </c>
      <c r="D156" s="54">
        <v>0</v>
      </c>
      <c r="E156" s="54">
        <v>0</v>
      </c>
      <c r="F156" s="63"/>
      <c r="G156" s="1"/>
      <c r="H156" s="1"/>
      <c r="I156" s="1"/>
      <c r="J156" s="1"/>
      <c r="K156" s="1"/>
      <c r="L156" s="1"/>
      <c r="M156" s="1"/>
      <c r="N156" s="1"/>
    </row>
    <row r="157" spans="1:14" ht="15" x14ac:dyDescent="0.2">
      <c r="A157" s="27" t="str">
        <f>A136</f>
        <v>1.8. Responsável Técnico (Engenheiro Civil)</v>
      </c>
      <c r="B157" s="52" t="s">
        <v>42</v>
      </c>
      <c r="C157" s="89">
        <v>0</v>
      </c>
      <c r="D157" s="54">
        <v>0</v>
      </c>
      <c r="E157" s="54">
        <v>0</v>
      </c>
      <c r="F157" s="63"/>
      <c r="G157" s="1"/>
      <c r="H157" s="1"/>
      <c r="I157" s="1"/>
      <c r="J157" s="1"/>
      <c r="K157" s="1"/>
      <c r="L157" s="1"/>
      <c r="M157" s="1"/>
      <c r="N157" s="1"/>
    </row>
    <row r="158" spans="1:14" ht="15.75" thickBot="1" x14ac:dyDescent="0.25">
      <c r="A158" s="1"/>
      <c r="B158" s="90"/>
      <c r="C158" s="1"/>
      <c r="D158" s="2"/>
      <c r="E158" s="2"/>
      <c r="F158" s="91">
        <f>TRUNC(SUM(E150:E157),2)</f>
        <v>4341.29</v>
      </c>
      <c r="G158" s="1"/>
      <c r="H158" s="1"/>
      <c r="I158" s="1"/>
      <c r="J158" s="1"/>
      <c r="K158" s="1"/>
      <c r="L158" s="1"/>
      <c r="M158" s="1"/>
      <c r="N158" s="1"/>
    </row>
    <row r="159" spans="1:14" ht="15" x14ac:dyDescent="0.2">
      <c r="A159" s="1"/>
      <c r="B159" s="1"/>
      <c r="C159" s="1"/>
      <c r="D159" s="2"/>
      <c r="E159" s="2"/>
      <c r="F159" s="2"/>
      <c r="G159" s="1"/>
      <c r="H159" s="1"/>
      <c r="I159" s="1"/>
      <c r="J159" s="1"/>
      <c r="K159" s="1"/>
      <c r="L159" s="1"/>
      <c r="M159" s="1"/>
      <c r="N159" s="1"/>
    </row>
    <row r="160" spans="1:14" ht="15.75" thickBot="1" x14ac:dyDescent="0.25">
      <c r="A160" s="1" t="s">
        <v>256</v>
      </c>
      <c r="B160" s="1"/>
      <c r="C160" s="1"/>
      <c r="D160" s="2"/>
      <c r="E160" s="2"/>
      <c r="F160" s="15"/>
      <c r="G160" s="1"/>
      <c r="H160" s="1"/>
      <c r="I160" s="1"/>
      <c r="J160" s="1"/>
      <c r="K160" s="1"/>
      <c r="L160" s="1"/>
      <c r="M160" s="1"/>
      <c r="N160" s="1"/>
    </row>
    <row r="161" spans="1:14" ht="15.75" thickBot="1" x14ac:dyDescent="0.25">
      <c r="A161" s="43" t="s">
        <v>14</v>
      </c>
      <c r="B161" s="44" t="s">
        <v>15</v>
      </c>
      <c r="C161" s="44" t="s">
        <v>9</v>
      </c>
      <c r="D161" s="45" t="s">
        <v>16</v>
      </c>
      <c r="E161" s="45" t="s">
        <v>17</v>
      </c>
      <c r="F161" s="46" t="s">
        <v>18</v>
      </c>
      <c r="G161" s="92"/>
      <c r="H161" s="92"/>
      <c r="I161" s="92"/>
      <c r="J161" s="92"/>
      <c r="K161" s="92"/>
      <c r="L161" s="92"/>
      <c r="M161" s="92"/>
      <c r="N161" s="92"/>
    </row>
    <row r="162" spans="1:14" ht="15" x14ac:dyDescent="0.25">
      <c r="A162" s="249" t="str">
        <f>+A150</f>
        <v>1.1. Pedreiro</v>
      </c>
      <c r="B162" s="52" t="s">
        <v>20</v>
      </c>
      <c r="C162" s="93">
        <f>C71</f>
        <v>1</v>
      </c>
      <c r="D162" s="94">
        <v>380</v>
      </c>
      <c r="E162" s="63">
        <f>TRUNC(C162*D162,2)</f>
        <v>380</v>
      </c>
      <c r="F162" s="15"/>
      <c r="G162" s="51"/>
      <c r="H162" s="1" t="s">
        <v>255</v>
      </c>
      <c r="I162" s="92"/>
      <c r="J162" s="92"/>
      <c r="K162" s="95"/>
      <c r="L162" s="92"/>
      <c r="M162" s="92"/>
      <c r="N162" s="92"/>
    </row>
    <row r="163" spans="1:14" ht="15" x14ac:dyDescent="0.2">
      <c r="A163" s="249" t="str">
        <f>+A151</f>
        <v>1.2. Servente de pedreiro</v>
      </c>
      <c r="B163" s="52" t="s">
        <v>20</v>
      </c>
      <c r="C163" s="93">
        <f>C82</f>
        <v>2</v>
      </c>
      <c r="D163" s="94">
        <v>380</v>
      </c>
      <c r="E163" s="63">
        <f>TRUNC(C163*D163,2)</f>
        <v>760</v>
      </c>
      <c r="F163" s="15"/>
      <c r="G163" s="1"/>
      <c r="H163" s="92"/>
      <c r="I163" s="92"/>
      <c r="J163" s="92"/>
      <c r="K163" s="95"/>
      <c r="L163" s="92"/>
      <c r="M163" s="92"/>
      <c r="N163" s="92"/>
    </row>
    <row r="164" spans="1:14" ht="15" x14ac:dyDescent="0.2">
      <c r="A164" s="249" t="str">
        <f>A85</f>
        <v>1.3. Auxiliar de Serviços Gerais</v>
      </c>
      <c r="B164" s="52" t="s">
        <v>15</v>
      </c>
      <c r="C164" s="93">
        <f>$C$149*(E44)</f>
        <v>288</v>
      </c>
      <c r="D164" s="94">
        <v>27.15</v>
      </c>
      <c r="E164" s="63">
        <f t="shared" ref="E164:E167" si="3">TRUNC(C164*D164,2)</f>
        <v>7819.2</v>
      </c>
      <c r="F164" s="15"/>
      <c r="G164" s="1"/>
      <c r="H164" s="1" t="s">
        <v>277</v>
      </c>
      <c r="I164" s="92"/>
      <c r="J164" s="92"/>
      <c r="K164" s="95"/>
      <c r="L164" s="92"/>
      <c r="M164" s="92"/>
      <c r="N164" s="92"/>
    </row>
    <row r="165" spans="1:14" ht="15" x14ac:dyDescent="0.2">
      <c r="A165" s="249"/>
      <c r="B165" s="52" t="s">
        <v>15</v>
      </c>
      <c r="C165" s="93">
        <f>$C$149*(E47)</f>
        <v>24</v>
      </c>
      <c r="D165" s="94">
        <v>27.15</v>
      </c>
      <c r="E165" s="63">
        <f t="shared" si="3"/>
        <v>651.6</v>
      </c>
      <c r="F165" s="15"/>
      <c r="G165" s="1"/>
      <c r="H165" s="1"/>
      <c r="I165" s="92"/>
      <c r="J165" s="92"/>
      <c r="K165" s="95"/>
      <c r="L165" s="92"/>
      <c r="M165" s="92"/>
      <c r="N165" s="92"/>
    </row>
    <row r="166" spans="1:14" ht="15" x14ac:dyDescent="0.2">
      <c r="A166" s="249" t="str">
        <f>A129</f>
        <v>1.7. Técnico Segurança do Trabalho</v>
      </c>
      <c r="B166" s="52" t="s">
        <v>20</v>
      </c>
      <c r="C166" s="93">
        <v>0</v>
      </c>
      <c r="D166" s="94">
        <v>0</v>
      </c>
      <c r="E166" s="63">
        <f t="shared" si="3"/>
        <v>0</v>
      </c>
      <c r="F166" s="15"/>
      <c r="G166" s="1"/>
      <c r="H166" s="92"/>
      <c r="I166" s="92"/>
      <c r="J166" s="92"/>
      <c r="K166" s="95"/>
      <c r="L166" s="92"/>
      <c r="M166" s="92"/>
      <c r="N166" s="92"/>
    </row>
    <row r="167" spans="1:14" ht="15.75" thickBot="1" x14ac:dyDescent="0.25">
      <c r="A167" s="249" t="str">
        <f>A136</f>
        <v>1.8. Responsável Técnico (Engenheiro Civil)</v>
      </c>
      <c r="B167" s="52" t="s">
        <v>20</v>
      </c>
      <c r="C167" s="93">
        <v>0</v>
      </c>
      <c r="D167" s="94">
        <v>0</v>
      </c>
      <c r="E167" s="63">
        <f t="shared" si="3"/>
        <v>0</v>
      </c>
      <c r="F167" s="15"/>
      <c r="G167" s="1"/>
      <c r="H167" s="92"/>
      <c r="I167" s="92"/>
      <c r="J167" s="92"/>
      <c r="K167" s="95"/>
      <c r="L167" s="92"/>
      <c r="M167" s="92"/>
      <c r="N167" s="92"/>
    </row>
    <row r="168" spans="1:14" ht="15.75" thickBot="1" x14ac:dyDescent="0.25">
      <c r="A168" s="1"/>
      <c r="B168" s="1"/>
      <c r="C168" s="1"/>
      <c r="D168" s="2"/>
      <c r="E168" s="2"/>
      <c r="F168" s="96">
        <f>SUM(E162:E167)</f>
        <v>9610.8000000000011</v>
      </c>
      <c r="G168" s="92"/>
      <c r="H168" s="92"/>
      <c r="I168" s="92"/>
      <c r="J168" s="92"/>
      <c r="K168" s="92"/>
      <c r="L168" s="92"/>
      <c r="M168" s="92"/>
      <c r="N168" s="92"/>
    </row>
    <row r="169" spans="1:14" ht="15" x14ac:dyDescent="0.2">
      <c r="A169" s="1"/>
      <c r="B169" s="1"/>
      <c r="C169" s="1"/>
      <c r="D169" s="2"/>
      <c r="E169" s="2"/>
      <c r="F169" s="15"/>
      <c r="G169" s="92"/>
      <c r="H169" s="92"/>
      <c r="I169" s="92"/>
      <c r="J169" s="92"/>
      <c r="K169" s="92"/>
      <c r="L169" s="92"/>
      <c r="M169" s="92"/>
      <c r="N169" s="92"/>
    </row>
    <row r="170" spans="1:14" ht="15.75" thickBot="1" x14ac:dyDescent="0.25">
      <c r="A170" s="1"/>
      <c r="B170" s="1"/>
      <c r="C170" s="1"/>
      <c r="D170" s="2"/>
      <c r="E170" s="2"/>
      <c r="F170" s="2"/>
      <c r="G170" s="1"/>
      <c r="H170" s="1"/>
      <c r="I170" s="1"/>
      <c r="J170" s="1"/>
      <c r="K170" s="1"/>
      <c r="L170" s="1"/>
      <c r="M170" s="1"/>
      <c r="N170" s="1"/>
    </row>
    <row r="171" spans="1:14" ht="15.75" thickBot="1" x14ac:dyDescent="0.25">
      <c r="A171" s="97" t="s">
        <v>44</v>
      </c>
      <c r="B171" s="98"/>
      <c r="C171" s="98"/>
      <c r="D171" s="99"/>
      <c r="E171" s="100"/>
      <c r="F171" s="96">
        <f>TRUNC(+F168+F127+F116+F105+F94+F158+F83+F72+F141+F134,2)</f>
        <v>79260.210000000006</v>
      </c>
      <c r="G171" s="307"/>
      <c r="H171" s="307"/>
      <c r="I171" s="307"/>
      <c r="J171" s="307"/>
      <c r="K171" s="307"/>
      <c r="L171" s="307"/>
      <c r="M171" s="307"/>
      <c r="N171" s="307"/>
    </row>
    <row r="172" spans="1:14" ht="15" x14ac:dyDescent="0.2">
      <c r="A172" s="1"/>
      <c r="B172" s="1"/>
      <c r="C172" s="1"/>
      <c r="D172" s="2"/>
      <c r="E172" s="2"/>
      <c r="F172" s="2"/>
      <c r="G172" s="307"/>
      <c r="H172" s="307"/>
      <c r="I172" s="307"/>
      <c r="J172" s="307"/>
      <c r="K172" s="307"/>
      <c r="L172" s="307"/>
      <c r="M172" s="307"/>
      <c r="N172" s="307"/>
    </row>
    <row r="173" spans="1:14" ht="15" x14ac:dyDescent="0.2">
      <c r="A173" s="16" t="s">
        <v>45</v>
      </c>
      <c r="B173" s="1"/>
      <c r="C173" s="1"/>
      <c r="D173" s="2"/>
      <c r="E173" s="2"/>
      <c r="F173" s="2"/>
      <c r="G173" s="307"/>
      <c r="H173" s="307"/>
      <c r="I173" s="307"/>
      <c r="J173" s="307"/>
      <c r="K173" s="307"/>
      <c r="L173" s="307"/>
      <c r="M173" s="307"/>
      <c r="N173" s="307"/>
    </row>
    <row r="174" spans="1:14" ht="15" x14ac:dyDescent="0.2">
      <c r="A174" s="1"/>
      <c r="B174" s="1"/>
      <c r="C174" s="1"/>
      <c r="D174" s="2"/>
      <c r="E174" s="2"/>
      <c r="F174" s="2"/>
      <c r="G174" s="307"/>
      <c r="H174" s="307"/>
      <c r="I174" s="307"/>
      <c r="J174" s="307"/>
      <c r="K174" s="307"/>
      <c r="L174" s="307"/>
      <c r="M174" s="307"/>
      <c r="N174" s="307"/>
    </row>
    <row r="175" spans="1:14" ht="15" x14ac:dyDescent="0.2">
      <c r="A175" s="1" t="s">
        <v>215</v>
      </c>
      <c r="B175" s="1"/>
      <c r="C175" s="1"/>
      <c r="D175" s="2"/>
      <c r="E175" s="2"/>
      <c r="F175" s="2"/>
      <c r="G175" s="1"/>
      <c r="H175" s="1"/>
      <c r="I175" s="1"/>
      <c r="J175" s="1"/>
      <c r="K175" s="1"/>
      <c r="L175" s="1"/>
      <c r="M175" s="1"/>
      <c r="N175" s="1"/>
    </row>
    <row r="176" spans="1:14" ht="15.75" thickBot="1" x14ac:dyDescent="0.25">
      <c r="A176" s="1"/>
      <c r="B176" s="1"/>
      <c r="C176" s="1"/>
      <c r="D176" s="2"/>
      <c r="E176" s="2"/>
      <c r="F176" s="2"/>
      <c r="G176" s="1"/>
      <c r="H176" s="1"/>
      <c r="I176" s="1"/>
      <c r="J176" s="1"/>
      <c r="K176" s="1"/>
      <c r="L176" s="1"/>
      <c r="M176" s="1"/>
      <c r="N176" s="1"/>
    </row>
    <row r="177" spans="1:14" ht="30.75" thickBot="1" x14ac:dyDescent="0.3">
      <c r="A177" s="43" t="s">
        <v>14</v>
      </c>
      <c r="B177" s="44" t="s">
        <v>15</v>
      </c>
      <c r="C177" s="101" t="s">
        <v>46</v>
      </c>
      <c r="D177" s="45" t="s">
        <v>16</v>
      </c>
      <c r="E177" s="45" t="s">
        <v>17</v>
      </c>
      <c r="F177" s="46" t="s">
        <v>18</v>
      </c>
      <c r="G177" s="51"/>
      <c r="H177" s="1"/>
      <c r="I177" s="1"/>
      <c r="J177" s="1"/>
      <c r="K177" s="1"/>
      <c r="L177" s="1"/>
      <c r="M177" s="1"/>
      <c r="N177" s="1"/>
    </row>
    <row r="178" spans="1:14" ht="15" x14ac:dyDescent="0.25">
      <c r="A178" s="47" t="s">
        <v>47</v>
      </c>
      <c r="B178" s="48" t="s">
        <v>43</v>
      </c>
      <c r="C178" s="102">
        <v>12</v>
      </c>
      <c r="D178" s="49">
        <f>SUM(160+153.98+142.5)/3</f>
        <v>152.16</v>
      </c>
      <c r="E178" s="50">
        <f t="shared" ref="E178:E188" si="4">TRUNC(IFERROR(D178/C178,0),2)</f>
        <v>12.68</v>
      </c>
      <c r="F178" s="2"/>
      <c r="G178" s="51"/>
      <c r="H178" s="1" t="s">
        <v>275</v>
      </c>
      <c r="I178" s="1"/>
      <c r="J178" s="1"/>
      <c r="K178" s="1"/>
      <c r="L178" s="1"/>
      <c r="M178" s="1"/>
      <c r="N178" s="1"/>
    </row>
    <row r="179" spans="1:14" ht="15" x14ac:dyDescent="0.25">
      <c r="A179" s="27" t="s">
        <v>48</v>
      </c>
      <c r="B179" s="52" t="s">
        <v>43</v>
      </c>
      <c r="C179" s="102">
        <v>4</v>
      </c>
      <c r="D179" s="49">
        <f>SUM(54.9+70.3+71.1)/3</f>
        <v>65.433333333333323</v>
      </c>
      <c r="E179" s="50">
        <f t="shared" si="4"/>
        <v>16.350000000000001</v>
      </c>
      <c r="F179" s="2"/>
      <c r="G179" s="51"/>
      <c r="H179" s="1" t="s">
        <v>275</v>
      </c>
      <c r="I179" s="1"/>
      <c r="J179" s="1"/>
      <c r="K179" s="1"/>
      <c r="L179" s="1"/>
      <c r="M179" s="1"/>
      <c r="N179" s="1"/>
    </row>
    <row r="180" spans="1:14" ht="15" x14ac:dyDescent="0.25">
      <c r="A180" s="27" t="s">
        <v>49</v>
      </c>
      <c r="B180" s="52" t="s">
        <v>43</v>
      </c>
      <c r="C180" s="102">
        <v>3</v>
      </c>
      <c r="D180" s="49">
        <f>SUM(60.9+69.9+66.4+59.42)/4</f>
        <v>64.155000000000001</v>
      </c>
      <c r="E180" s="50">
        <f t="shared" si="4"/>
        <v>21.38</v>
      </c>
      <c r="F180" s="2"/>
      <c r="G180" s="51"/>
      <c r="H180" s="1" t="s">
        <v>275</v>
      </c>
      <c r="I180" s="1"/>
      <c r="J180" s="1"/>
      <c r="K180" s="1"/>
      <c r="L180" s="1"/>
      <c r="M180" s="1"/>
      <c r="N180" s="1"/>
    </row>
    <row r="181" spans="1:14" ht="15" x14ac:dyDescent="0.25">
      <c r="A181" s="27" t="s">
        <v>258</v>
      </c>
      <c r="B181" s="52" t="s">
        <v>43</v>
      </c>
      <c r="C181" s="102">
        <v>6</v>
      </c>
      <c r="D181" s="49">
        <f>SUM(20+10.59+9.34)/3</f>
        <v>13.31</v>
      </c>
      <c r="E181" s="50">
        <f t="shared" si="4"/>
        <v>2.21</v>
      </c>
      <c r="F181" s="2"/>
      <c r="G181" s="51"/>
      <c r="H181" s="1" t="s">
        <v>275</v>
      </c>
      <c r="I181" s="1"/>
      <c r="J181" s="1"/>
      <c r="K181" s="1"/>
      <c r="L181" s="1"/>
      <c r="M181" s="1"/>
      <c r="N181" s="1"/>
    </row>
    <row r="182" spans="1:14" ht="15" x14ac:dyDescent="0.25">
      <c r="A182" s="27" t="s">
        <v>202</v>
      </c>
      <c r="B182" s="52" t="s">
        <v>50</v>
      </c>
      <c r="C182" s="102">
        <v>2</v>
      </c>
      <c r="D182" s="49">
        <f>SUM(39.81+55.62+53.26)/3</f>
        <v>49.563333333333333</v>
      </c>
      <c r="E182" s="50">
        <f>TRUNC(IFERROR(D182/C182,0),2)</f>
        <v>24.78</v>
      </c>
      <c r="F182" s="2"/>
      <c r="G182" s="51"/>
      <c r="H182" s="1" t="s">
        <v>275</v>
      </c>
      <c r="I182" s="1"/>
      <c r="J182" s="1"/>
      <c r="K182" s="1"/>
      <c r="L182" s="1"/>
      <c r="M182" s="1"/>
      <c r="N182" s="1"/>
    </row>
    <row r="183" spans="1:14" ht="15" x14ac:dyDescent="0.25">
      <c r="A183" s="27" t="s">
        <v>51</v>
      </c>
      <c r="B183" s="52" t="s">
        <v>50</v>
      </c>
      <c r="C183" s="102">
        <v>2</v>
      </c>
      <c r="D183" s="49">
        <v>5</v>
      </c>
      <c r="E183" s="50">
        <f t="shared" si="4"/>
        <v>2.5</v>
      </c>
      <c r="F183" s="2"/>
      <c r="G183" s="51"/>
      <c r="H183" s="1" t="s">
        <v>275</v>
      </c>
      <c r="I183" s="1"/>
      <c r="J183" s="1"/>
      <c r="K183" s="1"/>
      <c r="L183" s="1"/>
      <c r="M183" s="1"/>
      <c r="N183" s="1"/>
    </row>
    <row r="184" spans="1:14" ht="15" x14ac:dyDescent="0.25">
      <c r="A184" s="27" t="s">
        <v>52</v>
      </c>
      <c r="B184" s="52" t="s">
        <v>43</v>
      </c>
      <c r="C184" s="102">
        <v>3</v>
      </c>
      <c r="D184" s="49">
        <f>(28.99+53.35+49.16)/3</f>
        <v>43.833333333333336</v>
      </c>
      <c r="E184" s="50">
        <f t="shared" si="4"/>
        <v>14.61</v>
      </c>
      <c r="F184" s="2"/>
      <c r="G184" s="51"/>
      <c r="H184" s="1" t="s">
        <v>275</v>
      </c>
      <c r="I184" s="1"/>
      <c r="J184" s="1"/>
      <c r="K184" s="1"/>
      <c r="L184" s="1"/>
      <c r="M184" s="1"/>
      <c r="N184" s="1"/>
    </row>
    <row r="185" spans="1:14" ht="15" x14ac:dyDescent="0.25">
      <c r="A185" s="103" t="s">
        <v>53</v>
      </c>
      <c r="B185" s="104" t="s">
        <v>43</v>
      </c>
      <c r="C185" s="102">
        <v>3</v>
      </c>
      <c r="D185" s="49">
        <f>(19.92+17.7+11.09)/3</f>
        <v>16.236666666666668</v>
      </c>
      <c r="E185" s="50">
        <f t="shared" si="4"/>
        <v>5.41</v>
      </c>
      <c r="F185" s="105"/>
      <c r="G185" s="51"/>
      <c r="H185" s="1" t="s">
        <v>275</v>
      </c>
      <c r="I185" s="106"/>
      <c r="J185" s="106"/>
      <c r="K185" s="106"/>
      <c r="L185" s="106"/>
      <c r="M185" s="106"/>
      <c r="N185" s="106"/>
    </row>
    <row r="186" spans="1:14" ht="15" x14ac:dyDescent="0.25">
      <c r="A186" s="27" t="s">
        <v>54</v>
      </c>
      <c r="B186" s="52" t="s">
        <v>50</v>
      </c>
      <c r="C186" s="102">
        <v>2</v>
      </c>
      <c r="D186" s="49">
        <f>(7.96+4.91+19.9+4.92+15)/5</f>
        <v>10.538</v>
      </c>
      <c r="E186" s="50">
        <f t="shared" si="4"/>
        <v>5.26</v>
      </c>
      <c r="F186" s="2"/>
      <c r="G186" s="51"/>
      <c r="H186" s="1" t="s">
        <v>275</v>
      </c>
      <c r="I186" s="1"/>
      <c r="J186" s="1"/>
      <c r="K186" s="1"/>
      <c r="L186" s="1"/>
      <c r="M186" s="1"/>
      <c r="N186" s="1"/>
    </row>
    <row r="187" spans="1:14" ht="15" x14ac:dyDescent="0.25">
      <c r="A187" s="27" t="s">
        <v>55</v>
      </c>
      <c r="B187" s="52" t="s">
        <v>259</v>
      </c>
      <c r="C187" s="102">
        <v>1</v>
      </c>
      <c r="D187" s="49">
        <f>(22.67+19.86+10.9)/3</f>
        <v>17.809999999999999</v>
      </c>
      <c r="E187" s="50">
        <f t="shared" si="4"/>
        <v>17.809999999999999</v>
      </c>
      <c r="F187" s="2"/>
      <c r="G187" s="51"/>
      <c r="H187" s="1" t="s">
        <v>275</v>
      </c>
      <c r="I187" s="1"/>
      <c r="J187" s="1"/>
      <c r="K187" s="1"/>
      <c r="L187" s="1"/>
      <c r="M187" s="1"/>
      <c r="N187" s="1"/>
    </row>
    <row r="188" spans="1:14" ht="15" x14ac:dyDescent="0.25">
      <c r="A188" s="27" t="s">
        <v>56</v>
      </c>
      <c r="B188" s="52" t="s">
        <v>57</v>
      </c>
      <c r="C188" s="61">
        <v>1</v>
      </c>
      <c r="D188" s="49">
        <v>100</v>
      </c>
      <c r="E188" s="50">
        <f t="shared" si="4"/>
        <v>100</v>
      </c>
      <c r="F188" s="2"/>
      <c r="G188" s="51"/>
      <c r="H188" s="1"/>
      <c r="I188" s="1"/>
      <c r="J188" s="1"/>
      <c r="K188" s="1"/>
      <c r="L188" s="1"/>
      <c r="M188" s="1"/>
      <c r="N188" s="1"/>
    </row>
    <row r="189" spans="1:14" ht="15.75" thickBot="1" x14ac:dyDescent="0.25">
      <c r="A189" s="27" t="s">
        <v>29</v>
      </c>
      <c r="B189" s="52" t="s">
        <v>30</v>
      </c>
      <c r="C189" s="61">
        <f>E42+E43+E44+E47</f>
        <v>16</v>
      </c>
      <c r="D189" s="54">
        <f>+SUM(E178:E188)</f>
        <v>222.99</v>
      </c>
      <c r="E189" s="54">
        <f>TRUNC(C189*D189,2)</f>
        <v>3567.84</v>
      </c>
      <c r="F189" s="2"/>
      <c r="G189" s="2"/>
      <c r="H189" s="1"/>
      <c r="I189" s="1"/>
      <c r="J189" s="1"/>
      <c r="K189" s="1"/>
      <c r="L189" s="1"/>
      <c r="M189" s="1"/>
      <c r="N189" s="1"/>
    </row>
    <row r="190" spans="1:14" ht="15.75" thickBot="1" x14ac:dyDescent="0.25">
      <c r="A190" s="1"/>
      <c r="B190" s="1"/>
      <c r="C190" s="1"/>
      <c r="D190" s="62" t="s">
        <v>31</v>
      </c>
      <c r="E190" s="63">
        <f>$B$57</f>
        <v>1</v>
      </c>
      <c r="F190" s="64">
        <f>TRUNC(E189*E190,2)</f>
        <v>3567.84</v>
      </c>
      <c r="G190" s="2"/>
      <c r="H190" s="1"/>
      <c r="I190" s="1"/>
      <c r="J190" s="1"/>
      <c r="K190" s="1"/>
      <c r="L190" s="1"/>
      <c r="M190" s="1"/>
      <c r="N190" s="1"/>
    </row>
    <row r="191" spans="1:14" ht="15" x14ac:dyDescent="0.2">
      <c r="A191" s="1"/>
      <c r="B191" s="1"/>
      <c r="C191" s="1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</row>
    <row r="192" spans="1:14" ht="15" x14ac:dyDescent="0.2">
      <c r="A192" s="1" t="s">
        <v>58</v>
      </c>
      <c r="B192" s="1"/>
      <c r="C192" s="1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</row>
    <row r="193" spans="1:14" ht="15.75" thickBot="1" x14ac:dyDescent="0.25">
      <c r="A193" s="1"/>
      <c r="B193" s="1"/>
      <c r="C193" s="1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</row>
    <row r="194" spans="1:14" ht="30.75" thickBot="1" x14ac:dyDescent="0.25">
      <c r="A194" s="43" t="s">
        <v>14</v>
      </c>
      <c r="B194" s="44" t="s">
        <v>15</v>
      </c>
      <c r="C194" s="101" t="s">
        <v>46</v>
      </c>
      <c r="D194" s="45" t="s">
        <v>16</v>
      </c>
      <c r="E194" s="45" t="s">
        <v>17</v>
      </c>
      <c r="F194" s="46" t="s">
        <v>18</v>
      </c>
      <c r="G194" s="2"/>
      <c r="H194" s="1"/>
      <c r="I194" s="1"/>
      <c r="J194" s="1"/>
      <c r="K194" s="1"/>
      <c r="L194" s="1"/>
      <c r="M194" s="1"/>
      <c r="N194" s="1"/>
    </row>
    <row r="195" spans="1:14" ht="15" x14ac:dyDescent="0.25">
      <c r="A195" s="47" t="s">
        <v>47</v>
      </c>
      <c r="B195" s="48" t="s">
        <v>43</v>
      </c>
      <c r="C195" s="107">
        <v>12</v>
      </c>
      <c r="D195" s="50">
        <f>+D178</f>
        <v>152.16</v>
      </c>
      <c r="E195" s="50">
        <f t="shared" ref="E195:E201" si="5">TRUNC(IFERROR(D195/C195,0),2)</f>
        <v>12.68</v>
      </c>
      <c r="F195" s="2"/>
      <c r="G195" s="51"/>
      <c r="H195" s="1" t="s">
        <v>275</v>
      </c>
      <c r="I195" s="1"/>
      <c r="J195" s="1"/>
      <c r="K195" s="1"/>
      <c r="L195" s="1"/>
      <c r="M195" s="1"/>
      <c r="N195" s="1"/>
    </row>
    <row r="196" spans="1:14" ht="15" x14ac:dyDescent="0.25">
      <c r="A196" s="27" t="s">
        <v>48</v>
      </c>
      <c r="B196" s="52" t="s">
        <v>43</v>
      </c>
      <c r="C196" s="107">
        <v>4</v>
      </c>
      <c r="D196" s="54">
        <f>D179</f>
        <v>65.433333333333323</v>
      </c>
      <c r="E196" s="50">
        <f t="shared" si="5"/>
        <v>16.350000000000001</v>
      </c>
      <c r="F196" s="2"/>
      <c r="G196" s="51"/>
      <c r="H196" s="1" t="s">
        <v>275</v>
      </c>
      <c r="I196" s="1"/>
      <c r="J196" s="1"/>
      <c r="K196" s="1"/>
      <c r="L196" s="1"/>
      <c r="M196" s="1"/>
      <c r="N196" s="1"/>
    </row>
    <row r="197" spans="1:14" ht="15" x14ac:dyDescent="0.25">
      <c r="A197" s="27" t="s">
        <v>59</v>
      </c>
      <c r="B197" s="52" t="s">
        <v>43</v>
      </c>
      <c r="C197" s="107">
        <v>2</v>
      </c>
      <c r="D197" s="54">
        <f>D180</f>
        <v>64.155000000000001</v>
      </c>
      <c r="E197" s="50">
        <f t="shared" si="5"/>
        <v>32.07</v>
      </c>
      <c r="F197" s="2"/>
      <c r="G197" s="51"/>
      <c r="H197" s="1" t="s">
        <v>275</v>
      </c>
      <c r="I197" s="1"/>
      <c r="J197" s="1"/>
      <c r="K197" s="1"/>
      <c r="L197" s="1"/>
      <c r="M197" s="1"/>
      <c r="N197" s="1"/>
    </row>
    <row r="198" spans="1:14" ht="15" x14ac:dyDescent="0.25">
      <c r="A198" s="27" t="s">
        <v>202</v>
      </c>
      <c r="B198" s="52" t="s">
        <v>50</v>
      </c>
      <c r="C198" s="107">
        <v>6</v>
      </c>
      <c r="D198" s="54">
        <f>D182</f>
        <v>49.563333333333333</v>
      </c>
      <c r="E198" s="50">
        <f t="shared" si="5"/>
        <v>8.26</v>
      </c>
      <c r="F198" s="2"/>
      <c r="G198" s="51"/>
      <c r="H198" s="1" t="s">
        <v>275</v>
      </c>
      <c r="I198" s="1"/>
      <c r="J198" s="1"/>
      <c r="K198" s="1"/>
      <c r="L198" s="1"/>
      <c r="M198" s="1"/>
      <c r="N198" s="1"/>
    </row>
    <row r="199" spans="1:14" ht="15" x14ac:dyDescent="0.25">
      <c r="A199" s="27" t="s">
        <v>52</v>
      </c>
      <c r="B199" s="52" t="s">
        <v>43</v>
      </c>
      <c r="C199" s="107">
        <v>4</v>
      </c>
      <c r="D199" s="54">
        <f>D184</f>
        <v>43.833333333333336</v>
      </c>
      <c r="E199" s="50">
        <f t="shared" si="5"/>
        <v>10.95</v>
      </c>
      <c r="F199" s="2"/>
      <c r="G199" s="51"/>
      <c r="H199" s="1" t="s">
        <v>275</v>
      </c>
      <c r="I199" s="1"/>
      <c r="J199" s="1"/>
      <c r="K199" s="1"/>
      <c r="L199" s="1"/>
      <c r="M199" s="1"/>
      <c r="N199" s="1"/>
    </row>
    <row r="200" spans="1:14" ht="15" x14ac:dyDescent="0.25">
      <c r="A200" s="27" t="s">
        <v>55</v>
      </c>
      <c r="B200" s="52" t="s">
        <v>60</v>
      </c>
      <c r="C200" s="107">
        <v>2</v>
      </c>
      <c r="D200" s="54">
        <f>+D187</f>
        <v>17.809999999999999</v>
      </c>
      <c r="E200" s="50">
        <f t="shared" si="5"/>
        <v>8.9</v>
      </c>
      <c r="F200" s="2"/>
      <c r="G200" s="51"/>
      <c r="H200" s="1" t="s">
        <v>275</v>
      </c>
      <c r="I200" s="1"/>
      <c r="J200" s="1"/>
      <c r="K200" s="1"/>
      <c r="L200" s="1"/>
      <c r="M200" s="1"/>
      <c r="N200" s="1"/>
    </row>
    <row r="201" spans="1:14" ht="15" x14ac:dyDescent="0.25">
      <c r="A201" s="27" t="s">
        <v>56</v>
      </c>
      <c r="B201" s="52" t="s">
        <v>57</v>
      </c>
      <c r="C201" s="61">
        <v>1</v>
      </c>
      <c r="D201" s="49">
        <f>D188</f>
        <v>100</v>
      </c>
      <c r="E201" s="50">
        <f t="shared" si="5"/>
        <v>100</v>
      </c>
      <c r="F201" s="2"/>
      <c r="G201" s="51"/>
      <c r="H201" s="1"/>
      <c r="I201" s="1"/>
      <c r="J201" s="1"/>
      <c r="K201" s="1"/>
      <c r="L201" s="1"/>
      <c r="M201" s="1"/>
      <c r="N201" s="1"/>
    </row>
    <row r="202" spans="1:14" ht="15.75" thickBot="1" x14ac:dyDescent="0.25">
      <c r="A202" s="27" t="s">
        <v>29</v>
      </c>
      <c r="B202" s="52" t="s">
        <v>30</v>
      </c>
      <c r="C202" s="61">
        <f>E48+E49</f>
        <v>2</v>
      </c>
      <c r="D202" s="54">
        <f>+SUM(E195:E201)</f>
        <v>189.21</v>
      </c>
      <c r="E202" s="54">
        <f>TRUNC(C202*D202,2)</f>
        <v>378.42</v>
      </c>
      <c r="F202" s="2"/>
      <c r="G202" s="1"/>
      <c r="H202" s="1"/>
      <c r="I202" s="1"/>
      <c r="J202" s="1"/>
      <c r="K202" s="1"/>
      <c r="L202" s="1"/>
      <c r="M202" s="1"/>
      <c r="N202" s="1"/>
    </row>
    <row r="203" spans="1:14" ht="15.75" thickBot="1" x14ac:dyDescent="0.25">
      <c r="A203" s="1"/>
      <c r="B203" s="1"/>
      <c r="C203" s="1"/>
      <c r="D203" s="62" t="s">
        <v>31</v>
      </c>
      <c r="E203" s="63">
        <f>$B$57</f>
        <v>1</v>
      </c>
      <c r="F203" s="64">
        <f>TRUNC(E202*E203,2)</f>
        <v>378.42</v>
      </c>
      <c r="G203" s="1"/>
      <c r="H203" s="1"/>
      <c r="I203" s="1"/>
      <c r="J203" s="1"/>
      <c r="K203" s="1"/>
      <c r="L203" s="1"/>
      <c r="M203" s="1"/>
      <c r="N203" s="1"/>
    </row>
    <row r="204" spans="1:14" ht="15" x14ac:dyDescent="0.2">
      <c r="A204" s="1"/>
      <c r="B204" s="1"/>
      <c r="C204" s="1"/>
      <c r="D204" s="62"/>
      <c r="E204" s="2"/>
      <c r="F204" s="58"/>
      <c r="G204" s="1"/>
      <c r="H204" s="1"/>
      <c r="I204" s="1"/>
      <c r="J204" s="1"/>
      <c r="K204" s="1"/>
      <c r="L204" s="1"/>
      <c r="M204" s="1"/>
      <c r="N204" s="1"/>
    </row>
    <row r="205" spans="1:14" ht="15" x14ac:dyDescent="0.2">
      <c r="A205" s="1" t="s">
        <v>310</v>
      </c>
      <c r="B205" s="1"/>
      <c r="C205" s="1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</row>
    <row r="206" spans="1:14" ht="15.75" thickBot="1" x14ac:dyDescent="0.25">
      <c r="A206" s="1"/>
      <c r="B206" s="1"/>
      <c r="C206" s="1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</row>
    <row r="207" spans="1:14" ht="30.75" thickBot="1" x14ac:dyDescent="0.25">
      <c r="A207" s="43" t="s">
        <v>14</v>
      </c>
      <c r="B207" s="44" t="s">
        <v>15</v>
      </c>
      <c r="C207" s="101" t="s">
        <v>46</v>
      </c>
      <c r="D207" s="45" t="s">
        <v>16</v>
      </c>
      <c r="E207" s="45" t="s">
        <v>17</v>
      </c>
      <c r="F207" s="46" t="s">
        <v>18</v>
      </c>
      <c r="G207" s="2"/>
      <c r="H207" s="1"/>
      <c r="I207" s="1"/>
      <c r="J207" s="1"/>
      <c r="K207" s="1"/>
      <c r="L207" s="1"/>
      <c r="M207" s="1"/>
      <c r="N207" s="1"/>
    </row>
    <row r="208" spans="1:14" ht="15" x14ac:dyDescent="0.25">
      <c r="A208" s="47" t="s">
        <v>47</v>
      </c>
      <c r="B208" s="48" t="s">
        <v>43</v>
      </c>
      <c r="C208" s="107">
        <v>12</v>
      </c>
      <c r="D208" s="50">
        <f>D195</f>
        <v>152.16</v>
      </c>
      <c r="E208" s="50">
        <f t="shared" ref="E208:E219" si="6">TRUNC(IFERROR(D208/C208,0),2)</f>
        <v>12.68</v>
      </c>
      <c r="F208" s="2"/>
      <c r="G208" s="51"/>
      <c r="H208" s="1" t="s">
        <v>275</v>
      </c>
      <c r="I208" s="1"/>
      <c r="J208" s="1"/>
      <c r="K208" s="1"/>
      <c r="L208" s="1"/>
      <c r="M208" s="1"/>
      <c r="N208" s="1"/>
    </row>
    <row r="209" spans="1:14" ht="15" x14ac:dyDescent="0.25">
      <c r="A209" s="27" t="s">
        <v>48</v>
      </c>
      <c r="B209" s="52" t="s">
        <v>43</v>
      </c>
      <c r="C209" s="107">
        <v>4</v>
      </c>
      <c r="D209" s="50">
        <f t="shared" ref="D209:D213" si="7">D196</f>
        <v>65.433333333333323</v>
      </c>
      <c r="E209" s="50">
        <f t="shared" si="6"/>
        <v>16.350000000000001</v>
      </c>
      <c r="F209" s="2"/>
      <c r="G209" s="51"/>
      <c r="H209" s="1" t="s">
        <v>275</v>
      </c>
      <c r="I209" s="1"/>
      <c r="J209" s="1"/>
      <c r="K209" s="1"/>
      <c r="L209" s="1"/>
      <c r="M209" s="1"/>
      <c r="N209" s="1"/>
    </row>
    <row r="210" spans="1:14" ht="15" x14ac:dyDescent="0.25">
      <c r="A210" s="27" t="s">
        <v>59</v>
      </c>
      <c r="B210" s="52" t="s">
        <v>43</v>
      </c>
      <c r="C210" s="107">
        <v>2</v>
      </c>
      <c r="D210" s="50">
        <f t="shared" si="7"/>
        <v>64.155000000000001</v>
      </c>
      <c r="E210" s="50">
        <f t="shared" si="6"/>
        <v>32.07</v>
      </c>
      <c r="F210" s="2"/>
      <c r="G210" s="51"/>
      <c r="H210" s="1" t="s">
        <v>275</v>
      </c>
      <c r="I210" s="1"/>
      <c r="J210" s="1"/>
      <c r="K210" s="1"/>
      <c r="L210" s="1"/>
      <c r="M210" s="1"/>
      <c r="N210" s="1"/>
    </row>
    <row r="211" spans="1:14" ht="15" x14ac:dyDescent="0.25">
      <c r="A211" s="27" t="s">
        <v>202</v>
      </c>
      <c r="B211" s="52" t="s">
        <v>50</v>
      </c>
      <c r="C211" s="107">
        <v>6</v>
      </c>
      <c r="D211" s="50">
        <f t="shared" si="7"/>
        <v>49.563333333333333</v>
      </c>
      <c r="E211" s="50">
        <f t="shared" si="6"/>
        <v>8.26</v>
      </c>
      <c r="F211" s="2"/>
      <c r="G211" s="51"/>
      <c r="H211" s="1" t="s">
        <v>275</v>
      </c>
      <c r="I211" s="1"/>
      <c r="J211" s="1"/>
      <c r="K211" s="1"/>
      <c r="L211" s="1"/>
      <c r="M211" s="1"/>
      <c r="N211" s="1"/>
    </row>
    <row r="212" spans="1:14" ht="15" x14ac:dyDescent="0.25">
      <c r="A212" s="27" t="s">
        <v>52</v>
      </c>
      <c r="B212" s="52" t="s">
        <v>43</v>
      </c>
      <c r="C212" s="107">
        <v>4</v>
      </c>
      <c r="D212" s="50">
        <f t="shared" si="7"/>
        <v>43.833333333333336</v>
      </c>
      <c r="E212" s="50">
        <f t="shared" si="6"/>
        <v>10.95</v>
      </c>
      <c r="F212" s="2"/>
      <c r="G212" s="51"/>
      <c r="H212" s="1" t="s">
        <v>275</v>
      </c>
      <c r="I212" s="1"/>
      <c r="J212" s="1"/>
      <c r="K212" s="1"/>
      <c r="L212" s="1"/>
      <c r="M212" s="1"/>
      <c r="N212" s="1"/>
    </row>
    <row r="213" spans="1:14" ht="15" x14ac:dyDescent="0.25">
      <c r="A213" s="27" t="s">
        <v>55</v>
      </c>
      <c r="B213" s="52" t="s">
        <v>60</v>
      </c>
      <c r="C213" s="107">
        <v>2</v>
      </c>
      <c r="D213" s="50">
        <f t="shared" si="7"/>
        <v>17.809999999999999</v>
      </c>
      <c r="E213" s="50">
        <f t="shared" si="6"/>
        <v>8.9</v>
      </c>
      <c r="F213" s="2"/>
      <c r="G213" s="51"/>
      <c r="H213" s="1" t="s">
        <v>275</v>
      </c>
      <c r="I213" s="1"/>
      <c r="J213" s="1"/>
      <c r="K213" s="1"/>
      <c r="L213" s="1"/>
      <c r="M213" s="1"/>
      <c r="N213" s="1"/>
    </row>
    <row r="214" spans="1:14" ht="15" x14ac:dyDescent="0.25">
      <c r="A214" s="27" t="s">
        <v>318</v>
      </c>
      <c r="B214" s="52" t="s">
        <v>50</v>
      </c>
      <c r="C214" s="107">
        <v>6</v>
      </c>
      <c r="D214" s="50">
        <f>SUM(61.49+39+239+59.99)/4</f>
        <v>99.87</v>
      </c>
      <c r="E214" s="50">
        <f t="shared" si="6"/>
        <v>16.64</v>
      </c>
      <c r="F214" s="2"/>
      <c r="G214" s="51"/>
      <c r="H214" s="1"/>
      <c r="I214" s="1"/>
      <c r="J214" s="1"/>
      <c r="K214" s="1"/>
      <c r="L214" s="1"/>
      <c r="M214" s="1"/>
      <c r="N214" s="1"/>
    </row>
    <row r="215" spans="1:14" ht="15" x14ac:dyDescent="0.25">
      <c r="A215" s="27" t="s">
        <v>319</v>
      </c>
      <c r="B215" s="52" t="s">
        <v>43</v>
      </c>
      <c r="C215" s="107">
        <v>6</v>
      </c>
      <c r="D215" s="50">
        <f>SUM(14.9+11.7+12.24)/3</f>
        <v>12.946666666666667</v>
      </c>
      <c r="E215" s="50">
        <f t="shared" si="6"/>
        <v>2.15</v>
      </c>
      <c r="F215" s="2"/>
      <c r="G215" s="51"/>
      <c r="H215" s="1"/>
      <c r="I215" s="1"/>
      <c r="J215" s="1"/>
      <c r="K215" s="1"/>
      <c r="L215" s="1"/>
      <c r="M215" s="1"/>
      <c r="N215" s="1"/>
    </row>
    <row r="216" spans="1:14" ht="15" x14ac:dyDescent="0.25">
      <c r="A216" s="27" t="s">
        <v>320</v>
      </c>
      <c r="B216" s="52" t="s">
        <v>50</v>
      </c>
      <c r="C216" s="107">
        <v>12</v>
      </c>
      <c r="D216" s="50">
        <f>SUM(1066.28+481.6+899+953.54+766.35)/5</f>
        <v>833.35400000000004</v>
      </c>
      <c r="E216" s="50">
        <f t="shared" si="6"/>
        <v>69.44</v>
      </c>
      <c r="F216" s="2"/>
      <c r="G216" s="51"/>
      <c r="H216" s="1"/>
      <c r="I216" s="1"/>
      <c r="J216" s="1"/>
      <c r="K216" s="1"/>
      <c r="L216" s="1"/>
      <c r="M216" s="1"/>
      <c r="N216" s="1"/>
    </row>
    <row r="217" spans="1:14" ht="15" x14ac:dyDescent="0.25">
      <c r="A217" s="27" t="s">
        <v>315</v>
      </c>
      <c r="B217" s="52" t="s">
        <v>43</v>
      </c>
      <c r="C217" s="107">
        <v>1</v>
      </c>
      <c r="D217" s="50">
        <f>D236</f>
        <v>6.5666666666666673</v>
      </c>
      <c r="E217" s="50">
        <f t="shared" si="6"/>
        <v>6.56</v>
      </c>
      <c r="F217" s="2"/>
      <c r="G217" s="51"/>
      <c r="H217" s="1"/>
      <c r="I217" s="1"/>
      <c r="J217" s="1"/>
      <c r="K217" s="1"/>
      <c r="L217" s="1"/>
      <c r="M217" s="1"/>
      <c r="N217" s="1"/>
    </row>
    <row r="218" spans="1:14" ht="15" x14ac:dyDescent="0.25">
      <c r="A218" s="27" t="s">
        <v>321</v>
      </c>
      <c r="B218" s="52" t="s">
        <v>43</v>
      </c>
      <c r="C218" s="107">
        <v>6</v>
      </c>
      <c r="D218" s="50">
        <f>SUM(26.78+118.9+69.9)/3</f>
        <v>71.86</v>
      </c>
      <c r="E218" s="50">
        <f t="shared" si="6"/>
        <v>11.97</v>
      </c>
      <c r="F218" s="2"/>
      <c r="G218" s="51"/>
      <c r="H218" s="1"/>
      <c r="I218" s="1"/>
      <c r="J218" s="1"/>
      <c r="K218" s="1"/>
      <c r="L218" s="1"/>
      <c r="M218" s="1"/>
      <c r="N218" s="1"/>
    </row>
    <row r="219" spans="1:14" ht="15" x14ac:dyDescent="0.25">
      <c r="A219" s="27" t="s">
        <v>56</v>
      </c>
      <c r="B219" s="52" t="s">
        <v>57</v>
      </c>
      <c r="C219" s="61">
        <v>1</v>
      </c>
      <c r="D219" s="49">
        <f>D201</f>
        <v>100</v>
      </c>
      <c r="E219" s="50">
        <f t="shared" si="6"/>
        <v>100</v>
      </c>
      <c r="F219" s="2"/>
      <c r="G219" s="51"/>
      <c r="H219" s="1"/>
      <c r="I219" s="1"/>
      <c r="J219" s="1"/>
      <c r="K219" s="1"/>
      <c r="L219" s="1"/>
      <c r="M219" s="1"/>
      <c r="N219" s="1"/>
    </row>
    <row r="220" spans="1:14" ht="15.75" thickBot="1" x14ac:dyDescent="0.25">
      <c r="A220" s="27" t="s">
        <v>29</v>
      </c>
      <c r="B220" s="52" t="s">
        <v>30</v>
      </c>
      <c r="C220" s="61">
        <f>C115</f>
        <v>3</v>
      </c>
      <c r="D220" s="54">
        <f>+SUM(E208:E219)</f>
        <v>295.97000000000003</v>
      </c>
      <c r="E220" s="54">
        <f>TRUNC(C220*D220,2)</f>
        <v>887.91</v>
      </c>
      <c r="F220" s="2"/>
      <c r="G220" s="1"/>
      <c r="H220" s="1"/>
      <c r="I220" s="1"/>
      <c r="J220" s="1"/>
      <c r="K220" s="1"/>
      <c r="L220" s="1"/>
      <c r="M220" s="1"/>
      <c r="N220" s="1"/>
    </row>
    <row r="221" spans="1:14" ht="15.75" thickBot="1" x14ac:dyDescent="0.25">
      <c r="A221" s="1"/>
      <c r="B221" s="1"/>
      <c r="C221" s="1"/>
      <c r="D221" s="62" t="s">
        <v>31</v>
      </c>
      <c r="E221" s="63">
        <f>$B$57</f>
        <v>1</v>
      </c>
      <c r="F221" s="64">
        <f>TRUNC(E220*E221,2)</f>
        <v>887.91</v>
      </c>
      <c r="G221" s="1"/>
      <c r="H221" s="1"/>
      <c r="I221" s="1"/>
      <c r="J221" s="1"/>
      <c r="K221" s="1"/>
      <c r="L221" s="1"/>
      <c r="M221" s="1"/>
      <c r="N221" s="1"/>
    </row>
    <row r="222" spans="1:14" ht="15" x14ac:dyDescent="0.2">
      <c r="A222" s="1"/>
      <c r="B222" s="1"/>
      <c r="C222" s="1"/>
      <c r="D222" s="62"/>
      <c r="E222" s="2"/>
      <c r="F222" s="58"/>
      <c r="G222" s="1"/>
      <c r="H222" s="1"/>
      <c r="I222" s="1"/>
      <c r="J222" s="1"/>
      <c r="K222" s="1"/>
      <c r="L222" s="1"/>
      <c r="M222" s="1"/>
      <c r="N222" s="1"/>
    </row>
    <row r="223" spans="1:14" ht="15" x14ac:dyDescent="0.2">
      <c r="A223" s="1" t="s">
        <v>317</v>
      </c>
      <c r="B223" s="1"/>
      <c r="C223" s="1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</row>
    <row r="224" spans="1:14" ht="15.75" thickBot="1" x14ac:dyDescent="0.25">
      <c r="A224" s="1"/>
      <c r="B224" s="1"/>
      <c r="C224" s="1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</row>
    <row r="225" spans="1:14" ht="30.75" thickBot="1" x14ac:dyDescent="0.25">
      <c r="A225" s="43" t="s">
        <v>14</v>
      </c>
      <c r="B225" s="44" t="s">
        <v>15</v>
      </c>
      <c r="C225" s="101" t="s">
        <v>46</v>
      </c>
      <c r="D225" s="45" t="s">
        <v>16</v>
      </c>
      <c r="E225" s="45" t="s">
        <v>17</v>
      </c>
      <c r="F225" s="46" t="s">
        <v>18</v>
      </c>
      <c r="G225" s="2"/>
      <c r="H225" s="1"/>
      <c r="I225" s="1"/>
      <c r="J225" s="1"/>
      <c r="K225" s="1"/>
      <c r="L225" s="1"/>
      <c r="M225" s="1"/>
      <c r="N225" s="1"/>
    </row>
    <row r="226" spans="1:14" ht="15" x14ac:dyDescent="0.25">
      <c r="A226" s="47" t="s">
        <v>47</v>
      </c>
      <c r="B226" s="48" t="s">
        <v>43</v>
      </c>
      <c r="C226" s="107">
        <v>12</v>
      </c>
      <c r="D226" s="50">
        <f>D208</f>
        <v>152.16</v>
      </c>
      <c r="E226" s="50">
        <f t="shared" ref="E226:E238" si="8">TRUNC(IFERROR(D226/C226,0),2)</f>
        <v>12.68</v>
      </c>
      <c r="F226" s="2"/>
      <c r="G226" s="51"/>
      <c r="H226" s="1" t="s">
        <v>275</v>
      </c>
      <c r="I226" s="1"/>
      <c r="J226" s="1"/>
      <c r="K226" s="1"/>
      <c r="L226" s="1"/>
      <c r="M226" s="1"/>
      <c r="N226" s="1"/>
    </row>
    <row r="227" spans="1:14" ht="15" x14ac:dyDescent="0.25">
      <c r="A227" s="27" t="s">
        <v>48</v>
      </c>
      <c r="B227" s="52" t="s">
        <v>43</v>
      </c>
      <c r="C227" s="107">
        <v>4</v>
      </c>
      <c r="D227" s="50">
        <f t="shared" ref="D227:D231" si="9">D209</f>
        <v>65.433333333333323</v>
      </c>
      <c r="E227" s="50">
        <f t="shared" si="8"/>
        <v>16.350000000000001</v>
      </c>
      <c r="F227" s="2"/>
      <c r="G227" s="51"/>
      <c r="H227" s="1" t="s">
        <v>275</v>
      </c>
      <c r="I227" s="1"/>
      <c r="J227" s="1"/>
      <c r="K227" s="1"/>
      <c r="L227" s="1"/>
      <c r="M227" s="1"/>
      <c r="N227" s="1"/>
    </row>
    <row r="228" spans="1:14" ht="15" x14ac:dyDescent="0.25">
      <c r="A228" s="27" t="s">
        <v>59</v>
      </c>
      <c r="B228" s="52" t="s">
        <v>43</v>
      </c>
      <c r="C228" s="107">
        <v>2</v>
      </c>
      <c r="D228" s="50">
        <f t="shared" si="9"/>
        <v>64.155000000000001</v>
      </c>
      <c r="E228" s="50">
        <f t="shared" si="8"/>
        <v>32.07</v>
      </c>
      <c r="F228" s="2"/>
      <c r="G228" s="51"/>
      <c r="H228" s="1" t="s">
        <v>275</v>
      </c>
      <c r="I228" s="1"/>
      <c r="J228" s="1"/>
      <c r="K228" s="1"/>
      <c r="L228" s="1"/>
      <c r="M228" s="1"/>
      <c r="N228" s="1"/>
    </row>
    <row r="229" spans="1:14" ht="15" x14ac:dyDescent="0.25">
      <c r="A229" s="27" t="s">
        <v>202</v>
      </c>
      <c r="B229" s="52" t="s">
        <v>50</v>
      </c>
      <c r="C229" s="107">
        <v>6</v>
      </c>
      <c r="D229" s="50">
        <f t="shared" si="9"/>
        <v>49.563333333333333</v>
      </c>
      <c r="E229" s="50">
        <f t="shared" si="8"/>
        <v>8.26</v>
      </c>
      <c r="F229" s="2"/>
      <c r="G229" s="51"/>
      <c r="H229" s="1" t="s">
        <v>275</v>
      </c>
      <c r="I229" s="1"/>
      <c r="J229" s="1"/>
      <c r="K229" s="1"/>
      <c r="L229" s="1"/>
      <c r="M229" s="1"/>
      <c r="N229" s="1"/>
    </row>
    <row r="230" spans="1:14" ht="15" x14ac:dyDescent="0.25">
      <c r="A230" s="27" t="s">
        <v>52</v>
      </c>
      <c r="B230" s="52" t="s">
        <v>43</v>
      </c>
      <c r="C230" s="107">
        <v>4</v>
      </c>
      <c r="D230" s="50">
        <f t="shared" si="9"/>
        <v>43.833333333333336</v>
      </c>
      <c r="E230" s="50">
        <f t="shared" si="8"/>
        <v>10.95</v>
      </c>
      <c r="F230" s="2"/>
      <c r="G230" s="51"/>
      <c r="H230" s="1" t="s">
        <v>275</v>
      </c>
      <c r="I230" s="1"/>
      <c r="J230" s="1"/>
      <c r="K230" s="1"/>
      <c r="L230" s="1"/>
      <c r="M230" s="1"/>
      <c r="N230" s="1"/>
    </row>
    <row r="231" spans="1:14" ht="15" x14ac:dyDescent="0.25">
      <c r="A231" s="27" t="s">
        <v>55</v>
      </c>
      <c r="B231" s="52" t="s">
        <v>60</v>
      </c>
      <c r="C231" s="107">
        <v>2</v>
      </c>
      <c r="D231" s="50">
        <f t="shared" si="9"/>
        <v>17.809999999999999</v>
      </c>
      <c r="E231" s="50">
        <f t="shared" si="8"/>
        <v>8.9</v>
      </c>
      <c r="F231" s="2"/>
      <c r="G231" s="51"/>
      <c r="H231" s="1" t="s">
        <v>275</v>
      </c>
      <c r="I231" s="1"/>
      <c r="J231" s="1"/>
      <c r="K231" s="1"/>
      <c r="L231" s="1"/>
      <c r="M231" s="1"/>
      <c r="N231" s="1"/>
    </row>
    <row r="232" spans="1:14" ht="15" x14ac:dyDescent="0.25">
      <c r="A232" s="27" t="s">
        <v>311</v>
      </c>
      <c r="B232" s="52" t="s">
        <v>43</v>
      </c>
      <c r="C232" s="107">
        <v>12</v>
      </c>
      <c r="D232" s="50">
        <f>SUM(383.25+112.45+85.4+158.99+179.9+278.26)/6</f>
        <v>199.70833333333334</v>
      </c>
      <c r="E232" s="50">
        <f t="shared" si="8"/>
        <v>16.64</v>
      </c>
      <c r="F232" s="2"/>
      <c r="G232" s="51"/>
      <c r="H232" s="1" t="s">
        <v>275</v>
      </c>
      <c r="I232" s="1"/>
      <c r="J232" s="1"/>
      <c r="K232" s="1"/>
      <c r="L232" s="1"/>
      <c r="M232" s="1"/>
      <c r="N232" s="1"/>
    </row>
    <row r="233" spans="1:14" ht="15" x14ac:dyDescent="0.25">
      <c r="A233" s="27" t="s">
        <v>312</v>
      </c>
      <c r="B233" s="52" t="s">
        <v>50</v>
      </c>
      <c r="C233" s="107">
        <v>6</v>
      </c>
      <c r="D233" s="50">
        <f>SUM(42.08+15.99+32)/3</f>
        <v>30.02333333333333</v>
      </c>
      <c r="E233" s="50">
        <f t="shared" si="8"/>
        <v>5</v>
      </c>
      <c r="F233" s="2"/>
      <c r="G233" s="51"/>
      <c r="H233" s="1" t="s">
        <v>275</v>
      </c>
      <c r="I233" s="1"/>
      <c r="J233" s="1"/>
      <c r="K233" s="1"/>
      <c r="L233" s="1"/>
      <c r="M233" s="1"/>
      <c r="N233" s="1"/>
    </row>
    <row r="234" spans="1:14" ht="15" x14ac:dyDescent="0.25">
      <c r="A234" s="27" t="s">
        <v>313</v>
      </c>
      <c r="B234" s="52" t="s">
        <v>43</v>
      </c>
      <c r="C234" s="107">
        <v>6</v>
      </c>
      <c r="D234" s="50">
        <f>SUM(65.57+81.77+62.65)/3</f>
        <v>69.996666666666655</v>
      </c>
      <c r="E234" s="50">
        <f t="shared" si="8"/>
        <v>11.66</v>
      </c>
      <c r="F234" s="2"/>
      <c r="G234" s="51"/>
      <c r="H234" s="1" t="s">
        <v>275</v>
      </c>
      <c r="I234" s="1"/>
      <c r="J234" s="1"/>
      <c r="K234" s="1"/>
      <c r="L234" s="1"/>
      <c r="M234" s="1"/>
      <c r="N234" s="1"/>
    </row>
    <row r="235" spans="1:14" ht="15" x14ac:dyDescent="0.25">
      <c r="A235" s="27" t="s">
        <v>314</v>
      </c>
      <c r="B235" s="52" t="s">
        <v>50</v>
      </c>
      <c r="C235" s="107">
        <v>6</v>
      </c>
      <c r="D235" s="50">
        <f>SUM(41.99+36.34+24)/3</f>
        <v>34.110000000000007</v>
      </c>
      <c r="E235" s="50">
        <f t="shared" si="8"/>
        <v>5.68</v>
      </c>
      <c r="F235" s="2"/>
      <c r="G235" s="51"/>
      <c r="H235" s="1" t="s">
        <v>275</v>
      </c>
      <c r="I235" s="1"/>
      <c r="J235" s="1"/>
      <c r="K235" s="1"/>
      <c r="L235" s="1"/>
      <c r="M235" s="1"/>
      <c r="N235" s="1"/>
    </row>
    <row r="236" spans="1:14" ht="15" x14ac:dyDescent="0.25">
      <c r="A236" s="27" t="s">
        <v>315</v>
      </c>
      <c r="B236" s="52" t="s">
        <v>43</v>
      </c>
      <c r="C236" s="107">
        <v>1</v>
      </c>
      <c r="D236" s="50">
        <f>SUM(4.41+8.72+6.57)/3</f>
        <v>6.5666666666666673</v>
      </c>
      <c r="E236" s="50">
        <f t="shared" si="8"/>
        <v>6.56</v>
      </c>
      <c r="F236" s="2"/>
      <c r="G236" s="51"/>
      <c r="H236" s="1" t="s">
        <v>275</v>
      </c>
      <c r="I236" s="1"/>
      <c r="J236" s="1"/>
      <c r="K236" s="1"/>
      <c r="L236" s="1"/>
      <c r="M236" s="1"/>
      <c r="N236" s="1"/>
    </row>
    <row r="237" spans="1:14" ht="15" x14ac:dyDescent="0.25">
      <c r="A237" s="27" t="s">
        <v>316</v>
      </c>
      <c r="B237" s="52" t="s">
        <v>43</v>
      </c>
      <c r="C237" s="107">
        <v>6</v>
      </c>
      <c r="D237" s="50">
        <f>D181</f>
        <v>13.31</v>
      </c>
      <c r="E237" s="50">
        <f t="shared" si="8"/>
        <v>2.21</v>
      </c>
      <c r="F237" s="2"/>
      <c r="G237" s="51"/>
      <c r="H237" s="1" t="s">
        <v>275</v>
      </c>
      <c r="I237" s="1"/>
      <c r="J237" s="1"/>
      <c r="K237" s="1"/>
      <c r="L237" s="1"/>
      <c r="M237" s="1"/>
      <c r="N237" s="1"/>
    </row>
    <row r="238" spans="1:14" ht="15" x14ac:dyDescent="0.25">
      <c r="A238" s="27" t="s">
        <v>56</v>
      </c>
      <c r="B238" s="52" t="s">
        <v>57</v>
      </c>
      <c r="C238" s="61">
        <v>1</v>
      </c>
      <c r="D238" s="49">
        <f>D219</f>
        <v>100</v>
      </c>
      <c r="E238" s="50">
        <f t="shared" si="8"/>
        <v>100</v>
      </c>
      <c r="F238" s="2"/>
      <c r="G238" s="51"/>
      <c r="H238" s="1"/>
      <c r="I238" s="1"/>
      <c r="J238" s="1"/>
      <c r="K238" s="1"/>
      <c r="L238" s="1"/>
      <c r="M238" s="1"/>
      <c r="N238" s="1"/>
    </row>
    <row r="239" spans="1:14" ht="15.75" thickBot="1" x14ac:dyDescent="0.25">
      <c r="A239" s="27" t="s">
        <v>29</v>
      </c>
      <c r="B239" s="52" t="s">
        <v>30</v>
      </c>
      <c r="C239" s="61">
        <f>C104</f>
        <v>3</v>
      </c>
      <c r="D239" s="54">
        <f>+SUM(E226:E238)</f>
        <v>236.96</v>
      </c>
      <c r="E239" s="54">
        <f>TRUNC(C239*D239,2)</f>
        <v>710.88</v>
      </c>
      <c r="F239" s="2"/>
      <c r="G239" s="1"/>
      <c r="H239" s="1"/>
      <c r="I239" s="1"/>
      <c r="J239" s="1"/>
      <c r="K239" s="1"/>
      <c r="L239" s="1"/>
      <c r="M239" s="1"/>
      <c r="N239" s="1"/>
    </row>
    <row r="240" spans="1:14" ht="15.75" thickBot="1" x14ac:dyDescent="0.25">
      <c r="A240" s="1"/>
      <c r="B240" s="1"/>
      <c r="C240" s="1"/>
      <c r="D240" s="62" t="s">
        <v>31</v>
      </c>
      <c r="E240" s="63">
        <f>$B$57</f>
        <v>1</v>
      </c>
      <c r="F240" s="64">
        <f>TRUNC(E239*E240,2)</f>
        <v>710.88</v>
      </c>
      <c r="G240" s="1"/>
      <c r="H240" s="1"/>
      <c r="I240" s="1"/>
      <c r="J240" s="1"/>
      <c r="K240" s="1"/>
      <c r="L240" s="1"/>
      <c r="M240" s="1"/>
      <c r="N240" s="1"/>
    </row>
    <row r="241" spans="1:14" ht="15" x14ac:dyDescent="0.2">
      <c r="A241" s="1"/>
      <c r="B241" s="1"/>
      <c r="C241" s="1"/>
      <c r="D241" s="62"/>
      <c r="E241" s="2"/>
      <c r="F241" s="58"/>
      <c r="G241" s="1"/>
      <c r="H241" s="1"/>
      <c r="I241" s="1"/>
      <c r="J241" s="1"/>
      <c r="K241" s="1"/>
      <c r="L241" s="1"/>
      <c r="M241" s="1"/>
      <c r="N241" s="1"/>
    </row>
    <row r="242" spans="1:14" ht="15.75" thickBot="1" x14ac:dyDescent="0.25">
      <c r="A242" s="1"/>
      <c r="B242" s="1"/>
      <c r="C242" s="1"/>
      <c r="D242" s="2"/>
      <c r="E242" s="2"/>
      <c r="F242" s="2"/>
      <c r="G242" s="1"/>
      <c r="H242" s="1"/>
      <c r="I242" s="1"/>
      <c r="J242" s="1"/>
      <c r="K242" s="1"/>
      <c r="L242" s="1"/>
      <c r="M242" s="1"/>
      <c r="N242" s="1"/>
    </row>
    <row r="243" spans="1:14" ht="15.75" thickBot="1" x14ac:dyDescent="0.25">
      <c r="A243" s="97" t="s">
        <v>61</v>
      </c>
      <c r="B243" s="108"/>
      <c r="C243" s="108"/>
      <c r="D243" s="109"/>
      <c r="E243" s="110"/>
      <c r="F243" s="111">
        <f>TRUNC(+F190+F240+F221+F203,2)</f>
        <v>5545.05</v>
      </c>
      <c r="G243" s="1"/>
      <c r="H243" s="1"/>
      <c r="I243" s="1"/>
      <c r="J243" s="1"/>
      <c r="K243" s="1"/>
      <c r="L243" s="1"/>
      <c r="M243" s="1"/>
      <c r="N243" s="1"/>
    </row>
    <row r="244" spans="1:14" ht="15" x14ac:dyDescent="0.2">
      <c r="A244" s="1"/>
      <c r="B244" s="1"/>
      <c r="C244" s="1"/>
      <c r="D244" s="2"/>
      <c r="E244" s="2"/>
      <c r="F244" s="2"/>
      <c r="G244" s="1"/>
      <c r="H244" s="1"/>
      <c r="I244" s="1"/>
      <c r="J244" s="1"/>
      <c r="K244" s="1"/>
      <c r="L244" s="1"/>
      <c r="M244" s="1"/>
      <c r="N244" s="1"/>
    </row>
    <row r="245" spans="1:14" ht="15" x14ac:dyDescent="0.2">
      <c r="A245" s="16" t="s">
        <v>231</v>
      </c>
      <c r="B245" s="1"/>
      <c r="C245" s="1"/>
      <c r="D245" s="2"/>
      <c r="E245" s="2"/>
      <c r="F245" s="2"/>
      <c r="G245" s="1"/>
      <c r="H245" s="1"/>
      <c r="I245" s="1"/>
      <c r="J245" s="1"/>
      <c r="K245" s="1"/>
      <c r="L245" s="1"/>
      <c r="M245" s="1"/>
      <c r="N245" s="1"/>
    </row>
    <row r="246" spans="1:14" ht="15" x14ac:dyDescent="0.2">
      <c r="A246" s="1"/>
      <c r="B246" s="112"/>
      <c r="C246" s="1"/>
      <c r="D246" s="2"/>
      <c r="E246" s="2"/>
      <c r="F246" s="2"/>
      <c r="G246" s="1"/>
      <c r="H246" s="1"/>
      <c r="I246" s="1"/>
      <c r="J246" s="1"/>
      <c r="K246" s="1"/>
      <c r="L246" s="1"/>
      <c r="M246" s="1"/>
      <c r="N246" s="1"/>
    </row>
    <row r="247" spans="1:14" ht="15" x14ac:dyDescent="0.2">
      <c r="A247" s="1" t="s">
        <v>257</v>
      </c>
      <c r="B247" s="1"/>
      <c r="C247" s="1"/>
      <c r="D247" s="2"/>
      <c r="E247" s="2"/>
      <c r="F247" s="2"/>
      <c r="G247" s="1"/>
      <c r="H247" s="1"/>
      <c r="I247" s="1"/>
      <c r="J247" s="1"/>
      <c r="K247" s="1"/>
      <c r="L247" s="1"/>
      <c r="M247" s="1"/>
      <c r="N247" s="1"/>
    </row>
    <row r="248" spans="1:14" ht="15" x14ac:dyDescent="0.2">
      <c r="A248" s="1"/>
      <c r="B248" s="1"/>
      <c r="C248" s="1"/>
      <c r="D248" s="2"/>
      <c r="E248" s="2"/>
      <c r="F248" s="2"/>
      <c r="G248" s="1"/>
      <c r="H248" s="1"/>
      <c r="I248" s="1"/>
      <c r="J248" s="1"/>
      <c r="K248" s="1"/>
      <c r="L248" s="1"/>
      <c r="M248" s="1"/>
      <c r="N248" s="1"/>
    </row>
    <row r="249" spans="1:14" ht="15.75" thickBot="1" x14ac:dyDescent="0.25">
      <c r="A249" s="113" t="s">
        <v>62</v>
      </c>
      <c r="B249" s="1"/>
      <c r="C249" s="1"/>
      <c r="D249" s="2"/>
      <c r="E249" s="2"/>
      <c r="F249" s="2"/>
      <c r="G249" s="1"/>
      <c r="H249" s="1"/>
      <c r="I249" s="1"/>
      <c r="J249" s="1"/>
      <c r="K249" s="1"/>
      <c r="L249" s="1"/>
      <c r="M249" s="1"/>
      <c r="N249" s="1"/>
    </row>
    <row r="250" spans="1:14" ht="15.75" thickBot="1" x14ac:dyDescent="0.25">
      <c r="A250" s="43" t="s">
        <v>14</v>
      </c>
      <c r="B250" s="44" t="s">
        <v>15</v>
      </c>
      <c r="C250" s="44" t="s">
        <v>9</v>
      </c>
      <c r="D250" s="45" t="s">
        <v>16</v>
      </c>
      <c r="E250" s="45" t="s">
        <v>17</v>
      </c>
      <c r="F250" s="46" t="s">
        <v>18</v>
      </c>
      <c r="G250" s="1"/>
      <c r="H250" s="1"/>
      <c r="I250" s="1"/>
      <c r="J250" s="1"/>
      <c r="K250" s="1"/>
      <c r="L250" s="1"/>
      <c r="M250" s="1"/>
      <c r="N250" s="1"/>
    </row>
    <row r="251" spans="1:14" ht="15" x14ac:dyDescent="0.25">
      <c r="A251" s="47" t="s">
        <v>63</v>
      </c>
      <c r="B251" s="48" t="s">
        <v>43</v>
      </c>
      <c r="C251" s="48">
        <v>1</v>
      </c>
      <c r="D251" s="49">
        <f>(221903+240533+250620)/3</f>
        <v>237685.33333333334</v>
      </c>
      <c r="E251" s="50">
        <f>TRUNC(C251*D251,2)</f>
        <v>237685.33</v>
      </c>
      <c r="F251" s="2"/>
      <c r="G251" s="51"/>
      <c r="H251" s="1" t="s">
        <v>275</v>
      </c>
      <c r="I251" s="1"/>
      <c r="J251" s="1"/>
      <c r="K251" s="1"/>
      <c r="L251" s="1"/>
      <c r="M251" s="1"/>
      <c r="N251" s="1"/>
    </row>
    <row r="252" spans="1:14" ht="15" x14ac:dyDescent="0.2">
      <c r="A252" s="27" t="s">
        <v>64</v>
      </c>
      <c r="B252" s="52" t="s">
        <v>65</v>
      </c>
      <c r="C252" s="55">
        <v>10</v>
      </c>
      <c r="D252" s="54"/>
      <c r="E252" s="54"/>
      <c r="F252" s="2"/>
      <c r="G252" s="1"/>
      <c r="H252" s="1"/>
      <c r="I252" s="1"/>
      <c r="J252" s="1"/>
      <c r="K252" s="1"/>
      <c r="L252" s="1"/>
      <c r="M252" s="1"/>
      <c r="N252" s="1"/>
    </row>
    <row r="253" spans="1:14" ht="15" x14ac:dyDescent="0.2">
      <c r="A253" s="27" t="s">
        <v>66</v>
      </c>
      <c r="B253" s="52" t="s">
        <v>65</v>
      </c>
      <c r="C253" s="55">
        <v>5</v>
      </c>
      <c r="D253" s="54"/>
      <c r="E253" s="54"/>
      <c r="F253" s="114"/>
      <c r="G253" s="1"/>
      <c r="H253" s="1"/>
      <c r="I253" s="115"/>
      <c r="J253" s="115"/>
      <c r="K253" s="1"/>
      <c r="L253" s="1"/>
      <c r="M253" s="1"/>
      <c r="N253" s="1"/>
    </row>
    <row r="254" spans="1:14" ht="15" x14ac:dyDescent="0.2">
      <c r="A254" s="27" t="s">
        <v>67</v>
      </c>
      <c r="B254" s="52" t="s">
        <v>6</v>
      </c>
      <c r="C254" s="60">
        <f>IFERROR(VLOOKUP(C252,'5. Depreciação'!A3:B17,2,0),0)</f>
        <v>65.180000000000007</v>
      </c>
      <c r="D254" s="54">
        <f>E251</f>
        <v>237685.33</v>
      </c>
      <c r="E254" s="54">
        <f>TRUNC(C254*D254/100,2)</f>
        <v>154923.29</v>
      </c>
      <c r="F254" s="2"/>
      <c r="G254" s="1"/>
      <c r="H254" s="1"/>
      <c r="I254" s="1"/>
      <c r="J254" s="1"/>
      <c r="K254" s="1"/>
      <c r="L254" s="1"/>
      <c r="M254" s="1"/>
      <c r="N254" s="1"/>
    </row>
    <row r="255" spans="1:14" ht="15.75" thickBot="1" x14ac:dyDescent="0.25">
      <c r="A255" s="116" t="s">
        <v>340</v>
      </c>
      <c r="B255" s="117" t="s">
        <v>20</v>
      </c>
      <c r="C255" s="117">
        <f>C252*12</f>
        <v>120</v>
      </c>
      <c r="D255" s="118">
        <f>IF(C253&lt;=C252,E254,0)</f>
        <v>154923.29</v>
      </c>
      <c r="E255" s="118">
        <f>TRUNC(IFERROR(D255/C255,0),2)</f>
        <v>1291.02</v>
      </c>
      <c r="F255" s="2"/>
      <c r="G255" s="1"/>
      <c r="H255" s="1"/>
      <c r="I255" s="1"/>
      <c r="J255" s="1"/>
      <c r="K255" s="1"/>
      <c r="L255" s="1"/>
      <c r="M255" s="1"/>
      <c r="N255" s="1"/>
    </row>
    <row r="256" spans="1:14" ht="15.75" thickTop="1" x14ac:dyDescent="0.2">
      <c r="A256" s="56"/>
      <c r="B256" s="57"/>
      <c r="C256" s="57"/>
      <c r="D256" s="58"/>
      <c r="E256" s="59">
        <f>TRUNC(E255,2)</f>
        <v>1291.02</v>
      </c>
      <c r="F256" s="2"/>
      <c r="G256" s="2"/>
      <c r="H256" s="1"/>
      <c r="I256" s="1"/>
      <c r="J256" s="1"/>
      <c r="K256" s="1"/>
      <c r="L256" s="1"/>
      <c r="M256" s="1"/>
      <c r="N256" s="1"/>
    </row>
    <row r="257" spans="1:14" ht="15.75" thickBot="1" x14ac:dyDescent="0.25">
      <c r="A257" s="119" t="s">
        <v>68</v>
      </c>
      <c r="B257" s="26" t="s">
        <v>43</v>
      </c>
      <c r="C257" s="245">
        <f>E53</f>
        <v>1</v>
      </c>
      <c r="D257" s="28">
        <f>E256</f>
        <v>1291.02</v>
      </c>
      <c r="E257" s="59">
        <f>TRUNC(C257*D257,2)</f>
        <v>1291.02</v>
      </c>
      <c r="F257" s="2"/>
      <c r="G257" s="2"/>
      <c r="H257" s="1"/>
      <c r="I257" s="1"/>
      <c r="J257" s="1"/>
      <c r="K257" s="1"/>
      <c r="L257" s="1"/>
      <c r="M257" s="1"/>
      <c r="N257" s="1"/>
    </row>
    <row r="258" spans="1:14" ht="15.75" thickBot="1" x14ac:dyDescent="0.25">
      <c r="A258" s="71"/>
      <c r="B258" s="71"/>
      <c r="C258" s="71"/>
      <c r="D258" s="62" t="s">
        <v>31</v>
      </c>
      <c r="E258" s="63">
        <v>1</v>
      </c>
      <c r="F258" s="111">
        <f>TRUNC(E257*E258,2)</f>
        <v>1291.02</v>
      </c>
      <c r="G258" s="2"/>
      <c r="H258" s="1"/>
      <c r="I258" s="1"/>
      <c r="J258" s="1"/>
      <c r="K258" s="1"/>
      <c r="L258" s="1"/>
      <c r="M258" s="1"/>
      <c r="N258" s="1"/>
    </row>
    <row r="259" spans="1:14" ht="15" x14ac:dyDescent="0.2">
      <c r="A259" s="1"/>
      <c r="B259" s="1"/>
      <c r="C259" s="1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</row>
    <row r="260" spans="1:14" ht="15.75" thickBot="1" x14ac:dyDescent="0.25">
      <c r="A260" s="113" t="s">
        <v>69</v>
      </c>
      <c r="B260" s="1"/>
      <c r="C260" s="1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</row>
    <row r="261" spans="1:14" ht="15.75" thickBot="1" x14ac:dyDescent="0.25">
      <c r="A261" s="45" t="s">
        <v>14</v>
      </c>
      <c r="B261" s="45" t="s">
        <v>15</v>
      </c>
      <c r="C261" s="45" t="s">
        <v>9</v>
      </c>
      <c r="D261" s="45" t="s">
        <v>16</v>
      </c>
      <c r="E261" s="45" t="s">
        <v>17</v>
      </c>
      <c r="F261" s="45" t="s">
        <v>18</v>
      </c>
      <c r="G261" s="2"/>
      <c r="H261" s="1"/>
      <c r="I261" s="115"/>
      <c r="J261" s="115"/>
      <c r="K261" s="1"/>
      <c r="L261" s="1"/>
      <c r="M261" s="1"/>
      <c r="N261" s="1"/>
    </row>
    <row r="262" spans="1:14" ht="15" x14ac:dyDescent="0.25">
      <c r="A262" s="27" t="s">
        <v>70</v>
      </c>
      <c r="B262" s="52" t="s">
        <v>43</v>
      </c>
      <c r="C262" s="48">
        <f>C251</f>
        <v>1</v>
      </c>
      <c r="D262" s="54">
        <v>300000</v>
      </c>
      <c r="E262" s="54">
        <f>TRUNC(C262*D262,2)</f>
        <v>300000</v>
      </c>
      <c r="F262" s="114"/>
      <c r="G262" s="51"/>
      <c r="H262" s="1"/>
      <c r="I262" s="115"/>
      <c r="J262" s="115"/>
      <c r="K262" s="1"/>
      <c r="L262" s="1"/>
      <c r="M262" s="1"/>
      <c r="N262" s="1"/>
    </row>
    <row r="263" spans="1:14" ht="15" x14ac:dyDescent="0.25">
      <c r="A263" s="27" t="s">
        <v>71</v>
      </c>
      <c r="B263" s="52" t="s">
        <v>6</v>
      </c>
      <c r="C263" s="53">
        <v>12.25</v>
      </c>
      <c r="D263" s="54"/>
      <c r="E263" s="54"/>
      <c r="F263" s="114"/>
      <c r="G263" s="51"/>
      <c r="H263" s="1"/>
      <c r="I263" s="115"/>
      <c r="J263" s="115"/>
      <c r="K263" s="1"/>
      <c r="L263" s="1"/>
      <c r="M263" s="1"/>
      <c r="N263" s="1"/>
    </row>
    <row r="264" spans="1:14" ht="15" x14ac:dyDescent="0.2">
      <c r="A264" s="27" t="s">
        <v>72</v>
      </c>
      <c r="B264" s="52" t="s">
        <v>25</v>
      </c>
      <c r="C264" s="120">
        <f>IFERROR(IF(C253&lt;=C252,E251-(C254/(100*C252)*C253)*E251,E251-E254),0)</f>
        <v>160223.68095299997</v>
      </c>
      <c r="D264" s="54"/>
      <c r="E264" s="54"/>
      <c r="F264" s="114"/>
      <c r="G264" s="2"/>
      <c r="H264" s="1"/>
      <c r="I264" s="115"/>
      <c r="J264" s="115"/>
      <c r="K264" s="1"/>
      <c r="L264" s="1"/>
      <c r="M264" s="1"/>
      <c r="N264" s="1"/>
    </row>
    <row r="265" spans="1:14" ht="15" x14ac:dyDescent="0.2">
      <c r="A265" s="27" t="s">
        <v>73</v>
      </c>
      <c r="B265" s="52" t="s">
        <v>25</v>
      </c>
      <c r="C265" s="54">
        <f>IFERROR(IF(C253&gt;=C252,C264,((((C264)-(E251-E254))*(((C252-C253)+1)/(2*(C252-C253))))+(E251-E254))),0)</f>
        <v>129239.02457179996</v>
      </c>
      <c r="D265" s="54"/>
      <c r="E265" s="54"/>
      <c r="F265" s="114"/>
      <c r="G265" s="2"/>
      <c r="H265" s="1"/>
      <c r="I265" s="115"/>
      <c r="J265" s="115"/>
      <c r="K265" s="1"/>
      <c r="L265" s="1"/>
      <c r="M265" s="1"/>
      <c r="N265" s="1"/>
    </row>
    <row r="266" spans="1:14" ht="15.75" thickBot="1" x14ac:dyDescent="0.25">
      <c r="A266" s="116" t="s">
        <v>74</v>
      </c>
      <c r="B266" s="117" t="s">
        <v>25</v>
      </c>
      <c r="C266" s="117"/>
      <c r="D266" s="118">
        <f>C263*C265/12/100</f>
        <v>1319.3150425037913</v>
      </c>
      <c r="E266" s="118">
        <f>TRUNC(D266,2)</f>
        <v>1319.31</v>
      </c>
      <c r="F266" s="114"/>
      <c r="G266" s="2"/>
      <c r="H266" s="1"/>
      <c r="I266" s="115"/>
      <c r="J266" s="115"/>
      <c r="K266" s="1"/>
      <c r="L266" s="1"/>
      <c r="M266" s="1"/>
      <c r="N266" s="1"/>
    </row>
    <row r="267" spans="1:14" ht="16.5" thickTop="1" thickBot="1" x14ac:dyDescent="0.25">
      <c r="A267" s="119" t="s">
        <v>75</v>
      </c>
      <c r="B267" s="26" t="s">
        <v>43</v>
      </c>
      <c r="C267" s="52">
        <f>C257</f>
        <v>1</v>
      </c>
      <c r="D267" s="28">
        <f>D266</f>
        <v>1319.3150425037913</v>
      </c>
      <c r="E267" s="59">
        <f>E266</f>
        <v>1319.31</v>
      </c>
      <c r="F267" s="114"/>
      <c r="G267" s="2"/>
      <c r="H267" s="1"/>
      <c r="I267" s="115"/>
      <c r="J267" s="115"/>
      <c r="K267" s="1"/>
      <c r="L267" s="1"/>
      <c r="M267" s="1"/>
      <c r="N267" s="1"/>
    </row>
    <row r="268" spans="1:14" ht="15.75" thickBot="1" x14ac:dyDescent="0.25">
      <c r="A268" s="1"/>
      <c r="B268" s="1"/>
      <c r="C268" s="90"/>
      <c r="D268" s="62" t="s">
        <v>31</v>
      </c>
      <c r="E268" s="63">
        <v>1</v>
      </c>
      <c r="F268" s="111">
        <f>TRUNC(E267*E268,2)</f>
        <v>1319.31</v>
      </c>
      <c r="G268" s="2"/>
      <c r="H268" s="1"/>
      <c r="I268" s="115"/>
      <c r="J268" s="115"/>
      <c r="K268" s="1"/>
      <c r="L268" s="1"/>
      <c r="M268" s="1"/>
      <c r="N268" s="1"/>
    </row>
    <row r="269" spans="1:14" ht="15" x14ac:dyDescent="0.2">
      <c r="A269" s="1"/>
      <c r="B269" s="1"/>
      <c r="C269" s="1"/>
      <c r="D269" s="2"/>
      <c r="E269" s="2"/>
      <c r="F269" s="2"/>
      <c r="G269" s="2"/>
      <c r="H269" s="1"/>
      <c r="I269" s="115"/>
      <c r="J269" s="115"/>
      <c r="K269" s="1"/>
      <c r="L269" s="1"/>
      <c r="M269" s="1"/>
      <c r="N269" s="1"/>
    </row>
    <row r="270" spans="1:14" ht="15.75" thickBot="1" x14ac:dyDescent="0.25">
      <c r="A270" s="1" t="s">
        <v>76</v>
      </c>
      <c r="B270" s="1"/>
      <c r="C270" s="1"/>
      <c r="D270" s="2"/>
      <c r="E270" s="2"/>
      <c r="F270" s="2"/>
      <c r="G270" s="2"/>
      <c r="H270" s="1"/>
      <c r="I270" s="115"/>
      <c r="J270" s="115"/>
      <c r="K270" s="1"/>
      <c r="L270" s="1"/>
      <c r="M270" s="1"/>
      <c r="N270" s="1"/>
    </row>
    <row r="271" spans="1:14" ht="15.75" thickBot="1" x14ac:dyDescent="0.25">
      <c r="A271" s="43" t="s">
        <v>14</v>
      </c>
      <c r="B271" s="44" t="s">
        <v>15</v>
      </c>
      <c r="C271" s="44" t="s">
        <v>9</v>
      </c>
      <c r="D271" s="45" t="s">
        <v>16</v>
      </c>
      <c r="E271" s="45" t="s">
        <v>17</v>
      </c>
      <c r="F271" s="46" t="s">
        <v>18</v>
      </c>
      <c r="G271" s="2"/>
      <c r="H271" s="1"/>
      <c r="I271" s="115"/>
      <c r="J271" s="115"/>
      <c r="K271" s="1"/>
      <c r="L271" s="1"/>
      <c r="M271" s="1"/>
      <c r="N271" s="1"/>
    </row>
    <row r="272" spans="1:14" ht="15" x14ac:dyDescent="0.25">
      <c r="A272" s="47" t="s">
        <v>77</v>
      </c>
      <c r="B272" s="48" t="s">
        <v>43</v>
      </c>
      <c r="C272" s="50">
        <v>1</v>
      </c>
      <c r="D272" s="50">
        <f>3*E251/100</f>
        <v>7130.5599000000002</v>
      </c>
      <c r="E272" s="50">
        <f>TRUNC(C272*D272,2)</f>
        <v>7130.55</v>
      </c>
      <c r="F272" s="2"/>
      <c r="G272" s="51"/>
      <c r="H272" s="1"/>
      <c r="I272" s="115"/>
      <c r="J272" s="115"/>
      <c r="K272" s="1"/>
      <c r="L272" s="1"/>
      <c r="M272" s="1"/>
      <c r="N272" s="1"/>
    </row>
    <row r="273" spans="1:14" ht="15" x14ac:dyDescent="0.2">
      <c r="A273" s="27" t="s">
        <v>78</v>
      </c>
      <c r="B273" s="52" t="s">
        <v>43</v>
      </c>
      <c r="C273" s="50">
        <v>1</v>
      </c>
      <c r="D273" s="94">
        <f>(114+50)/2</f>
        <v>82</v>
      </c>
      <c r="E273" s="54">
        <f>TRUNC(C273*D273,2)</f>
        <v>82</v>
      </c>
      <c r="F273" s="2"/>
      <c r="G273" s="2"/>
      <c r="H273" s="1"/>
      <c r="I273" s="115"/>
      <c r="J273" s="115"/>
      <c r="K273" s="1"/>
      <c r="L273" s="1"/>
      <c r="M273" s="1"/>
      <c r="N273" s="1"/>
    </row>
    <row r="274" spans="1:14" ht="15" x14ac:dyDescent="0.2">
      <c r="A274" s="27" t="s">
        <v>79</v>
      </c>
      <c r="B274" s="52" t="s">
        <v>43</v>
      </c>
      <c r="C274" s="50">
        <v>1</v>
      </c>
      <c r="D274" s="94">
        <f>(2000+3500)/2</f>
        <v>2750</v>
      </c>
      <c r="E274" s="54">
        <f>TRUNC(C274*D274,2)</f>
        <v>2750</v>
      </c>
      <c r="F274" s="58"/>
      <c r="G274" s="2"/>
      <c r="H274" s="1"/>
      <c r="I274" s="115"/>
      <c r="J274" s="115"/>
      <c r="K274" s="1"/>
      <c r="L274" s="1"/>
      <c r="M274" s="1"/>
      <c r="N274" s="1"/>
    </row>
    <row r="275" spans="1:14" ht="15.75" thickBot="1" x14ac:dyDescent="0.25">
      <c r="A275" s="119" t="s">
        <v>80</v>
      </c>
      <c r="B275" s="26" t="s">
        <v>20</v>
      </c>
      <c r="C275" s="26">
        <v>12</v>
      </c>
      <c r="D275" s="28">
        <f>SUM(E272:E274)</f>
        <v>9962.5499999999993</v>
      </c>
      <c r="E275" s="28">
        <f>TRUNC(D275/C275,2)</f>
        <v>830.21</v>
      </c>
      <c r="F275" s="2"/>
      <c r="G275" s="2"/>
      <c r="H275" s="1"/>
      <c r="I275" s="115"/>
      <c r="J275" s="115"/>
      <c r="K275" s="1"/>
      <c r="L275" s="1"/>
      <c r="M275" s="1"/>
      <c r="N275" s="1"/>
    </row>
    <row r="276" spans="1:14" ht="15.75" thickBot="1" x14ac:dyDescent="0.25">
      <c r="A276" s="1"/>
      <c r="B276" s="1"/>
      <c r="C276" s="1"/>
      <c r="D276" s="62" t="s">
        <v>31</v>
      </c>
      <c r="E276" s="63">
        <f>$B$57</f>
        <v>1</v>
      </c>
      <c r="F276" s="64">
        <f>TRUNC(E275*E276,2)</f>
        <v>830.21</v>
      </c>
      <c r="G276" s="2"/>
      <c r="H276" s="1"/>
      <c r="I276" s="115"/>
      <c r="J276" s="115"/>
      <c r="K276" s="1"/>
      <c r="L276" s="1"/>
      <c r="M276" s="1"/>
      <c r="N276" s="1"/>
    </row>
    <row r="277" spans="1:14" ht="15" x14ac:dyDescent="0.2">
      <c r="A277" s="1"/>
      <c r="B277" s="1"/>
      <c r="C277" s="1"/>
      <c r="D277" s="2"/>
      <c r="E277" s="2"/>
      <c r="F277" s="2"/>
      <c r="G277" s="2"/>
      <c r="H277" s="1"/>
      <c r="I277" s="115"/>
      <c r="J277" s="115"/>
      <c r="K277" s="1"/>
      <c r="L277" s="1"/>
      <c r="M277" s="1"/>
      <c r="N277" s="1"/>
    </row>
    <row r="278" spans="1:14" ht="15" x14ac:dyDescent="0.2">
      <c r="A278" s="1" t="s">
        <v>81</v>
      </c>
      <c r="B278" s="122"/>
      <c r="C278" s="1"/>
      <c r="D278" s="2"/>
      <c r="E278" s="2"/>
      <c r="F278" s="2"/>
      <c r="G278" s="2"/>
      <c r="H278" s="1"/>
      <c r="I278" s="115"/>
      <c r="J278" s="115"/>
      <c r="K278" s="1"/>
      <c r="L278" s="1"/>
      <c r="M278" s="1"/>
      <c r="N278" s="1"/>
    </row>
    <row r="279" spans="1:14" ht="15" x14ac:dyDescent="0.2">
      <c r="A279" s="1"/>
      <c r="B279" s="123" t="s">
        <v>82</v>
      </c>
      <c r="C279" s="26" t="s">
        <v>83</v>
      </c>
      <c r="D279" s="124" t="s">
        <v>84</v>
      </c>
      <c r="E279" s="2"/>
      <c r="F279" s="2"/>
      <c r="G279" s="2"/>
      <c r="H279" s="1"/>
      <c r="I279" s="115"/>
      <c r="J279" s="115"/>
      <c r="K279" s="1"/>
      <c r="L279" s="1"/>
      <c r="M279" s="1"/>
      <c r="N279" s="1"/>
    </row>
    <row r="280" spans="1:14" ht="15" x14ac:dyDescent="0.2">
      <c r="A280" s="119" t="s">
        <v>85</v>
      </c>
      <c r="B280" s="125">
        <v>1000</v>
      </c>
      <c r="C280" s="61">
        <v>2</v>
      </c>
      <c r="D280" s="126">
        <f>B280*C280</f>
        <v>2000</v>
      </c>
      <c r="E280" s="2"/>
      <c r="F280" s="2"/>
      <c r="G280" s="127"/>
      <c r="H280" s="1"/>
      <c r="I280" s="115"/>
      <c r="J280" s="115"/>
      <c r="K280" s="1"/>
      <c r="L280" s="1"/>
      <c r="M280" s="1"/>
      <c r="N280" s="1"/>
    </row>
    <row r="281" spans="1:14" ht="15.75" thickBot="1" x14ac:dyDescent="0.25">
      <c r="A281" s="1"/>
      <c r="B281" s="122"/>
      <c r="C281" s="1"/>
      <c r="D281" s="2"/>
      <c r="E281" s="2"/>
      <c r="F281" s="2"/>
      <c r="G281" s="2"/>
      <c r="H281" s="1"/>
      <c r="I281" s="115"/>
      <c r="J281" s="115"/>
      <c r="K281" s="1"/>
      <c r="L281" s="1"/>
      <c r="M281" s="1"/>
      <c r="N281" s="1"/>
    </row>
    <row r="282" spans="1:14" ht="15.75" thickBot="1" x14ac:dyDescent="0.25">
      <c r="A282" s="43" t="s">
        <v>14</v>
      </c>
      <c r="B282" s="44" t="s">
        <v>15</v>
      </c>
      <c r="C282" s="44" t="s">
        <v>86</v>
      </c>
      <c r="D282" s="45" t="s">
        <v>16</v>
      </c>
      <c r="E282" s="45" t="s">
        <v>17</v>
      </c>
      <c r="F282" s="46" t="s">
        <v>18</v>
      </c>
      <c r="G282" s="2"/>
      <c r="H282" s="1"/>
      <c r="I282" s="115"/>
      <c r="J282" s="115"/>
      <c r="K282" s="1"/>
      <c r="L282" s="1"/>
      <c r="M282" s="1"/>
      <c r="N282" s="1"/>
    </row>
    <row r="283" spans="1:14" ht="15" x14ac:dyDescent="0.25">
      <c r="A283" s="47" t="s">
        <v>87</v>
      </c>
      <c r="B283" s="48" t="s">
        <v>88</v>
      </c>
      <c r="C283" s="128">
        <v>4</v>
      </c>
      <c r="D283" s="49">
        <v>5.86</v>
      </c>
      <c r="E283" s="50"/>
      <c r="F283" s="2"/>
      <c r="G283" s="287" t="s">
        <v>205</v>
      </c>
      <c r="H283" s="1" t="s">
        <v>206</v>
      </c>
      <c r="I283" s="115"/>
      <c r="J283" s="115"/>
      <c r="K283" s="1"/>
      <c r="L283" s="1"/>
      <c r="M283" s="1"/>
      <c r="N283" s="1"/>
    </row>
    <row r="284" spans="1:14" ht="15" x14ac:dyDescent="0.2">
      <c r="A284" s="27" t="s">
        <v>89</v>
      </c>
      <c r="B284" s="52" t="s">
        <v>90</v>
      </c>
      <c r="C284" s="83">
        <f>D280</f>
        <v>2000</v>
      </c>
      <c r="D284" s="129">
        <f>D283/C283</f>
        <v>1.4650000000000001</v>
      </c>
      <c r="E284" s="130">
        <f>C284*D284</f>
        <v>2930</v>
      </c>
      <c r="F284" s="2"/>
      <c r="G284" s="2"/>
      <c r="H284" s="1"/>
      <c r="I284" s="115"/>
      <c r="J284" s="115"/>
      <c r="K284" s="1"/>
      <c r="L284" s="1"/>
      <c r="M284" s="1"/>
      <c r="N284" s="1"/>
    </row>
    <row r="285" spans="1:14" ht="15" x14ac:dyDescent="0.2">
      <c r="A285" s="27" t="s">
        <v>91</v>
      </c>
      <c r="B285" s="52" t="s">
        <v>92</v>
      </c>
      <c r="C285" s="131">
        <v>1</v>
      </c>
      <c r="D285" s="121">
        <v>15.99</v>
      </c>
      <c r="E285" s="132"/>
      <c r="F285" s="127"/>
      <c r="G285" s="127"/>
      <c r="H285" s="1"/>
      <c r="I285" s="115"/>
      <c r="J285" s="1"/>
      <c r="K285" s="1"/>
      <c r="L285" s="1"/>
      <c r="M285" s="1"/>
      <c r="N285" s="1"/>
    </row>
    <row r="286" spans="1:14" ht="15" x14ac:dyDescent="0.25">
      <c r="A286" s="27" t="s">
        <v>93</v>
      </c>
      <c r="B286" s="52" t="s">
        <v>90</v>
      </c>
      <c r="C286" s="83">
        <f>C284</f>
        <v>2000</v>
      </c>
      <c r="D286" s="133">
        <f>+C285*D285/1000</f>
        <v>1.5990000000000001E-2</v>
      </c>
      <c r="E286" s="54">
        <f>TRUNC(C286*D286,2)</f>
        <v>31.98</v>
      </c>
      <c r="F286" s="2"/>
      <c r="G286" s="51"/>
      <c r="H286" s="1"/>
      <c r="I286" s="115"/>
      <c r="J286" s="115"/>
      <c r="K286" s="1"/>
      <c r="L286" s="1"/>
      <c r="M286" s="1"/>
      <c r="N286" s="1"/>
    </row>
    <row r="287" spans="1:14" ht="15.75" thickBot="1" x14ac:dyDescent="0.25">
      <c r="A287" s="119" t="s">
        <v>94</v>
      </c>
      <c r="B287" s="26" t="s">
        <v>95</v>
      </c>
      <c r="C287" s="134"/>
      <c r="D287" s="135">
        <f>IFERROR(D284+D286+#REF!+#REF!+#REF!+#REF!,0)</f>
        <v>0</v>
      </c>
      <c r="E287" s="54"/>
      <c r="F287" s="2"/>
      <c r="G287" s="2"/>
      <c r="H287" s="1"/>
      <c r="I287" s="115"/>
      <c r="J287" s="115"/>
      <c r="K287" s="1"/>
      <c r="L287" s="1"/>
      <c r="M287" s="1"/>
      <c r="N287" s="1"/>
    </row>
    <row r="288" spans="1:14" ht="15.75" thickBot="1" x14ac:dyDescent="0.25">
      <c r="A288" s="1"/>
      <c r="B288" s="1"/>
      <c r="C288" s="1"/>
      <c r="D288" s="2"/>
      <c r="E288" s="2"/>
      <c r="F288" s="111">
        <f>SUM(E284:E286)</f>
        <v>2961.98</v>
      </c>
      <c r="G288" s="2"/>
      <c r="H288" s="1"/>
      <c r="I288" s="115"/>
      <c r="J288" s="115"/>
      <c r="K288" s="1"/>
      <c r="L288" s="1"/>
      <c r="M288" s="1"/>
      <c r="N288" s="1"/>
    </row>
    <row r="289" spans="1:14" ht="15" x14ac:dyDescent="0.2">
      <c r="A289" s="1"/>
      <c r="B289" s="1"/>
      <c r="C289" s="1"/>
      <c r="D289" s="2"/>
      <c r="E289" s="2"/>
      <c r="F289" s="2"/>
      <c r="G289" s="2"/>
      <c r="H289" s="1"/>
      <c r="I289" s="115"/>
      <c r="J289" s="115"/>
      <c r="K289" s="1"/>
      <c r="L289" s="1"/>
      <c r="M289" s="1"/>
      <c r="N289" s="1"/>
    </row>
    <row r="290" spans="1:14" ht="15.75" thickBot="1" x14ac:dyDescent="0.25">
      <c r="A290" s="1" t="s">
        <v>96</v>
      </c>
      <c r="B290" s="1"/>
      <c r="C290" s="1"/>
      <c r="D290" s="2"/>
      <c r="E290" s="2"/>
      <c r="F290" s="2"/>
      <c r="G290" s="2"/>
      <c r="H290" s="1"/>
      <c r="I290" s="115"/>
      <c r="J290" s="115"/>
      <c r="K290" s="1"/>
      <c r="L290" s="1"/>
      <c r="M290" s="1"/>
      <c r="N290" s="1"/>
    </row>
    <row r="291" spans="1:14" ht="15.75" thickBot="1" x14ac:dyDescent="0.25">
      <c r="A291" s="43" t="s">
        <v>14</v>
      </c>
      <c r="B291" s="44" t="s">
        <v>15</v>
      </c>
      <c r="C291" s="44" t="s">
        <v>9</v>
      </c>
      <c r="D291" s="45" t="s">
        <v>16</v>
      </c>
      <c r="E291" s="45" t="s">
        <v>17</v>
      </c>
      <c r="F291" s="46" t="s">
        <v>18</v>
      </c>
      <c r="G291" s="2"/>
      <c r="H291" s="1"/>
      <c r="I291" s="115"/>
      <c r="J291" s="115"/>
      <c r="K291" s="1"/>
      <c r="L291" s="1"/>
      <c r="M291" s="1"/>
      <c r="N291" s="1"/>
    </row>
    <row r="292" spans="1:14" ht="15.75" thickBot="1" x14ac:dyDescent="0.3">
      <c r="A292" s="47" t="s">
        <v>97</v>
      </c>
      <c r="B292" s="48" t="s">
        <v>95</v>
      </c>
      <c r="C292" s="83">
        <f>C284</f>
        <v>2000</v>
      </c>
      <c r="D292" s="49">
        <f>(1.75+1.1)/2</f>
        <v>1.425</v>
      </c>
      <c r="E292" s="50">
        <f>TRUNC(C292*D292,2)</f>
        <v>2850</v>
      </c>
      <c r="F292" s="2"/>
      <c r="G292" s="51"/>
      <c r="H292" s="1"/>
      <c r="I292" s="115"/>
      <c r="J292" s="115"/>
      <c r="K292" s="1"/>
      <c r="L292" s="1"/>
      <c r="M292" s="1"/>
      <c r="N292" s="1"/>
    </row>
    <row r="293" spans="1:14" ht="15.75" thickBot="1" x14ac:dyDescent="0.25">
      <c r="A293" s="1"/>
      <c r="B293" s="1"/>
      <c r="C293" s="1"/>
      <c r="D293" s="2"/>
      <c r="E293" s="2"/>
      <c r="F293" s="111">
        <f>E292</f>
        <v>2850</v>
      </c>
      <c r="G293" s="2"/>
      <c r="H293" s="1"/>
      <c r="I293" s="115"/>
      <c r="J293" s="115"/>
      <c r="K293" s="1"/>
      <c r="L293" s="1"/>
      <c r="M293" s="1"/>
      <c r="N293" s="1"/>
    </row>
    <row r="294" spans="1:14" ht="15" x14ac:dyDescent="0.2">
      <c r="A294" s="1"/>
      <c r="B294" s="1"/>
      <c r="C294" s="1"/>
      <c r="D294" s="2"/>
      <c r="E294" s="2"/>
      <c r="F294" s="2"/>
      <c r="G294" s="2"/>
      <c r="H294" s="1"/>
      <c r="I294" s="115"/>
      <c r="J294" s="115"/>
      <c r="K294" s="1"/>
      <c r="L294" s="1"/>
      <c r="M294" s="1"/>
      <c r="N294" s="1"/>
    </row>
    <row r="295" spans="1:14" ht="15.75" thickBot="1" x14ac:dyDescent="0.25">
      <c r="A295" s="1" t="s">
        <v>98</v>
      </c>
      <c r="B295" s="1"/>
      <c r="C295" s="1"/>
      <c r="D295" s="2"/>
      <c r="E295" s="2"/>
      <c r="F295" s="2"/>
      <c r="G295" s="2"/>
      <c r="H295" s="1"/>
      <c r="I295" s="115"/>
      <c r="J295" s="115"/>
      <c r="K295" s="1"/>
      <c r="L295" s="1"/>
      <c r="M295" s="1"/>
      <c r="N295" s="1"/>
    </row>
    <row r="296" spans="1:14" ht="15.75" thickBot="1" x14ac:dyDescent="0.25">
      <c r="A296" s="43" t="s">
        <v>14</v>
      </c>
      <c r="B296" s="44" t="s">
        <v>15</v>
      </c>
      <c r="C296" s="44" t="s">
        <v>9</v>
      </c>
      <c r="D296" s="45" t="s">
        <v>16</v>
      </c>
      <c r="E296" s="45" t="s">
        <v>17</v>
      </c>
      <c r="F296" s="46" t="s">
        <v>18</v>
      </c>
      <c r="G296" s="2"/>
      <c r="H296" s="1"/>
      <c r="I296" s="115"/>
      <c r="J296" s="115"/>
      <c r="K296" s="1"/>
      <c r="L296" s="1"/>
      <c r="M296" s="1"/>
      <c r="N296" s="1"/>
    </row>
    <row r="297" spans="1:14" ht="15" x14ac:dyDescent="0.25">
      <c r="A297" s="47" t="s">
        <v>99</v>
      </c>
      <c r="B297" s="48" t="s">
        <v>43</v>
      </c>
      <c r="C297" s="67">
        <v>4</v>
      </c>
      <c r="D297" s="49">
        <f>SUM(850.57+699.9+723.45)/3</f>
        <v>757.97333333333336</v>
      </c>
      <c r="E297" s="50">
        <f>TRUNC(C297*D297,2)</f>
        <v>3031.89</v>
      </c>
      <c r="F297" s="2"/>
      <c r="G297" s="51"/>
      <c r="H297" s="1" t="s">
        <v>275</v>
      </c>
      <c r="I297" s="115"/>
      <c r="J297" s="115"/>
      <c r="K297" s="1"/>
      <c r="L297" s="1"/>
      <c r="M297" s="1"/>
      <c r="N297" s="1"/>
    </row>
    <row r="298" spans="1:14" ht="15" x14ac:dyDescent="0.2">
      <c r="A298" s="47" t="s">
        <v>100</v>
      </c>
      <c r="B298" s="48" t="s">
        <v>43</v>
      </c>
      <c r="C298" s="67">
        <v>2</v>
      </c>
      <c r="D298" s="50"/>
      <c r="E298" s="50"/>
      <c r="F298" s="2"/>
      <c r="G298" s="2"/>
      <c r="H298" s="1"/>
      <c r="I298" s="115"/>
      <c r="J298" s="115"/>
      <c r="K298" s="1"/>
      <c r="L298" s="1"/>
      <c r="M298" s="1"/>
      <c r="N298" s="1"/>
    </row>
    <row r="299" spans="1:14" ht="15" x14ac:dyDescent="0.2">
      <c r="A299" s="47" t="s">
        <v>101</v>
      </c>
      <c r="B299" s="48" t="s">
        <v>43</v>
      </c>
      <c r="C299" s="50">
        <v>12</v>
      </c>
      <c r="D299" s="49">
        <v>109.98</v>
      </c>
      <c r="E299" s="50">
        <f>TRUNC(C299*D299,2)</f>
        <v>1319.76</v>
      </c>
      <c r="F299" s="2"/>
      <c r="G299" s="2"/>
      <c r="H299" s="1"/>
      <c r="I299" s="115"/>
      <c r="J299" s="115"/>
      <c r="K299" s="1"/>
      <c r="L299" s="1"/>
      <c r="M299" s="1"/>
      <c r="N299" s="1"/>
    </row>
    <row r="300" spans="1:14" ht="15" x14ac:dyDescent="0.25">
      <c r="A300" s="27" t="s">
        <v>207</v>
      </c>
      <c r="B300" s="52" t="s">
        <v>102</v>
      </c>
      <c r="C300" s="125">
        <v>55000</v>
      </c>
      <c r="D300" s="54">
        <f>E297+E299</f>
        <v>4351.6499999999996</v>
      </c>
      <c r="E300" s="136">
        <f>IFERROR(D300/C300,"0")</f>
        <v>7.9120909090909089E-2</v>
      </c>
      <c r="F300" s="2"/>
      <c r="G300" s="51"/>
      <c r="H300" s="1"/>
      <c r="I300" s="115"/>
      <c r="J300" s="115"/>
      <c r="K300" s="1"/>
      <c r="L300" s="1"/>
      <c r="M300" s="1"/>
      <c r="N300" s="1"/>
    </row>
    <row r="301" spans="1:14" ht="15.75" thickBot="1" x14ac:dyDescent="0.25">
      <c r="A301" s="119" t="s">
        <v>103</v>
      </c>
      <c r="B301" s="26" t="s">
        <v>90</v>
      </c>
      <c r="C301" s="134">
        <f>B280</f>
        <v>1000</v>
      </c>
      <c r="D301" s="137">
        <f>E300</f>
        <v>7.9120909090909089E-2</v>
      </c>
      <c r="E301" s="28">
        <f>TRUNC(IFERROR(C301*D301,0),2)</f>
        <v>79.12</v>
      </c>
      <c r="F301" s="2"/>
      <c r="G301" s="2"/>
      <c r="H301" s="1"/>
      <c r="I301" s="115"/>
      <c r="J301" s="115"/>
      <c r="K301" s="1"/>
      <c r="L301" s="1"/>
      <c r="M301" s="1"/>
      <c r="N301" s="1"/>
    </row>
    <row r="302" spans="1:14" ht="15.75" thickBot="1" x14ac:dyDescent="0.25">
      <c r="A302" s="1"/>
      <c r="B302" s="1"/>
      <c r="C302" s="1"/>
      <c r="D302" s="2"/>
      <c r="E302" s="2"/>
      <c r="F302" s="111">
        <f>E301</f>
        <v>79.12</v>
      </c>
      <c r="G302" s="2"/>
      <c r="H302" s="1"/>
      <c r="I302" s="115"/>
      <c r="J302" s="115"/>
      <c r="K302" s="1"/>
      <c r="L302" s="1"/>
      <c r="M302" s="1"/>
      <c r="N302" s="1"/>
    </row>
    <row r="303" spans="1:14" ht="15" hidden="1" x14ac:dyDescent="0.2">
      <c r="A303" s="1" t="s">
        <v>216</v>
      </c>
      <c r="B303" s="1"/>
      <c r="C303" s="1"/>
      <c r="D303" s="2"/>
      <c r="E303" s="2"/>
      <c r="F303" s="2"/>
      <c r="G303" s="1"/>
      <c r="H303" s="1"/>
      <c r="I303" s="1"/>
      <c r="J303" s="1"/>
      <c r="K303" s="1"/>
      <c r="L303" s="1"/>
      <c r="M303" s="1"/>
      <c r="N303" s="1"/>
    </row>
    <row r="304" spans="1:14" ht="15" hidden="1" x14ac:dyDescent="0.2">
      <c r="A304" s="1"/>
      <c r="B304" s="1"/>
      <c r="C304" s="1"/>
      <c r="D304" s="2"/>
      <c r="E304" s="2"/>
      <c r="F304" s="2"/>
      <c r="G304" s="1"/>
      <c r="H304" s="1"/>
      <c r="I304" s="1"/>
      <c r="J304" s="1"/>
      <c r="K304" s="1"/>
      <c r="L304" s="1"/>
      <c r="M304" s="1"/>
      <c r="N304" s="1"/>
    </row>
    <row r="305" spans="1:14" ht="15.75" hidden="1" thickBot="1" x14ac:dyDescent="0.25">
      <c r="A305" s="113" t="s">
        <v>217</v>
      </c>
      <c r="B305" s="1"/>
      <c r="C305" s="1"/>
      <c r="D305" s="2"/>
      <c r="E305" s="2"/>
      <c r="F305" s="2"/>
      <c r="G305" s="1"/>
      <c r="H305" s="1"/>
      <c r="I305" s="1"/>
      <c r="J305" s="1"/>
      <c r="K305" s="1"/>
      <c r="L305" s="1"/>
      <c r="M305" s="1"/>
      <c r="N305" s="1"/>
    </row>
    <row r="306" spans="1:14" ht="15.75" hidden="1" thickBot="1" x14ac:dyDescent="0.25">
      <c r="A306" s="43" t="s">
        <v>14</v>
      </c>
      <c r="B306" s="44" t="s">
        <v>15</v>
      </c>
      <c r="C306" s="44" t="s">
        <v>9</v>
      </c>
      <c r="D306" s="45" t="s">
        <v>16</v>
      </c>
      <c r="E306" s="45" t="s">
        <v>17</v>
      </c>
      <c r="F306" s="46" t="s">
        <v>18</v>
      </c>
      <c r="G306" s="1"/>
      <c r="H306" s="1"/>
      <c r="I306" s="1"/>
      <c r="J306" s="1"/>
      <c r="K306" s="1"/>
      <c r="L306" s="1"/>
      <c r="M306" s="1"/>
      <c r="N306" s="1"/>
    </row>
    <row r="307" spans="1:14" ht="15" hidden="1" x14ac:dyDescent="0.2">
      <c r="A307" s="47" t="s">
        <v>214</v>
      </c>
      <c r="B307" s="48" t="s">
        <v>43</v>
      </c>
      <c r="C307" s="244">
        <f>C313</f>
        <v>0</v>
      </c>
      <c r="D307" s="49">
        <f>(84115+89692+90802)/3</f>
        <v>88203</v>
      </c>
      <c r="E307" s="50">
        <f>TRUNC(C313*D307,2)</f>
        <v>0</v>
      </c>
      <c r="F307" s="2"/>
      <c r="G307" s="1"/>
      <c r="H307" s="1" t="s">
        <v>275</v>
      </c>
      <c r="I307" s="1"/>
      <c r="J307" s="1"/>
      <c r="K307" s="1"/>
      <c r="L307" s="1"/>
      <c r="M307" s="1"/>
      <c r="N307" s="1"/>
    </row>
    <row r="308" spans="1:14" ht="15" hidden="1" x14ac:dyDescent="0.2">
      <c r="A308" s="27" t="s">
        <v>64</v>
      </c>
      <c r="B308" s="52" t="s">
        <v>65</v>
      </c>
      <c r="C308" s="55">
        <v>10</v>
      </c>
      <c r="D308" s="54"/>
      <c r="E308" s="54"/>
      <c r="F308" s="2"/>
      <c r="G308" s="1"/>
      <c r="H308" s="1"/>
      <c r="I308" s="1"/>
      <c r="J308" s="1"/>
      <c r="K308" s="1"/>
      <c r="L308" s="1"/>
      <c r="M308" s="1"/>
      <c r="N308" s="1"/>
    </row>
    <row r="309" spans="1:14" ht="15" hidden="1" x14ac:dyDescent="0.2">
      <c r="A309" s="27" t="s">
        <v>66</v>
      </c>
      <c r="B309" s="52" t="s">
        <v>65</v>
      </c>
      <c r="C309" s="55">
        <v>0</v>
      </c>
      <c r="D309" s="54"/>
      <c r="E309" s="54"/>
      <c r="F309" s="114"/>
      <c r="G309" s="1"/>
      <c r="H309" s="1"/>
      <c r="I309" s="1"/>
      <c r="J309" s="1"/>
      <c r="K309" s="1"/>
      <c r="L309" s="1"/>
      <c r="M309" s="1"/>
      <c r="N309" s="1"/>
    </row>
    <row r="310" spans="1:14" ht="15" hidden="1" x14ac:dyDescent="0.2">
      <c r="A310" s="27" t="s">
        <v>67</v>
      </c>
      <c r="B310" s="52" t="s">
        <v>6</v>
      </c>
      <c r="C310" s="60">
        <v>65.180000000000007</v>
      </c>
      <c r="D310" s="54">
        <f>E307</f>
        <v>0</v>
      </c>
      <c r="E310" s="54">
        <f>TRUNC(C310*D310/100,2)</f>
        <v>0</v>
      </c>
      <c r="F310" s="2"/>
      <c r="G310" s="1"/>
      <c r="H310" s="1"/>
      <c r="I310" s="1"/>
      <c r="J310" s="1"/>
      <c r="K310" s="1"/>
      <c r="L310" s="1"/>
      <c r="M310" s="1"/>
      <c r="N310" s="1"/>
    </row>
    <row r="311" spans="1:14" ht="15.75" hidden="1" thickBot="1" x14ac:dyDescent="0.25">
      <c r="A311" s="116" t="s">
        <v>212</v>
      </c>
      <c r="B311" s="117" t="s">
        <v>20</v>
      </c>
      <c r="C311" s="117">
        <f>C308*12</f>
        <v>120</v>
      </c>
      <c r="D311" s="118">
        <f>IF(C309&lt;=C308,E310,0)</f>
        <v>0</v>
      </c>
      <c r="E311" s="118">
        <f>TRUNC(IFERROR(D311/C311,0),2)</f>
        <v>0</v>
      </c>
      <c r="F311" s="2"/>
      <c r="G311" s="1"/>
      <c r="H311" s="1"/>
      <c r="I311" s="1"/>
      <c r="J311" s="1"/>
      <c r="K311" s="1"/>
      <c r="L311" s="1"/>
      <c r="M311" s="1"/>
      <c r="N311" s="1"/>
    </row>
    <row r="312" spans="1:14" ht="15.75" hidden="1" thickTop="1" x14ac:dyDescent="0.2">
      <c r="A312" s="56"/>
      <c r="B312" s="57"/>
      <c r="C312" s="57"/>
      <c r="D312" s="58"/>
      <c r="E312" s="59">
        <f>TRUNC(E311,2)</f>
        <v>0</v>
      </c>
      <c r="F312" s="2"/>
      <c r="G312" s="1"/>
      <c r="H312" s="1"/>
      <c r="I312" s="1"/>
      <c r="J312" s="1"/>
      <c r="K312" s="1"/>
      <c r="L312" s="1"/>
      <c r="M312" s="1"/>
      <c r="N312" s="1"/>
    </row>
    <row r="313" spans="1:14" ht="15.75" hidden="1" thickBot="1" x14ac:dyDescent="0.25">
      <c r="A313" s="119" t="s">
        <v>68</v>
      </c>
      <c r="B313" s="26" t="s">
        <v>43</v>
      </c>
      <c r="C313" s="245">
        <f>E54</f>
        <v>0</v>
      </c>
      <c r="D313" s="28">
        <f>E312</f>
        <v>0</v>
      </c>
      <c r="E313" s="59">
        <f>TRUNC(C313*D313,2)</f>
        <v>0</v>
      </c>
      <c r="F313" s="2"/>
      <c r="G313" s="1"/>
      <c r="H313" s="1"/>
      <c r="I313" s="1"/>
      <c r="J313" s="1"/>
      <c r="K313" s="1"/>
      <c r="L313" s="1"/>
      <c r="M313" s="1"/>
      <c r="N313" s="1"/>
    </row>
    <row r="314" spans="1:14" ht="15.75" hidden="1" thickBot="1" x14ac:dyDescent="0.25">
      <c r="A314" s="71"/>
      <c r="B314" s="71"/>
      <c r="C314" s="71"/>
      <c r="D314" s="62" t="s">
        <v>31</v>
      </c>
      <c r="E314" s="63">
        <v>1</v>
      </c>
      <c r="F314" s="111">
        <f>TRUNC(E313*E314,2)</f>
        <v>0</v>
      </c>
      <c r="G314" s="1"/>
      <c r="H314" s="1"/>
      <c r="I314" s="1"/>
      <c r="J314" s="1"/>
      <c r="K314" s="1"/>
      <c r="L314" s="1"/>
      <c r="M314" s="1"/>
      <c r="N314" s="1"/>
    </row>
    <row r="315" spans="1:14" ht="15" hidden="1" x14ac:dyDescent="0.2">
      <c r="A315" s="1"/>
      <c r="B315" s="1"/>
      <c r="C315" s="1"/>
      <c r="D315" s="2"/>
      <c r="E315" s="2"/>
      <c r="F315" s="2"/>
      <c r="G315" s="1"/>
      <c r="H315" s="1"/>
      <c r="I315" s="1"/>
      <c r="J315" s="1"/>
      <c r="K315" s="1"/>
      <c r="L315" s="1"/>
      <c r="M315" s="1"/>
      <c r="N315" s="1"/>
    </row>
    <row r="316" spans="1:14" ht="15.75" hidden="1" thickBot="1" x14ac:dyDescent="0.25">
      <c r="A316" s="113" t="s">
        <v>218</v>
      </c>
      <c r="B316" s="1"/>
      <c r="C316" s="1"/>
      <c r="D316" s="2"/>
      <c r="E316" s="2"/>
      <c r="F316" s="2"/>
      <c r="G316" s="1"/>
      <c r="H316" s="1"/>
      <c r="I316" s="1"/>
      <c r="J316" s="1"/>
      <c r="K316" s="1"/>
      <c r="L316" s="1"/>
      <c r="M316" s="1"/>
      <c r="N316" s="1"/>
    </row>
    <row r="317" spans="1:14" ht="15.75" hidden="1" thickBot="1" x14ac:dyDescent="0.25">
      <c r="A317" s="45" t="s">
        <v>14</v>
      </c>
      <c r="B317" s="45" t="s">
        <v>15</v>
      </c>
      <c r="C317" s="45" t="s">
        <v>9</v>
      </c>
      <c r="D317" s="45" t="s">
        <v>16</v>
      </c>
      <c r="E317" s="45" t="s">
        <v>17</v>
      </c>
      <c r="F317" s="45" t="s">
        <v>18</v>
      </c>
      <c r="G317" s="1"/>
      <c r="H317" s="1"/>
      <c r="I317" s="1"/>
      <c r="J317" s="1"/>
      <c r="K317" s="1"/>
      <c r="L317" s="1"/>
      <c r="M317" s="1"/>
      <c r="N317" s="1"/>
    </row>
    <row r="318" spans="1:14" ht="15" hidden="1" x14ac:dyDescent="0.2">
      <c r="A318" s="27" t="s">
        <v>70</v>
      </c>
      <c r="B318" s="52" t="s">
        <v>43</v>
      </c>
      <c r="C318" s="48">
        <f>C307</f>
        <v>0</v>
      </c>
      <c r="D318" s="54">
        <f>D307</f>
        <v>88203</v>
      </c>
      <c r="E318" s="54">
        <f>TRUNC(C318*D318,2)</f>
        <v>0</v>
      </c>
      <c r="F318" s="114"/>
      <c r="G318" s="1"/>
      <c r="H318" s="1"/>
      <c r="I318" s="1"/>
      <c r="J318" s="1"/>
      <c r="K318" s="1"/>
      <c r="L318" s="1"/>
      <c r="M318" s="1"/>
      <c r="N318" s="1"/>
    </row>
    <row r="319" spans="1:14" ht="15" hidden="1" x14ac:dyDescent="0.2">
      <c r="A319" s="27" t="s">
        <v>71</v>
      </c>
      <c r="B319" s="52" t="s">
        <v>6</v>
      </c>
      <c r="C319" s="53">
        <v>12.75</v>
      </c>
      <c r="D319" s="54"/>
      <c r="E319" s="54"/>
      <c r="F319" s="114"/>
      <c r="G319" s="1"/>
      <c r="H319" s="1"/>
      <c r="I319" s="1"/>
      <c r="J319" s="1"/>
      <c r="K319" s="1"/>
      <c r="L319" s="1"/>
      <c r="M319" s="1"/>
      <c r="N319" s="1"/>
    </row>
    <row r="320" spans="1:14" ht="15" hidden="1" x14ac:dyDescent="0.2">
      <c r="A320" s="27" t="s">
        <v>72</v>
      </c>
      <c r="B320" s="52" t="s">
        <v>25</v>
      </c>
      <c r="C320" s="120">
        <f>IFERROR(IF(C309&lt;=C308,E307-(C310/(100*C308)*C309)*E307,E307-E310),0)</f>
        <v>0</v>
      </c>
      <c r="D320" s="54"/>
      <c r="E320" s="54"/>
      <c r="F320" s="114"/>
      <c r="G320" s="1"/>
      <c r="H320" s="1"/>
      <c r="I320" s="1"/>
      <c r="J320" s="1"/>
      <c r="K320" s="1"/>
      <c r="L320" s="1"/>
      <c r="M320" s="1"/>
      <c r="N320" s="1"/>
    </row>
    <row r="321" spans="1:14" ht="15" hidden="1" x14ac:dyDescent="0.2">
      <c r="A321" s="27" t="s">
        <v>73</v>
      </c>
      <c r="B321" s="52" t="s">
        <v>25</v>
      </c>
      <c r="C321" s="54">
        <f>IFERROR(IF(C309&gt;=C308,C320,((((C320)-(E307-E310))*(((C308-C309)+1)/(2*(C308-C309))))+(E307-E310))),0)</f>
        <v>0</v>
      </c>
      <c r="D321" s="54"/>
      <c r="E321" s="54"/>
      <c r="F321" s="114"/>
      <c r="G321" s="1"/>
      <c r="H321" s="1"/>
      <c r="I321" s="1"/>
      <c r="J321" s="1"/>
      <c r="K321" s="1"/>
      <c r="L321" s="1"/>
      <c r="M321" s="1"/>
      <c r="N321" s="1"/>
    </row>
    <row r="322" spans="1:14" ht="15.75" hidden="1" thickBot="1" x14ac:dyDescent="0.25">
      <c r="A322" s="116" t="s">
        <v>213</v>
      </c>
      <c r="B322" s="117" t="s">
        <v>25</v>
      </c>
      <c r="C322" s="117"/>
      <c r="D322" s="118">
        <f>C319*C321/12/100</f>
        <v>0</v>
      </c>
      <c r="E322" s="118">
        <f>TRUNC(D322,2)</f>
        <v>0</v>
      </c>
      <c r="F322" s="114"/>
      <c r="G322" s="1"/>
      <c r="H322" s="1"/>
      <c r="I322" s="1"/>
      <c r="J322" s="1"/>
      <c r="K322" s="1"/>
      <c r="L322" s="1"/>
      <c r="M322" s="1"/>
      <c r="N322" s="1"/>
    </row>
    <row r="323" spans="1:14" ht="16.5" hidden="1" thickTop="1" thickBot="1" x14ac:dyDescent="0.25">
      <c r="A323" s="119" t="s">
        <v>75</v>
      </c>
      <c r="B323" s="26" t="s">
        <v>43</v>
      </c>
      <c r="C323" s="52">
        <f>C313</f>
        <v>0</v>
      </c>
      <c r="D323" s="28">
        <f>D322</f>
        <v>0</v>
      </c>
      <c r="E323" s="59">
        <f>E322</f>
        <v>0</v>
      </c>
      <c r="F323" s="114"/>
      <c r="G323" s="1"/>
      <c r="H323" s="1"/>
      <c r="I323" s="1"/>
      <c r="J323" s="1"/>
      <c r="K323" s="1"/>
      <c r="L323" s="1"/>
      <c r="M323" s="1"/>
      <c r="N323" s="1"/>
    </row>
    <row r="324" spans="1:14" ht="15.75" hidden="1" thickBot="1" x14ac:dyDescent="0.25">
      <c r="A324" s="1"/>
      <c r="B324" s="1"/>
      <c r="C324" s="90"/>
      <c r="D324" s="62" t="s">
        <v>31</v>
      </c>
      <c r="E324" s="63">
        <v>1</v>
      </c>
      <c r="F324" s="111">
        <f>TRUNC(E323*E324,2)</f>
        <v>0</v>
      </c>
      <c r="G324" s="1"/>
      <c r="H324" s="1"/>
      <c r="I324" s="1"/>
      <c r="J324" s="1"/>
      <c r="K324" s="1"/>
      <c r="L324" s="1"/>
      <c r="M324" s="1"/>
      <c r="N324" s="1"/>
    </row>
    <row r="325" spans="1:14" ht="15" hidden="1" x14ac:dyDescent="0.2">
      <c r="A325" s="1"/>
      <c r="B325" s="1"/>
      <c r="C325" s="1"/>
      <c r="D325" s="2"/>
      <c r="E325" s="2"/>
      <c r="F325" s="2"/>
      <c r="G325" s="1"/>
      <c r="H325" s="1"/>
      <c r="I325" s="1"/>
      <c r="J325" s="1"/>
      <c r="K325" s="1"/>
      <c r="L325" s="1"/>
      <c r="M325" s="1"/>
      <c r="N325" s="1"/>
    </row>
    <row r="326" spans="1:14" ht="15.75" hidden="1" thickBot="1" x14ac:dyDescent="0.25">
      <c r="A326" s="1" t="s">
        <v>219</v>
      </c>
      <c r="B326" s="1"/>
      <c r="C326" s="1"/>
      <c r="D326" s="2"/>
      <c r="E326" s="2"/>
      <c r="F326" s="2"/>
      <c r="G326" s="1"/>
      <c r="H326" s="1"/>
      <c r="I326" s="1"/>
      <c r="J326" s="1"/>
      <c r="K326" s="1"/>
      <c r="L326" s="1"/>
      <c r="M326" s="1"/>
      <c r="N326" s="1"/>
    </row>
    <row r="327" spans="1:14" ht="15.75" hidden="1" thickBot="1" x14ac:dyDescent="0.25">
      <c r="A327" s="43" t="s">
        <v>14</v>
      </c>
      <c r="B327" s="44" t="s">
        <v>15</v>
      </c>
      <c r="C327" s="44" t="s">
        <v>9</v>
      </c>
      <c r="D327" s="45" t="s">
        <v>16</v>
      </c>
      <c r="E327" s="45" t="s">
        <v>17</v>
      </c>
      <c r="F327" s="46" t="s">
        <v>18</v>
      </c>
      <c r="G327" s="1"/>
      <c r="H327" s="1"/>
      <c r="I327" s="1"/>
      <c r="J327" s="1"/>
      <c r="K327" s="1"/>
      <c r="L327" s="1"/>
      <c r="M327" s="1"/>
      <c r="N327" s="1"/>
    </row>
    <row r="328" spans="1:14" ht="15" hidden="1" x14ac:dyDescent="0.2">
      <c r="A328" s="47" t="s">
        <v>77</v>
      </c>
      <c r="B328" s="48" t="s">
        <v>43</v>
      </c>
      <c r="C328" s="50">
        <f>C313</f>
        <v>0</v>
      </c>
      <c r="D328" s="50">
        <f>E307*3/100</f>
        <v>0</v>
      </c>
      <c r="E328" s="50">
        <f>TRUNC(C328*D328,2)</f>
        <v>0</v>
      </c>
      <c r="F328" s="2"/>
      <c r="G328" s="1"/>
      <c r="H328" s="1"/>
      <c r="I328" s="1"/>
      <c r="J328" s="1"/>
      <c r="K328" s="1"/>
      <c r="L328" s="1"/>
      <c r="M328" s="1"/>
      <c r="N328" s="1"/>
    </row>
    <row r="329" spans="1:14" ht="15" hidden="1" x14ac:dyDescent="0.2">
      <c r="A329" s="27" t="s">
        <v>78</v>
      </c>
      <c r="B329" s="52" t="s">
        <v>43</v>
      </c>
      <c r="C329" s="50">
        <f>C328</f>
        <v>0</v>
      </c>
      <c r="D329" s="94">
        <f>114*C329</f>
        <v>0</v>
      </c>
      <c r="E329" s="54">
        <f>TRUNC(C329*D329,2)</f>
        <v>0</v>
      </c>
      <c r="F329" s="2"/>
      <c r="G329" s="1"/>
      <c r="H329" s="1"/>
      <c r="I329" s="1"/>
      <c r="J329" s="1"/>
      <c r="K329" s="1"/>
      <c r="L329" s="1"/>
      <c r="M329" s="1"/>
      <c r="N329" s="1"/>
    </row>
    <row r="330" spans="1:14" ht="15" hidden="1" x14ac:dyDescent="0.2">
      <c r="A330" s="27" t="s">
        <v>79</v>
      </c>
      <c r="B330" s="52" t="s">
        <v>43</v>
      </c>
      <c r="C330" s="50">
        <f>C328</f>
        <v>0</v>
      </c>
      <c r="D330" s="94">
        <f>1937.48*C330</f>
        <v>0</v>
      </c>
      <c r="E330" s="54">
        <f>TRUNC(C330*D330,2)</f>
        <v>0</v>
      </c>
      <c r="F330" s="58"/>
      <c r="G330" s="1"/>
      <c r="H330" s="1"/>
      <c r="I330" s="1"/>
      <c r="J330" s="1"/>
      <c r="K330" s="1"/>
      <c r="L330" s="1"/>
      <c r="M330" s="1"/>
      <c r="N330" s="1"/>
    </row>
    <row r="331" spans="1:14" ht="15.75" hidden="1" thickBot="1" x14ac:dyDescent="0.25">
      <c r="A331" s="119" t="s">
        <v>80</v>
      </c>
      <c r="B331" s="26" t="s">
        <v>20</v>
      </c>
      <c r="C331" s="26">
        <v>12</v>
      </c>
      <c r="D331" s="28">
        <f>SUM(E328:E330)</f>
        <v>0</v>
      </c>
      <c r="E331" s="28">
        <f>TRUNC(D331/C331,2)</f>
        <v>0</v>
      </c>
      <c r="F331" s="2"/>
      <c r="G331" s="1"/>
      <c r="H331" s="1"/>
      <c r="I331" s="1"/>
      <c r="J331" s="1"/>
      <c r="K331" s="1"/>
      <c r="L331" s="1"/>
      <c r="M331" s="1"/>
      <c r="N331" s="1"/>
    </row>
    <row r="332" spans="1:14" ht="15.75" hidden="1" thickBot="1" x14ac:dyDescent="0.25">
      <c r="A332" s="1"/>
      <c r="B332" s="1"/>
      <c r="C332" s="1"/>
      <c r="D332" s="62" t="s">
        <v>31</v>
      </c>
      <c r="E332" s="63">
        <f>$B$57</f>
        <v>1</v>
      </c>
      <c r="F332" s="64">
        <f>TRUNC(E331*E332,2)</f>
        <v>0</v>
      </c>
      <c r="G332" s="1"/>
      <c r="H332" s="1"/>
      <c r="I332" s="1"/>
      <c r="J332" s="1"/>
      <c r="K332" s="1"/>
      <c r="L332" s="1"/>
      <c r="M332" s="1"/>
      <c r="N332" s="1"/>
    </row>
    <row r="333" spans="1:14" ht="15" hidden="1" x14ac:dyDescent="0.2">
      <c r="A333" s="1"/>
      <c r="B333" s="1"/>
      <c r="C333" s="1"/>
      <c r="D333" s="2"/>
      <c r="E333" s="2"/>
      <c r="F333" s="2"/>
      <c r="G333" s="1"/>
      <c r="H333" s="1"/>
      <c r="I333" s="1"/>
      <c r="J333" s="1"/>
      <c r="K333" s="1"/>
      <c r="L333" s="1"/>
      <c r="M333" s="1"/>
      <c r="N333" s="1"/>
    </row>
    <row r="334" spans="1:14" ht="15" hidden="1" x14ac:dyDescent="0.2">
      <c r="A334" s="1" t="s">
        <v>220</v>
      </c>
      <c r="B334" s="122"/>
      <c r="C334" s="1"/>
      <c r="D334" s="2"/>
      <c r="E334" s="2"/>
      <c r="F334" s="2"/>
      <c r="G334" s="1"/>
      <c r="H334" s="1"/>
      <c r="I334" s="1"/>
      <c r="J334" s="1"/>
      <c r="K334" s="1"/>
      <c r="L334" s="1"/>
      <c r="M334" s="1"/>
      <c r="N334" s="1"/>
    </row>
    <row r="335" spans="1:14" ht="15" hidden="1" x14ac:dyDescent="0.2">
      <c r="A335" s="1"/>
      <c r="B335" s="123" t="s">
        <v>82</v>
      </c>
      <c r="C335" s="26" t="s">
        <v>83</v>
      </c>
      <c r="D335" s="124" t="s">
        <v>84</v>
      </c>
      <c r="E335" s="2"/>
      <c r="F335" s="2"/>
      <c r="G335" s="1"/>
      <c r="H335" s="1"/>
      <c r="I335" s="1"/>
      <c r="J335" s="1"/>
      <c r="K335" s="1"/>
      <c r="L335" s="1"/>
      <c r="M335" s="1"/>
      <c r="N335" s="1"/>
    </row>
    <row r="336" spans="1:14" ht="15" hidden="1" x14ac:dyDescent="0.2">
      <c r="A336" s="119" t="s">
        <v>85</v>
      </c>
      <c r="B336" s="125">
        <v>1000</v>
      </c>
      <c r="C336" s="61">
        <f>C313</f>
        <v>0</v>
      </c>
      <c r="D336" s="126">
        <f>B336*C336</f>
        <v>0</v>
      </c>
      <c r="E336" s="2"/>
      <c r="F336" s="2"/>
      <c r="G336" s="1"/>
      <c r="H336" s="1"/>
      <c r="I336" s="1"/>
      <c r="J336" s="1"/>
      <c r="K336" s="1"/>
      <c r="L336" s="1"/>
      <c r="M336" s="1"/>
      <c r="N336" s="1"/>
    </row>
    <row r="337" spans="1:14" ht="15.75" hidden="1" thickBot="1" x14ac:dyDescent="0.25">
      <c r="A337" s="1"/>
      <c r="B337" s="122"/>
      <c r="C337" s="1"/>
      <c r="D337" s="2"/>
      <c r="E337" s="2"/>
      <c r="F337" s="2"/>
      <c r="G337" s="1"/>
      <c r="H337" s="1"/>
      <c r="I337" s="1"/>
      <c r="J337" s="1"/>
      <c r="K337" s="1"/>
      <c r="L337" s="1"/>
      <c r="M337" s="1"/>
      <c r="N337" s="1"/>
    </row>
    <row r="338" spans="1:14" ht="15.75" hidden="1" thickBot="1" x14ac:dyDescent="0.25">
      <c r="A338" s="43" t="s">
        <v>14</v>
      </c>
      <c r="B338" s="44" t="s">
        <v>15</v>
      </c>
      <c r="C338" s="44" t="s">
        <v>86</v>
      </c>
      <c r="D338" s="45" t="s">
        <v>16</v>
      </c>
      <c r="E338" s="45" t="s">
        <v>17</v>
      </c>
      <c r="F338" s="46" t="s">
        <v>18</v>
      </c>
      <c r="G338" s="1"/>
      <c r="H338" s="1"/>
      <c r="I338" s="1"/>
      <c r="J338" s="1"/>
      <c r="K338" s="1"/>
      <c r="L338" s="1"/>
      <c r="M338" s="1"/>
      <c r="N338" s="1"/>
    </row>
    <row r="339" spans="1:14" ht="15" hidden="1" x14ac:dyDescent="0.25">
      <c r="A339" s="47" t="s">
        <v>208</v>
      </c>
      <c r="B339" s="48" t="s">
        <v>88</v>
      </c>
      <c r="C339" s="128">
        <v>10</v>
      </c>
      <c r="D339" s="49">
        <v>6.2</v>
      </c>
      <c r="E339" s="50"/>
      <c r="F339" s="2"/>
      <c r="G339" s="51" t="s">
        <v>205</v>
      </c>
      <c r="H339" s="1" t="s">
        <v>206</v>
      </c>
      <c r="I339" s="115"/>
      <c r="J339" s="1"/>
      <c r="K339" s="1"/>
      <c r="L339" s="1"/>
      <c r="M339" s="1"/>
      <c r="N339" s="1"/>
    </row>
    <row r="340" spans="1:14" ht="15" hidden="1" x14ac:dyDescent="0.2">
      <c r="A340" s="27" t="s">
        <v>209</v>
      </c>
      <c r="B340" s="52" t="s">
        <v>90</v>
      </c>
      <c r="C340" s="83">
        <f>B336</f>
        <v>1000</v>
      </c>
      <c r="D340" s="129">
        <f>D339/C339</f>
        <v>0.62</v>
      </c>
      <c r="E340" s="130">
        <f>C340*D340</f>
        <v>620</v>
      </c>
      <c r="F340" s="2"/>
      <c r="G340" s="1"/>
      <c r="H340" s="1"/>
      <c r="I340" s="1"/>
      <c r="J340" s="1"/>
      <c r="K340" s="1"/>
      <c r="L340" s="1"/>
      <c r="M340" s="1"/>
      <c r="N340" s="1"/>
    </row>
    <row r="341" spans="1:14" ht="15" hidden="1" x14ac:dyDescent="0.2">
      <c r="A341" s="27" t="s">
        <v>210</v>
      </c>
      <c r="B341" s="52" t="s">
        <v>92</v>
      </c>
      <c r="C341" s="131">
        <v>1</v>
      </c>
      <c r="D341" s="121">
        <v>25</v>
      </c>
      <c r="E341" s="132"/>
      <c r="F341" s="127"/>
      <c r="G341" s="1"/>
      <c r="H341" s="1"/>
      <c r="I341" s="1"/>
      <c r="J341" s="1"/>
      <c r="K341" s="1"/>
      <c r="L341" s="1"/>
      <c r="M341" s="1"/>
      <c r="N341" s="1"/>
    </row>
    <row r="342" spans="1:14" ht="15" hidden="1" x14ac:dyDescent="0.2">
      <c r="A342" s="27" t="s">
        <v>93</v>
      </c>
      <c r="B342" s="52" t="s">
        <v>90</v>
      </c>
      <c r="C342" s="83">
        <f>C340</f>
        <v>1000</v>
      </c>
      <c r="D342" s="133">
        <f>+C341*D341/1000</f>
        <v>2.5000000000000001E-2</v>
      </c>
      <c r="E342" s="54">
        <f>TRUNC(C342*D342,2)</f>
        <v>25</v>
      </c>
      <c r="F342" s="2"/>
      <c r="G342" s="1"/>
      <c r="H342" s="1"/>
      <c r="I342" s="1"/>
      <c r="J342" s="1"/>
      <c r="K342" s="1"/>
      <c r="L342" s="1"/>
      <c r="M342" s="1"/>
      <c r="N342" s="1"/>
    </row>
    <row r="343" spans="1:14" ht="15.75" hidden="1" thickBot="1" x14ac:dyDescent="0.25">
      <c r="A343" s="119" t="s">
        <v>94</v>
      </c>
      <c r="B343" s="26" t="s">
        <v>95</v>
      </c>
      <c r="C343" s="134"/>
      <c r="D343" s="135">
        <f>IFERROR(D340+D342,0)</f>
        <v>0.64500000000000002</v>
      </c>
      <c r="E343" s="54"/>
      <c r="F343" s="2"/>
      <c r="G343" s="1"/>
      <c r="H343" s="1"/>
      <c r="I343" s="1"/>
      <c r="J343" s="1"/>
      <c r="K343" s="1"/>
      <c r="L343" s="1"/>
      <c r="M343" s="1"/>
      <c r="N343" s="1"/>
    </row>
    <row r="344" spans="1:14" ht="15.75" hidden="1" thickBot="1" x14ac:dyDescent="0.25">
      <c r="A344" s="1"/>
      <c r="B344" s="1"/>
      <c r="C344" s="1"/>
      <c r="D344" s="2"/>
      <c r="E344" s="2"/>
      <c r="F344" s="111">
        <f>SUM(E340:E342)</f>
        <v>645</v>
      </c>
      <c r="G344" s="1"/>
      <c r="H344" s="1"/>
      <c r="I344" s="1"/>
      <c r="J344" s="1"/>
      <c r="K344" s="1"/>
      <c r="L344" s="1"/>
      <c r="M344" s="1"/>
      <c r="N344" s="1"/>
    </row>
    <row r="345" spans="1:14" ht="15" hidden="1" x14ac:dyDescent="0.2">
      <c r="A345" s="1"/>
      <c r="B345" s="1"/>
      <c r="C345" s="1"/>
      <c r="D345" s="2"/>
      <c r="E345" s="2"/>
      <c r="F345" s="2"/>
      <c r="G345" s="1"/>
      <c r="H345" s="1"/>
      <c r="I345" s="1"/>
      <c r="J345" s="1"/>
      <c r="K345" s="1"/>
      <c r="L345" s="1"/>
      <c r="M345" s="1"/>
      <c r="N345" s="1"/>
    </row>
    <row r="346" spans="1:14" ht="15.75" hidden="1" thickBot="1" x14ac:dyDescent="0.25">
      <c r="A346" s="1" t="s">
        <v>221</v>
      </c>
      <c r="B346" s="1"/>
      <c r="C346" s="1"/>
      <c r="D346" s="2"/>
      <c r="E346" s="2"/>
      <c r="F346" s="2"/>
      <c r="G346" s="1"/>
      <c r="H346" s="1"/>
      <c r="I346" s="1"/>
      <c r="J346" s="1"/>
      <c r="K346" s="1"/>
      <c r="L346" s="1"/>
      <c r="M346" s="1"/>
      <c r="N346" s="1"/>
    </row>
    <row r="347" spans="1:14" ht="15.75" hidden="1" thickBot="1" x14ac:dyDescent="0.25">
      <c r="A347" s="43" t="s">
        <v>14</v>
      </c>
      <c r="B347" s="44" t="s">
        <v>15</v>
      </c>
      <c r="C347" s="44" t="s">
        <v>9</v>
      </c>
      <c r="D347" s="45" t="s">
        <v>16</v>
      </c>
      <c r="E347" s="45" t="s">
        <v>17</v>
      </c>
      <c r="F347" s="46" t="s">
        <v>18</v>
      </c>
      <c r="G347" s="1"/>
      <c r="H347" s="1"/>
      <c r="I347" s="1"/>
      <c r="J347" s="1"/>
      <c r="K347" s="1"/>
      <c r="L347" s="1"/>
      <c r="M347" s="1"/>
      <c r="N347" s="1"/>
    </row>
    <row r="348" spans="1:14" ht="15.75" hidden="1" thickBot="1" x14ac:dyDescent="0.25">
      <c r="A348" s="47" t="s">
        <v>97</v>
      </c>
      <c r="B348" s="48" t="s">
        <v>95</v>
      </c>
      <c r="C348" s="83">
        <f>C340</f>
        <v>1000</v>
      </c>
      <c r="D348" s="49">
        <f>(1.75+1.1)/2</f>
        <v>1.425</v>
      </c>
      <c r="E348" s="50">
        <f>TRUNC(C348*D348,2)</f>
        <v>1425</v>
      </c>
      <c r="F348" s="2"/>
      <c r="G348" s="1"/>
      <c r="H348" s="1"/>
      <c r="I348" s="1"/>
      <c r="J348" s="1"/>
      <c r="K348" s="1"/>
      <c r="L348" s="1"/>
      <c r="M348" s="1"/>
      <c r="N348" s="1"/>
    </row>
    <row r="349" spans="1:14" ht="15.75" hidden="1" thickBot="1" x14ac:dyDescent="0.25">
      <c r="A349" s="1"/>
      <c r="B349" s="1"/>
      <c r="C349" s="1"/>
      <c r="D349" s="2"/>
      <c r="E349" s="2"/>
      <c r="F349" s="111">
        <f>E348</f>
        <v>1425</v>
      </c>
      <c r="G349" s="1"/>
      <c r="H349" s="1"/>
      <c r="I349" s="1"/>
      <c r="J349" s="1"/>
      <c r="K349" s="1"/>
      <c r="L349" s="1"/>
      <c r="M349" s="1"/>
      <c r="N349" s="1"/>
    </row>
    <row r="350" spans="1:14" ht="15" hidden="1" x14ac:dyDescent="0.2">
      <c r="A350" s="1"/>
      <c r="B350" s="1"/>
      <c r="C350" s="1"/>
      <c r="D350" s="2"/>
      <c r="E350" s="2"/>
      <c r="F350" s="2"/>
      <c r="G350" s="1"/>
      <c r="H350" s="1"/>
      <c r="I350" s="1"/>
      <c r="J350" s="1"/>
      <c r="K350" s="1"/>
      <c r="L350" s="1"/>
      <c r="M350" s="1"/>
      <c r="N350" s="1"/>
    </row>
    <row r="351" spans="1:14" ht="15.75" hidden="1" thickBot="1" x14ac:dyDescent="0.25">
      <c r="A351" s="1" t="s">
        <v>222</v>
      </c>
      <c r="B351" s="1"/>
      <c r="C351" s="1"/>
      <c r="D351" s="2"/>
      <c r="E351" s="2"/>
      <c r="F351" s="2"/>
      <c r="G351" s="1"/>
      <c r="H351" s="1"/>
      <c r="I351" s="1"/>
      <c r="J351" s="1"/>
      <c r="K351" s="1"/>
      <c r="L351" s="1"/>
      <c r="M351" s="1"/>
      <c r="N351" s="1"/>
    </row>
    <row r="352" spans="1:14" ht="15.75" hidden="1" thickBot="1" x14ac:dyDescent="0.25">
      <c r="A352" s="43" t="s">
        <v>14</v>
      </c>
      <c r="B352" s="44" t="s">
        <v>15</v>
      </c>
      <c r="C352" s="44" t="s">
        <v>9</v>
      </c>
      <c r="D352" s="45" t="s">
        <v>16</v>
      </c>
      <c r="E352" s="45" t="s">
        <v>17</v>
      </c>
      <c r="F352" s="46" t="s">
        <v>18</v>
      </c>
      <c r="G352" s="1"/>
      <c r="H352" s="1"/>
      <c r="I352" s="1"/>
      <c r="J352" s="1"/>
      <c r="K352" s="1"/>
      <c r="L352" s="1"/>
      <c r="M352" s="1"/>
      <c r="N352" s="1"/>
    </row>
    <row r="353" spans="1:14" ht="15" hidden="1" x14ac:dyDescent="0.2">
      <c r="A353" s="47" t="s">
        <v>99</v>
      </c>
      <c r="B353" s="48" t="s">
        <v>43</v>
      </c>
      <c r="C353" s="67">
        <f>C313*4</f>
        <v>0</v>
      </c>
      <c r="D353" s="49">
        <f>SUM(420.8+436.91+366.57)/3</f>
        <v>408.09333333333331</v>
      </c>
      <c r="E353" s="50">
        <f>TRUNC(C353*D353,2)</f>
        <v>0</v>
      </c>
      <c r="F353" s="2"/>
      <c r="G353" s="1"/>
      <c r="H353" s="1" t="s">
        <v>275</v>
      </c>
      <c r="I353" s="1"/>
      <c r="J353" s="1"/>
      <c r="K353" s="1"/>
      <c r="L353" s="1"/>
      <c r="M353" s="1"/>
      <c r="N353" s="1"/>
    </row>
    <row r="354" spans="1:14" ht="15" hidden="1" x14ac:dyDescent="0.2">
      <c r="A354" s="27" t="s">
        <v>211</v>
      </c>
      <c r="B354" s="52" t="s">
        <v>102</v>
      </c>
      <c r="C354" s="125">
        <v>40000</v>
      </c>
      <c r="D354" s="54">
        <f>E353</f>
        <v>0</v>
      </c>
      <c r="E354" s="136">
        <f>IFERROR(D354/C354,"0")</f>
        <v>0</v>
      </c>
      <c r="F354" s="2"/>
      <c r="G354" s="1"/>
      <c r="H354" s="1"/>
      <c r="I354" s="1"/>
      <c r="J354" s="1"/>
      <c r="K354" s="1"/>
      <c r="L354" s="1"/>
      <c r="M354" s="1"/>
      <c r="N354" s="1"/>
    </row>
    <row r="355" spans="1:14" ht="15.75" hidden="1" thickBot="1" x14ac:dyDescent="0.25">
      <c r="A355" s="119" t="s">
        <v>103</v>
      </c>
      <c r="B355" s="26" t="s">
        <v>90</v>
      </c>
      <c r="C355" s="134">
        <f>B336</f>
        <v>1000</v>
      </c>
      <c r="D355" s="137">
        <f>E354</f>
        <v>0</v>
      </c>
      <c r="E355" s="28">
        <f>TRUNC(IFERROR(C355*D355,0),2)</f>
        <v>0</v>
      </c>
      <c r="F355" s="2"/>
      <c r="G355" s="1"/>
      <c r="H355" s="1"/>
      <c r="I355" s="1"/>
      <c r="J355" s="1"/>
      <c r="K355" s="1"/>
      <c r="L355" s="1"/>
      <c r="M355" s="1"/>
      <c r="N355" s="1"/>
    </row>
    <row r="356" spans="1:14" ht="15.75" hidden="1" thickBot="1" x14ac:dyDescent="0.25">
      <c r="A356" s="1"/>
      <c r="B356" s="1"/>
      <c r="C356" s="1"/>
      <c r="D356" s="2"/>
      <c r="E356" s="2"/>
      <c r="F356" s="111">
        <f>E355</f>
        <v>0</v>
      </c>
      <c r="G356" s="1"/>
      <c r="H356" s="1"/>
      <c r="I356" s="1"/>
      <c r="J356" s="1"/>
      <c r="K356" s="1"/>
      <c r="L356" s="1"/>
      <c r="M356" s="1"/>
      <c r="N356" s="1"/>
    </row>
    <row r="357" spans="1:14" ht="15" x14ac:dyDescent="0.2">
      <c r="A357" s="1"/>
      <c r="B357" s="1"/>
      <c r="C357" s="1"/>
      <c r="D357" s="2"/>
      <c r="E357" s="2"/>
      <c r="F357" s="2"/>
      <c r="G357" s="1"/>
      <c r="H357" s="1"/>
      <c r="I357" s="1"/>
      <c r="J357" s="1"/>
      <c r="K357" s="1"/>
      <c r="L357" s="1"/>
      <c r="M357" s="1"/>
      <c r="N357" s="1"/>
    </row>
    <row r="358" spans="1:14" ht="15" x14ac:dyDescent="0.2">
      <c r="A358" s="1"/>
      <c r="B358" s="1"/>
      <c r="C358" s="1"/>
      <c r="D358" s="2"/>
      <c r="E358" s="2"/>
      <c r="F358" s="2"/>
      <c r="G358" s="1"/>
      <c r="H358" s="1"/>
      <c r="I358" s="1"/>
      <c r="J358" s="1"/>
      <c r="K358" s="1"/>
      <c r="L358" s="1"/>
      <c r="M358" s="1"/>
      <c r="N358" s="1"/>
    </row>
    <row r="359" spans="1:14" ht="15.75" thickBot="1" x14ac:dyDescent="0.25">
      <c r="A359" s="1"/>
      <c r="B359" s="1"/>
      <c r="C359" s="1"/>
      <c r="D359" s="2"/>
      <c r="E359" s="2"/>
      <c r="F359" s="2"/>
      <c r="G359" s="1"/>
      <c r="H359" s="1"/>
      <c r="I359" s="1"/>
      <c r="J359" s="1"/>
      <c r="K359" s="1"/>
      <c r="L359" s="1"/>
      <c r="M359" s="1"/>
      <c r="N359" s="1"/>
    </row>
    <row r="360" spans="1:14" ht="15.75" thickBot="1" x14ac:dyDescent="0.25">
      <c r="A360" s="97" t="s">
        <v>104</v>
      </c>
      <c r="B360" s="98"/>
      <c r="C360" s="98"/>
      <c r="D360" s="99"/>
      <c r="E360" s="100"/>
      <c r="F360" s="111">
        <f>SUM(F251:F356)</f>
        <v>11401.640000000001</v>
      </c>
      <c r="G360" s="1"/>
      <c r="H360" s="1"/>
      <c r="I360" s="1"/>
      <c r="J360" s="1"/>
      <c r="K360" s="1"/>
      <c r="L360" s="1"/>
      <c r="M360" s="1"/>
      <c r="N360" s="1"/>
    </row>
    <row r="361" spans="1:14" ht="15" x14ac:dyDescent="0.2">
      <c r="A361" s="1"/>
      <c r="B361" s="1"/>
      <c r="C361" s="1"/>
      <c r="D361" s="2"/>
      <c r="E361" s="2"/>
      <c r="F361" s="2"/>
      <c r="G361" s="1"/>
      <c r="H361" s="1"/>
      <c r="I361" s="1"/>
      <c r="J361" s="1"/>
      <c r="K361" s="1"/>
      <c r="L361" s="1"/>
      <c r="M361" s="1"/>
      <c r="N361" s="1"/>
    </row>
    <row r="362" spans="1:14" ht="15" x14ac:dyDescent="0.2">
      <c r="A362" s="16" t="s">
        <v>105</v>
      </c>
      <c r="B362" s="16"/>
      <c r="C362" s="16"/>
      <c r="D362" s="15"/>
      <c r="E362" s="15"/>
      <c r="F362" s="58"/>
      <c r="G362" s="1"/>
      <c r="H362" s="1"/>
      <c r="I362" s="1"/>
      <c r="J362" s="1"/>
      <c r="K362" s="1"/>
      <c r="L362" s="1"/>
      <c r="M362" s="1"/>
      <c r="N362" s="1"/>
    </row>
    <row r="363" spans="1:14" ht="15.75" thickBot="1" x14ac:dyDescent="0.25">
      <c r="A363" s="1"/>
      <c r="B363" s="1"/>
      <c r="C363" s="1"/>
      <c r="D363" s="2"/>
      <c r="E363" s="2"/>
      <c r="F363" s="2"/>
      <c r="G363" s="1"/>
      <c r="H363" s="1"/>
      <c r="I363" s="1"/>
      <c r="J363" s="1"/>
      <c r="K363" s="1"/>
      <c r="L363" s="1"/>
      <c r="M363" s="1"/>
      <c r="N363" s="1"/>
    </row>
    <row r="364" spans="1:14" ht="15.75" thickBot="1" x14ac:dyDescent="0.25">
      <c r="A364" s="43" t="s">
        <v>14</v>
      </c>
      <c r="B364" s="44" t="s">
        <v>15</v>
      </c>
      <c r="C364" s="44" t="s">
        <v>9</v>
      </c>
      <c r="D364" s="45" t="s">
        <v>16</v>
      </c>
      <c r="E364" s="45" t="s">
        <v>17</v>
      </c>
      <c r="F364" s="46" t="s">
        <v>18</v>
      </c>
      <c r="G364" s="1"/>
      <c r="H364" s="1"/>
      <c r="I364" s="1"/>
      <c r="J364" s="1"/>
      <c r="K364" s="1"/>
      <c r="L364" s="1"/>
      <c r="M364" s="1"/>
      <c r="N364" s="1"/>
    </row>
    <row r="365" spans="1:14" ht="15" x14ac:dyDescent="0.25">
      <c r="A365" s="250" t="s">
        <v>223</v>
      </c>
      <c r="B365" s="251" t="s">
        <v>15</v>
      </c>
      <c r="C365" s="252">
        <v>3</v>
      </c>
      <c r="D365" s="253">
        <f>SUM(46.82+29.64+43.64+43.26)/4</f>
        <v>40.840000000000003</v>
      </c>
      <c r="E365" s="54">
        <f t="shared" ref="E365:E393" si="10">TRUNC(C365*D365,2)</f>
        <v>122.52</v>
      </c>
      <c r="F365" s="114"/>
      <c r="G365" s="51"/>
      <c r="H365" s="1" t="s">
        <v>275</v>
      </c>
      <c r="I365" s="1"/>
      <c r="J365" s="1"/>
      <c r="K365" s="1"/>
      <c r="L365" s="1"/>
      <c r="M365" s="1"/>
      <c r="N365" s="1"/>
    </row>
    <row r="366" spans="1:14" ht="15" x14ac:dyDescent="0.25">
      <c r="A366" s="250" t="s">
        <v>224</v>
      </c>
      <c r="B366" s="251" t="s">
        <v>15</v>
      </c>
      <c r="C366" s="252">
        <v>18</v>
      </c>
      <c r="D366" s="253">
        <f>(4.49+7.9+7.89)/3</f>
        <v>6.7600000000000007</v>
      </c>
      <c r="E366" s="54">
        <f t="shared" si="10"/>
        <v>121.68</v>
      </c>
      <c r="F366" s="114"/>
      <c r="G366" s="51"/>
      <c r="H366" s="1" t="s">
        <v>275</v>
      </c>
      <c r="I366" s="1"/>
      <c r="J366" s="1"/>
      <c r="K366" s="1"/>
      <c r="L366" s="1"/>
      <c r="M366" s="1"/>
      <c r="N366" s="1"/>
    </row>
    <row r="367" spans="1:14" ht="15" x14ac:dyDescent="0.2">
      <c r="A367" s="259" t="s">
        <v>225</v>
      </c>
      <c r="B367" s="251" t="s">
        <v>15</v>
      </c>
      <c r="C367" s="252">
        <v>18</v>
      </c>
      <c r="D367" s="253">
        <f>SUM(15.99+37.9+28.5)/3</f>
        <v>27.463333333333335</v>
      </c>
      <c r="E367" s="54">
        <f t="shared" si="10"/>
        <v>494.34</v>
      </c>
      <c r="F367" s="114"/>
      <c r="G367" s="138"/>
      <c r="H367" s="1" t="s">
        <v>275</v>
      </c>
      <c r="I367" s="1"/>
      <c r="J367" s="1"/>
      <c r="K367" s="1"/>
      <c r="L367" s="1"/>
      <c r="M367" s="1"/>
      <c r="N367" s="1"/>
    </row>
    <row r="368" spans="1:14" ht="15" x14ac:dyDescent="0.2">
      <c r="A368" s="250" t="s">
        <v>106</v>
      </c>
      <c r="B368" s="251" t="s">
        <v>15</v>
      </c>
      <c r="C368" s="252">
        <v>3</v>
      </c>
      <c r="D368" s="253">
        <f>(54.32+24.74+35.44)/3</f>
        <v>38.166666666666664</v>
      </c>
      <c r="E368" s="54">
        <f t="shared" si="10"/>
        <v>114.5</v>
      </c>
      <c r="F368" s="114"/>
      <c r="G368" s="138"/>
      <c r="H368" s="1" t="s">
        <v>275</v>
      </c>
      <c r="I368" s="1"/>
      <c r="J368" s="1"/>
      <c r="K368" s="1"/>
      <c r="L368" s="1"/>
      <c r="M368" s="1"/>
      <c r="N368" s="1"/>
    </row>
    <row r="369" spans="1:14" ht="15" x14ac:dyDescent="0.2">
      <c r="A369" s="259" t="s">
        <v>268</v>
      </c>
      <c r="B369" s="260" t="s">
        <v>15</v>
      </c>
      <c r="C369" s="252">
        <v>1</v>
      </c>
      <c r="D369" s="253">
        <f>(29.93+29.9+29.61+13.07+29.49)/5</f>
        <v>26.4</v>
      </c>
      <c r="E369" s="54">
        <f t="shared" si="10"/>
        <v>26.4</v>
      </c>
      <c r="F369" s="114"/>
      <c r="G369" s="138"/>
      <c r="H369" s="1" t="s">
        <v>275</v>
      </c>
      <c r="I369" s="1"/>
      <c r="J369" s="1"/>
      <c r="K369" s="1"/>
      <c r="L369" s="1"/>
      <c r="M369" s="1"/>
      <c r="N369" s="1"/>
    </row>
    <row r="370" spans="1:14" ht="15" x14ac:dyDescent="0.2">
      <c r="A370" s="259" t="s">
        <v>299</v>
      </c>
      <c r="B370" s="260" t="s">
        <v>15</v>
      </c>
      <c r="C370" s="252">
        <v>90</v>
      </c>
      <c r="D370" s="253">
        <f>SUM(3.5+1.02+2.46)/3</f>
        <v>2.3266666666666667</v>
      </c>
      <c r="E370" s="54">
        <f t="shared" si="10"/>
        <v>209.4</v>
      </c>
      <c r="F370" s="114"/>
      <c r="G370" s="138"/>
      <c r="H370" s="1" t="s">
        <v>275</v>
      </c>
      <c r="I370" s="1"/>
      <c r="J370" s="1"/>
      <c r="K370" s="1"/>
      <c r="L370" s="1"/>
      <c r="M370" s="1"/>
      <c r="N370" s="1"/>
    </row>
    <row r="371" spans="1:14" ht="15" x14ac:dyDescent="0.2">
      <c r="A371" s="250" t="s">
        <v>226</v>
      </c>
      <c r="B371" s="251" t="s">
        <v>15</v>
      </c>
      <c r="C371" s="252">
        <v>6</v>
      </c>
      <c r="D371" s="253">
        <f>(51.12+65.9+49.68)/3</f>
        <v>55.56666666666667</v>
      </c>
      <c r="E371" s="54">
        <f t="shared" si="10"/>
        <v>333.4</v>
      </c>
      <c r="F371" s="114"/>
      <c r="G371" s="138"/>
      <c r="H371" s="1" t="s">
        <v>275</v>
      </c>
      <c r="I371" s="1"/>
      <c r="J371" s="1"/>
      <c r="K371" s="1"/>
      <c r="L371" s="1"/>
      <c r="M371" s="1"/>
      <c r="N371" s="1"/>
    </row>
    <row r="372" spans="1:14" ht="15" x14ac:dyDescent="0.2">
      <c r="A372" s="259" t="s">
        <v>261</v>
      </c>
      <c r="B372" s="260" t="s">
        <v>15</v>
      </c>
      <c r="C372" s="252">
        <v>18</v>
      </c>
      <c r="D372" s="253">
        <f>(3.3+2.43+5.5)/3</f>
        <v>3.7433333333333336</v>
      </c>
      <c r="E372" s="54">
        <f t="shared" si="10"/>
        <v>67.38</v>
      </c>
      <c r="F372" s="114"/>
      <c r="G372" s="138"/>
      <c r="H372" s="1" t="s">
        <v>275</v>
      </c>
      <c r="I372" s="1"/>
      <c r="J372" s="1"/>
      <c r="K372" s="1"/>
      <c r="L372" s="1"/>
      <c r="M372" s="1"/>
      <c r="N372" s="1"/>
    </row>
    <row r="373" spans="1:14" ht="15" x14ac:dyDescent="0.2">
      <c r="A373" s="259" t="s">
        <v>262</v>
      </c>
      <c r="B373" s="260" t="s">
        <v>15</v>
      </c>
      <c r="C373" s="252">
        <v>18</v>
      </c>
      <c r="D373" s="253">
        <f>(3.9+8.21+6.1)/3</f>
        <v>6.07</v>
      </c>
      <c r="E373" s="54">
        <f t="shared" si="10"/>
        <v>109.26</v>
      </c>
      <c r="F373" s="114"/>
      <c r="G373" s="138"/>
      <c r="H373" s="1" t="s">
        <v>275</v>
      </c>
      <c r="I373" s="1"/>
      <c r="J373" s="1"/>
      <c r="K373" s="1"/>
      <c r="L373" s="1"/>
      <c r="M373" s="1"/>
      <c r="N373" s="1"/>
    </row>
    <row r="374" spans="1:14" ht="15" x14ac:dyDescent="0.2">
      <c r="A374" s="259" t="s">
        <v>263</v>
      </c>
      <c r="B374" s="260" t="s">
        <v>15</v>
      </c>
      <c r="C374" s="252">
        <v>18</v>
      </c>
      <c r="D374" s="253">
        <f>(16.06+10.15+8.62)/3</f>
        <v>11.61</v>
      </c>
      <c r="E374" s="54">
        <f t="shared" si="10"/>
        <v>208.98</v>
      </c>
      <c r="F374" s="114"/>
      <c r="G374" s="138"/>
      <c r="H374" s="1" t="s">
        <v>275</v>
      </c>
      <c r="I374" s="1"/>
      <c r="J374" s="1"/>
      <c r="K374" s="1"/>
      <c r="L374" s="1"/>
      <c r="M374" s="1"/>
      <c r="N374" s="1"/>
    </row>
    <row r="375" spans="1:14" ht="15" x14ac:dyDescent="0.2">
      <c r="A375" s="259" t="s">
        <v>264</v>
      </c>
      <c r="B375" s="260" t="s">
        <v>15</v>
      </c>
      <c r="C375" s="252">
        <v>9</v>
      </c>
      <c r="D375" s="253">
        <f>(15.79+28.25+14.59)/3</f>
        <v>19.543333333333333</v>
      </c>
      <c r="E375" s="54">
        <f t="shared" si="10"/>
        <v>175.89</v>
      </c>
      <c r="F375" s="114"/>
      <c r="G375" s="138"/>
      <c r="H375" s="1" t="s">
        <v>275</v>
      </c>
      <c r="I375" s="1"/>
      <c r="J375" s="1"/>
      <c r="K375" s="1"/>
      <c r="L375" s="1"/>
      <c r="M375" s="1"/>
      <c r="N375" s="1"/>
    </row>
    <row r="376" spans="1:14" ht="15" x14ac:dyDescent="0.2">
      <c r="A376" s="259" t="s">
        <v>265</v>
      </c>
      <c r="B376" s="260" t="s">
        <v>15</v>
      </c>
      <c r="C376" s="252">
        <v>6</v>
      </c>
      <c r="D376" s="253">
        <f>(26.5+6.76+20.9)/3</f>
        <v>18.053333333333331</v>
      </c>
      <c r="E376" s="54">
        <f t="shared" si="10"/>
        <v>108.32</v>
      </c>
      <c r="F376" s="114"/>
      <c r="G376" s="138"/>
      <c r="H376" s="1" t="s">
        <v>275</v>
      </c>
      <c r="I376" s="1"/>
      <c r="J376" s="1"/>
      <c r="K376" s="1"/>
      <c r="L376" s="1"/>
      <c r="M376" s="1"/>
      <c r="N376" s="1"/>
    </row>
    <row r="377" spans="1:14" ht="15" x14ac:dyDescent="0.2">
      <c r="A377" s="259" t="s">
        <v>266</v>
      </c>
      <c r="B377" s="260" t="s">
        <v>15</v>
      </c>
      <c r="C377" s="252">
        <v>6</v>
      </c>
      <c r="D377" s="253">
        <f>(11.99+18.99+37.99)/3</f>
        <v>22.99</v>
      </c>
      <c r="E377" s="54">
        <f t="shared" si="10"/>
        <v>137.94</v>
      </c>
      <c r="F377" s="114"/>
      <c r="G377" s="138"/>
      <c r="H377" s="1" t="s">
        <v>275</v>
      </c>
      <c r="I377" s="1"/>
      <c r="J377" s="1"/>
      <c r="K377" s="1"/>
      <c r="L377" s="1"/>
      <c r="M377" s="1"/>
      <c r="N377" s="1"/>
    </row>
    <row r="378" spans="1:14" ht="15" x14ac:dyDescent="0.2">
      <c r="A378" s="259" t="s">
        <v>269</v>
      </c>
      <c r="B378" s="260" t="s">
        <v>15</v>
      </c>
      <c r="C378" s="252">
        <v>18</v>
      </c>
      <c r="D378" s="253">
        <f>(7.9+18.84+12.9)/3</f>
        <v>13.213333333333333</v>
      </c>
      <c r="E378" s="54">
        <f t="shared" si="10"/>
        <v>237.84</v>
      </c>
      <c r="F378" s="114"/>
      <c r="G378" s="138"/>
      <c r="H378" s="1" t="s">
        <v>275</v>
      </c>
      <c r="I378" s="1"/>
      <c r="J378" s="1"/>
      <c r="K378" s="1"/>
      <c r="L378" s="1"/>
      <c r="M378" s="1"/>
      <c r="N378" s="1"/>
    </row>
    <row r="379" spans="1:14" ht="15" x14ac:dyDescent="0.2">
      <c r="A379" s="259" t="s">
        <v>267</v>
      </c>
      <c r="B379" s="260" t="s">
        <v>15</v>
      </c>
      <c r="C379" s="252">
        <v>9</v>
      </c>
      <c r="D379" s="253">
        <f>(2.19+6.9+10.04)/3</f>
        <v>6.376666666666666</v>
      </c>
      <c r="E379" s="54">
        <f t="shared" si="10"/>
        <v>57.39</v>
      </c>
      <c r="F379" s="114"/>
      <c r="G379" s="138"/>
      <c r="H379" s="1" t="s">
        <v>275</v>
      </c>
      <c r="I379" s="1"/>
      <c r="J379" s="1"/>
      <c r="K379" s="1"/>
      <c r="L379" s="1"/>
      <c r="M379" s="1"/>
      <c r="N379" s="1"/>
    </row>
    <row r="380" spans="1:14" ht="15" x14ac:dyDescent="0.2">
      <c r="A380" s="259" t="s">
        <v>260</v>
      </c>
      <c r="B380" s="260" t="s">
        <v>15</v>
      </c>
      <c r="C380" s="252">
        <v>6</v>
      </c>
      <c r="D380" s="253">
        <f>(38.9+43.22+30.77)/3</f>
        <v>37.630000000000003</v>
      </c>
      <c r="E380" s="54">
        <f t="shared" si="10"/>
        <v>225.78</v>
      </c>
      <c r="F380" s="114"/>
      <c r="G380" s="138"/>
      <c r="H380" s="1" t="s">
        <v>275</v>
      </c>
      <c r="I380" s="1"/>
      <c r="J380" s="1"/>
      <c r="K380" s="1"/>
      <c r="L380" s="1"/>
      <c r="M380" s="1"/>
      <c r="N380" s="1"/>
    </row>
    <row r="381" spans="1:14" ht="15" x14ac:dyDescent="0.2">
      <c r="A381" s="259" t="s">
        <v>270</v>
      </c>
      <c r="B381" s="251" t="s">
        <v>15</v>
      </c>
      <c r="C381" s="252">
        <v>9</v>
      </c>
      <c r="D381" s="253">
        <f>(15.9+21.69+25+26.78)/4</f>
        <v>22.342500000000001</v>
      </c>
      <c r="E381" s="54">
        <f t="shared" si="10"/>
        <v>201.08</v>
      </c>
      <c r="F381" s="114"/>
      <c r="G381" s="138"/>
      <c r="H381" s="1" t="s">
        <v>275</v>
      </c>
      <c r="I381" s="1"/>
      <c r="J381" s="1"/>
      <c r="K381" s="1"/>
      <c r="L381" s="1"/>
      <c r="M381" s="1"/>
      <c r="N381" s="1"/>
    </row>
    <row r="382" spans="1:14" ht="15" x14ac:dyDescent="0.2">
      <c r="A382" s="259" t="s">
        <v>272</v>
      </c>
      <c r="B382" s="260" t="s">
        <v>15</v>
      </c>
      <c r="C382" s="252">
        <v>3</v>
      </c>
      <c r="D382" s="253">
        <f>(38.47+41.99+22.41+33.9+39.72)/5</f>
        <v>35.298000000000002</v>
      </c>
      <c r="E382" s="54">
        <f t="shared" si="10"/>
        <v>105.89</v>
      </c>
      <c r="F382" s="114"/>
      <c r="G382" s="138"/>
      <c r="H382" s="1" t="s">
        <v>275</v>
      </c>
      <c r="I382" s="1"/>
      <c r="J382" s="1"/>
      <c r="K382" s="1"/>
      <c r="L382" s="1"/>
      <c r="M382" s="1"/>
      <c r="N382" s="1"/>
    </row>
    <row r="383" spans="1:14" ht="15" x14ac:dyDescent="0.2">
      <c r="A383" s="259" t="s">
        <v>271</v>
      </c>
      <c r="B383" s="260" t="s">
        <v>15</v>
      </c>
      <c r="C383" s="252">
        <v>3</v>
      </c>
      <c r="D383" s="253">
        <f>(49.9+52.24+35+33.9)/4</f>
        <v>42.76</v>
      </c>
      <c r="E383" s="54">
        <f t="shared" si="10"/>
        <v>128.28</v>
      </c>
      <c r="F383" s="114"/>
      <c r="G383" s="138"/>
      <c r="H383" s="1" t="s">
        <v>275</v>
      </c>
      <c r="I383" s="1"/>
      <c r="J383" s="1"/>
      <c r="K383" s="1"/>
      <c r="L383" s="1"/>
      <c r="M383" s="1"/>
      <c r="N383" s="1"/>
    </row>
    <row r="384" spans="1:14" ht="15" x14ac:dyDescent="0.2">
      <c r="A384" s="250" t="s">
        <v>227</v>
      </c>
      <c r="B384" s="251" t="s">
        <v>15</v>
      </c>
      <c r="C384" s="252">
        <v>9</v>
      </c>
      <c r="D384" s="253">
        <f>(17.73+33.99+67.5+34+50.98)/5</f>
        <v>40.839999999999996</v>
      </c>
      <c r="E384" s="54">
        <f t="shared" si="10"/>
        <v>367.56</v>
      </c>
      <c r="F384" s="114"/>
      <c r="G384" s="138"/>
      <c r="H384" s="1" t="s">
        <v>275</v>
      </c>
      <c r="I384" s="1"/>
      <c r="J384" s="1"/>
      <c r="K384" s="1"/>
      <c r="L384" s="1"/>
      <c r="M384" s="1"/>
      <c r="N384" s="1"/>
    </row>
    <row r="385" spans="1:14" ht="15" x14ac:dyDescent="0.2">
      <c r="A385" s="259" t="s">
        <v>297</v>
      </c>
      <c r="B385" s="260" t="s">
        <v>15</v>
      </c>
      <c r="C385" s="252">
        <v>48</v>
      </c>
      <c r="D385" s="253">
        <f>(139.9+73.06+49.41+42.29)/4</f>
        <v>76.165000000000006</v>
      </c>
      <c r="E385" s="54">
        <f t="shared" si="10"/>
        <v>3655.92</v>
      </c>
      <c r="F385" s="114"/>
      <c r="G385" s="138"/>
      <c r="H385" s="1" t="s">
        <v>275</v>
      </c>
      <c r="I385" s="1"/>
      <c r="J385" s="1"/>
      <c r="K385" s="1"/>
      <c r="L385" s="1"/>
      <c r="M385" s="1"/>
      <c r="N385" s="1"/>
    </row>
    <row r="386" spans="1:14" ht="15" x14ac:dyDescent="0.2">
      <c r="A386" s="259" t="s">
        <v>298</v>
      </c>
      <c r="B386" s="260" t="s">
        <v>15</v>
      </c>
      <c r="C386" s="252">
        <v>12</v>
      </c>
      <c r="D386" s="253">
        <f>(42.98+32.9+33.99+46.9+33.9)/5</f>
        <v>38.134</v>
      </c>
      <c r="E386" s="54">
        <f t="shared" si="10"/>
        <v>457.6</v>
      </c>
      <c r="F386" s="114"/>
      <c r="G386" s="138"/>
      <c r="H386" s="1" t="s">
        <v>275</v>
      </c>
      <c r="I386" s="1"/>
      <c r="J386" s="1"/>
      <c r="K386" s="1"/>
      <c r="L386" s="1"/>
      <c r="M386" s="1"/>
      <c r="N386" s="1"/>
    </row>
    <row r="387" spans="1:14" ht="15" x14ac:dyDescent="0.2">
      <c r="A387" s="259" t="s">
        <v>324</v>
      </c>
      <c r="B387" s="260" t="s">
        <v>15</v>
      </c>
      <c r="C387" s="252">
        <v>3</v>
      </c>
      <c r="D387" s="253">
        <f>SUM(214.46+219.9+209.99)/3</f>
        <v>214.78333333333333</v>
      </c>
      <c r="E387" s="54">
        <f t="shared" si="10"/>
        <v>644.35</v>
      </c>
      <c r="F387" s="114"/>
      <c r="G387" s="138"/>
      <c r="H387" s="1" t="s">
        <v>275</v>
      </c>
      <c r="I387" s="1"/>
      <c r="J387" s="1"/>
      <c r="K387" s="1"/>
      <c r="L387" s="1"/>
      <c r="M387" s="1"/>
      <c r="N387" s="1"/>
    </row>
    <row r="388" spans="1:14" ht="15" x14ac:dyDescent="0.2">
      <c r="A388" s="259" t="s">
        <v>325</v>
      </c>
      <c r="B388" s="260" t="s">
        <v>15</v>
      </c>
      <c r="C388" s="252">
        <v>3</v>
      </c>
      <c r="D388" s="253">
        <f>SUM(53.91+57.4+75.5)/3</f>
        <v>62.27</v>
      </c>
      <c r="E388" s="54">
        <f t="shared" si="10"/>
        <v>186.81</v>
      </c>
      <c r="F388" s="114"/>
      <c r="G388" s="138"/>
      <c r="H388" s="1" t="s">
        <v>275</v>
      </c>
      <c r="I388" s="1"/>
      <c r="J388" s="1"/>
      <c r="K388" s="1"/>
      <c r="L388" s="1"/>
      <c r="M388" s="1"/>
      <c r="N388" s="1"/>
    </row>
    <row r="389" spans="1:14" ht="15" x14ac:dyDescent="0.2">
      <c r="A389" s="259" t="s">
        <v>323</v>
      </c>
      <c r="B389" s="260" t="s">
        <v>15</v>
      </c>
      <c r="C389" s="252">
        <v>1</v>
      </c>
      <c r="D389" s="253">
        <f>SUM(33.9+357.98+76.9)/3</f>
        <v>156.26</v>
      </c>
      <c r="E389" s="54">
        <f t="shared" si="10"/>
        <v>156.26</v>
      </c>
      <c r="F389" s="114"/>
      <c r="G389" s="138"/>
      <c r="H389" s="1" t="s">
        <v>275</v>
      </c>
      <c r="I389" s="1"/>
      <c r="J389" s="1"/>
      <c r="K389" s="1"/>
      <c r="L389" s="1"/>
      <c r="M389" s="1"/>
      <c r="N389" s="1"/>
    </row>
    <row r="390" spans="1:14" ht="15" x14ac:dyDescent="0.2">
      <c r="A390" s="259" t="s">
        <v>322</v>
      </c>
      <c r="B390" s="260" t="s">
        <v>15</v>
      </c>
      <c r="C390" s="252">
        <v>12</v>
      </c>
      <c r="D390" s="253">
        <f>SUM(19.99+9.12+21.59)/3</f>
        <v>16.900000000000002</v>
      </c>
      <c r="E390" s="54">
        <f t="shared" si="10"/>
        <v>202.8</v>
      </c>
      <c r="F390" s="114"/>
      <c r="G390" s="138"/>
      <c r="H390" s="1" t="s">
        <v>275</v>
      </c>
      <c r="I390" s="1"/>
      <c r="J390" s="1"/>
      <c r="K390" s="1"/>
      <c r="L390" s="1"/>
      <c r="M390" s="1"/>
      <c r="N390" s="1"/>
    </row>
    <row r="391" spans="1:14" ht="15" x14ac:dyDescent="0.2">
      <c r="A391" s="259" t="s">
        <v>326</v>
      </c>
      <c r="B391" s="260" t="s">
        <v>15</v>
      </c>
      <c r="C391" s="252">
        <v>6</v>
      </c>
      <c r="D391" s="253">
        <f>SUM(72.8+134.9+134.9+159.9)/4</f>
        <v>125.625</v>
      </c>
      <c r="E391" s="54">
        <f t="shared" si="10"/>
        <v>753.75</v>
      </c>
      <c r="F391" s="114"/>
      <c r="G391" s="138"/>
      <c r="H391" s="1" t="s">
        <v>275</v>
      </c>
      <c r="I391" s="1"/>
      <c r="J391" s="1"/>
      <c r="K391" s="1"/>
      <c r="L391" s="1"/>
      <c r="M391" s="1"/>
      <c r="N391" s="1"/>
    </row>
    <row r="392" spans="1:14" ht="15" x14ac:dyDescent="0.2">
      <c r="A392" s="259" t="s">
        <v>273</v>
      </c>
      <c r="B392" s="251" t="s">
        <v>15</v>
      </c>
      <c r="C392" s="252">
        <v>3</v>
      </c>
      <c r="D392" s="253">
        <f>(689+849.5+788.41)/3</f>
        <v>775.63666666666666</v>
      </c>
      <c r="E392" s="54">
        <f t="shared" si="10"/>
        <v>2326.91</v>
      </c>
      <c r="F392" s="114"/>
      <c r="G392" s="138"/>
      <c r="H392" s="1" t="s">
        <v>275</v>
      </c>
      <c r="I392" s="1"/>
      <c r="J392" s="1"/>
      <c r="K392" s="1"/>
      <c r="L392" s="1"/>
      <c r="M392" s="1"/>
      <c r="N392" s="1"/>
    </row>
    <row r="393" spans="1:14" ht="15.75" thickBot="1" x14ac:dyDescent="0.25">
      <c r="A393" s="250" t="s">
        <v>228</v>
      </c>
      <c r="B393" s="251" t="s">
        <v>15</v>
      </c>
      <c r="C393" s="252">
        <v>3</v>
      </c>
      <c r="D393" s="253">
        <f>(139.9+324.9+129.96+259.99+151.99)/5</f>
        <v>201.34800000000001</v>
      </c>
      <c r="E393" s="54">
        <f t="shared" si="10"/>
        <v>604.04</v>
      </c>
      <c r="F393" s="114"/>
      <c r="G393" s="138"/>
      <c r="H393" s="1" t="s">
        <v>275</v>
      </c>
      <c r="I393" s="1"/>
      <c r="J393" s="1"/>
      <c r="K393" s="1"/>
      <c r="L393" s="1"/>
      <c r="M393" s="1"/>
      <c r="N393" s="1"/>
    </row>
    <row r="394" spans="1:14" ht="15.75" thickBot="1" x14ac:dyDescent="0.25">
      <c r="A394" s="16"/>
      <c r="B394" s="16"/>
      <c r="C394" s="16"/>
      <c r="D394" s="16"/>
      <c r="E394" s="15"/>
      <c r="F394" s="111">
        <f>TRUNC(SUM(E365:E393),2)</f>
        <v>12542.27</v>
      </c>
      <c r="G394" s="1"/>
      <c r="H394" s="1"/>
      <c r="I394" s="1"/>
      <c r="J394" s="1"/>
      <c r="K394" s="1"/>
      <c r="L394" s="1"/>
      <c r="M394" s="1"/>
      <c r="N394" s="1"/>
    </row>
    <row r="395" spans="1:14" ht="15.75" thickBot="1" x14ac:dyDescent="0.25">
      <c r="A395" s="1"/>
      <c r="B395" s="1"/>
      <c r="C395" s="1"/>
      <c r="D395" s="2"/>
      <c r="E395" s="2"/>
      <c r="F395" s="2"/>
      <c r="G395" s="1"/>
      <c r="H395" s="1"/>
      <c r="I395" s="1"/>
      <c r="J395" s="1"/>
      <c r="K395" s="1"/>
      <c r="L395" s="1"/>
      <c r="M395" s="1"/>
      <c r="N395" s="1"/>
    </row>
    <row r="396" spans="1:14" ht="15.75" thickBot="1" x14ac:dyDescent="0.25">
      <c r="A396" s="97" t="s">
        <v>107</v>
      </c>
      <c r="B396" s="98"/>
      <c r="C396" s="98"/>
      <c r="D396" s="99"/>
      <c r="E396" s="100"/>
      <c r="F396" s="111">
        <f>F394</f>
        <v>12542.27</v>
      </c>
      <c r="G396" s="1"/>
      <c r="H396" s="1"/>
      <c r="I396" s="1"/>
      <c r="J396" s="1"/>
      <c r="K396" s="1"/>
      <c r="L396" s="1"/>
      <c r="M396" s="1"/>
      <c r="N396" s="1"/>
    </row>
    <row r="397" spans="1:14" ht="15" x14ac:dyDescent="0.2">
      <c r="A397" s="1"/>
      <c r="B397" s="1"/>
      <c r="C397" s="1"/>
      <c r="D397" s="2"/>
      <c r="E397" s="2"/>
      <c r="F397" s="2"/>
      <c r="G397" s="1"/>
      <c r="H397" s="1"/>
      <c r="I397" s="1"/>
      <c r="J397" s="1"/>
      <c r="K397" s="1"/>
      <c r="L397" s="1"/>
      <c r="M397" s="1"/>
      <c r="N397" s="1"/>
    </row>
    <row r="398" spans="1:14" ht="15" x14ac:dyDescent="0.2">
      <c r="A398" s="1"/>
      <c r="B398" s="1"/>
      <c r="C398" s="1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</row>
    <row r="399" spans="1:14" ht="15" x14ac:dyDescent="0.2">
      <c r="A399" s="1"/>
      <c r="B399" s="1"/>
      <c r="C399" s="1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</row>
    <row r="400" spans="1:14" ht="15" x14ac:dyDescent="0.2">
      <c r="A400" s="229"/>
      <c r="B400" s="229"/>
      <c r="C400" s="229"/>
      <c r="D400" s="230"/>
      <c r="E400" s="233"/>
      <c r="F400" s="58"/>
      <c r="G400" s="2"/>
      <c r="H400" s="1"/>
      <c r="I400" s="1"/>
      <c r="J400" s="1"/>
      <c r="K400" s="1"/>
      <c r="L400" s="1"/>
      <c r="M400" s="1"/>
      <c r="N400" s="1"/>
    </row>
    <row r="401" spans="1:14" ht="15.75" thickBot="1" x14ac:dyDescent="0.25">
      <c r="A401" s="1"/>
      <c r="B401" s="1"/>
      <c r="C401" s="1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</row>
    <row r="402" spans="1:14" ht="15.75" thickBot="1" x14ac:dyDescent="0.25">
      <c r="A402" s="97" t="s">
        <v>108</v>
      </c>
      <c r="B402" s="108"/>
      <c r="C402" s="108"/>
      <c r="D402" s="109"/>
      <c r="E402" s="110"/>
      <c r="F402" s="96">
        <f>F171+F243+F360+F396</f>
        <v>108749.17000000001</v>
      </c>
      <c r="G402" s="2"/>
      <c r="H402" s="1"/>
      <c r="I402" s="1"/>
      <c r="J402" s="1"/>
      <c r="K402" s="1"/>
      <c r="L402" s="1"/>
      <c r="M402" s="1"/>
      <c r="N402" s="1"/>
    </row>
    <row r="403" spans="1:14" ht="15" x14ac:dyDescent="0.2">
      <c r="A403" s="1"/>
      <c r="B403" s="1"/>
      <c r="C403" s="1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</row>
    <row r="404" spans="1:14" ht="15" x14ac:dyDescent="0.2">
      <c r="A404" s="1"/>
      <c r="B404" s="1"/>
      <c r="C404" s="1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</row>
    <row r="405" spans="1:14" ht="15.75" thickBot="1" x14ac:dyDescent="0.25">
      <c r="A405" s="16" t="s">
        <v>328</v>
      </c>
      <c r="B405" s="1"/>
      <c r="C405" s="1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</row>
    <row r="406" spans="1:14" ht="15.75" thickBot="1" x14ac:dyDescent="0.25">
      <c r="A406" s="43" t="s">
        <v>14</v>
      </c>
      <c r="B406" s="44" t="s">
        <v>15</v>
      </c>
      <c r="C406" s="44" t="s">
        <v>9</v>
      </c>
      <c r="D406" s="45" t="s">
        <v>16</v>
      </c>
      <c r="E406" s="45" t="s">
        <v>17</v>
      </c>
      <c r="F406" s="46" t="s">
        <v>18</v>
      </c>
      <c r="G406" s="2"/>
      <c r="H406" s="1"/>
      <c r="I406" s="1"/>
      <c r="J406" s="1"/>
      <c r="K406" s="1"/>
      <c r="L406" s="1"/>
      <c r="M406" s="1"/>
      <c r="N406" s="1"/>
    </row>
    <row r="407" spans="1:14" ht="15.75" thickBot="1" x14ac:dyDescent="0.25">
      <c r="A407" s="47" t="s">
        <v>109</v>
      </c>
      <c r="B407" s="48" t="s">
        <v>6</v>
      </c>
      <c r="C407" s="60">
        <f>'4.BDI'!C18*100</f>
        <v>22.7</v>
      </c>
      <c r="D407" s="50">
        <f>+F402</f>
        <v>108749.17000000001</v>
      </c>
      <c r="E407" s="50">
        <f>C407*D407/100</f>
        <v>24686.061590000001</v>
      </c>
      <c r="F407" s="2"/>
      <c r="G407" s="2"/>
      <c r="H407" s="1"/>
      <c r="I407" s="1"/>
      <c r="J407" s="1"/>
      <c r="K407" s="1"/>
      <c r="L407" s="1"/>
      <c r="M407" s="1"/>
      <c r="N407" s="1"/>
    </row>
    <row r="408" spans="1:14" ht="15.75" thickBot="1" x14ac:dyDescent="0.25">
      <c r="A408" s="1"/>
      <c r="B408" s="1"/>
      <c r="C408" s="1"/>
      <c r="D408" s="2"/>
      <c r="E408" s="2"/>
      <c r="F408" s="111">
        <f>TRUNC(+E407,2)</f>
        <v>24686.06</v>
      </c>
      <c r="G408" s="2"/>
      <c r="H408" s="1"/>
      <c r="I408" s="1"/>
      <c r="J408" s="1"/>
      <c r="K408" s="1"/>
      <c r="L408" s="1"/>
      <c r="M408" s="1"/>
      <c r="N408" s="1"/>
    </row>
    <row r="409" spans="1:14" ht="15.75" thickBot="1" x14ac:dyDescent="0.25">
      <c r="A409" s="1"/>
      <c r="B409" s="1"/>
      <c r="C409" s="1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</row>
    <row r="410" spans="1:14" ht="15.75" thickBot="1" x14ac:dyDescent="0.25">
      <c r="A410" s="97" t="s">
        <v>110</v>
      </c>
      <c r="B410" s="108"/>
      <c r="C410" s="108"/>
      <c r="D410" s="109"/>
      <c r="E410" s="110"/>
      <c r="F410" s="96">
        <f>TRUNC(F408,2)</f>
        <v>24686.06</v>
      </c>
      <c r="G410" s="2"/>
      <c r="H410" s="1"/>
      <c r="I410" s="1"/>
      <c r="J410" s="1"/>
      <c r="K410" s="1"/>
      <c r="L410" s="1"/>
      <c r="M410" s="1"/>
      <c r="N410" s="1"/>
    </row>
    <row r="411" spans="1:14" ht="15.75" thickBot="1" x14ac:dyDescent="0.25">
      <c r="A411" s="16"/>
      <c r="B411" s="16"/>
      <c r="C411" s="16"/>
      <c r="D411" s="15"/>
      <c r="E411" s="15"/>
      <c r="F411" s="58"/>
      <c r="G411" s="2"/>
      <c r="H411" s="1"/>
      <c r="I411" s="1"/>
      <c r="J411" s="1"/>
      <c r="K411" s="1"/>
      <c r="L411" s="1"/>
      <c r="M411" s="1"/>
      <c r="N411" s="1"/>
    </row>
    <row r="412" spans="1:14" ht="15.75" thickBot="1" x14ac:dyDescent="0.25">
      <c r="A412" s="97" t="s">
        <v>111</v>
      </c>
      <c r="B412" s="108"/>
      <c r="C412" s="108"/>
      <c r="D412" s="109"/>
      <c r="E412" s="110"/>
      <c r="F412" s="96">
        <f>TRUNC(F402+F410,2)</f>
        <v>133435.23000000001</v>
      </c>
      <c r="G412" s="2"/>
      <c r="H412" s="1"/>
      <c r="I412" s="1"/>
      <c r="J412" s="1"/>
      <c r="K412" s="1"/>
      <c r="L412" s="1"/>
      <c r="M412" s="1"/>
      <c r="N412" s="1"/>
    </row>
    <row r="413" spans="1:14" ht="15" x14ac:dyDescent="0.2">
      <c r="A413" s="16"/>
      <c r="B413" s="16"/>
      <c r="C413" s="16"/>
      <c r="D413" s="15"/>
      <c r="E413" s="15"/>
      <c r="F413" s="15"/>
      <c r="G413" s="2"/>
      <c r="H413" s="1"/>
      <c r="I413" s="1"/>
      <c r="J413" s="1"/>
      <c r="K413" s="1"/>
      <c r="L413" s="1"/>
      <c r="M413" s="1"/>
      <c r="N413" s="1"/>
    </row>
    <row r="414" spans="1:14" ht="15" x14ac:dyDescent="0.2">
      <c r="A414" s="16"/>
      <c r="B414" s="16"/>
      <c r="C414" s="16"/>
      <c r="D414" s="15"/>
      <c r="E414" s="15"/>
      <c r="F414" s="15"/>
      <c r="G414" s="2"/>
      <c r="H414" s="1"/>
      <c r="I414" s="1"/>
      <c r="J414" s="1"/>
      <c r="K414" s="1"/>
      <c r="L414" s="1"/>
      <c r="M414" s="1"/>
      <c r="N414" s="1"/>
    </row>
    <row r="415" spans="1:14" ht="15" x14ac:dyDescent="0.2">
      <c r="A415" s="16"/>
      <c r="B415" s="16"/>
      <c r="C415" s="16"/>
      <c r="D415" s="15"/>
      <c r="E415" s="15"/>
      <c r="F415" s="15"/>
      <c r="G415" s="2"/>
      <c r="H415" s="1"/>
      <c r="I415" s="1"/>
      <c r="J415" s="1"/>
      <c r="K415" s="1"/>
      <c r="L415" s="1"/>
      <c r="M415" s="1"/>
      <c r="N415" s="1"/>
    </row>
    <row r="416" spans="1:14" ht="15" x14ac:dyDescent="0.2">
      <c r="A416" s="16"/>
      <c r="B416" s="16"/>
      <c r="C416" s="16"/>
      <c r="D416" s="15"/>
      <c r="E416" s="15"/>
      <c r="F416" s="15"/>
      <c r="G416" s="2"/>
      <c r="H416" s="1"/>
      <c r="I416" s="1"/>
      <c r="J416" s="1"/>
      <c r="K416" s="1"/>
      <c r="L416" s="1"/>
      <c r="M416" s="1"/>
      <c r="N416" s="1"/>
    </row>
    <row r="417" spans="1:14" ht="15" x14ac:dyDescent="0.2">
      <c r="A417" s="139"/>
      <c r="B417" s="139"/>
      <c r="C417" s="140"/>
      <c r="D417" s="140"/>
      <c r="E417" s="140"/>
      <c r="F417" s="140"/>
      <c r="G417" s="2"/>
      <c r="H417" s="1"/>
      <c r="I417" s="1"/>
      <c r="J417" s="1"/>
      <c r="K417" s="1"/>
      <c r="L417" s="1"/>
      <c r="M417" s="1"/>
      <c r="N417" s="1"/>
    </row>
    <row r="418" spans="1:14" ht="15" x14ac:dyDescent="0.2">
      <c r="A418" s="139"/>
      <c r="B418" s="139"/>
      <c r="C418" s="141" t="s">
        <v>112</v>
      </c>
      <c r="D418" s="290">
        <f ca="1">TODAY()</f>
        <v>46120</v>
      </c>
      <c r="E418" s="290"/>
      <c r="F418" s="290"/>
      <c r="G418" s="2"/>
      <c r="H418" s="1"/>
      <c r="I418" s="1"/>
      <c r="J418" s="1"/>
      <c r="K418" s="1"/>
      <c r="L418" s="1"/>
      <c r="M418" s="1"/>
      <c r="N418" s="1"/>
    </row>
    <row r="419" spans="1:14" ht="15" x14ac:dyDescent="0.2">
      <c r="A419" s="139"/>
      <c r="B419" s="139"/>
      <c r="C419" s="141"/>
      <c r="D419" s="142"/>
      <c r="E419" s="142"/>
      <c r="F419" s="142"/>
      <c r="G419" s="2"/>
      <c r="H419" s="1"/>
      <c r="I419" s="1"/>
      <c r="J419" s="1"/>
      <c r="K419" s="1"/>
      <c r="L419" s="1"/>
      <c r="M419" s="1"/>
      <c r="N419" s="1"/>
    </row>
    <row r="420" spans="1:14" ht="15" x14ac:dyDescent="0.2">
      <c r="A420" s="139"/>
      <c r="B420" s="139"/>
      <c r="C420" s="141"/>
      <c r="D420" s="142"/>
      <c r="E420" s="142"/>
      <c r="F420" s="142"/>
      <c r="G420" s="2"/>
      <c r="H420" s="1"/>
      <c r="I420" s="1"/>
      <c r="J420" s="1"/>
      <c r="K420" s="1"/>
      <c r="L420" s="1"/>
      <c r="M420" s="1"/>
      <c r="N420" s="1"/>
    </row>
  </sheetData>
  <mergeCells count="15">
    <mergeCell ref="G171:N174"/>
    <mergeCell ref="D418:F418"/>
    <mergeCell ref="A7:F7"/>
    <mergeCell ref="A8:F8"/>
    <mergeCell ref="A9:F9"/>
    <mergeCell ref="A12:F12"/>
    <mergeCell ref="A13:F13"/>
    <mergeCell ref="A14:F17"/>
    <mergeCell ref="A38:D38"/>
    <mergeCell ref="A18:F18"/>
    <mergeCell ref="A31:C31"/>
    <mergeCell ref="A37:D37"/>
    <mergeCell ref="A40:E40"/>
    <mergeCell ref="A41:D41"/>
    <mergeCell ref="A52:D52"/>
  </mergeCells>
  <hyperlinks>
    <hyperlink ref="A249" location="AbaDeprec" display="3.1.1. Depreciação" xr:uid="{CEC425C1-1B64-4151-B56A-320B15A00691}"/>
    <hyperlink ref="A260" location="AbaRemun" display="3.1.2. Remuneração do Capital" xr:uid="{7658F0A2-1A71-42E4-97B9-90F608A1BDC1}"/>
    <hyperlink ref="A305" location="AbaDeprec" display="3.1.1. Depreciação" xr:uid="{01C82660-7F1E-45DE-A09E-D16CCFF4784F}"/>
    <hyperlink ref="A316" location="AbaRemun" display="3.1.2. Remuneração do Capital" xr:uid="{72776D7D-440D-4C15-A0A5-A84681CE84C4}"/>
  </hyperlinks>
  <pageMargins left="0.511811024" right="0.511811024" top="0.78740157499999996" bottom="0.78740157499999996" header="0.31496062000000002" footer="0.31496062000000002"/>
  <pageSetup paperSize="9" scale="42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109"/>
  <sheetViews>
    <sheetView topLeftCell="A17" zoomScaleNormal="100" workbookViewId="0">
      <selection activeCell="D22" sqref="D22"/>
    </sheetView>
  </sheetViews>
  <sheetFormatPr defaultRowHeight="12.75" x14ac:dyDescent="0.2"/>
  <cols>
    <col min="1" max="1" width="13.5703125" style="143" customWidth="1"/>
    <col min="2" max="2" width="39.5703125" style="143" customWidth="1"/>
    <col min="3" max="3" width="14.5703125" style="143" customWidth="1"/>
    <col min="4" max="4" width="37.28515625" style="143" customWidth="1"/>
    <col min="5" max="10" width="9.140625" style="143" customWidth="1"/>
    <col min="11" max="11" width="11" style="143" customWidth="1"/>
    <col min="12" max="1025" width="9.140625" style="143" customWidth="1"/>
  </cols>
  <sheetData>
    <row r="1" spans="1:7" x14ac:dyDescent="0.2">
      <c r="A1" s="144"/>
    </row>
    <row r="2" spans="1:7" x14ac:dyDescent="0.2">
      <c r="A2" s="145"/>
    </row>
    <row r="3" spans="1:7" s="146" customFormat="1" ht="15.6" customHeight="1" x14ac:dyDescent="0.2">
      <c r="B3" s="147"/>
      <c r="C3" s="147"/>
      <c r="D3" s="147"/>
      <c r="E3" s="147"/>
      <c r="F3" s="147"/>
      <c r="G3" s="148"/>
    </row>
    <row r="5" spans="1:7" ht="18" x14ac:dyDescent="0.2">
      <c r="A5" s="288" t="s">
        <v>280</v>
      </c>
      <c r="B5" s="288"/>
      <c r="C5" s="288"/>
      <c r="D5" s="149"/>
      <c r="E5" s="149"/>
      <c r="F5" s="149"/>
    </row>
    <row r="6" spans="1:7" ht="14.25" x14ac:dyDescent="0.2">
      <c r="A6" s="150" t="s">
        <v>114</v>
      </c>
      <c r="B6" s="151" t="s">
        <v>115</v>
      </c>
      <c r="C6" s="152" t="s">
        <v>116</v>
      </c>
      <c r="D6" s="153"/>
    </row>
    <row r="7" spans="1:7" ht="14.25" x14ac:dyDescent="0.2">
      <c r="A7" s="150" t="s">
        <v>117</v>
      </c>
      <c r="B7" s="151" t="s">
        <v>118</v>
      </c>
      <c r="C7" s="154">
        <v>0.2</v>
      </c>
      <c r="D7" s="153"/>
    </row>
    <row r="8" spans="1:7" ht="14.25" x14ac:dyDescent="0.2">
      <c r="A8" s="150" t="s">
        <v>119</v>
      </c>
      <c r="B8" s="151" t="s">
        <v>120</v>
      </c>
      <c r="C8" s="154">
        <v>1.4999999999999999E-2</v>
      </c>
      <c r="D8" s="153"/>
    </row>
    <row r="9" spans="1:7" ht="14.25" x14ac:dyDescent="0.2">
      <c r="A9" s="150" t="s">
        <v>121</v>
      </c>
      <c r="B9" s="151" t="s">
        <v>122</v>
      </c>
      <c r="C9" s="154">
        <v>0.01</v>
      </c>
      <c r="D9" s="153"/>
    </row>
    <row r="10" spans="1:7" ht="14.25" x14ac:dyDescent="0.2">
      <c r="A10" s="150" t="s">
        <v>123</v>
      </c>
      <c r="B10" s="151" t="s">
        <v>124</v>
      </c>
      <c r="C10" s="154">
        <v>2E-3</v>
      </c>
      <c r="D10" s="153"/>
    </row>
    <row r="11" spans="1:7" ht="14.25" x14ac:dyDescent="0.2">
      <c r="A11" s="150" t="s">
        <v>125</v>
      </c>
      <c r="B11" s="151" t="s">
        <v>126</v>
      </c>
      <c r="C11" s="154">
        <v>6.0000000000000001E-3</v>
      </c>
      <c r="D11" s="153"/>
    </row>
    <row r="12" spans="1:7" ht="14.25" x14ac:dyDescent="0.2">
      <c r="A12" s="150" t="s">
        <v>127</v>
      </c>
      <c r="B12" s="151" t="s">
        <v>128</v>
      </c>
      <c r="C12" s="154">
        <v>2.5000000000000001E-2</v>
      </c>
      <c r="D12" s="153"/>
    </row>
    <row r="13" spans="1:7" ht="14.25" x14ac:dyDescent="0.2">
      <c r="A13" s="150" t="s">
        <v>129</v>
      </c>
      <c r="B13" s="151" t="s">
        <v>130</v>
      </c>
      <c r="C13" s="154">
        <v>0.03</v>
      </c>
      <c r="D13" s="153"/>
    </row>
    <row r="14" spans="1:7" ht="14.25" x14ac:dyDescent="0.2">
      <c r="A14" s="150" t="s">
        <v>131</v>
      </c>
      <c r="B14" s="151" t="s">
        <v>132</v>
      </c>
      <c r="C14" s="154">
        <v>0.08</v>
      </c>
      <c r="D14" s="153"/>
    </row>
    <row r="15" spans="1:7" ht="15" x14ac:dyDescent="0.2">
      <c r="A15" s="150" t="s">
        <v>133</v>
      </c>
      <c r="B15" s="155" t="s">
        <v>134</v>
      </c>
      <c r="C15" s="156">
        <f>SUM(C7:C14)</f>
        <v>0.36800000000000005</v>
      </c>
      <c r="D15" s="153"/>
    </row>
    <row r="16" spans="1:7" ht="15" x14ac:dyDescent="0.2">
      <c r="A16" s="157"/>
      <c r="B16" s="158"/>
      <c r="C16" s="159"/>
      <c r="D16" s="153"/>
    </row>
    <row r="17" spans="1:8" ht="14.25" x14ac:dyDescent="0.2">
      <c r="A17" s="150" t="s">
        <v>135</v>
      </c>
      <c r="B17" s="151" t="s">
        <v>136</v>
      </c>
      <c r="C17" s="154">
        <v>6.1899999999999997E-2</v>
      </c>
      <c r="D17" s="153"/>
    </row>
    <row r="18" spans="1:8" ht="14.25" x14ac:dyDescent="0.2">
      <c r="A18" s="150" t="s">
        <v>137</v>
      </c>
      <c r="B18" s="151" t="s">
        <v>138</v>
      </c>
      <c r="C18" s="154">
        <v>8.3299999999999999E-2</v>
      </c>
      <c r="D18" s="153"/>
    </row>
    <row r="19" spans="1:8" ht="14.25" x14ac:dyDescent="0.2">
      <c r="A19" s="150" t="s">
        <v>139</v>
      </c>
      <c r="B19" s="151" t="s">
        <v>140</v>
      </c>
      <c r="C19" s="154">
        <v>5.9999999999999995E-4</v>
      </c>
      <c r="D19" s="153"/>
    </row>
    <row r="20" spans="1:8" ht="14.25" x14ac:dyDescent="0.2">
      <c r="A20" s="150" t="s">
        <v>141</v>
      </c>
      <c r="B20" s="151" t="s">
        <v>142</v>
      </c>
      <c r="C20" s="154">
        <v>8.2000000000000007E-3</v>
      </c>
      <c r="D20" s="153"/>
    </row>
    <row r="21" spans="1:8" ht="14.25" x14ac:dyDescent="0.2">
      <c r="A21" s="150" t="s">
        <v>143</v>
      </c>
      <c r="B21" s="151" t="s">
        <v>144</v>
      </c>
      <c r="C21" s="154">
        <v>3.0999999999999999E-3</v>
      </c>
      <c r="D21" s="153"/>
    </row>
    <row r="22" spans="1:8" ht="14.25" x14ac:dyDescent="0.2">
      <c r="A22" s="150" t="s">
        <v>145</v>
      </c>
      <c r="B22" s="151" t="s">
        <v>146</v>
      </c>
      <c r="C22" s="154">
        <v>1.66E-2</v>
      </c>
      <c r="D22" s="153"/>
    </row>
    <row r="23" spans="1:8" ht="15" x14ac:dyDescent="0.2">
      <c r="A23" s="150" t="s">
        <v>147</v>
      </c>
      <c r="B23" s="155" t="s">
        <v>148</v>
      </c>
      <c r="C23" s="156">
        <f>SUM(C17:C22)</f>
        <v>0.17369999999999999</v>
      </c>
      <c r="D23" s="160"/>
    </row>
    <row r="24" spans="1:8" ht="15" x14ac:dyDescent="0.2">
      <c r="A24" s="157"/>
      <c r="B24" s="158"/>
      <c r="C24" s="159"/>
      <c r="D24" s="160"/>
    </row>
    <row r="25" spans="1:8" ht="14.25" x14ac:dyDescent="0.2">
      <c r="A25" s="150" t="s">
        <v>149</v>
      </c>
      <c r="B25" s="151" t="s">
        <v>150</v>
      </c>
      <c r="C25" s="154">
        <v>2.5600000000000001E-2</v>
      </c>
      <c r="D25" s="153"/>
      <c r="E25" s="161"/>
    </row>
    <row r="26" spans="1:8" ht="14.25" x14ac:dyDescent="0.2">
      <c r="A26" s="150" t="s">
        <v>151</v>
      </c>
      <c r="B26" s="151" t="s">
        <v>152</v>
      </c>
      <c r="C26" s="154">
        <v>4.9200000000000001E-2</v>
      </c>
      <c r="D26" s="153"/>
      <c r="H26" s="162"/>
    </row>
    <row r="27" spans="1:8" ht="14.25" x14ac:dyDescent="0.2">
      <c r="A27" s="150" t="s">
        <v>153</v>
      </c>
      <c r="B27" s="151" t="s">
        <v>154</v>
      </c>
      <c r="C27" s="154">
        <v>1.2999999999999999E-3</v>
      </c>
      <c r="D27" s="153"/>
      <c r="E27" s="161"/>
    </row>
    <row r="28" spans="1:8" ht="14.25" x14ac:dyDescent="0.2">
      <c r="A28" s="150" t="s">
        <v>155</v>
      </c>
      <c r="B28" s="151" t="s">
        <v>156</v>
      </c>
      <c r="C28" s="154">
        <v>2.0500000000000001E-2</v>
      </c>
      <c r="D28" s="153"/>
      <c r="G28" s="161"/>
    </row>
    <row r="29" spans="1:8" ht="14.25" x14ac:dyDescent="0.2">
      <c r="A29" s="150" t="s">
        <v>157</v>
      </c>
      <c r="B29" s="151" t="s">
        <v>158</v>
      </c>
      <c r="C29" s="154">
        <v>1.9E-3</v>
      </c>
      <c r="D29" s="153"/>
    </row>
    <row r="30" spans="1:8" ht="15" x14ac:dyDescent="0.2">
      <c r="A30" s="150" t="s">
        <v>159</v>
      </c>
      <c r="B30" s="155" t="s">
        <v>160</v>
      </c>
      <c r="C30" s="156">
        <f>SUM(C25:C29)</f>
        <v>9.8500000000000004E-2</v>
      </c>
      <c r="D30" s="160"/>
    </row>
    <row r="31" spans="1:8" ht="15" x14ac:dyDescent="0.2">
      <c r="A31" s="157"/>
      <c r="B31" s="158"/>
      <c r="C31" s="159"/>
      <c r="D31" s="160"/>
    </row>
    <row r="32" spans="1:8" ht="14.25" x14ac:dyDescent="0.2">
      <c r="A32" s="150" t="s">
        <v>161</v>
      </c>
      <c r="B32" s="151" t="s">
        <v>162</v>
      </c>
      <c r="C32" s="154">
        <f>C15*C23</f>
        <v>6.3921600000000009E-2</v>
      </c>
      <c r="D32" s="153"/>
    </row>
    <row r="33" spans="1:4" ht="28.5" x14ac:dyDescent="0.2">
      <c r="A33" s="150" t="s">
        <v>163</v>
      </c>
      <c r="B33" s="163" t="s">
        <v>164</v>
      </c>
      <c r="C33" s="154">
        <f>C25*C14</f>
        <v>2.0480000000000003E-3</v>
      </c>
      <c r="D33" s="153"/>
    </row>
    <row r="34" spans="1:4" ht="15" x14ac:dyDescent="0.2">
      <c r="A34" s="150" t="s">
        <v>165</v>
      </c>
      <c r="B34" s="155" t="s">
        <v>166</v>
      </c>
      <c r="C34" s="156">
        <f>SUM(C32:C33)</f>
        <v>6.5969600000000003E-2</v>
      </c>
      <c r="D34" s="160"/>
    </row>
    <row r="35" spans="1:4" ht="15" x14ac:dyDescent="0.2">
      <c r="A35" s="164"/>
      <c r="B35" s="165" t="s">
        <v>167</v>
      </c>
      <c r="C35" s="166">
        <f>C34+C30+C23+C15</f>
        <v>0.70616959999999995</v>
      </c>
      <c r="D35" s="160"/>
    </row>
    <row r="36" spans="1:4" ht="15" x14ac:dyDescent="0.2">
      <c r="A36" s="153"/>
      <c r="B36" s="167"/>
      <c r="C36" s="168"/>
      <c r="D36" s="169"/>
    </row>
    <row r="109" spans="1:7" ht="81" customHeight="1" x14ac:dyDescent="0.2">
      <c r="A109" s="289"/>
      <c r="B109" s="289"/>
      <c r="C109" s="289"/>
      <c r="D109" s="289"/>
      <c r="E109" s="289"/>
      <c r="F109" s="289"/>
      <c r="G109" s="289"/>
    </row>
  </sheetData>
  <mergeCells count="2">
    <mergeCell ref="A5:C5"/>
    <mergeCell ref="A109:G109"/>
  </mergeCells>
  <pageMargins left="0.905555555555556" right="0.51180555555555496" top="0.74791666666666701" bottom="0.74791666666666701" header="0.51180555555555496" footer="0.51180555555555496"/>
  <pageSetup paperSize="9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selection activeCell="F18" sqref="A6:F18"/>
    </sheetView>
  </sheetViews>
  <sheetFormatPr defaultRowHeight="12.75" x14ac:dyDescent="0.2"/>
  <cols>
    <col min="1" max="1" width="41.85546875" customWidth="1"/>
    <col min="2" max="2" width="5.5703125" customWidth="1"/>
    <col min="3" max="3" width="8.7109375" customWidth="1"/>
    <col min="4" max="4" width="9.7109375" customWidth="1"/>
    <col min="5" max="5" width="9.140625" style="174" customWidth="1"/>
    <col min="6" max="6" width="9.7109375" customWidth="1"/>
    <col min="7" max="1025" width="8.7109375" customWidth="1"/>
  </cols>
  <sheetData>
    <row r="1" spans="1:8" s="176" customFormat="1" ht="14.25" x14ac:dyDescent="0.2">
      <c r="A1" s="144" t="s">
        <v>113</v>
      </c>
      <c r="B1" s="175"/>
      <c r="C1" s="175"/>
      <c r="E1" s="177"/>
    </row>
    <row r="2" spans="1:8" s="176" customFormat="1" ht="14.25" x14ac:dyDescent="0.2">
      <c r="A2" s="145" t="s">
        <v>168</v>
      </c>
      <c r="B2" s="175"/>
      <c r="C2" s="175"/>
      <c r="E2" s="177"/>
    </row>
    <row r="3" spans="1:8" s="176" customFormat="1" ht="14.25" x14ac:dyDescent="0.2">
      <c r="A3" s="178" t="s">
        <v>169</v>
      </c>
      <c r="B3" s="175"/>
      <c r="C3" s="175"/>
      <c r="E3" s="177"/>
    </row>
    <row r="4" spans="1:8" s="176" customFormat="1" ht="14.25" x14ac:dyDescent="0.2">
      <c r="A4" s="178"/>
      <c r="B4" s="175"/>
      <c r="C4" s="175"/>
      <c r="E4" s="177"/>
    </row>
    <row r="5" spans="1:8" s="176" customFormat="1" ht="14.25" x14ac:dyDescent="0.2">
      <c r="A5"/>
      <c r="B5" s="175"/>
      <c r="C5" s="175"/>
      <c r="E5" s="177"/>
    </row>
    <row r="6" spans="1:8" ht="15.75" x14ac:dyDescent="0.2">
      <c r="A6" s="313" t="s">
        <v>170</v>
      </c>
      <c r="B6" s="313"/>
      <c r="C6" s="313"/>
      <c r="D6" s="313"/>
      <c r="E6" s="313"/>
      <c r="F6" s="313"/>
    </row>
    <row r="7" spans="1:8" ht="15.75" x14ac:dyDescent="0.2">
      <c r="A7" s="179"/>
      <c r="B7" s="180"/>
      <c r="C7" s="180"/>
      <c r="D7" s="180"/>
      <c r="E7" s="180"/>
      <c r="F7" s="181"/>
    </row>
    <row r="8" spans="1:8" ht="15" x14ac:dyDescent="0.25">
      <c r="A8" s="182"/>
      <c r="B8" s="175"/>
      <c r="C8" s="175"/>
      <c r="D8" s="314" t="s">
        <v>171</v>
      </c>
      <c r="E8" s="314"/>
      <c r="F8" s="314"/>
      <c r="G8" s="176"/>
      <c r="H8" s="176"/>
    </row>
    <row r="9" spans="1:8" ht="14.25" x14ac:dyDescent="0.2">
      <c r="A9" s="173"/>
      <c r="B9" s="176"/>
      <c r="C9" s="176"/>
      <c r="D9" s="183" t="s">
        <v>172</v>
      </c>
      <c r="E9" s="184" t="s">
        <v>173</v>
      </c>
      <c r="F9" s="185" t="s">
        <v>174</v>
      </c>
      <c r="G9" s="176"/>
      <c r="H9" s="176"/>
    </row>
    <row r="10" spans="1:8" ht="14.25" x14ac:dyDescent="0.2">
      <c r="A10" s="186" t="s">
        <v>175</v>
      </c>
      <c r="B10" s="187" t="s">
        <v>176</v>
      </c>
      <c r="C10" s="188">
        <v>2.9700000000000001E-2</v>
      </c>
      <c r="D10" s="189">
        <v>2.9700000000000001E-2</v>
      </c>
      <c r="E10" s="190">
        <v>5.0799999999999998E-2</v>
      </c>
      <c r="F10" s="191">
        <v>6.2700000000000006E-2</v>
      </c>
      <c r="G10" s="176"/>
      <c r="H10" s="176"/>
    </row>
    <row r="11" spans="1:8" ht="14.25" x14ac:dyDescent="0.2">
      <c r="A11" s="192" t="s">
        <v>177</v>
      </c>
      <c r="B11" s="193" t="s">
        <v>178</v>
      </c>
      <c r="C11" s="194">
        <v>8.6E-3</v>
      </c>
      <c r="D11" s="189">
        <f>0.003+0.0056</f>
        <v>8.6E-3</v>
      </c>
      <c r="E11" s="190">
        <f>0.0048+0.0085</f>
        <v>1.3299999999999999E-2</v>
      </c>
      <c r="F11" s="191">
        <f>0.0082+0.0089</f>
        <v>1.7100000000000001E-2</v>
      </c>
      <c r="G11" s="176"/>
      <c r="H11" s="176"/>
    </row>
    <row r="12" spans="1:8" ht="14.25" x14ac:dyDescent="0.2">
      <c r="A12" s="192" t="s">
        <v>179</v>
      </c>
      <c r="B12" s="193" t="s">
        <v>180</v>
      </c>
      <c r="C12" s="194">
        <v>7.7799999999999994E-2</v>
      </c>
      <c r="D12" s="189">
        <v>7.7799999999999994E-2</v>
      </c>
      <c r="E12" s="190">
        <v>0.1085</v>
      </c>
      <c r="F12" s="191">
        <v>0.13550000000000001</v>
      </c>
      <c r="G12" s="176"/>
      <c r="H12" s="176"/>
    </row>
    <row r="13" spans="1:8" ht="14.25" x14ac:dyDescent="0.2">
      <c r="A13" s="192" t="s">
        <v>181</v>
      </c>
      <c r="B13" s="193" t="s">
        <v>182</v>
      </c>
      <c r="C13" s="195">
        <v>2.9000000000000001E-2</v>
      </c>
      <c r="D13" s="189" t="s">
        <v>183</v>
      </c>
      <c r="E13" s="196">
        <v>0.1275</v>
      </c>
      <c r="F13" s="197"/>
      <c r="G13" s="176"/>
      <c r="H13" s="176"/>
    </row>
    <row r="14" spans="1:8" ht="14.25" x14ac:dyDescent="0.2">
      <c r="A14" s="192" t="s">
        <v>184</v>
      </c>
      <c r="B14" s="315" t="s">
        <v>185</v>
      </c>
      <c r="C14" s="194">
        <v>2.5000000000000001E-2</v>
      </c>
      <c r="D14" s="198" t="s">
        <v>186</v>
      </c>
      <c r="E14" s="199">
        <v>60</v>
      </c>
      <c r="F14" s="172"/>
      <c r="G14" s="176"/>
      <c r="H14" s="176"/>
    </row>
    <row r="15" spans="1:8" ht="14.25" x14ac:dyDescent="0.2">
      <c r="A15" s="200" t="s">
        <v>187</v>
      </c>
      <c r="B15" s="315"/>
      <c r="C15" s="201">
        <v>3.6499999999999998E-2</v>
      </c>
      <c r="D15" s="171"/>
      <c r="E15" s="202"/>
      <c r="F15" s="172"/>
      <c r="G15" s="176"/>
      <c r="H15" s="176"/>
    </row>
    <row r="16" spans="1:8" ht="14.25" x14ac:dyDescent="0.2">
      <c r="A16" s="203" t="s">
        <v>188</v>
      </c>
      <c r="B16" s="204"/>
      <c r="C16" s="205"/>
      <c r="D16" s="171"/>
      <c r="E16" s="202"/>
      <c r="F16" s="172"/>
      <c r="G16" s="176"/>
      <c r="H16" s="176"/>
    </row>
    <row r="17" spans="1:8" ht="14.25" x14ac:dyDescent="0.2">
      <c r="A17" s="206" t="s">
        <v>189</v>
      </c>
      <c r="B17" s="207"/>
      <c r="C17" s="208"/>
      <c r="D17" s="171"/>
      <c r="E17" s="202"/>
      <c r="F17" s="172"/>
      <c r="G17" s="176"/>
      <c r="H17" s="176"/>
    </row>
    <row r="18" spans="1:8" ht="15" x14ac:dyDescent="0.2">
      <c r="A18" s="209" t="s">
        <v>190</v>
      </c>
      <c r="B18" s="210"/>
      <c r="C18" s="211">
        <f>ROUND((((1+C10+C11)*(1+C12)*(1+C13))/(1-(C14+C15))-1),4)</f>
        <v>0.22700000000000001</v>
      </c>
      <c r="D18" s="212">
        <v>0.21429999999999999</v>
      </c>
      <c r="E18" s="213">
        <v>0.2717</v>
      </c>
      <c r="F18" s="214">
        <v>0.3362</v>
      </c>
      <c r="G18" s="176"/>
      <c r="H18" s="176"/>
    </row>
  </sheetData>
  <mergeCells count="3">
    <mergeCell ref="A6:F6"/>
    <mergeCell ref="D8:F8"/>
    <mergeCell ref="B14:B15"/>
  </mergeCells>
  <pageMargins left="0.905555555555556" right="0.51180555555555496" top="0.74791666666666701" bottom="0.74791666666666701" header="0.51180555555555496" footer="0.51180555555555496"/>
  <pageSetup paperSize="9" firstPageNumber="0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17"/>
  <sheetViews>
    <sheetView zoomScaleNormal="100" workbookViewId="0">
      <selection activeCell="B17" sqref="A1:B17"/>
    </sheetView>
  </sheetViews>
  <sheetFormatPr defaultRowHeight="12.75" x14ac:dyDescent="0.2"/>
  <cols>
    <col min="1" max="1" width="24.5703125" style="143" customWidth="1"/>
    <col min="2" max="2" width="20.85546875" style="143" customWidth="1"/>
    <col min="3" max="1025" width="9.140625" style="143" customWidth="1"/>
  </cols>
  <sheetData>
    <row r="1" spans="1:2" ht="19.5" customHeight="1" x14ac:dyDescent="0.2">
      <c r="A1" s="313" t="s">
        <v>191</v>
      </c>
      <c r="B1" s="313"/>
    </row>
    <row r="2" spans="1:2" s="170" customFormat="1" ht="19.5" customHeight="1" x14ac:dyDescent="0.2">
      <c r="A2" s="255" t="s">
        <v>192</v>
      </c>
      <c r="B2" s="256" t="s">
        <v>193</v>
      </c>
    </row>
    <row r="3" spans="1:2" ht="19.5" customHeight="1" x14ac:dyDescent="0.2">
      <c r="A3" s="215">
        <v>1</v>
      </c>
      <c r="B3" s="216">
        <v>33.630000000000003</v>
      </c>
    </row>
    <row r="4" spans="1:2" ht="19.5" customHeight="1" x14ac:dyDescent="0.2">
      <c r="A4" s="215">
        <v>2</v>
      </c>
      <c r="B4" s="216">
        <v>43.13</v>
      </c>
    </row>
    <row r="5" spans="1:2" ht="19.5" customHeight="1" x14ac:dyDescent="0.2">
      <c r="A5" s="215">
        <v>3</v>
      </c>
      <c r="B5" s="216">
        <v>48.68</v>
      </c>
    </row>
    <row r="6" spans="1:2" ht="19.5" customHeight="1" x14ac:dyDescent="0.2">
      <c r="A6" s="215">
        <v>4</v>
      </c>
      <c r="B6" s="216">
        <v>52.62</v>
      </c>
    </row>
    <row r="7" spans="1:2" ht="19.5" customHeight="1" x14ac:dyDescent="0.2">
      <c r="A7" s="215">
        <v>5</v>
      </c>
      <c r="B7" s="216">
        <v>55.68</v>
      </c>
    </row>
    <row r="8" spans="1:2" ht="19.5" customHeight="1" x14ac:dyDescent="0.2">
      <c r="A8" s="215">
        <v>6</v>
      </c>
      <c r="B8" s="216">
        <v>58.18</v>
      </c>
    </row>
    <row r="9" spans="1:2" ht="19.5" customHeight="1" x14ac:dyDescent="0.2">
      <c r="A9" s="215">
        <v>7</v>
      </c>
      <c r="B9" s="216">
        <v>60.29</v>
      </c>
    </row>
    <row r="10" spans="1:2" ht="19.5" customHeight="1" x14ac:dyDescent="0.2">
      <c r="A10" s="215">
        <v>8</v>
      </c>
      <c r="B10" s="216">
        <v>62.12</v>
      </c>
    </row>
    <row r="11" spans="1:2" ht="19.5" customHeight="1" x14ac:dyDescent="0.2">
      <c r="A11" s="215">
        <v>9</v>
      </c>
      <c r="B11" s="216">
        <v>63.73</v>
      </c>
    </row>
    <row r="12" spans="1:2" ht="19.5" customHeight="1" x14ac:dyDescent="0.2">
      <c r="A12" s="215">
        <v>10</v>
      </c>
      <c r="B12" s="216">
        <v>65.180000000000007</v>
      </c>
    </row>
    <row r="13" spans="1:2" ht="19.5" customHeight="1" x14ac:dyDescent="0.2">
      <c r="A13" s="215">
        <v>11</v>
      </c>
      <c r="B13" s="216">
        <v>66.48</v>
      </c>
    </row>
    <row r="14" spans="1:2" ht="19.5" customHeight="1" x14ac:dyDescent="0.2">
      <c r="A14" s="215">
        <v>12</v>
      </c>
      <c r="B14" s="216">
        <v>67.67</v>
      </c>
    </row>
    <row r="15" spans="1:2" ht="19.5" customHeight="1" x14ac:dyDescent="0.2">
      <c r="A15" s="215">
        <v>13</v>
      </c>
      <c r="B15" s="216">
        <v>68.77</v>
      </c>
    </row>
    <row r="16" spans="1:2" ht="19.5" customHeight="1" x14ac:dyDescent="0.2">
      <c r="A16" s="215">
        <v>14</v>
      </c>
      <c r="B16" s="216">
        <v>69.790000000000006</v>
      </c>
    </row>
    <row r="17" spans="1:2" ht="19.5" customHeight="1" x14ac:dyDescent="0.2">
      <c r="A17" s="217">
        <v>15</v>
      </c>
      <c r="B17" s="218">
        <v>70.73</v>
      </c>
    </row>
  </sheetData>
  <mergeCells count="1">
    <mergeCell ref="A1:B1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K17"/>
  <sheetViews>
    <sheetView zoomScaleNormal="100" workbookViewId="0">
      <selection activeCell="A17" sqref="A1:A17"/>
    </sheetView>
  </sheetViews>
  <sheetFormatPr defaultRowHeight="12.75" x14ac:dyDescent="0.2"/>
  <cols>
    <col min="1" max="1" width="70.42578125" style="143" customWidth="1"/>
    <col min="2" max="3" width="9.140625" style="143" customWidth="1"/>
    <col min="4" max="4" width="12.85546875" style="143" customWidth="1"/>
    <col min="5" max="1025" width="9.140625" style="143" customWidth="1"/>
  </cols>
  <sheetData>
    <row r="1" spans="1:1" ht="18" x14ac:dyDescent="0.25">
      <c r="A1" s="257" t="s">
        <v>194</v>
      </c>
    </row>
    <row r="2" spans="1:1" x14ac:dyDescent="0.2">
      <c r="A2" s="219"/>
    </row>
    <row r="3" spans="1:1" x14ac:dyDescent="0.2">
      <c r="A3" s="219" t="s">
        <v>195</v>
      </c>
    </row>
    <row r="4" spans="1:1" x14ac:dyDescent="0.2">
      <c r="A4" s="219"/>
    </row>
    <row r="5" spans="1:1" x14ac:dyDescent="0.2">
      <c r="A5" s="219"/>
    </row>
    <row r="6" spans="1:1" x14ac:dyDescent="0.2">
      <c r="A6" s="219"/>
    </row>
    <row r="7" spans="1:1" x14ac:dyDescent="0.2">
      <c r="A7" s="219"/>
    </row>
    <row r="8" spans="1:1" x14ac:dyDescent="0.2">
      <c r="A8" s="219"/>
    </row>
    <row r="9" spans="1:1" x14ac:dyDescent="0.2">
      <c r="A9" s="219"/>
    </row>
    <row r="10" spans="1:1" x14ac:dyDescent="0.2">
      <c r="A10" s="219"/>
    </row>
    <row r="11" spans="1:1" x14ac:dyDescent="0.2">
      <c r="A11" s="219"/>
    </row>
    <row r="12" spans="1:1" ht="19.5" x14ac:dyDescent="0.35">
      <c r="A12" s="220" t="s">
        <v>196</v>
      </c>
    </row>
    <row r="13" spans="1:1" ht="15" x14ac:dyDescent="0.2">
      <c r="A13" s="220" t="s">
        <v>197</v>
      </c>
    </row>
    <row r="14" spans="1:1" ht="15" x14ac:dyDescent="0.2">
      <c r="A14" s="220" t="s">
        <v>198</v>
      </c>
    </row>
    <row r="15" spans="1:1" ht="19.5" x14ac:dyDescent="0.35">
      <c r="A15" s="220" t="s">
        <v>199</v>
      </c>
    </row>
    <row r="16" spans="1:1" ht="19.5" x14ac:dyDescent="0.35">
      <c r="A16" s="220" t="s">
        <v>200</v>
      </c>
    </row>
    <row r="17" spans="1:1" ht="15" x14ac:dyDescent="0.2">
      <c r="A17" s="221" t="s">
        <v>201</v>
      </c>
    </row>
  </sheetData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EB7E8-63E5-498D-930F-431A233B953B}">
  <sheetPr>
    <pageSetUpPr fitToPage="1"/>
  </sheetPr>
  <dimension ref="A1:G1166"/>
  <sheetViews>
    <sheetView zoomScale="70" zoomScaleNormal="70" workbookViewId="0">
      <selection activeCell="P4" sqref="P4"/>
    </sheetView>
  </sheetViews>
  <sheetFormatPr defaultRowHeight="12.75" x14ac:dyDescent="0.2"/>
  <cols>
    <col min="1" max="1" width="18.5703125" bestFit="1" customWidth="1"/>
    <col min="2" max="2" width="17" customWidth="1"/>
    <col min="3" max="5" width="11.5703125" bestFit="1" customWidth="1"/>
    <col min="6" max="6" width="10.140625" bestFit="1" customWidth="1"/>
  </cols>
  <sheetData>
    <row r="1" spans="1:6" ht="31.5" customHeight="1" thickBot="1" x14ac:dyDescent="0.25">
      <c r="A1" s="316" t="s">
        <v>239</v>
      </c>
      <c r="B1" s="317"/>
      <c r="C1" s="317"/>
      <c r="D1" s="317"/>
      <c r="E1" s="317"/>
      <c r="F1" s="318"/>
    </row>
    <row r="2" spans="1:6" x14ac:dyDescent="0.2">
      <c r="A2" s="261"/>
      <c r="F2" s="262"/>
    </row>
    <row r="3" spans="1:6" ht="13.5" customHeight="1" x14ac:dyDescent="0.2">
      <c r="A3" s="272" t="s">
        <v>240</v>
      </c>
      <c r="B3" s="263"/>
      <c r="F3" s="262"/>
    </row>
    <row r="4" spans="1:6" x14ac:dyDescent="0.2">
      <c r="A4" s="264" t="s">
        <v>244</v>
      </c>
      <c r="B4" s="260" t="s">
        <v>237</v>
      </c>
      <c r="C4" s="260" t="s">
        <v>240</v>
      </c>
      <c r="D4" s="260" t="s">
        <v>241</v>
      </c>
      <c r="E4" s="260" t="s">
        <v>242</v>
      </c>
      <c r="F4" s="265" t="s">
        <v>238</v>
      </c>
    </row>
    <row r="5" spans="1:6" x14ac:dyDescent="0.2">
      <c r="A5" s="264" t="s">
        <v>245</v>
      </c>
      <c r="B5" s="260" t="s">
        <v>243</v>
      </c>
      <c r="C5" s="269">
        <v>159</v>
      </c>
      <c r="D5" s="269">
        <v>140</v>
      </c>
      <c r="E5" s="269">
        <v>139.83000000000001</v>
      </c>
      <c r="F5" s="270">
        <f>SUM(C5+D5+E5)/3</f>
        <v>146.27666666666667</v>
      </c>
    </row>
    <row r="6" spans="1:6" x14ac:dyDescent="0.2">
      <c r="A6" s="261"/>
      <c r="F6" s="262"/>
    </row>
    <row r="7" spans="1:6" x14ac:dyDescent="0.2">
      <c r="A7" s="272" t="s">
        <v>241</v>
      </c>
      <c r="B7" s="263"/>
      <c r="F7" s="262"/>
    </row>
    <row r="8" spans="1:6" x14ac:dyDescent="0.2">
      <c r="A8" s="264" t="s">
        <v>244</v>
      </c>
      <c r="B8" s="260" t="s">
        <v>237</v>
      </c>
      <c r="C8" s="260" t="s">
        <v>240</v>
      </c>
      <c r="D8" s="260" t="s">
        <v>241</v>
      </c>
      <c r="E8" s="260" t="s">
        <v>242</v>
      </c>
      <c r="F8" s="265" t="s">
        <v>238</v>
      </c>
    </row>
    <row r="9" spans="1:6" x14ac:dyDescent="0.2">
      <c r="A9" s="264" t="s">
        <v>246</v>
      </c>
      <c r="B9" s="260" t="s">
        <v>43</v>
      </c>
      <c r="C9" s="269">
        <v>34.68</v>
      </c>
      <c r="D9" s="269">
        <v>66.64</v>
      </c>
      <c r="E9" s="269">
        <v>65.989999999999995</v>
      </c>
      <c r="F9" s="270">
        <f>SUM(C9+D9+E9)/3</f>
        <v>55.77</v>
      </c>
    </row>
    <row r="10" spans="1:6" x14ac:dyDescent="0.2">
      <c r="A10" s="261"/>
      <c r="F10" s="262"/>
    </row>
    <row r="11" spans="1:6" x14ac:dyDescent="0.2">
      <c r="A11" s="272" t="s">
        <v>242</v>
      </c>
      <c r="B11" s="263"/>
      <c r="F11" s="262"/>
    </row>
    <row r="12" spans="1:6" x14ac:dyDescent="0.2">
      <c r="A12" s="264" t="s">
        <v>244</v>
      </c>
      <c r="B12" s="260" t="s">
        <v>237</v>
      </c>
      <c r="C12" s="260" t="s">
        <v>240</v>
      </c>
      <c r="D12" s="260" t="s">
        <v>241</v>
      </c>
      <c r="E12" s="260" t="s">
        <v>242</v>
      </c>
      <c r="F12" s="265" t="s">
        <v>238</v>
      </c>
    </row>
    <row r="13" spans="1:6" x14ac:dyDescent="0.2">
      <c r="A13" s="264" t="s">
        <v>247</v>
      </c>
      <c r="B13" s="260" t="s">
        <v>43</v>
      </c>
      <c r="C13" s="269">
        <v>276.33</v>
      </c>
      <c r="D13" s="269">
        <v>183.75</v>
      </c>
      <c r="E13" s="269">
        <v>189</v>
      </c>
      <c r="F13" s="270">
        <f>SUM(C13+D13+E13)/3</f>
        <v>216.35999999999999</v>
      </c>
    </row>
    <row r="14" spans="1:6" x14ac:dyDescent="0.2">
      <c r="A14" s="261"/>
      <c r="F14" s="262"/>
    </row>
    <row r="15" spans="1:6" x14ac:dyDescent="0.2">
      <c r="A15" s="272" t="s">
        <v>293</v>
      </c>
      <c r="B15" s="263"/>
      <c r="F15" s="262"/>
    </row>
    <row r="16" spans="1:6" x14ac:dyDescent="0.2">
      <c r="A16" s="264" t="s">
        <v>244</v>
      </c>
      <c r="B16" s="260" t="s">
        <v>237</v>
      </c>
      <c r="C16" s="260" t="s">
        <v>240</v>
      </c>
      <c r="D16" s="260" t="s">
        <v>241</v>
      </c>
      <c r="E16" s="260" t="s">
        <v>242</v>
      </c>
      <c r="F16" s="265" t="s">
        <v>238</v>
      </c>
    </row>
    <row r="17" spans="1:6" x14ac:dyDescent="0.2">
      <c r="A17" s="264" t="s">
        <v>294</v>
      </c>
      <c r="B17" s="260" t="s">
        <v>43</v>
      </c>
      <c r="C17" s="269">
        <v>19.47</v>
      </c>
      <c r="D17" s="269">
        <v>22.94</v>
      </c>
      <c r="E17" s="269">
        <v>26.9</v>
      </c>
      <c r="F17" s="270">
        <f>SUM(C17+D17+E17)/3</f>
        <v>23.103333333333335</v>
      </c>
    </row>
    <row r="18" spans="1:6" x14ac:dyDescent="0.2">
      <c r="A18" s="261"/>
      <c r="F18" s="262"/>
    </row>
    <row r="19" spans="1:6" x14ac:dyDescent="0.2">
      <c r="A19" s="272" t="s">
        <v>295</v>
      </c>
      <c r="B19" s="263"/>
      <c r="F19" s="262"/>
    </row>
    <row r="20" spans="1:6" x14ac:dyDescent="0.2">
      <c r="A20" s="264" t="s">
        <v>244</v>
      </c>
      <c r="B20" s="260" t="s">
        <v>237</v>
      </c>
      <c r="C20" s="260" t="s">
        <v>240</v>
      </c>
      <c r="D20" s="260" t="s">
        <v>241</v>
      </c>
      <c r="E20" s="260" t="s">
        <v>242</v>
      </c>
      <c r="F20" s="265" t="s">
        <v>238</v>
      </c>
    </row>
    <row r="21" spans="1:6" ht="38.25" x14ac:dyDescent="0.2">
      <c r="A21" s="281" t="s">
        <v>296</v>
      </c>
      <c r="B21" s="260" t="s">
        <v>43</v>
      </c>
      <c r="C21" s="269">
        <v>5.93</v>
      </c>
      <c r="D21" s="269">
        <v>6.45</v>
      </c>
      <c r="E21" s="269">
        <v>4.5999999999999996</v>
      </c>
      <c r="F21" s="270">
        <f>SUM(C21+D21+E21)/3</f>
        <v>5.6599999999999993</v>
      </c>
    </row>
    <row r="22" spans="1:6" x14ac:dyDescent="0.2">
      <c r="A22" s="261"/>
      <c r="F22" s="262"/>
    </row>
    <row r="23" spans="1:6" x14ac:dyDescent="0.2">
      <c r="A23" s="261"/>
      <c r="F23" s="262"/>
    </row>
    <row r="24" spans="1:6" x14ac:dyDescent="0.2">
      <c r="A24" s="261"/>
      <c r="F24" s="262"/>
    </row>
    <row r="25" spans="1:6" x14ac:dyDescent="0.2">
      <c r="A25" s="261"/>
      <c r="F25" s="262"/>
    </row>
    <row r="26" spans="1:6" x14ac:dyDescent="0.2">
      <c r="A26" s="261"/>
      <c r="F26" s="262"/>
    </row>
    <row r="27" spans="1:6" x14ac:dyDescent="0.2">
      <c r="A27" s="261"/>
      <c r="F27" s="262"/>
    </row>
    <row r="28" spans="1:6" x14ac:dyDescent="0.2">
      <c r="A28" s="261"/>
      <c r="F28" s="262"/>
    </row>
    <row r="29" spans="1:6" ht="13.5" thickBot="1" x14ac:dyDescent="0.25">
      <c r="A29" s="266"/>
      <c r="B29" s="267"/>
      <c r="C29" s="267"/>
      <c r="D29" s="267"/>
      <c r="E29" s="267"/>
      <c r="F29" s="268"/>
    </row>
    <row r="172" spans="1:1" x14ac:dyDescent="0.2">
      <c r="A172" s="263"/>
    </row>
    <row r="189" spans="1:1" x14ac:dyDescent="0.2">
      <c r="A189" s="263"/>
    </row>
    <row r="209" spans="1:1" x14ac:dyDescent="0.2">
      <c r="A209" s="263"/>
    </row>
    <row r="228" spans="1:1" x14ac:dyDescent="0.2">
      <c r="A228" s="263"/>
    </row>
    <row r="254" spans="1:1" x14ac:dyDescent="0.2">
      <c r="A254" s="263"/>
    </row>
    <row r="277" spans="1:1" x14ac:dyDescent="0.2">
      <c r="A277" s="263"/>
    </row>
    <row r="299" spans="1:1" x14ac:dyDescent="0.2">
      <c r="A299" s="263"/>
    </row>
    <row r="322" spans="1:1" x14ac:dyDescent="0.2">
      <c r="A322" s="263"/>
    </row>
    <row r="341" spans="1:1" x14ac:dyDescent="0.2">
      <c r="A341" s="263"/>
    </row>
    <row r="364" spans="1:1" x14ac:dyDescent="0.2">
      <c r="A364" s="263"/>
    </row>
    <row r="384" spans="1:1" x14ac:dyDescent="0.2">
      <c r="A384" s="263"/>
    </row>
    <row r="405" spans="1:1" x14ac:dyDescent="0.2">
      <c r="A405" s="263"/>
    </row>
    <row r="429" spans="1:1" x14ac:dyDescent="0.2">
      <c r="A429" s="263"/>
    </row>
    <row r="450" spans="1:7" x14ac:dyDescent="0.2">
      <c r="A450" s="263"/>
      <c r="B450" s="263"/>
      <c r="C450" s="263"/>
    </row>
    <row r="460" spans="1:7" x14ac:dyDescent="0.2">
      <c r="G460" s="263"/>
    </row>
    <row r="475" spans="7:7" x14ac:dyDescent="0.2">
      <c r="G475" s="263"/>
    </row>
    <row r="500" spans="7:7" x14ac:dyDescent="0.2">
      <c r="G500" s="263"/>
    </row>
    <row r="520" spans="7:7" x14ac:dyDescent="0.2">
      <c r="G520" s="263"/>
    </row>
    <row r="555" spans="3:3" x14ac:dyDescent="0.2">
      <c r="C555" s="263"/>
    </row>
    <row r="573" spans="1:1" x14ac:dyDescent="0.2">
      <c r="A573" s="263"/>
    </row>
    <row r="594" spans="1:1" x14ac:dyDescent="0.2">
      <c r="A594" s="263"/>
    </row>
    <row r="618" spans="1:1" x14ac:dyDescent="0.2">
      <c r="A618" s="263"/>
    </row>
    <row r="638" spans="1:1" x14ac:dyDescent="0.2">
      <c r="A638" s="263"/>
    </row>
    <row r="661" spans="1:1" x14ac:dyDescent="0.2">
      <c r="A661" s="263"/>
    </row>
    <row r="685" spans="1:1" x14ac:dyDescent="0.2">
      <c r="A685" s="263"/>
    </row>
    <row r="711" spans="1:1" x14ac:dyDescent="0.2">
      <c r="A711" s="263"/>
    </row>
    <row r="733" spans="1:1" x14ac:dyDescent="0.2">
      <c r="A733" s="263"/>
    </row>
    <row r="757" spans="1:1" x14ac:dyDescent="0.2">
      <c r="A757" s="263"/>
    </row>
    <row r="776" spans="1:1" x14ac:dyDescent="0.2">
      <c r="A776" s="263"/>
    </row>
    <row r="805" spans="1:1" x14ac:dyDescent="0.2">
      <c r="A805" s="263"/>
    </row>
    <row r="829" spans="1:1" x14ac:dyDescent="0.2">
      <c r="A829" s="263"/>
    </row>
    <row r="853" spans="1:1" x14ac:dyDescent="0.2">
      <c r="A853" s="263"/>
    </row>
    <row r="876" spans="1:1" x14ac:dyDescent="0.2">
      <c r="A876" s="263"/>
    </row>
    <row r="902" spans="1:1" x14ac:dyDescent="0.2">
      <c r="A902" s="263"/>
    </row>
    <row r="929" spans="1:1" x14ac:dyDescent="0.2">
      <c r="A929" s="263"/>
    </row>
    <row r="955" spans="1:1" x14ac:dyDescent="0.2">
      <c r="A955" s="263"/>
    </row>
    <row r="982" spans="1:1" x14ac:dyDescent="0.2">
      <c r="A982" s="263"/>
    </row>
    <row r="1008" spans="1:1" x14ac:dyDescent="0.2">
      <c r="A1008" s="263"/>
    </row>
    <row r="1033" spans="1:1" x14ac:dyDescent="0.2">
      <c r="A1033" s="263"/>
    </row>
    <row r="1061" spans="1:1" x14ac:dyDescent="0.2">
      <c r="A1061" s="263"/>
    </row>
    <row r="1087" spans="1:1" x14ac:dyDescent="0.2">
      <c r="A1087" s="263"/>
    </row>
    <row r="1110" spans="1:1" x14ac:dyDescent="0.2">
      <c r="A1110" s="263"/>
    </row>
    <row r="1138" spans="1:1" x14ac:dyDescent="0.2">
      <c r="A1138" s="263"/>
    </row>
    <row r="1166" spans="1:1" x14ac:dyDescent="0.2">
      <c r="A1166" s="263"/>
    </row>
  </sheetData>
  <mergeCells count="1">
    <mergeCell ref="A1:F1"/>
  </mergeCells>
  <pageMargins left="0.23622047244094488" right="0.23622047244094488" top="0.74803149606299213" bottom="0.74803149606299213" header="0.31496062992125984" footer="0.31496062992125984"/>
  <pageSetup paperSize="9" scale="34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90EE9-0E15-44BD-83C1-6841F55ED8F7}">
  <dimension ref="A1:H91"/>
  <sheetViews>
    <sheetView workbookViewId="0">
      <selection activeCell="N17" sqref="N17"/>
    </sheetView>
  </sheetViews>
  <sheetFormatPr defaultRowHeight="12.75" x14ac:dyDescent="0.2"/>
  <cols>
    <col min="3" max="3" width="14.42578125" bestFit="1" customWidth="1"/>
    <col min="4" max="4" width="11.85546875" bestFit="1" customWidth="1"/>
    <col min="5" max="5" width="24.85546875" customWidth="1"/>
    <col min="6" max="7" width="10.42578125" customWidth="1"/>
    <col min="8" max="8" width="11" bestFit="1" customWidth="1"/>
  </cols>
  <sheetData>
    <row r="1" spans="1:8" ht="18" x14ac:dyDescent="0.2">
      <c r="A1" s="319" t="s">
        <v>289</v>
      </c>
      <c r="B1" s="320"/>
      <c r="C1" s="320"/>
      <c r="D1" s="320"/>
      <c r="E1" s="320"/>
      <c r="F1" s="320"/>
      <c r="G1" s="320"/>
      <c r="H1" s="321"/>
    </row>
    <row r="2" spans="1:8" ht="18" x14ac:dyDescent="0.2">
      <c r="A2" s="276"/>
      <c r="B2" s="276"/>
      <c r="C2" s="276"/>
      <c r="D2" s="276"/>
      <c r="E2" s="276"/>
      <c r="F2" s="276"/>
      <c r="G2" s="276"/>
      <c r="H2" s="276"/>
    </row>
    <row r="3" spans="1:8" x14ac:dyDescent="0.2">
      <c r="A3" s="326" t="s">
        <v>331</v>
      </c>
      <c r="B3" s="326"/>
      <c r="C3" s="326"/>
      <c r="D3" s="326"/>
      <c r="E3" s="326"/>
      <c r="F3" s="326"/>
      <c r="G3" s="326"/>
      <c r="H3" s="326"/>
    </row>
    <row r="4" spans="1:8" x14ac:dyDescent="0.2">
      <c r="A4" s="322" t="s">
        <v>290</v>
      </c>
      <c r="B4" s="322"/>
      <c r="C4" s="277" t="s">
        <v>291</v>
      </c>
      <c r="D4" s="322" t="s">
        <v>244</v>
      </c>
      <c r="E4" s="322"/>
      <c r="F4" s="277" t="s">
        <v>237</v>
      </c>
      <c r="G4" s="277" t="s">
        <v>292</v>
      </c>
      <c r="H4" s="277" t="s">
        <v>238</v>
      </c>
    </row>
    <row r="5" spans="1:8" x14ac:dyDescent="0.2">
      <c r="A5" s="323"/>
      <c r="B5" s="323"/>
      <c r="C5" s="278"/>
      <c r="D5" s="324"/>
      <c r="E5" s="324"/>
      <c r="F5" s="278"/>
      <c r="G5" s="278"/>
      <c r="H5" s="279"/>
    </row>
    <row r="6" spans="1:8" x14ac:dyDescent="0.2">
      <c r="A6" s="325"/>
      <c r="B6" s="325"/>
      <c r="C6" s="260"/>
      <c r="D6" s="325"/>
      <c r="E6" s="325"/>
      <c r="F6" s="260"/>
      <c r="G6" s="260"/>
      <c r="H6" s="280"/>
    </row>
    <row r="7" spans="1:8" x14ac:dyDescent="0.2">
      <c r="A7" s="325"/>
      <c r="B7" s="325"/>
      <c r="C7" s="260"/>
      <c r="D7" s="325"/>
      <c r="E7" s="325"/>
      <c r="F7" s="260"/>
      <c r="G7" s="260"/>
      <c r="H7" s="280"/>
    </row>
    <row r="8" spans="1:8" x14ac:dyDescent="0.2">
      <c r="A8" s="325"/>
      <c r="B8" s="325"/>
      <c r="C8" s="260"/>
      <c r="D8" s="325"/>
      <c r="E8" s="325"/>
      <c r="F8" s="260"/>
      <c r="G8" s="260"/>
      <c r="H8" s="280"/>
    </row>
    <row r="9" spans="1:8" x14ac:dyDescent="0.2">
      <c r="A9" s="325"/>
      <c r="B9" s="325"/>
      <c r="C9" s="260"/>
      <c r="D9" s="325"/>
      <c r="E9" s="325"/>
      <c r="F9" s="260"/>
      <c r="G9" s="260"/>
      <c r="H9" s="280"/>
    </row>
    <row r="10" spans="1:8" x14ac:dyDescent="0.2">
      <c r="A10" s="327" t="s">
        <v>327</v>
      </c>
      <c r="B10" s="328"/>
      <c r="C10" s="328"/>
      <c r="D10" s="328"/>
      <c r="E10" s="328"/>
      <c r="F10" s="328"/>
      <c r="G10" s="329"/>
      <c r="H10" s="284">
        <f>SUM(H5:H9)</f>
        <v>0</v>
      </c>
    </row>
    <row r="12" spans="1:8" x14ac:dyDescent="0.2">
      <c r="A12" s="326" t="s">
        <v>331</v>
      </c>
      <c r="B12" s="326"/>
      <c r="C12" s="326"/>
      <c r="D12" s="326"/>
      <c r="E12" s="326"/>
      <c r="F12" s="326"/>
      <c r="G12" s="326"/>
      <c r="H12" s="326"/>
    </row>
    <row r="13" spans="1:8" x14ac:dyDescent="0.2">
      <c r="A13" s="322" t="s">
        <v>290</v>
      </c>
      <c r="B13" s="322"/>
      <c r="C13" s="277" t="s">
        <v>291</v>
      </c>
      <c r="D13" s="322" t="s">
        <v>244</v>
      </c>
      <c r="E13" s="322"/>
      <c r="F13" s="277" t="s">
        <v>237</v>
      </c>
      <c r="G13" s="277" t="s">
        <v>292</v>
      </c>
      <c r="H13" s="277" t="s">
        <v>238</v>
      </c>
    </row>
    <row r="14" spans="1:8" x14ac:dyDescent="0.2">
      <c r="A14" s="323"/>
      <c r="B14" s="323"/>
      <c r="C14" s="278"/>
      <c r="D14" s="324"/>
      <c r="E14" s="324"/>
      <c r="F14" s="278"/>
      <c r="G14" s="278"/>
      <c r="H14" s="279"/>
    </row>
    <row r="15" spans="1:8" x14ac:dyDescent="0.2">
      <c r="A15" s="325"/>
      <c r="B15" s="325"/>
      <c r="C15" s="260"/>
      <c r="D15" s="325"/>
      <c r="E15" s="325"/>
      <c r="F15" s="260"/>
      <c r="G15" s="260"/>
      <c r="H15" s="280"/>
    </row>
    <row r="16" spans="1:8" x14ac:dyDescent="0.2">
      <c r="A16" s="325"/>
      <c r="B16" s="325"/>
      <c r="C16" s="260"/>
      <c r="D16" s="325"/>
      <c r="E16" s="325"/>
      <c r="F16" s="260"/>
      <c r="G16" s="260"/>
      <c r="H16" s="280"/>
    </row>
    <row r="17" spans="1:8" x14ac:dyDescent="0.2">
      <c r="A17" s="325"/>
      <c r="B17" s="325"/>
      <c r="C17" s="260"/>
      <c r="D17" s="325"/>
      <c r="E17" s="325"/>
      <c r="F17" s="260"/>
      <c r="G17" s="260"/>
      <c r="H17" s="280"/>
    </row>
    <row r="18" spans="1:8" x14ac:dyDescent="0.2">
      <c r="A18" s="325"/>
      <c r="B18" s="325"/>
      <c r="C18" s="260"/>
      <c r="D18" s="325"/>
      <c r="E18" s="325"/>
      <c r="F18" s="260"/>
      <c r="G18" s="260"/>
      <c r="H18" s="280"/>
    </row>
    <row r="19" spans="1:8" x14ac:dyDescent="0.2">
      <c r="A19" s="327" t="s">
        <v>327</v>
      </c>
      <c r="B19" s="328"/>
      <c r="C19" s="328"/>
      <c r="D19" s="328"/>
      <c r="E19" s="328"/>
      <c r="F19" s="328"/>
      <c r="G19" s="329"/>
      <c r="H19" s="284">
        <f>SUM(H14:H18)</f>
        <v>0</v>
      </c>
    </row>
    <row r="21" spans="1:8" x14ac:dyDescent="0.2">
      <c r="A21" s="326" t="s">
        <v>331</v>
      </c>
      <c r="B21" s="326"/>
      <c r="C21" s="326"/>
      <c r="D21" s="326"/>
      <c r="E21" s="326"/>
      <c r="F21" s="326"/>
      <c r="G21" s="326"/>
      <c r="H21" s="326"/>
    </row>
    <row r="22" spans="1:8" x14ac:dyDescent="0.2">
      <c r="A22" s="322" t="s">
        <v>290</v>
      </c>
      <c r="B22" s="322"/>
      <c r="C22" s="277" t="s">
        <v>291</v>
      </c>
      <c r="D22" s="322" t="s">
        <v>244</v>
      </c>
      <c r="E22" s="322"/>
      <c r="F22" s="277" t="s">
        <v>237</v>
      </c>
      <c r="G22" s="277" t="s">
        <v>292</v>
      </c>
      <c r="H22" s="277" t="s">
        <v>238</v>
      </c>
    </row>
    <row r="23" spans="1:8" x14ac:dyDescent="0.2">
      <c r="A23" s="323"/>
      <c r="B23" s="323"/>
      <c r="C23" s="278"/>
      <c r="D23" s="324"/>
      <c r="E23" s="324"/>
      <c r="F23" s="278"/>
      <c r="G23" s="278"/>
      <c r="H23" s="279"/>
    </row>
    <row r="24" spans="1:8" x14ac:dyDescent="0.2">
      <c r="A24" s="325"/>
      <c r="B24" s="325"/>
      <c r="C24" s="260"/>
      <c r="D24" s="325"/>
      <c r="E24" s="325"/>
      <c r="F24" s="260"/>
      <c r="G24" s="260"/>
      <c r="H24" s="280"/>
    </row>
    <row r="25" spans="1:8" x14ac:dyDescent="0.2">
      <c r="A25" s="325"/>
      <c r="B25" s="325"/>
      <c r="C25" s="260"/>
      <c r="D25" s="325"/>
      <c r="E25" s="325"/>
      <c r="F25" s="260"/>
      <c r="G25" s="260"/>
      <c r="H25" s="280"/>
    </row>
    <row r="26" spans="1:8" x14ac:dyDescent="0.2">
      <c r="A26" s="325"/>
      <c r="B26" s="325"/>
      <c r="C26" s="260"/>
      <c r="D26" s="325"/>
      <c r="E26" s="325"/>
      <c r="F26" s="260"/>
      <c r="G26" s="260"/>
      <c r="H26" s="280"/>
    </row>
    <row r="27" spans="1:8" x14ac:dyDescent="0.2">
      <c r="A27" s="325"/>
      <c r="B27" s="325"/>
      <c r="C27" s="260"/>
      <c r="D27" s="325"/>
      <c r="E27" s="325"/>
      <c r="F27" s="260"/>
      <c r="G27" s="260"/>
      <c r="H27" s="280"/>
    </row>
    <row r="28" spans="1:8" x14ac:dyDescent="0.2">
      <c r="A28" s="327" t="s">
        <v>327</v>
      </c>
      <c r="B28" s="328"/>
      <c r="C28" s="328"/>
      <c r="D28" s="328"/>
      <c r="E28" s="328"/>
      <c r="F28" s="328"/>
      <c r="G28" s="329"/>
      <c r="H28" s="284">
        <f>SUM(H23:H27)</f>
        <v>0</v>
      </c>
    </row>
    <row r="30" spans="1:8" x14ac:dyDescent="0.2">
      <c r="A30" s="326" t="s">
        <v>331</v>
      </c>
      <c r="B30" s="326"/>
      <c r="C30" s="326"/>
      <c r="D30" s="326"/>
      <c r="E30" s="326"/>
      <c r="F30" s="326"/>
      <c r="G30" s="326"/>
      <c r="H30" s="326"/>
    </row>
    <row r="31" spans="1:8" x14ac:dyDescent="0.2">
      <c r="A31" s="322" t="s">
        <v>290</v>
      </c>
      <c r="B31" s="322"/>
      <c r="C31" s="277" t="s">
        <v>291</v>
      </c>
      <c r="D31" s="322" t="s">
        <v>244</v>
      </c>
      <c r="E31" s="322"/>
      <c r="F31" s="277" t="s">
        <v>237</v>
      </c>
      <c r="G31" s="277" t="s">
        <v>292</v>
      </c>
      <c r="H31" s="277" t="s">
        <v>238</v>
      </c>
    </row>
    <row r="32" spans="1:8" x14ac:dyDescent="0.2">
      <c r="A32" s="323"/>
      <c r="B32" s="323"/>
      <c r="C32" s="278"/>
      <c r="D32" s="324"/>
      <c r="E32" s="324"/>
      <c r="F32" s="278"/>
      <c r="G32" s="278"/>
      <c r="H32" s="279"/>
    </row>
    <row r="33" spans="1:8" x14ac:dyDescent="0.2">
      <c r="A33" s="325"/>
      <c r="B33" s="325"/>
      <c r="C33" s="260"/>
      <c r="D33" s="325"/>
      <c r="E33" s="325"/>
      <c r="F33" s="260"/>
      <c r="G33" s="260"/>
      <c r="H33" s="280"/>
    </row>
    <row r="34" spans="1:8" x14ac:dyDescent="0.2">
      <c r="A34" s="325"/>
      <c r="B34" s="325"/>
      <c r="C34" s="260"/>
      <c r="D34" s="325"/>
      <c r="E34" s="325"/>
      <c r="F34" s="260"/>
      <c r="G34" s="260"/>
      <c r="H34" s="280"/>
    </row>
    <row r="35" spans="1:8" x14ac:dyDescent="0.2">
      <c r="A35" s="325"/>
      <c r="B35" s="325"/>
      <c r="C35" s="260"/>
      <c r="D35" s="325"/>
      <c r="E35" s="325"/>
      <c r="F35" s="260"/>
      <c r="G35" s="260"/>
      <c r="H35" s="280"/>
    </row>
    <row r="36" spans="1:8" x14ac:dyDescent="0.2">
      <c r="A36" s="325"/>
      <c r="B36" s="325"/>
      <c r="C36" s="260"/>
      <c r="D36" s="325"/>
      <c r="E36" s="325"/>
      <c r="F36" s="260"/>
      <c r="G36" s="260"/>
      <c r="H36" s="280"/>
    </row>
    <row r="37" spans="1:8" x14ac:dyDescent="0.2">
      <c r="A37" s="327" t="s">
        <v>327</v>
      </c>
      <c r="B37" s="328"/>
      <c r="C37" s="328"/>
      <c r="D37" s="328"/>
      <c r="E37" s="328"/>
      <c r="F37" s="328"/>
      <c r="G37" s="329"/>
      <c r="H37" s="284">
        <f>SUM(H32:H36)</f>
        <v>0</v>
      </c>
    </row>
    <row r="39" spans="1:8" x14ac:dyDescent="0.2">
      <c r="A39" s="326" t="s">
        <v>331</v>
      </c>
      <c r="B39" s="326"/>
      <c r="C39" s="326"/>
      <c r="D39" s="326"/>
      <c r="E39" s="326"/>
      <c r="F39" s="326"/>
      <c r="G39" s="326"/>
      <c r="H39" s="326"/>
    </row>
    <row r="40" spans="1:8" x14ac:dyDescent="0.2">
      <c r="A40" s="322" t="s">
        <v>290</v>
      </c>
      <c r="B40" s="322"/>
      <c r="C40" s="277" t="s">
        <v>291</v>
      </c>
      <c r="D40" s="322" t="s">
        <v>244</v>
      </c>
      <c r="E40" s="322"/>
      <c r="F40" s="277" t="s">
        <v>237</v>
      </c>
      <c r="G40" s="277" t="s">
        <v>292</v>
      </c>
      <c r="H40" s="277" t="s">
        <v>238</v>
      </c>
    </row>
    <row r="41" spans="1:8" x14ac:dyDescent="0.2">
      <c r="A41" s="323"/>
      <c r="B41" s="323"/>
      <c r="C41" s="278"/>
      <c r="D41" s="324"/>
      <c r="E41" s="324"/>
      <c r="F41" s="278"/>
      <c r="G41" s="278"/>
      <c r="H41" s="279"/>
    </row>
    <row r="42" spans="1:8" x14ac:dyDescent="0.2">
      <c r="A42" s="325"/>
      <c r="B42" s="325"/>
      <c r="C42" s="260"/>
      <c r="D42" s="325"/>
      <c r="E42" s="325"/>
      <c r="F42" s="260"/>
      <c r="G42" s="260"/>
      <c r="H42" s="280"/>
    </row>
    <row r="43" spans="1:8" x14ac:dyDescent="0.2">
      <c r="A43" s="325"/>
      <c r="B43" s="325"/>
      <c r="C43" s="260"/>
      <c r="D43" s="325"/>
      <c r="E43" s="325"/>
      <c r="F43" s="260"/>
      <c r="G43" s="260"/>
      <c r="H43" s="280"/>
    </row>
    <row r="44" spans="1:8" x14ac:dyDescent="0.2">
      <c r="A44" s="325"/>
      <c r="B44" s="325"/>
      <c r="C44" s="260"/>
      <c r="D44" s="325"/>
      <c r="E44" s="325"/>
      <c r="F44" s="260"/>
      <c r="G44" s="260"/>
      <c r="H44" s="280"/>
    </row>
    <row r="45" spans="1:8" x14ac:dyDescent="0.2">
      <c r="A45" s="325"/>
      <c r="B45" s="325"/>
      <c r="C45" s="260"/>
      <c r="D45" s="325"/>
      <c r="E45" s="325"/>
      <c r="F45" s="260"/>
      <c r="G45" s="260"/>
      <c r="H45" s="280"/>
    </row>
    <row r="46" spans="1:8" x14ac:dyDescent="0.2">
      <c r="A46" s="327" t="s">
        <v>327</v>
      </c>
      <c r="B46" s="328"/>
      <c r="C46" s="328"/>
      <c r="D46" s="328"/>
      <c r="E46" s="328"/>
      <c r="F46" s="328"/>
      <c r="G46" s="329"/>
      <c r="H46" s="284">
        <f>SUM(H41:H45)</f>
        <v>0</v>
      </c>
    </row>
    <row r="48" spans="1:8" x14ac:dyDescent="0.2">
      <c r="A48" s="326" t="s">
        <v>331</v>
      </c>
      <c r="B48" s="326"/>
      <c r="C48" s="326"/>
      <c r="D48" s="326"/>
      <c r="E48" s="326"/>
      <c r="F48" s="326"/>
      <c r="G48" s="326"/>
      <c r="H48" s="326"/>
    </row>
    <row r="49" spans="1:8" x14ac:dyDescent="0.2">
      <c r="A49" s="322" t="s">
        <v>290</v>
      </c>
      <c r="B49" s="322"/>
      <c r="C49" s="277" t="s">
        <v>291</v>
      </c>
      <c r="D49" s="322" t="s">
        <v>244</v>
      </c>
      <c r="E49" s="322"/>
      <c r="F49" s="277" t="s">
        <v>237</v>
      </c>
      <c r="G49" s="277" t="s">
        <v>292</v>
      </c>
      <c r="H49" s="277" t="s">
        <v>238</v>
      </c>
    </row>
    <row r="50" spans="1:8" x14ac:dyDescent="0.2">
      <c r="A50" s="323"/>
      <c r="B50" s="323"/>
      <c r="C50" s="278"/>
      <c r="D50" s="324"/>
      <c r="E50" s="324"/>
      <c r="F50" s="278"/>
      <c r="G50" s="278"/>
      <c r="H50" s="279"/>
    </row>
    <row r="51" spans="1:8" x14ac:dyDescent="0.2">
      <c r="A51" s="325"/>
      <c r="B51" s="325"/>
      <c r="C51" s="260"/>
      <c r="D51" s="325"/>
      <c r="E51" s="325"/>
      <c r="F51" s="260"/>
      <c r="G51" s="260"/>
      <c r="H51" s="280"/>
    </row>
    <row r="52" spans="1:8" x14ac:dyDescent="0.2">
      <c r="A52" s="325"/>
      <c r="B52" s="325"/>
      <c r="C52" s="260"/>
      <c r="D52" s="325"/>
      <c r="E52" s="325"/>
      <c r="F52" s="260"/>
      <c r="G52" s="260"/>
      <c r="H52" s="280"/>
    </row>
    <row r="53" spans="1:8" x14ac:dyDescent="0.2">
      <c r="A53" s="325"/>
      <c r="B53" s="325"/>
      <c r="C53" s="260"/>
      <c r="D53" s="325"/>
      <c r="E53" s="325"/>
      <c r="F53" s="260"/>
      <c r="G53" s="260"/>
      <c r="H53" s="280"/>
    </row>
    <row r="54" spans="1:8" x14ac:dyDescent="0.2">
      <c r="A54" s="325"/>
      <c r="B54" s="325"/>
      <c r="C54" s="260"/>
      <c r="D54" s="325"/>
      <c r="E54" s="325"/>
      <c r="F54" s="260"/>
      <c r="G54" s="260"/>
      <c r="H54" s="280"/>
    </row>
    <row r="55" spans="1:8" x14ac:dyDescent="0.2">
      <c r="A55" s="327" t="s">
        <v>327</v>
      </c>
      <c r="B55" s="328"/>
      <c r="C55" s="328"/>
      <c r="D55" s="328"/>
      <c r="E55" s="328"/>
      <c r="F55" s="328"/>
      <c r="G55" s="329"/>
      <c r="H55" s="284">
        <f>SUM(H50:H54)</f>
        <v>0</v>
      </c>
    </row>
    <row r="57" spans="1:8" x14ac:dyDescent="0.2">
      <c r="A57" s="326" t="s">
        <v>331</v>
      </c>
      <c r="B57" s="326"/>
      <c r="C57" s="326"/>
      <c r="D57" s="326"/>
      <c r="E57" s="326"/>
      <c r="F57" s="326"/>
      <c r="G57" s="326"/>
      <c r="H57" s="326"/>
    </row>
    <row r="58" spans="1:8" x14ac:dyDescent="0.2">
      <c r="A58" s="322" t="s">
        <v>290</v>
      </c>
      <c r="B58" s="322"/>
      <c r="C58" s="277" t="s">
        <v>291</v>
      </c>
      <c r="D58" s="322" t="s">
        <v>244</v>
      </c>
      <c r="E58" s="322"/>
      <c r="F58" s="277" t="s">
        <v>237</v>
      </c>
      <c r="G58" s="277" t="s">
        <v>292</v>
      </c>
      <c r="H58" s="277" t="s">
        <v>238</v>
      </c>
    </row>
    <row r="59" spans="1:8" x14ac:dyDescent="0.2">
      <c r="A59" s="323"/>
      <c r="B59" s="323"/>
      <c r="C59" s="278"/>
      <c r="D59" s="324"/>
      <c r="E59" s="324"/>
      <c r="F59" s="278"/>
      <c r="G59" s="278"/>
      <c r="H59" s="279"/>
    </row>
    <row r="60" spans="1:8" x14ac:dyDescent="0.2">
      <c r="A60" s="325"/>
      <c r="B60" s="325"/>
      <c r="C60" s="260"/>
      <c r="D60" s="325"/>
      <c r="E60" s="325"/>
      <c r="F60" s="260"/>
      <c r="G60" s="260"/>
      <c r="H60" s="280"/>
    </row>
    <row r="61" spans="1:8" x14ac:dyDescent="0.2">
      <c r="A61" s="325"/>
      <c r="B61" s="325"/>
      <c r="C61" s="260"/>
      <c r="D61" s="325"/>
      <c r="E61" s="325"/>
      <c r="F61" s="260"/>
      <c r="G61" s="260"/>
      <c r="H61" s="280"/>
    </row>
    <row r="62" spans="1:8" x14ac:dyDescent="0.2">
      <c r="A62" s="325"/>
      <c r="B62" s="325"/>
      <c r="C62" s="260"/>
      <c r="D62" s="325"/>
      <c r="E62" s="325"/>
      <c r="F62" s="260"/>
      <c r="G62" s="260"/>
      <c r="H62" s="280"/>
    </row>
    <row r="63" spans="1:8" x14ac:dyDescent="0.2">
      <c r="A63" s="325"/>
      <c r="B63" s="325"/>
      <c r="C63" s="260"/>
      <c r="D63" s="325"/>
      <c r="E63" s="325"/>
      <c r="F63" s="260"/>
      <c r="G63" s="260"/>
      <c r="H63" s="280"/>
    </row>
    <row r="64" spans="1:8" x14ac:dyDescent="0.2">
      <c r="A64" s="327" t="s">
        <v>327</v>
      </c>
      <c r="B64" s="328"/>
      <c r="C64" s="328"/>
      <c r="D64" s="328"/>
      <c r="E64" s="328"/>
      <c r="F64" s="328"/>
      <c r="G64" s="329"/>
      <c r="H64" s="284">
        <f>SUM(H59:H63)</f>
        <v>0</v>
      </c>
    </row>
    <row r="66" spans="1:8" x14ac:dyDescent="0.2">
      <c r="A66" s="326" t="s">
        <v>331</v>
      </c>
      <c r="B66" s="326"/>
      <c r="C66" s="326"/>
      <c r="D66" s="326"/>
      <c r="E66" s="326"/>
      <c r="F66" s="326"/>
      <c r="G66" s="326"/>
      <c r="H66" s="326"/>
    </row>
    <row r="67" spans="1:8" x14ac:dyDescent="0.2">
      <c r="A67" s="322" t="s">
        <v>290</v>
      </c>
      <c r="B67" s="322"/>
      <c r="C67" s="277" t="s">
        <v>291</v>
      </c>
      <c r="D67" s="322" t="s">
        <v>244</v>
      </c>
      <c r="E67" s="322"/>
      <c r="F67" s="277" t="s">
        <v>237</v>
      </c>
      <c r="G67" s="277" t="s">
        <v>292</v>
      </c>
      <c r="H67" s="277" t="s">
        <v>238</v>
      </c>
    </row>
    <row r="68" spans="1:8" x14ac:dyDescent="0.2">
      <c r="A68" s="323"/>
      <c r="B68" s="323"/>
      <c r="C68" s="278"/>
      <c r="D68" s="324"/>
      <c r="E68" s="324"/>
      <c r="F68" s="278"/>
      <c r="G68" s="278"/>
      <c r="H68" s="279"/>
    </row>
    <row r="69" spans="1:8" x14ac:dyDescent="0.2">
      <c r="A69" s="325"/>
      <c r="B69" s="325"/>
      <c r="C69" s="260"/>
      <c r="D69" s="325"/>
      <c r="E69" s="325"/>
      <c r="F69" s="260"/>
      <c r="G69" s="260"/>
      <c r="H69" s="280"/>
    </row>
    <row r="70" spans="1:8" x14ac:dyDescent="0.2">
      <c r="A70" s="325"/>
      <c r="B70" s="325"/>
      <c r="C70" s="260"/>
      <c r="D70" s="325"/>
      <c r="E70" s="325"/>
      <c r="F70" s="260"/>
      <c r="G70" s="260"/>
      <c r="H70" s="280"/>
    </row>
    <row r="71" spans="1:8" x14ac:dyDescent="0.2">
      <c r="A71" s="325"/>
      <c r="B71" s="325"/>
      <c r="C71" s="260"/>
      <c r="D71" s="325"/>
      <c r="E71" s="325"/>
      <c r="F71" s="260"/>
      <c r="G71" s="260"/>
      <c r="H71" s="280"/>
    </row>
    <row r="72" spans="1:8" x14ac:dyDescent="0.2">
      <c r="A72" s="325"/>
      <c r="B72" s="325"/>
      <c r="C72" s="260"/>
      <c r="D72" s="325"/>
      <c r="E72" s="325"/>
      <c r="F72" s="260"/>
      <c r="G72" s="260"/>
      <c r="H72" s="280"/>
    </row>
    <row r="73" spans="1:8" x14ac:dyDescent="0.2">
      <c r="A73" s="327" t="s">
        <v>327</v>
      </c>
      <c r="B73" s="328"/>
      <c r="C73" s="328"/>
      <c r="D73" s="328"/>
      <c r="E73" s="328"/>
      <c r="F73" s="328"/>
      <c r="G73" s="329"/>
      <c r="H73" s="284">
        <f>SUM(H68:H72)</f>
        <v>0</v>
      </c>
    </row>
    <row r="75" spans="1:8" x14ac:dyDescent="0.2">
      <c r="A75" s="326" t="s">
        <v>331</v>
      </c>
      <c r="B75" s="326"/>
      <c r="C75" s="326"/>
      <c r="D75" s="326"/>
      <c r="E75" s="326"/>
      <c r="F75" s="326"/>
      <c r="G75" s="326"/>
      <c r="H75" s="326"/>
    </row>
    <row r="76" spans="1:8" x14ac:dyDescent="0.2">
      <c r="A76" s="322" t="s">
        <v>290</v>
      </c>
      <c r="B76" s="322"/>
      <c r="C76" s="277" t="s">
        <v>291</v>
      </c>
      <c r="D76" s="322" t="s">
        <v>244</v>
      </c>
      <c r="E76" s="322"/>
      <c r="F76" s="277" t="s">
        <v>237</v>
      </c>
      <c r="G76" s="277" t="s">
        <v>292</v>
      </c>
      <c r="H76" s="277" t="s">
        <v>238</v>
      </c>
    </row>
    <row r="77" spans="1:8" x14ac:dyDescent="0.2">
      <c r="A77" s="323"/>
      <c r="B77" s="323"/>
      <c r="C77" s="278"/>
      <c r="D77" s="324"/>
      <c r="E77" s="324"/>
      <c r="F77" s="278"/>
      <c r="G77" s="278"/>
      <c r="H77" s="279"/>
    </row>
    <row r="78" spans="1:8" x14ac:dyDescent="0.2">
      <c r="A78" s="325"/>
      <c r="B78" s="325"/>
      <c r="C78" s="260"/>
      <c r="D78" s="325"/>
      <c r="E78" s="325"/>
      <c r="F78" s="260"/>
      <c r="G78" s="260"/>
      <c r="H78" s="280"/>
    </row>
    <row r="79" spans="1:8" x14ac:dyDescent="0.2">
      <c r="A79" s="325"/>
      <c r="B79" s="325"/>
      <c r="C79" s="260"/>
      <c r="D79" s="325"/>
      <c r="E79" s="325"/>
      <c r="F79" s="260"/>
      <c r="G79" s="260"/>
      <c r="H79" s="280"/>
    </row>
    <row r="80" spans="1:8" x14ac:dyDescent="0.2">
      <c r="A80" s="325"/>
      <c r="B80" s="325"/>
      <c r="C80" s="260"/>
      <c r="D80" s="325"/>
      <c r="E80" s="325"/>
      <c r="F80" s="260"/>
      <c r="G80" s="260"/>
      <c r="H80" s="280"/>
    </row>
    <row r="81" spans="1:8" x14ac:dyDescent="0.2">
      <c r="A81" s="325"/>
      <c r="B81" s="325"/>
      <c r="C81" s="260"/>
      <c r="D81" s="325"/>
      <c r="E81" s="325"/>
      <c r="F81" s="260"/>
      <c r="G81" s="260"/>
      <c r="H81" s="280"/>
    </row>
    <row r="82" spans="1:8" x14ac:dyDescent="0.2">
      <c r="A82" s="327" t="s">
        <v>327</v>
      </c>
      <c r="B82" s="328"/>
      <c r="C82" s="328"/>
      <c r="D82" s="328"/>
      <c r="E82" s="328"/>
      <c r="F82" s="328"/>
      <c r="G82" s="329"/>
      <c r="H82" s="284">
        <f>SUM(H77:H81)</f>
        <v>0</v>
      </c>
    </row>
    <row r="84" spans="1:8" x14ac:dyDescent="0.2">
      <c r="A84" s="326" t="s">
        <v>331</v>
      </c>
      <c r="B84" s="326"/>
      <c r="C84" s="326"/>
      <c r="D84" s="326"/>
      <c r="E84" s="326"/>
      <c r="F84" s="326"/>
      <c r="G84" s="326"/>
      <c r="H84" s="326"/>
    </row>
    <row r="85" spans="1:8" x14ac:dyDescent="0.2">
      <c r="A85" s="322" t="s">
        <v>290</v>
      </c>
      <c r="B85" s="322"/>
      <c r="C85" s="277" t="s">
        <v>291</v>
      </c>
      <c r="D85" s="322" t="s">
        <v>244</v>
      </c>
      <c r="E85" s="322"/>
      <c r="F85" s="277" t="s">
        <v>237</v>
      </c>
      <c r="G85" s="277" t="s">
        <v>292</v>
      </c>
      <c r="H85" s="277" t="s">
        <v>238</v>
      </c>
    </row>
    <row r="86" spans="1:8" x14ac:dyDescent="0.2">
      <c r="A86" s="323"/>
      <c r="B86" s="323"/>
      <c r="C86" s="278"/>
      <c r="D86" s="324"/>
      <c r="E86" s="324"/>
      <c r="F86" s="278"/>
      <c r="G86" s="278"/>
      <c r="H86" s="279"/>
    </row>
    <row r="87" spans="1:8" x14ac:dyDescent="0.2">
      <c r="A87" s="325"/>
      <c r="B87" s="325"/>
      <c r="C87" s="260"/>
      <c r="D87" s="325"/>
      <c r="E87" s="325"/>
      <c r="F87" s="260"/>
      <c r="G87" s="260"/>
      <c r="H87" s="280"/>
    </row>
    <row r="88" spans="1:8" x14ac:dyDescent="0.2">
      <c r="A88" s="325"/>
      <c r="B88" s="325"/>
      <c r="C88" s="260"/>
      <c r="D88" s="325"/>
      <c r="E88" s="325"/>
      <c r="F88" s="260"/>
      <c r="G88" s="260"/>
      <c r="H88" s="280"/>
    </row>
    <row r="89" spans="1:8" x14ac:dyDescent="0.2">
      <c r="A89" s="325"/>
      <c r="B89" s="325"/>
      <c r="C89" s="260"/>
      <c r="D89" s="325"/>
      <c r="E89" s="325"/>
      <c r="F89" s="260"/>
      <c r="G89" s="260"/>
      <c r="H89" s="280"/>
    </row>
    <row r="90" spans="1:8" x14ac:dyDescent="0.2">
      <c r="A90" s="325"/>
      <c r="B90" s="325"/>
      <c r="C90" s="260"/>
      <c r="D90" s="325"/>
      <c r="E90" s="325"/>
      <c r="F90" s="260"/>
      <c r="G90" s="260"/>
      <c r="H90" s="280"/>
    </row>
    <row r="91" spans="1:8" x14ac:dyDescent="0.2">
      <c r="A91" s="327" t="s">
        <v>327</v>
      </c>
      <c r="B91" s="328"/>
      <c r="C91" s="328"/>
      <c r="D91" s="328"/>
      <c r="E91" s="328"/>
      <c r="F91" s="328"/>
      <c r="G91" s="329"/>
      <c r="H91" s="284">
        <f>SUM(H86:H90)</f>
        <v>0</v>
      </c>
    </row>
  </sheetData>
  <mergeCells count="141">
    <mergeCell ref="A90:B90"/>
    <mergeCell ref="D90:E90"/>
    <mergeCell ref="A91:G91"/>
    <mergeCell ref="A87:B87"/>
    <mergeCell ref="D87:E87"/>
    <mergeCell ref="A88:B88"/>
    <mergeCell ref="D88:E88"/>
    <mergeCell ref="A89:B89"/>
    <mergeCell ref="D89:E89"/>
    <mergeCell ref="A84:H84"/>
    <mergeCell ref="A85:B85"/>
    <mergeCell ref="D85:E85"/>
    <mergeCell ref="A86:B86"/>
    <mergeCell ref="D86:E86"/>
    <mergeCell ref="A80:B80"/>
    <mergeCell ref="D80:E80"/>
    <mergeCell ref="A81:B81"/>
    <mergeCell ref="D81:E81"/>
    <mergeCell ref="A82:G82"/>
    <mergeCell ref="A77:B77"/>
    <mergeCell ref="D77:E77"/>
    <mergeCell ref="A78:B78"/>
    <mergeCell ref="D78:E78"/>
    <mergeCell ref="A79:B79"/>
    <mergeCell ref="D79:E79"/>
    <mergeCell ref="A72:B72"/>
    <mergeCell ref="D72:E72"/>
    <mergeCell ref="A73:G73"/>
    <mergeCell ref="A75:H75"/>
    <mergeCell ref="A76:B76"/>
    <mergeCell ref="D76:E76"/>
    <mergeCell ref="A69:B69"/>
    <mergeCell ref="D69:E69"/>
    <mergeCell ref="A70:B70"/>
    <mergeCell ref="D70:E70"/>
    <mergeCell ref="A71:B71"/>
    <mergeCell ref="D71:E71"/>
    <mergeCell ref="A66:H66"/>
    <mergeCell ref="A67:B67"/>
    <mergeCell ref="D67:E67"/>
    <mergeCell ref="A68:B68"/>
    <mergeCell ref="D68:E68"/>
    <mergeCell ref="A62:B62"/>
    <mergeCell ref="D62:E62"/>
    <mergeCell ref="A63:B63"/>
    <mergeCell ref="D63:E63"/>
    <mergeCell ref="A64:G64"/>
    <mergeCell ref="A59:B59"/>
    <mergeCell ref="D59:E59"/>
    <mergeCell ref="A60:B60"/>
    <mergeCell ref="D60:E60"/>
    <mergeCell ref="A61:B61"/>
    <mergeCell ref="D61:E61"/>
    <mergeCell ref="A54:B54"/>
    <mergeCell ref="D54:E54"/>
    <mergeCell ref="A55:G55"/>
    <mergeCell ref="A57:H57"/>
    <mergeCell ref="A58:B58"/>
    <mergeCell ref="D58:E58"/>
    <mergeCell ref="A51:B51"/>
    <mergeCell ref="D51:E51"/>
    <mergeCell ref="A52:B52"/>
    <mergeCell ref="D52:E52"/>
    <mergeCell ref="A53:B53"/>
    <mergeCell ref="D53:E53"/>
    <mergeCell ref="A48:H48"/>
    <mergeCell ref="A49:B49"/>
    <mergeCell ref="D49:E49"/>
    <mergeCell ref="A50:B50"/>
    <mergeCell ref="D50:E50"/>
    <mergeCell ref="A44:B44"/>
    <mergeCell ref="D44:E44"/>
    <mergeCell ref="A45:B45"/>
    <mergeCell ref="D45:E45"/>
    <mergeCell ref="A46:G46"/>
    <mergeCell ref="A41:B41"/>
    <mergeCell ref="D41:E41"/>
    <mergeCell ref="A42:B42"/>
    <mergeCell ref="D42:E42"/>
    <mergeCell ref="A43:B43"/>
    <mergeCell ref="D43:E43"/>
    <mergeCell ref="A36:B36"/>
    <mergeCell ref="D36:E36"/>
    <mergeCell ref="A37:G37"/>
    <mergeCell ref="A39:H39"/>
    <mergeCell ref="A40:B40"/>
    <mergeCell ref="D40:E40"/>
    <mergeCell ref="A33:B33"/>
    <mergeCell ref="D33:E33"/>
    <mergeCell ref="A34:B34"/>
    <mergeCell ref="D34:E34"/>
    <mergeCell ref="A35:B35"/>
    <mergeCell ref="D35:E35"/>
    <mergeCell ref="A30:H30"/>
    <mergeCell ref="A31:B31"/>
    <mergeCell ref="D31:E31"/>
    <mergeCell ref="A32:B32"/>
    <mergeCell ref="D32:E32"/>
    <mergeCell ref="A26:B26"/>
    <mergeCell ref="D26:E26"/>
    <mergeCell ref="A27:B27"/>
    <mergeCell ref="D27:E27"/>
    <mergeCell ref="A28:G28"/>
    <mergeCell ref="A23:B23"/>
    <mergeCell ref="D23:E23"/>
    <mergeCell ref="A24:B24"/>
    <mergeCell ref="D24:E24"/>
    <mergeCell ref="A25:B25"/>
    <mergeCell ref="D25:E25"/>
    <mergeCell ref="A18:B18"/>
    <mergeCell ref="D18:E18"/>
    <mergeCell ref="A19:G19"/>
    <mergeCell ref="A21:H21"/>
    <mergeCell ref="A22:B22"/>
    <mergeCell ref="D22:E22"/>
    <mergeCell ref="A15:B15"/>
    <mergeCell ref="D15:E15"/>
    <mergeCell ref="A16:B16"/>
    <mergeCell ref="D16:E16"/>
    <mergeCell ref="A17:B17"/>
    <mergeCell ref="D17:E17"/>
    <mergeCell ref="A12:H12"/>
    <mergeCell ref="A13:B13"/>
    <mergeCell ref="D13:E13"/>
    <mergeCell ref="A14:B14"/>
    <mergeCell ref="D14:E14"/>
    <mergeCell ref="A10:G10"/>
    <mergeCell ref="A3:H3"/>
    <mergeCell ref="A8:B8"/>
    <mergeCell ref="D8:E8"/>
    <mergeCell ref="A1:H1"/>
    <mergeCell ref="A4:B4"/>
    <mergeCell ref="D4:E4"/>
    <mergeCell ref="A5:B5"/>
    <mergeCell ref="D5:E5"/>
    <mergeCell ref="A9:B9"/>
    <mergeCell ref="D9:E9"/>
    <mergeCell ref="A6:B6"/>
    <mergeCell ref="D6:E6"/>
    <mergeCell ref="A7:B7"/>
    <mergeCell ref="D7:E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611EF-B9F7-4A3E-ABEF-1A39C505BA01}">
  <sheetPr>
    <pageSetUpPr fitToPage="1"/>
  </sheetPr>
  <dimension ref="A1:F19"/>
  <sheetViews>
    <sheetView workbookViewId="0">
      <selection activeCell="F19" sqref="A1:F19"/>
    </sheetView>
  </sheetViews>
  <sheetFormatPr defaultRowHeight="12.75" x14ac:dyDescent="0.2"/>
  <cols>
    <col min="1" max="1" width="32.5703125" customWidth="1"/>
    <col min="2" max="4" width="9.140625" customWidth="1"/>
    <col min="5" max="5" width="18.28515625" customWidth="1"/>
    <col min="6" max="6" width="28.85546875" customWidth="1"/>
  </cols>
  <sheetData>
    <row r="1" spans="1:6" ht="15" x14ac:dyDescent="0.2">
      <c r="A1" s="1"/>
      <c r="B1" s="3"/>
      <c r="C1" s="3"/>
      <c r="D1" s="2"/>
      <c r="E1" s="2"/>
      <c r="F1" s="2"/>
    </row>
    <row r="2" spans="1:6" ht="15" x14ac:dyDescent="0.2">
      <c r="A2" s="1"/>
      <c r="B2" s="3"/>
      <c r="C2" s="3"/>
      <c r="D2" s="2"/>
      <c r="E2" s="2"/>
      <c r="F2" s="2"/>
    </row>
    <row r="3" spans="1:6" ht="15" x14ac:dyDescent="0.2">
      <c r="A3" s="1"/>
      <c r="B3" s="3"/>
      <c r="C3" s="3"/>
      <c r="D3" s="2"/>
      <c r="E3" s="2"/>
      <c r="F3" s="2"/>
    </row>
    <row r="4" spans="1:6" ht="15" x14ac:dyDescent="0.2">
      <c r="A4" s="1"/>
      <c r="B4" s="3"/>
      <c r="C4" s="3"/>
      <c r="D4" s="2"/>
      <c r="E4" s="2"/>
      <c r="F4" s="2"/>
    </row>
    <row r="5" spans="1:6" ht="15" x14ac:dyDescent="0.2">
      <c r="A5" s="1"/>
      <c r="B5" s="3"/>
      <c r="C5" s="3"/>
      <c r="D5" s="2"/>
      <c r="E5" s="2"/>
      <c r="F5" s="2"/>
    </row>
    <row r="6" spans="1:6" ht="15" x14ac:dyDescent="0.2">
      <c r="A6" s="1"/>
      <c r="B6" s="3"/>
      <c r="C6" s="3"/>
      <c r="D6" s="2"/>
      <c r="E6" s="2"/>
      <c r="F6" s="2"/>
    </row>
    <row r="7" spans="1:6" ht="15" x14ac:dyDescent="0.2">
      <c r="A7" s="294" t="s">
        <v>0</v>
      </c>
      <c r="B7" s="294"/>
      <c r="C7" s="294"/>
      <c r="D7" s="294"/>
      <c r="E7" s="294"/>
      <c r="F7" s="294"/>
    </row>
    <row r="8" spans="1:6" ht="15" x14ac:dyDescent="0.2">
      <c r="A8" s="294" t="s">
        <v>1</v>
      </c>
      <c r="B8" s="294"/>
      <c r="C8" s="294"/>
      <c r="D8" s="294"/>
      <c r="E8" s="294"/>
      <c r="F8" s="294"/>
    </row>
    <row r="9" spans="1:6" ht="15" x14ac:dyDescent="0.2">
      <c r="A9" s="294" t="s">
        <v>249</v>
      </c>
      <c r="B9" s="294"/>
      <c r="C9" s="294"/>
      <c r="D9" s="294"/>
      <c r="E9" s="294"/>
      <c r="F9" s="294"/>
    </row>
    <row r="10" spans="1:6" ht="15" x14ac:dyDescent="0.2">
      <c r="A10" s="273"/>
      <c r="B10" s="273"/>
      <c r="C10" s="273"/>
      <c r="D10" s="273"/>
      <c r="E10" s="273"/>
      <c r="F10" s="273"/>
    </row>
    <row r="11" spans="1:6" ht="21" x14ac:dyDescent="0.2">
      <c r="A11" s="295" t="s">
        <v>284</v>
      </c>
      <c r="B11" s="295"/>
      <c r="C11" s="295"/>
      <c r="D11" s="295"/>
      <c r="E11" s="295"/>
      <c r="F11" s="295"/>
    </row>
    <row r="12" spans="1:6" ht="15.75" x14ac:dyDescent="0.2">
      <c r="A12" s="296"/>
      <c r="B12" s="296"/>
      <c r="C12" s="296"/>
      <c r="D12" s="296"/>
      <c r="E12" s="296"/>
      <c r="F12" s="296"/>
    </row>
    <row r="13" spans="1:6" ht="15.75" x14ac:dyDescent="0.2">
      <c r="A13" s="337" t="s">
        <v>14</v>
      </c>
      <c r="B13" s="337"/>
      <c r="C13" s="337"/>
      <c r="D13" s="337" t="s">
        <v>9</v>
      </c>
      <c r="E13" s="337"/>
      <c r="F13" s="274" t="s">
        <v>287</v>
      </c>
    </row>
    <row r="14" spans="1:6" ht="12.75" customHeight="1" x14ac:dyDescent="0.2">
      <c r="A14" s="338" t="s">
        <v>285</v>
      </c>
      <c r="B14" s="299"/>
      <c r="C14" s="339"/>
      <c r="D14" s="331" t="s">
        <v>288</v>
      </c>
      <c r="E14" s="332"/>
      <c r="F14" s="335">
        <f>'1. LOTE 1'!E38</f>
        <v>209381.68666666665</v>
      </c>
    </row>
    <row r="15" spans="1:6" ht="12.75" customHeight="1" x14ac:dyDescent="0.2">
      <c r="A15" s="340"/>
      <c r="B15" s="341"/>
      <c r="C15" s="342"/>
      <c r="D15" s="333"/>
      <c r="E15" s="334"/>
      <c r="F15" s="336"/>
    </row>
    <row r="16" spans="1:6" ht="12.75" customHeight="1" x14ac:dyDescent="0.2">
      <c r="A16" s="338" t="s">
        <v>286</v>
      </c>
      <c r="B16" s="299"/>
      <c r="C16" s="339"/>
      <c r="D16" s="331" t="s">
        <v>288</v>
      </c>
      <c r="E16" s="332"/>
      <c r="F16" s="335">
        <f>'2. LOTE 2'!E37</f>
        <v>133435.23000000001</v>
      </c>
    </row>
    <row r="17" spans="1:6" ht="13.5" customHeight="1" x14ac:dyDescent="0.2">
      <c r="A17" s="340"/>
      <c r="B17" s="341"/>
      <c r="C17" s="342"/>
      <c r="D17" s="333"/>
      <c r="E17" s="334"/>
      <c r="F17" s="336"/>
    </row>
    <row r="18" spans="1:6" ht="15.75" x14ac:dyDescent="0.25">
      <c r="A18" s="330" t="s">
        <v>309</v>
      </c>
      <c r="B18" s="330"/>
      <c r="C18" s="330"/>
      <c r="D18" s="330"/>
      <c r="E18" s="330"/>
      <c r="F18" s="283">
        <f>SUM(F14:F17)</f>
        <v>342816.91666666663</v>
      </c>
    </row>
    <row r="19" spans="1:6" ht="15.75" x14ac:dyDescent="0.25">
      <c r="A19" s="330" t="s">
        <v>330</v>
      </c>
      <c r="B19" s="330"/>
      <c r="C19" s="330"/>
      <c r="D19" s="330"/>
      <c r="E19" s="330"/>
      <c r="F19" s="283">
        <f>F18*3</f>
        <v>1028450.7499999999</v>
      </c>
    </row>
  </sheetData>
  <mergeCells count="15">
    <mergeCell ref="A18:E18"/>
    <mergeCell ref="A19:E19"/>
    <mergeCell ref="A7:F7"/>
    <mergeCell ref="A8:F8"/>
    <mergeCell ref="A9:F9"/>
    <mergeCell ref="A11:F11"/>
    <mergeCell ref="A12:F12"/>
    <mergeCell ref="D14:E15"/>
    <mergeCell ref="F14:F15"/>
    <mergeCell ref="D16:E17"/>
    <mergeCell ref="F16:F17"/>
    <mergeCell ref="A13:C13"/>
    <mergeCell ref="D13:E13"/>
    <mergeCell ref="A14:C15"/>
    <mergeCell ref="A16:C17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4</vt:i4>
      </vt:variant>
    </vt:vector>
  </HeadingPairs>
  <TitlesOfParts>
    <vt:vector size="13" baseType="lpstr">
      <vt:lpstr>1. LOTE 1</vt:lpstr>
      <vt:lpstr>2. LOTE 2</vt:lpstr>
      <vt:lpstr>3.Encargos Sociais</vt:lpstr>
      <vt:lpstr>4.BDI</vt:lpstr>
      <vt:lpstr>5. Depreciação</vt:lpstr>
      <vt:lpstr>6.Remuneração de capital</vt:lpstr>
      <vt:lpstr>7. Cotações</vt:lpstr>
      <vt:lpstr>8. Composição</vt:lpstr>
      <vt:lpstr>GERAL</vt:lpstr>
      <vt:lpstr>AbaDeprec</vt:lpstr>
      <vt:lpstr>AbaRemun</vt:lpstr>
      <vt:lpstr>'1. LOTE 1'!Area_de_impressao</vt:lpstr>
      <vt:lpstr>'3.Encargos Sociais'!Area_de_impressao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GUILHERME DE ALBUQUERQUE RODRIGUES</cp:lastModifiedBy>
  <cp:revision>0</cp:revision>
  <cp:lastPrinted>2026-04-07T11:43:00Z</cp:lastPrinted>
  <dcterms:created xsi:type="dcterms:W3CDTF">2000-12-13T10:02:50Z</dcterms:created>
  <dcterms:modified xsi:type="dcterms:W3CDTF">2026-04-08T16:51:42Z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MSIP_Label_defa4170-0d19-0005-0004-bc88714345d2_Enabled">
    <vt:lpwstr>true</vt:lpwstr>
  </property>
  <property fmtid="{D5CDD505-2E9C-101B-9397-08002B2CF9AE}" pid="10" name="MSIP_Label_defa4170-0d19-0005-0004-bc88714345d2_SetDate">
    <vt:lpwstr>2026-04-07T11:42:58Z</vt:lpwstr>
  </property>
  <property fmtid="{D5CDD505-2E9C-101B-9397-08002B2CF9AE}" pid="11" name="MSIP_Label_defa4170-0d19-0005-0004-bc88714345d2_Method">
    <vt:lpwstr>Standard</vt:lpwstr>
  </property>
  <property fmtid="{D5CDD505-2E9C-101B-9397-08002B2CF9AE}" pid="12" name="MSIP_Label_defa4170-0d19-0005-0004-bc88714345d2_Name">
    <vt:lpwstr>defa4170-0d19-0005-0004-bc88714345d2</vt:lpwstr>
  </property>
  <property fmtid="{D5CDD505-2E9C-101B-9397-08002B2CF9AE}" pid="13" name="MSIP_Label_defa4170-0d19-0005-0004-bc88714345d2_SiteId">
    <vt:lpwstr>38ae2f02-5710-4e12-80bb-83600c3fdf1e</vt:lpwstr>
  </property>
  <property fmtid="{D5CDD505-2E9C-101B-9397-08002B2CF9AE}" pid="14" name="MSIP_Label_defa4170-0d19-0005-0004-bc88714345d2_ActionId">
    <vt:lpwstr>9de9cb59-1d5e-4d7d-99bf-7bf9270ef9f2</vt:lpwstr>
  </property>
  <property fmtid="{D5CDD505-2E9C-101B-9397-08002B2CF9AE}" pid="15" name="MSIP_Label_defa4170-0d19-0005-0004-bc88714345d2_ContentBits">
    <vt:lpwstr>0</vt:lpwstr>
  </property>
</Properties>
</file>