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ownloads\Arquivos Concorrência 005-2023\"/>
    </mc:Choice>
  </mc:AlternateContent>
  <xr:revisionPtr revIDLastSave="0" documentId="8_{E0ADEA87-153D-4EE4-9E54-B5C6E709D737}" xr6:coauthVersionLast="47" xr6:coauthVersionMax="47" xr10:uidLastSave="{00000000-0000-0000-0000-000000000000}"/>
  <bookViews>
    <workbookView xWindow="-120" yWindow="-120" windowWidth="20640" windowHeight="11160" activeTab="3" xr2:uid="{00000000-000D-0000-FFFF-FFFF00000000}"/>
  </bookViews>
  <sheets>
    <sheet name="Planilha orçamentária" sheetId="1" r:id="rId1"/>
    <sheet name="Planilha1" sheetId="5" r:id="rId2"/>
    <sheet name="Memoriade calculo" sheetId="2" r:id="rId3"/>
    <sheet name="RESUMO" sheetId="3" r:id="rId4"/>
  </sheets>
  <definedNames>
    <definedName name="_xlnm.Print_Titles" localSheetId="2">'Memoriade calculo'!$8:$9</definedName>
    <definedName name="_xlnm.Print_Titles" localSheetId="0">'Planilha orçamentária'!$6:$7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9" i="1" l="1"/>
  <c r="D20" i="2"/>
  <c r="E38" i="5"/>
  <c r="E29" i="5"/>
  <c r="F29" i="5" s="1"/>
  <c r="G29" i="5" s="1"/>
  <c r="I29" i="5" s="1"/>
  <c r="I20" i="5"/>
  <c r="I13" i="5"/>
  <c r="I11" i="5"/>
  <c r="E20" i="5"/>
  <c r="E10" i="5"/>
  <c r="C12" i="5"/>
  <c r="E12" i="5" s="1"/>
  <c r="G12" i="5"/>
  <c r="I12" i="5" s="1"/>
  <c r="G30" i="5"/>
  <c r="I30" i="5" s="1"/>
  <c r="G38" i="5"/>
  <c r="I38" i="5" s="1"/>
  <c r="C29" i="5"/>
  <c r="C28" i="5"/>
  <c r="E28" i="5" s="1"/>
  <c r="F28" i="5" s="1"/>
  <c r="C27" i="5"/>
  <c r="E27" i="5" s="1"/>
  <c r="F27" i="5" s="1"/>
  <c r="G20" i="5"/>
  <c r="C20" i="5"/>
  <c r="C37" i="5"/>
  <c r="E37" i="5" s="1"/>
  <c r="G37" i="5"/>
  <c r="I37" i="5" s="1"/>
  <c r="F11" i="5"/>
  <c r="G11" i="5" s="1"/>
  <c r="F10" i="5"/>
  <c r="F9" i="5"/>
  <c r="C9" i="5"/>
  <c r="E9" i="5" s="1"/>
  <c r="C11" i="5"/>
  <c r="E11" i="5" s="1"/>
  <c r="C17" i="5"/>
  <c r="E17" i="5" s="1"/>
  <c r="C10" i="5"/>
  <c r="G9" i="5" l="1"/>
  <c r="I9" i="5" s="1"/>
  <c r="G27" i="5"/>
  <c r="I27" i="5" s="1"/>
  <c r="G10" i="5"/>
  <c r="I10" i="5" s="1"/>
  <c r="C32" i="5"/>
  <c r="E32" i="5" s="1"/>
  <c r="C33" i="5"/>
  <c r="E33" i="5" s="1"/>
  <c r="G36" i="5"/>
  <c r="I36" i="5" s="1"/>
  <c r="C36" i="5"/>
  <c r="E36" i="5" s="1"/>
  <c r="G35" i="5"/>
  <c r="I35" i="5" s="1"/>
  <c r="C35" i="5"/>
  <c r="E35" i="5" s="1"/>
  <c r="G34" i="5"/>
  <c r="I34" i="5" s="1"/>
  <c r="C34" i="5"/>
  <c r="E34" i="5" s="1"/>
  <c r="G33" i="5"/>
  <c r="I33" i="5" s="1"/>
  <c r="G32" i="5"/>
  <c r="I32" i="5" s="1"/>
  <c r="C30" i="5"/>
  <c r="E30" i="5" s="1"/>
  <c r="E41" i="5" s="1"/>
  <c r="G28" i="5"/>
  <c r="I28" i="5" s="1"/>
  <c r="G19" i="5"/>
  <c r="I19" i="5" s="1"/>
  <c r="C19" i="5"/>
  <c r="E19" i="5" s="1"/>
  <c r="G18" i="5"/>
  <c r="I18" i="5" s="1"/>
  <c r="C18" i="5"/>
  <c r="E18" i="5" s="1"/>
  <c r="G17" i="5"/>
  <c r="I17" i="5" s="1"/>
  <c r="G16" i="5"/>
  <c r="I16" i="5" s="1"/>
  <c r="C16" i="5"/>
  <c r="E16" i="5" s="1"/>
  <c r="G15" i="5"/>
  <c r="I15" i="5" s="1"/>
  <c r="C15" i="5"/>
  <c r="E15" i="5" s="1"/>
  <c r="G14" i="5"/>
  <c r="I14" i="5" s="1"/>
  <c r="I22" i="5" s="1"/>
  <c r="C14" i="5"/>
  <c r="E14" i="5" s="1"/>
  <c r="E22" i="5" s="1"/>
  <c r="I41" i="5" l="1"/>
  <c r="B42" i="5" s="1"/>
  <c r="B23" i="5"/>
  <c r="I44" i="5" l="1"/>
  <c r="G57" i="1"/>
  <c r="F57" i="1"/>
  <c r="H57" i="1" l="1"/>
  <c r="D55" i="2"/>
  <c r="D39" i="2"/>
  <c r="D38" i="2" s="1"/>
  <c r="D40" i="2" l="1"/>
  <c r="E36" i="2" l="1"/>
  <c r="G48" i="1"/>
  <c r="D49" i="2"/>
  <c r="D50" i="2"/>
  <c r="F48" i="1" s="1"/>
  <c r="H48" i="1" l="1"/>
  <c r="G47" i="1"/>
  <c r="D53" i="2"/>
  <c r="G53" i="1" l="1"/>
  <c r="G45" i="1" l="1"/>
  <c r="G42" i="1"/>
  <c r="G39" i="1" l="1"/>
  <c r="G38" i="1"/>
  <c r="G35" i="1"/>
  <c r="G32" i="1"/>
  <c r="G24" i="1" l="1"/>
  <c r="G18" i="1"/>
  <c r="AO29" i="2"/>
  <c r="AO28" i="2"/>
  <c r="AO27" i="2"/>
  <c r="AO26" i="2"/>
  <c r="AN29" i="2"/>
  <c r="AN28" i="2"/>
  <c r="AN27" i="2"/>
  <c r="AN26" i="2"/>
  <c r="AL28" i="2"/>
  <c r="AL27" i="2"/>
  <c r="AL29" i="2"/>
  <c r="AL26" i="2"/>
  <c r="F54" i="1" l="1"/>
  <c r="F53" i="1"/>
  <c r="H53" i="1" s="1"/>
  <c r="D58" i="2" l="1"/>
  <c r="F56" i="1" s="1"/>
  <c r="D57" i="2"/>
  <c r="F55" i="1" s="1"/>
  <c r="F32" i="1"/>
  <c r="B7" i="2" l="1"/>
  <c r="D36" i="2" l="1"/>
  <c r="D54" i="2" l="1"/>
  <c r="F52" i="1" s="1"/>
  <c r="G28" i="1"/>
  <c r="G52" i="1" l="1"/>
  <c r="H52" i="1" s="1"/>
  <c r="G51" i="1"/>
  <c r="G20" i="1" l="1"/>
  <c r="G19" i="1"/>
  <c r="G17" i="1"/>
  <c r="G14" i="1"/>
  <c r="G13" i="1"/>
  <c r="H13" i="1" s="1"/>
  <c r="G12" i="1"/>
  <c r="G9" i="1"/>
  <c r="F51" i="1"/>
  <c r="F34" i="1"/>
  <c r="D14" i="2"/>
  <c r="F12" i="1" s="1"/>
  <c r="F47" i="1"/>
  <c r="H47" i="1" s="1"/>
  <c r="F46" i="1"/>
  <c r="F45" i="1"/>
  <c r="F42" i="1"/>
  <c r="F39" i="1"/>
  <c r="H39" i="1" s="1"/>
  <c r="F35" i="1"/>
  <c r="F33" i="1"/>
  <c r="F25" i="1"/>
  <c r="F17" i="1"/>
  <c r="H17" i="1" s="1"/>
  <c r="F13" i="1"/>
  <c r="F9" i="1"/>
  <c r="H51" i="1" l="1"/>
  <c r="F37" i="1"/>
  <c r="F36" i="1"/>
  <c r="F38" i="1"/>
  <c r="H38" i="1" s="1"/>
  <c r="F18" i="1"/>
  <c r="H18" i="1" s="1"/>
  <c r="F19" i="1"/>
  <c r="H9" i="1"/>
  <c r="H8" i="1" s="1"/>
  <c r="H12" i="1"/>
  <c r="G25" i="1" l="1"/>
  <c r="H25" i="1" s="1"/>
  <c r="G37" i="1" l="1"/>
  <c r="H37" i="1" s="1"/>
  <c r="H35" i="1" l="1"/>
  <c r="G46" i="1"/>
  <c r="H46" i="1" s="1"/>
  <c r="G56" i="1"/>
  <c r="G55" i="1"/>
  <c r="G54" i="1"/>
  <c r="H56" i="1" l="1"/>
  <c r="H55" i="1"/>
  <c r="H54" i="1"/>
  <c r="H50" i="1" s="1"/>
  <c r="C18" i="3" l="1"/>
  <c r="G23" i="1"/>
  <c r="E7" i="2" l="1"/>
  <c r="E6" i="2"/>
  <c r="E8" i="2"/>
  <c r="D25" i="2" l="1"/>
  <c r="D26" i="2" s="1"/>
  <c r="D31" i="2"/>
  <c r="F14" i="1"/>
  <c r="H14" i="1" s="1"/>
  <c r="H11" i="1" s="1"/>
  <c r="D30" i="2"/>
  <c r="F28" i="1" s="1"/>
  <c r="H28" i="1" s="1"/>
  <c r="D22" i="2"/>
  <c r="F20" i="1" s="1"/>
  <c r="F24" i="1" l="1"/>
  <c r="H24" i="1" s="1"/>
  <c r="C11" i="3"/>
  <c r="F29" i="1"/>
  <c r="H29" i="1" s="1"/>
  <c r="H27" i="1" s="1"/>
  <c r="F23" i="1"/>
  <c r="H45" i="1"/>
  <c r="H44" i="1" s="1"/>
  <c r="C14" i="3" l="1"/>
  <c r="C17" i="3"/>
  <c r="H19" i="1"/>
  <c r="G36" i="1" l="1"/>
  <c r="H36" i="1" s="1"/>
  <c r="G34" i="1"/>
  <c r="G33" i="1"/>
  <c r="H33" i="1" l="1"/>
  <c r="H34" i="1"/>
  <c r="H42" i="1"/>
  <c r="H41" i="1" s="1"/>
  <c r="H20" i="1"/>
  <c r="H16" i="1" s="1"/>
  <c r="H32" i="1"/>
  <c r="H31" i="1" s="1"/>
  <c r="C16" i="3" l="1"/>
  <c r="H23" i="1"/>
  <c r="H22" i="1" s="1"/>
  <c r="H58" i="1" s="1"/>
  <c r="C12" i="3" l="1"/>
  <c r="C13" i="3"/>
  <c r="C15" i="3"/>
  <c r="C10" i="3"/>
  <c r="C19" i="3" l="1"/>
</calcChain>
</file>

<file path=xl/sharedStrings.xml><?xml version="1.0" encoding="utf-8"?>
<sst xmlns="http://schemas.openxmlformats.org/spreadsheetml/2006/main" count="385" uniqueCount="204">
  <si>
    <t>Comprimento (m)</t>
  </si>
  <si>
    <t>Largura (m)</t>
  </si>
  <si>
    <t>Área Total (m²)</t>
  </si>
  <si>
    <t>Item</t>
  </si>
  <si>
    <t>Referência</t>
  </si>
  <si>
    <t>Código</t>
  </si>
  <si>
    <t>Descrição dos Serviços</t>
  </si>
  <si>
    <t>Un</t>
  </si>
  <si>
    <t>Quantitativo</t>
  </si>
  <si>
    <t xml:space="preserve"> R$ unit.</t>
  </si>
  <si>
    <t>Preço total</t>
  </si>
  <si>
    <t xml:space="preserve"> R$ unit. Sem BDI</t>
  </si>
  <si>
    <t>Serviços Iniciais</t>
  </si>
  <si>
    <t>1.1</t>
  </si>
  <si>
    <t>SINAPI</t>
  </si>
  <si>
    <t>Placa de Obra</t>
  </si>
  <si>
    <t>m²</t>
  </si>
  <si>
    <t>Administração Local</t>
  </si>
  <si>
    <t>2.1</t>
  </si>
  <si>
    <t>2.2</t>
  </si>
  <si>
    <t>2.3</t>
  </si>
  <si>
    <t>Aluguel container/escr,  larg= 2,30 m,  compr= 6,00 m, altura 2,50 m, com um sanitário, para escritório, completo, sem divisórias.</t>
  </si>
  <si>
    <t>Terraplenagem</t>
  </si>
  <si>
    <t>3.1</t>
  </si>
  <si>
    <t>m³</t>
  </si>
  <si>
    <t>3.2</t>
  </si>
  <si>
    <t>m³xKm</t>
  </si>
  <si>
    <t>3.3</t>
  </si>
  <si>
    <t>100576</t>
  </si>
  <si>
    <t>Regularização e compactação do sub-leito</t>
  </si>
  <si>
    <t>4.1</t>
  </si>
  <si>
    <t>COMPOSIÇÃO PMA</t>
  </si>
  <si>
    <t>4.2</t>
  </si>
  <si>
    <t>96396</t>
  </si>
  <si>
    <t>94273</t>
  </si>
  <si>
    <t>Fornecimento e colocação de meio-fio de concreto (0,15x0,30x1,00)m</t>
  </si>
  <si>
    <t>m</t>
  </si>
  <si>
    <t>Drenagem Pluvial</t>
  </si>
  <si>
    <t>5.1</t>
  </si>
  <si>
    <t>90106</t>
  </si>
  <si>
    <t>Escavação mecânica de valas em material de 1ª categoria</t>
  </si>
  <si>
    <t>5.2</t>
  </si>
  <si>
    <t>92210</t>
  </si>
  <si>
    <t>93381</t>
  </si>
  <si>
    <t>Reaterro mecânico de valas com material local</t>
  </si>
  <si>
    <t>un</t>
  </si>
  <si>
    <t>Boca-de-Lobo com Fornec. com colocação de Artefatos</t>
  </si>
  <si>
    <t>Sinalização Viária</t>
  </si>
  <si>
    <t>6.1</t>
  </si>
  <si>
    <t>6.2</t>
  </si>
  <si>
    <t>Serviços Urbanisticos e Mobilidade Urbana</t>
  </si>
  <si>
    <t>7.1</t>
  </si>
  <si>
    <t>un.</t>
  </si>
  <si>
    <t>TOTAL</t>
  </si>
  <si>
    <t xml:space="preserve">BDI </t>
  </si>
  <si>
    <t>Discriminado</t>
  </si>
  <si>
    <t>Sinalização Horizontal com tinta refletiva</t>
  </si>
  <si>
    <t>Conforme planta de sinalização</t>
  </si>
  <si>
    <t>Pintura de faixa de pedestre com tinta retrorefletiva a base de resina acrilica com microesferas de vidro - BRANCO</t>
  </si>
  <si>
    <t>6.3</t>
  </si>
  <si>
    <t>102512</t>
  </si>
  <si>
    <t>102509</t>
  </si>
  <si>
    <t>100973</t>
  </si>
  <si>
    <t>Carga e descarga mecanizada de solo utilizando caminhão basculante 6,0 m³ e pá carregadeira</t>
  </si>
  <si>
    <t>3.4</t>
  </si>
  <si>
    <t>Hermes Pereira de Souza</t>
  </si>
  <si>
    <t>95875</t>
  </si>
  <si>
    <t>18</t>
  </si>
  <si>
    <t>14</t>
  </si>
  <si>
    <t>4813</t>
  </si>
  <si>
    <t>97914</t>
  </si>
  <si>
    <t>Placa de Identificação de Logradouro Público 50X25 cm, com suporte</t>
  </si>
  <si>
    <t>Escavação mecânica, a céu aberto, em material de 1a categoria, com escavadeira hidráulica, capacidade de 0,78 m³</t>
  </si>
  <si>
    <t>Fornecimento e Colocação de piso Podotatil de Alerta 40x40x2,5</t>
  </si>
  <si>
    <t>Fornecimento e Colocação de piso Podotatil direcional 40x40x2,5</t>
  </si>
  <si>
    <t>Conforme planta de pavimentação</t>
  </si>
  <si>
    <t>3 Placas*0,3 m²</t>
  </si>
  <si>
    <t>3 Placas</t>
  </si>
  <si>
    <t>5 PV</t>
  </si>
  <si>
    <t xml:space="preserve">7785 </t>
  </si>
  <si>
    <t xml:space="preserve">Fornecimento de Tubo Conc. Simples PS2 PB, para águas pluviaisNBR8890 DN 400mm </t>
  </si>
  <si>
    <t xml:space="preserve">Assentamento Tubo Conc. Simples PS2 PB, para águas pluviaisNBR8890 DN 400mm </t>
  </si>
  <si>
    <t>Fornec. e Assent. Tubo Conc. Armado para redes coletoras de águas pluviais PS2 PB NBR8890 DN 400mm, instalado em local com baixo nível de interferências.</t>
  </si>
  <si>
    <t>92809</t>
  </si>
  <si>
    <t>Transporte de material escavado DMT 3,4 Km</t>
  </si>
  <si>
    <t>10</t>
  </si>
  <si>
    <t>343 MF</t>
  </si>
  <si>
    <t>4.3</t>
  </si>
  <si>
    <t>Estrutura do Pavimento</t>
  </si>
  <si>
    <t>6.4</t>
  </si>
  <si>
    <t>6.5</t>
  </si>
  <si>
    <t>6.6</t>
  </si>
  <si>
    <t>6.7</t>
  </si>
  <si>
    <t>6.8</t>
  </si>
  <si>
    <t>8.1</t>
  </si>
  <si>
    <t>8.2</t>
  </si>
  <si>
    <t>8.3</t>
  </si>
  <si>
    <t>4</t>
  </si>
  <si>
    <t>Serviços Topográficos</t>
  </si>
  <si>
    <t>1 unidade</t>
  </si>
  <si>
    <t>Placa de obra</t>
  </si>
  <si>
    <t>Administração local, engenheiro civil e técnico em segurança do trabalho</t>
  </si>
  <si>
    <t>INSUMO</t>
  </si>
  <si>
    <t>Pedra britada Nº 1 (9,5 à 19 mm), lastro de brita para os passeios espessura 3 cm</t>
  </si>
  <si>
    <t>Transporte  em caminhão Basculante DMT = 3,4 km</t>
  </si>
  <si>
    <t>Imprimação asfáltica com CM-30, taxa 1,5 l/m²</t>
  </si>
  <si>
    <t>476,78*0,03</t>
  </si>
  <si>
    <t>Revestimento com CBUQ, esp 6 cm</t>
  </si>
  <si>
    <t>1.193,44 * 0,06</t>
  </si>
  <si>
    <t>1.193,44 * 0,20</t>
  </si>
  <si>
    <t>Revestimento em CBUQ</t>
  </si>
  <si>
    <t>BDI =22,04% Conforme Acórdão - Lei 13161/2015-TCU</t>
  </si>
  <si>
    <t>Contrato de Repasse: 929510/2022</t>
  </si>
  <si>
    <t>Extensão:  155,00m</t>
  </si>
  <si>
    <t xml:space="preserve">Drenagem Pluvial - Boca de Lobo </t>
  </si>
  <si>
    <t>9.1</t>
  </si>
  <si>
    <t>9.2</t>
  </si>
  <si>
    <t>9.3</t>
  </si>
  <si>
    <t>9.4</t>
  </si>
  <si>
    <t>9.5</t>
  </si>
  <si>
    <t>ART Nº 12340112</t>
  </si>
  <si>
    <t>13</t>
  </si>
  <si>
    <t>3</t>
  </si>
  <si>
    <t>12</t>
  </si>
  <si>
    <t>ITEM</t>
  </si>
  <si>
    <t>DESCRIÇÃO DOS SERVIÇOS</t>
  </si>
  <si>
    <t>Valor R$</t>
  </si>
  <si>
    <t xml:space="preserve">Terraplenagem </t>
  </si>
  <si>
    <t>Drenagem Pluvial - Boca de Lobo</t>
  </si>
  <si>
    <t>Total da Obra</t>
  </si>
  <si>
    <t xml:space="preserve">                                 Hermes Pereira de Souza</t>
  </si>
  <si>
    <t>Pintura de eixo viário sobre asfalto com tinta retrorrefletiva a base de resina acrílica com microesferas de vidro, aplicação mecânica com demarcadora autopropelida. af_05/2021</t>
  </si>
  <si>
    <t xml:space="preserve"> </t>
  </si>
  <si>
    <t>Área de abrangência (pista + Passeios) Conforme planta de pavimentação</t>
  </si>
  <si>
    <t>Ref de preços - SINAPI - JANEIRO 2023  NÃO DESONERADO</t>
  </si>
  <si>
    <t xml:space="preserve"> 40*0,4 Conforme planta de acessibilidade</t>
  </si>
  <si>
    <t>276*0,4 Conforme planta de acessibilidade</t>
  </si>
  <si>
    <t>9.6</t>
  </si>
  <si>
    <t>Fornecimento, execução e compactação de brita graduada para pavimentação, e= 20 cm</t>
  </si>
  <si>
    <t>Fornecimento, execução e compactação de brita graduada, e= 20 cm</t>
  </si>
  <si>
    <t>476,78*0,07</t>
  </si>
  <si>
    <t>Execução de Passeios (calçadas) e rampas com concreto moldado in loco, Usinado, acabamento convencional, não armado, resistência C2O, espessura 7 cm</t>
  </si>
  <si>
    <t>3,0 x 1,5</t>
  </si>
  <si>
    <t>Execução de caixa coletora (1,20x1,20) prof. média 1,60m, com fundo de concreto magro e tampa de concreto armado e paredes em alvenaria de pedra grês</t>
  </si>
  <si>
    <t>Administração local</t>
  </si>
  <si>
    <t>Fornecimento e assentamento de piso tátil de alerta em concreto 40x40x2,5</t>
  </si>
  <si>
    <t>Fornecimento e assentamento de piso tátil direcional em concreto 40x40x2,5</t>
  </si>
  <si>
    <t>Conjunto de placa de identificação de logradouro público, com duas placas 50x25, face dupla, incluindo suporte, acessórios de fixação e implantação</t>
  </si>
  <si>
    <t xml:space="preserve">Construção de pavimento com aplicação de concreto betuminoso usinado a quente (CBUQ), camada de rolamento, com espessura de 6,0 cm - exclusive transporte. </t>
  </si>
  <si>
    <t>Aluguel container</t>
  </si>
  <si>
    <t>Boca de lobo em alvenaria de tijolo maciço revestida com argamassa cimento e areia 1:3, sobre lastro de concreto 10 cm e tampa de concreto armado com colocação de artefatos</t>
  </si>
  <si>
    <t>Conjunto de placa de sinalização semi-refletiva r1 (PARE) 0,3m², incluindo suporte, acessórios de fixação e implantação</t>
  </si>
  <si>
    <t>Serviços Topográficos para pavimentação</t>
  </si>
  <si>
    <t>Placa regulamentadora de velocidade (40Km/h) retrorefletiva Ø 50cm</t>
  </si>
  <si>
    <t>8.4</t>
  </si>
  <si>
    <t>3 Placas*0,2 m²</t>
  </si>
  <si>
    <t>31m tubo Ø 400mm</t>
  </si>
  <si>
    <t>78 m tubo Ø 400mm</t>
  </si>
  <si>
    <t>9 BL</t>
  </si>
  <si>
    <t>Escavado -volume dos tubos (125,66 -19,72)</t>
  </si>
  <si>
    <t>Memória de Cálculo</t>
  </si>
  <si>
    <t>Conjunto de  Placa de Sinalizacao SEMI-REFLETIVA R1 (PARE) 0,3M², incluindo suporte, acessorios de fixação e implantação</t>
  </si>
  <si>
    <t>Execução e compactação de aterro com solo predominantemente argiloso, exclusive solo, escavação, carga e transporte.</t>
  </si>
  <si>
    <t>9.7</t>
  </si>
  <si>
    <t>VOLUME DE CORTE</t>
  </si>
  <si>
    <t>VOLUME DE ATERRO</t>
  </si>
  <si>
    <t>Estaca</t>
  </si>
  <si>
    <t>Rua Hermes Pereira de Souza</t>
  </si>
  <si>
    <t>2+10,70 A</t>
  </si>
  <si>
    <t>2+10,70 B</t>
  </si>
  <si>
    <t>7+15</t>
  </si>
  <si>
    <t>Conforme planilha de corte e aterro</t>
  </si>
  <si>
    <t>Transporte de brita graduada com caminhão basculante 10m³, via urbana pavimentada, DMT 17,1Km</t>
  </si>
  <si>
    <t>238,68*17,1Km</t>
  </si>
  <si>
    <t>Transporte de pedra britada Nº 1 (9,5 à 19 mm), lastro de brita para os passeios espessura 3 cm, DT 17,1 km</t>
  </si>
  <si>
    <t>Transporte em caminhão basculante de pedra britada Nº 1 (9,5 à 19 mm) em via urbana pavimentada, lastro de brita dos passeios, DT 17,1 km</t>
  </si>
  <si>
    <t>476,78*0,03*17,1 Km</t>
  </si>
  <si>
    <t>(125,66 m³)  Conforme planilha de escavação de drenagem pluvial</t>
  </si>
  <si>
    <t>(78+31)* 3,1416 * 0,48 * 0,48 / 4</t>
  </si>
  <si>
    <t>((78+31) * 3,1416 * 0,48 * 0,48 / 4)* 1,25*3,4 Km</t>
  </si>
  <si>
    <t>Transporte de brita graduada com caminhão basculante 10m³, via urbana pavimentada, DT 17,1Km</t>
  </si>
  <si>
    <t>Execução de imprimação com asfalto diluído CM-30</t>
  </si>
  <si>
    <t>Seção Transversal de Corte na Pista (m²)</t>
  </si>
  <si>
    <t>Seção Transversal Média de Corte na Pista (m²)</t>
  </si>
  <si>
    <t>Distância (m)</t>
  </si>
  <si>
    <t>Volume de Corte na Pista (m³)</t>
  </si>
  <si>
    <t>Seção Transversal de Corte no Passeio (m²)</t>
  </si>
  <si>
    <t>Seção Transversal Média de Corte no Passeio (m²)</t>
  </si>
  <si>
    <t>Volume de Corte no Passeio (m³)</t>
  </si>
  <si>
    <t>SUB TOTAL</t>
  </si>
  <si>
    <t xml:space="preserve"> TOTAL</t>
  </si>
  <si>
    <t>Seção Transversal de Aterro na Pista (m²)</t>
  </si>
  <si>
    <t>Seção Transversal Média de Aterro na Pista (m²)</t>
  </si>
  <si>
    <t>Volume de Aterro na Pista (m³)</t>
  </si>
  <si>
    <t>Seção Transversal de Aterro no Passeio (m²)</t>
  </si>
  <si>
    <t>Seção Transversal Média de Aterro no Passeio (m²)</t>
  </si>
  <si>
    <t>Volume de Aterro no Passeio (m³)</t>
  </si>
  <si>
    <t xml:space="preserve">BOTA FORA (m³) </t>
  </si>
  <si>
    <t>Compactação mecânica de solo para execução de radier, piso de concreto ou laje sobre solo, com compactador de solos tipo placa vibratória</t>
  </si>
  <si>
    <t>516,00*1,25*3,4Km</t>
  </si>
  <si>
    <t>ART Nº 12574865</t>
  </si>
  <si>
    <t>CONTRATO DE REPASSE Nº 929510/2022/MDR/CAIXA</t>
  </si>
  <si>
    <t>PROPOSTA Nº 4284/2022</t>
  </si>
  <si>
    <t>95995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</si>
</sst>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  <numFmt numFmtId="167" formatCode="_(* #,##0.000_);_(* \(#,##0.000\);_(* &quot;-&quot;??_);_(@_)"/>
    <numFmt numFmtId="168" formatCode="_(&quot;R$&quot;* #,##0.00_);_(&quot;R$&quot;* \(#,##0.00\);_(&quot;R$&quot;* &quot;-&quot;??_);_(@_)"/>
    <numFmt numFmtId="169" formatCode="0.0000"/>
    <numFmt numFmtId="170" formatCode="0.000"/>
  </numFmts>
  <fonts count="18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4"/>
      <color theme="0" tint="-0.249977111117893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215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164" fontId="2" fillId="0" borderId="2" xfId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4" xfId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4" fontId="2" fillId="0" borderId="2" xfId="1" applyFont="1" applyFill="1" applyBorder="1" applyAlignment="1">
      <alignment vertical="center"/>
    </xf>
    <xf numFmtId="164" fontId="2" fillId="0" borderId="9" xfId="1" applyFont="1" applyBorder="1" applyAlignment="1">
      <alignment horizontal="right"/>
    </xf>
    <xf numFmtId="164" fontId="2" fillId="0" borderId="9" xfId="1" applyFont="1" applyBorder="1" applyAlignment="1">
      <alignment horizontal="right" vertical="center"/>
    </xf>
    <xf numFmtId="0" fontId="2" fillId="0" borderId="2" xfId="0" applyFont="1" applyBorder="1" applyAlignment="1">
      <alignment vertical="center" wrapText="1"/>
    </xf>
    <xf numFmtId="164" fontId="2" fillId="0" borderId="2" xfId="1" applyFont="1" applyFill="1" applyBorder="1" applyAlignment="1">
      <alignment horizontal="right"/>
    </xf>
    <xf numFmtId="0" fontId="7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166" fontId="2" fillId="0" borderId="11" xfId="4" applyNumberFormat="1" applyFont="1" applyFill="1" applyBorder="1" applyAlignment="1">
      <alignment vertical="center"/>
    </xf>
    <xf numFmtId="0" fontId="2" fillId="0" borderId="6" xfId="3" applyNumberFormat="1" applyFont="1" applyBorder="1" applyAlignment="1">
      <alignment horizontal="right"/>
    </xf>
    <xf numFmtId="0" fontId="6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164" fontId="2" fillId="0" borderId="2" xfId="1" applyFont="1" applyBorder="1" applyAlignment="1">
      <alignment horizontal="center"/>
    </xf>
    <xf numFmtId="2" fontId="2" fillId="0" borderId="9" xfId="3" applyNumberFormat="1" applyFont="1" applyBorder="1" applyAlignment="1">
      <alignment horizontal="right"/>
    </xf>
    <xf numFmtId="0" fontId="2" fillId="3" borderId="2" xfId="0" applyFont="1" applyFill="1" applyBorder="1" applyAlignment="1">
      <alignment horizontal="center" vertical="center"/>
    </xf>
    <xf numFmtId="4" fontId="10" fillId="3" borderId="8" xfId="0" applyNumberFormat="1" applyFont="1" applyFill="1" applyBorder="1" applyAlignment="1">
      <alignment horizontal="center" vertical="center"/>
    </xf>
    <xf numFmtId="164" fontId="2" fillId="3" borderId="8" xfId="4" applyFont="1" applyFill="1" applyBorder="1"/>
    <xf numFmtId="2" fontId="2" fillId="2" borderId="9" xfId="3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2" fillId="5" borderId="2" xfId="6" applyFont="1" applyFill="1" applyBorder="1" applyAlignment="1">
      <alignment vertical="center"/>
    </xf>
    <xf numFmtId="0" fontId="2" fillId="0" borderId="2" xfId="6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5" borderId="0" xfId="6" applyFont="1" applyFill="1" applyAlignment="1">
      <alignment vertical="center"/>
    </xf>
    <xf numFmtId="0" fontId="2" fillId="0" borderId="0" xfId="6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vertical="center"/>
    </xf>
    <xf numFmtId="164" fontId="2" fillId="0" borderId="2" xfId="4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164" fontId="2" fillId="0" borderId="8" xfId="4" applyFont="1" applyBorder="1"/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164" fontId="2" fillId="0" borderId="9" xfId="4" applyFont="1" applyBorder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164" fontId="2" fillId="0" borderId="2" xfId="4" applyFont="1" applyFill="1" applyBorder="1" applyAlignment="1">
      <alignment horizontal="right"/>
    </xf>
    <xf numFmtId="0" fontId="2" fillId="4" borderId="2" xfId="0" applyFont="1" applyFill="1" applyBorder="1" applyAlignment="1">
      <alignment vertical="center" wrapText="1"/>
    </xf>
    <xf numFmtId="0" fontId="8" fillId="4" borderId="0" xfId="0" applyFont="1" applyFill="1" applyAlignment="1">
      <alignment vertical="center"/>
    </xf>
    <xf numFmtId="164" fontId="2" fillId="0" borderId="5" xfId="4" applyFont="1" applyFill="1" applyBorder="1" applyAlignment="1">
      <alignment vertical="center"/>
    </xf>
    <xf numFmtId="165" fontId="6" fillId="0" borderId="2" xfId="3" applyFont="1" applyFill="1" applyBorder="1" applyAlignment="1">
      <alignment horizontal="center" vertical="center"/>
    </xf>
    <xf numFmtId="0" fontId="2" fillId="0" borderId="2" xfId="3" applyNumberFormat="1" applyFont="1" applyFill="1" applyBorder="1" applyAlignment="1">
      <alignment horizontal="right"/>
    </xf>
    <xf numFmtId="43" fontId="2" fillId="0" borderId="2" xfId="0" applyNumberFormat="1" applyFont="1" applyBorder="1" applyAlignment="1">
      <alignment horizontal="center" vertical="center"/>
    </xf>
    <xf numFmtId="2" fontId="2" fillId="0" borderId="2" xfId="3" applyNumberFormat="1" applyFont="1" applyFill="1" applyBorder="1" applyAlignment="1">
      <alignment horizontal="right"/>
    </xf>
    <xf numFmtId="165" fontId="4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2" xfId="6" applyNumberFormat="1" applyFont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64" fontId="5" fillId="0" borderId="2" xfId="1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/>
    </xf>
    <xf numFmtId="0" fontId="7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164" fontId="2" fillId="2" borderId="2" xfId="1" applyFont="1" applyFill="1" applyBorder="1" applyAlignment="1">
      <alignment vertical="center"/>
    </xf>
    <xf numFmtId="164" fontId="2" fillId="2" borderId="9" xfId="1" applyFont="1" applyFill="1" applyBorder="1" applyAlignment="1">
      <alignment horizontal="right"/>
    </xf>
    <xf numFmtId="164" fontId="2" fillId="2" borderId="2" xfId="4" applyFont="1" applyFill="1" applyBorder="1" applyAlignment="1">
      <alignment horizontal="right"/>
    </xf>
    <xf numFmtId="164" fontId="2" fillId="2" borderId="2" xfId="1" applyFont="1" applyFill="1" applyBorder="1" applyAlignment="1">
      <alignment horizontal="center"/>
    </xf>
    <xf numFmtId="0" fontId="2" fillId="0" borderId="8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/>
    </xf>
    <xf numFmtId="2" fontId="5" fillId="0" borderId="2" xfId="4" applyNumberFormat="1" applyFont="1" applyFill="1" applyBorder="1" applyAlignment="1">
      <alignment horizontal="center"/>
    </xf>
    <xf numFmtId="164" fontId="5" fillId="0" borderId="9" xfId="1" applyFont="1" applyBorder="1" applyAlignment="1">
      <alignment horizontal="right"/>
    </xf>
    <xf numFmtId="164" fontId="5" fillId="0" borderId="2" xfId="1" applyFont="1" applyBorder="1" applyAlignment="1">
      <alignment horizontal="right"/>
    </xf>
    <xf numFmtId="0" fontId="5" fillId="4" borderId="10" xfId="0" applyFont="1" applyFill="1" applyBorder="1" applyAlignment="1">
      <alignment horizontal="center" vertical="center" wrapText="1"/>
    </xf>
    <xf numFmtId="2" fontId="2" fillId="4" borderId="2" xfId="4" applyNumberFormat="1" applyFont="1" applyFill="1" applyBorder="1" applyAlignment="1">
      <alignment horizontal="center"/>
    </xf>
    <xf numFmtId="2" fontId="2" fillId="0" borderId="2" xfId="4" applyNumberFormat="1" applyFont="1" applyFill="1" applyBorder="1" applyAlignment="1">
      <alignment horizontal="center"/>
    </xf>
    <xf numFmtId="164" fontId="2" fillId="0" borderId="2" xfId="1" applyFont="1" applyFill="1" applyBorder="1" applyAlignment="1">
      <alignment horizontal="center"/>
    </xf>
    <xf numFmtId="166" fontId="2" fillId="0" borderId="11" xfId="4" applyNumberFormat="1" applyFont="1" applyFill="1" applyBorder="1" applyAlignment="1">
      <alignment horizontal="center" vertical="center"/>
    </xf>
    <xf numFmtId="164" fontId="2" fillId="3" borderId="8" xfId="4" applyFont="1" applyFill="1" applyBorder="1" applyAlignment="1">
      <alignment horizontal="center"/>
    </xf>
    <xf numFmtId="164" fontId="2" fillId="0" borderId="8" xfId="4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2" fontId="2" fillId="2" borderId="2" xfId="3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horizontal="center" vertical="center" wrapText="1"/>
    </xf>
    <xf numFmtId="164" fontId="5" fillId="0" borderId="2" xfId="4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167" fontId="6" fillId="0" borderId="10" xfId="7" applyNumberFormat="1" applyFont="1" applyFill="1" applyBorder="1" applyAlignment="1">
      <alignment vertical="center"/>
    </xf>
    <xf numFmtId="0" fontId="2" fillId="0" borderId="0" xfId="0" applyFont="1"/>
    <xf numFmtId="0" fontId="2" fillId="0" borderId="13" xfId="0" applyFont="1" applyBorder="1"/>
    <xf numFmtId="0" fontId="2" fillId="5" borderId="12" xfId="6" applyFont="1" applyFill="1" applyBorder="1" applyAlignment="1">
      <alignment vertical="center"/>
    </xf>
    <xf numFmtId="0" fontId="2" fillId="0" borderId="14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164" fontId="2" fillId="0" borderId="0" xfId="7" applyFont="1" applyFill="1" applyAlignment="1">
      <alignment vertical="center"/>
    </xf>
    <xf numFmtId="0" fontId="2" fillId="0" borderId="10" xfId="6" applyFont="1" applyBorder="1" applyAlignment="1">
      <alignment vertical="center"/>
    </xf>
    <xf numFmtId="43" fontId="2" fillId="0" borderId="0" xfId="0" applyNumberFormat="1" applyFont="1"/>
    <xf numFmtId="2" fontId="8" fillId="0" borderId="0" xfId="0" applyNumberFormat="1" applyFont="1" applyAlignment="1">
      <alignment vertical="center"/>
    </xf>
    <xf numFmtId="0" fontId="2" fillId="0" borderId="2" xfId="0" applyFont="1" applyBorder="1"/>
    <xf numFmtId="2" fontId="2" fillId="0" borderId="2" xfId="0" applyNumberFormat="1" applyFont="1" applyBorder="1"/>
    <xf numFmtId="4" fontId="2" fillId="0" borderId="2" xfId="0" applyNumberFormat="1" applyFont="1" applyBorder="1" applyAlignment="1">
      <alignment vertical="center"/>
    </xf>
    <xf numFmtId="2" fontId="2" fillId="3" borderId="2" xfId="7" applyNumberFormat="1" applyFont="1" applyFill="1" applyBorder="1" applyAlignment="1">
      <alignment horizontal="center"/>
    </xf>
    <xf numFmtId="165" fontId="6" fillId="3" borderId="2" xfId="2" applyFont="1" applyFill="1" applyBorder="1" applyAlignment="1">
      <alignment horizontal="center" vertical="center"/>
    </xf>
    <xf numFmtId="164" fontId="2" fillId="0" borderId="2" xfId="4" applyFont="1" applyBorder="1" applyAlignment="1">
      <alignment horizontal="right"/>
    </xf>
    <xf numFmtId="0" fontId="2" fillId="6" borderId="2" xfId="0" applyFont="1" applyFill="1" applyBorder="1" applyAlignment="1">
      <alignment horizontal="centerContinuous" vertical="center" wrapText="1"/>
    </xf>
    <xf numFmtId="4" fontId="2" fillId="0" borderId="2" xfId="0" applyNumberFormat="1" applyFont="1" applyBorder="1"/>
    <xf numFmtId="168" fontId="2" fillId="7" borderId="2" xfId="8" applyFont="1" applyFill="1" applyBorder="1"/>
    <xf numFmtId="0" fontId="0" fillId="0" borderId="6" xfId="0" applyBorder="1"/>
    <xf numFmtId="0" fontId="0" fillId="0" borderId="15" xfId="0" applyBorder="1"/>
    <xf numFmtId="0" fontId="0" fillId="0" borderId="7" xfId="0" applyBorder="1"/>
    <xf numFmtId="0" fontId="0" fillId="0" borderId="3" xfId="0" applyBorder="1"/>
    <xf numFmtId="0" fontId="0" fillId="0" borderId="16" xfId="0" applyBorder="1"/>
    <xf numFmtId="0" fontId="2" fillId="6" borderId="2" xfId="0" applyFont="1" applyFill="1" applyBorder="1" applyAlignment="1">
      <alignment horizontal="center" vertical="center" wrapText="1"/>
    </xf>
    <xf numFmtId="0" fontId="2" fillId="7" borderId="2" xfId="0" applyFont="1" applyFill="1" applyBorder="1"/>
    <xf numFmtId="168" fontId="6" fillId="7" borderId="2" xfId="8" applyFont="1" applyFill="1" applyBorder="1"/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164" fontId="2" fillId="0" borderId="2" xfId="1" applyFont="1" applyBorder="1" applyAlignment="1">
      <alignment horizontal="right" vertical="center"/>
    </xf>
    <xf numFmtId="164" fontId="2" fillId="0" borderId="2" xfId="4" applyFont="1" applyBorder="1" applyAlignment="1">
      <alignment horizontal="right" vertical="center"/>
    </xf>
    <xf numFmtId="165" fontId="2" fillId="0" borderId="2" xfId="2" applyFont="1" applyBorder="1" applyAlignment="1">
      <alignment horizontal="center" vertical="center"/>
    </xf>
    <xf numFmtId="165" fontId="4" fillId="3" borderId="17" xfId="0" applyNumberFormat="1" applyFont="1" applyFill="1" applyBorder="1" applyAlignment="1">
      <alignment vertical="center"/>
    </xf>
    <xf numFmtId="165" fontId="7" fillId="3" borderId="2" xfId="3" applyFont="1" applyFill="1" applyBorder="1" applyAlignment="1">
      <alignment horizontal="center" vertical="center"/>
    </xf>
    <xf numFmtId="165" fontId="6" fillId="3" borderId="2" xfId="5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2" fontId="2" fillId="2" borderId="2" xfId="4" applyNumberFormat="1" applyFont="1" applyFill="1" applyBorder="1" applyAlignment="1">
      <alignment horizontal="center"/>
    </xf>
    <xf numFmtId="0" fontId="0" fillId="2" borderId="3" xfId="0" applyFill="1" applyBorder="1"/>
    <xf numFmtId="0" fontId="0" fillId="2" borderId="16" xfId="0" applyFill="1" applyBorder="1"/>
    <xf numFmtId="0" fontId="12" fillId="2" borderId="0" xfId="0" applyFont="1" applyFill="1" applyAlignment="1">
      <alignment horizontal="left"/>
    </xf>
    <xf numFmtId="0" fontId="4" fillId="4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9" fontId="8" fillId="0" borderId="0" xfId="0" applyNumberFormat="1" applyFont="1" applyAlignment="1">
      <alignment vertical="center"/>
    </xf>
    <xf numFmtId="170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2" fillId="0" borderId="16" xfId="0" applyFont="1" applyBorder="1" applyAlignment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64" fontId="2" fillId="0" borderId="2" xfId="1" applyFont="1" applyFill="1" applyBorder="1" applyAlignment="1"/>
    <xf numFmtId="164" fontId="2" fillId="0" borderId="2" xfId="1" applyFont="1" applyFill="1" applyBorder="1" applyAlignment="1">
      <alignment wrapText="1"/>
    </xf>
    <xf numFmtId="4" fontId="2" fillId="3" borderId="8" xfId="0" applyNumberFormat="1" applyFont="1" applyFill="1" applyBorder="1" applyAlignment="1">
      <alignment horizontal="center"/>
    </xf>
    <xf numFmtId="4" fontId="10" fillId="3" borderId="8" xfId="0" applyNumberFormat="1" applyFont="1" applyFill="1" applyBorder="1" applyAlignment="1">
      <alignment horizontal="center"/>
    </xf>
    <xf numFmtId="164" fontId="2" fillId="2" borderId="2" xfId="1" applyFont="1" applyFill="1" applyBorder="1" applyAlignment="1"/>
    <xf numFmtId="164" fontId="2" fillId="0" borderId="2" xfId="4" applyFont="1" applyBorder="1" applyAlignment="1"/>
    <xf numFmtId="164" fontId="2" fillId="3" borderId="8" xfId="4" applyFont="1" applyFill="1" applyBorder="1" applyAlignment="1"/>
    <xf numFmtId="164" fontId="2" fillId="0" borderId="2" xfId="4" applyFont="1" applyFill="1" applyBorder="1" applyAlignment="1"/>
    <xf numFmtId="2" fontId="2" fillId="0" borderId="2" xfId="0" applyNumberFormat="1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center" wrapText="1"/>
    </xf>
    <xf numFmtId="0" fontId="17" fillId="0" borderId="0" xfId="0" applyFont="1"/>
    <xf numFmtId="0" fontId="1" fillId="0" borderId="0" xfId="0" applyFont="1"/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wrapText="1"/>
    </xf>
    <xf numFmtId="0" fontId="17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2" fontId="1" fillId="4" borderId="2" xfId="0" applyNumberFormat="1" applyFont="1" applyFill="1" applyBorder="1" applyAlignment="1">
      <alignment horizontal="center"/>
    </xf>
    <xf numFmtId="0" fontId="1" fillId="4" borderId="0" xfId="0" applyFont="1" applyFill="1"/>
    <xf numFmtId="0" fontId="1" fillId="4" borderId="2" xfId="0" applyFont="1" applyFill="1" applyBorder="1" applyAlignment="1">
      <alignment horizontal="left"/>
    </xf>
    <xf numFmtId="0" fontId="15" fillId="0" borderId="2" xfId="0" applyFont="1" applyBorder="1" applyAlignment="1">
      <alignment horizontal="center"/>
    </xf>
    <xf numFmtId="2" fontId="15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/>
    </xf>
    <xf numFmtId="0" fontId="16" fillId="0" borderId="0" xfId="0" applyFont="1"/>
    <xf numFmtId="0" fontId="14" fillId="2" borderId="21" xfId="0" applyFont="1" applyFill="1" applyBorder="1" applyAlignment="1">
      <alignment vertical="center"/>
    </xf>
    <xf numFmtId="0" fontId="14" fillId="0" borderId="12" xfId="0" applyFont="1" applyBorder="1" applyAlignment="1">
      <alignment vertical="center"/>
    </xf>
    <xf numFmtId="2" fontId="0" fillId="0" borderId="0" xfId="0" applyNumberFormat="1"/>
    <xf numFmtId="0" fontId="17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2" fontId="15" fillId="0" borderId="9" xfId="0" applyNumberFormat="1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6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</cellXfs>
  <cellStyles count="9">
    <cellStyle name="Moeda 2" xfId="2" xr:uid="{00000000-0005-0000-0000-000001000000}"/>
    <cellStyle name="Moeda 2 2" xfId="3" xr:uid="{00000000-0005-0000-0000-000002000000}"/>
    <cellStyle name="Moeda 3 2" xfId="5" xr:uid="{00000000-0005-0000-0000-000003000000}"/>
    <cellStyle name="Moeda_Duplicação Av. Getulio Vargas 4º trecho retificado maio 2011 RETIFICADO" xfId="8" xr:uid="{A09C31D3-FD7C-418C-B15A-1EF6C4E1EE20}"/>
    <cellStyle name="Normal" xfId="0" builtinId="0"/>
    <cellStyle name="Normal 2" xfId="6" xr:uid="{00000000-0005-0000-0000-000005000000}"/>
    <cellStyle name="Vírgula" xfId="1" builtinId="3"/>
    <cellStyle name="Vírgula 2" xfId="7" xr:uid="{48C9D1B7-2F61-489D-90C1-CC85A32A6EDF}"/>
    <cellStyle name="Vírgula 2 2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I132"/>
  <sheetViews>
    <sheetView topLeftCell="A49" zoomScale="80" zoomScaleNormal="80" zoomScaleSheetLayoutView="75" workbookViewId="0">
      <selection activeCell="N17" sqref="N17"/>
    </sheetView>
  </sheetViews>
  <sheetFormatPr defaultRowHeight="12.75" x14ac:dyDescent="0.2"/>
  <cols>
    <col min="1" max="1" width="8.140625" style="52" customWidth="1"/>
    <col min="2" max="2" width="17.5703125" style="52" customWidth="1"/>
    <col min="3" max="3" width="13.140625" style="175" customWidth="1"/>
    <col min="4" max="4" width="109.140625" style="2" customWidth="1"/>
    <col min="5" max="5" width="10.85546875" style="2" customWidth="1"/>
    <col min="6" max="6" width="21.7109375" style="2" customWidth="1"/>
    <col min="7" max="7" width="16.140625" style="2" customWidth="1"/>
    <col min="8" max="8" width="24" style="2" customWidth="1"/>
    <col min="9" max="9" width="17.42578125" style="2" hidden="1" customWidth="1"/>
    <col min="10" max="13" width="9.140625" style="2" customWidth="1"/>
    <col min="14" max="14" width="18.140625" style="2" customWidth="1"/>
    <col min="15" max="246" width="9.140625" style="2"/>
    <col min="247" max="247" width="7.28515625" style="2" customWidth="1"/>
    <col min="248" max="248" width="19.5703125" style="2" customWidth="1"/>
    <col min="249" max="249" width="20.140625" style="2" customWidth="1"/>
    <col min="250" max="250" width="96.5703125" style="2" customWidth="1"/>
    <col min="251" max="251" width="10.85546875" style="2" customWidth="1"/>
    <col min="252" max="252" width="22" style="2" customWidth="1"/>
    <col min="253" max="253" width="20.28515625" style="2" customWidth="1"/>
    <col min="254" max="254" width="30" style="2" customWidth="1"/>
    <col min="255" max="255" width="23.140625" style="2" customWidth="1"/>
    <col min="256" max="502" width="9.140625" style="2"/>
    <col min="503" max="503" width="7.28515625" style="2" customWidth="1"/>
    <col min="504" max="504" width="19.5703125" style="2" customWidth="1"/>
    <col min="505" max="505" width="20.140625" style="2" customWidth="1"/>
    <col min="506" max="506" width="96.5703125" style="2" customWidth="1"/>
    <col min="507" max="507" width="10.85546875" style="2" customWidth="1"/>
    <col min="508" max="508" width="22" style="2" customWidth="1"/>
    <col min="509" max="509" width="20.28515625" style="2" customWidth="1"/>
    <col min="510" max="510" width="30" style="2" customWidth="1"/>
    <col min="511" max="511" width="23.140625" style="2" customWidth="1"/>
    <col min="512" max="758" width="9.140625" style="2"/>
    <col min="759" max="759" width="7.28515625" style="2" customWidth="1"/>
    <col min="760" max="760" width="19.5703125" style="2" customWidth="1"/>
    <col min="761" max="761" width="20.140625" style="2" customWidth="1"/>
    <col min="762" max="762" width="96.5703125" style="2" customWidth="1"/>
    <col min="763" max="763" width="10.85546875" style="2" customWidth="1"/>
    <col min="764" max="764" width="22" style="2" customWidth="1"/>
    <col min="765" max="765" width="20.28515625" style="2" customWidth="1"/>
    <col min="766" max="766" width="30" style="2" customWidth="1"/>
    <col min="767" max="767" width="23.140625" style="2" customWidth="1"/>
    <col min="768" max="1014" width="9.140625" style="2"/>
    <col min="1015" max="1015" width="7.28515625" style="2" customWidth="1"/>
    <col min="1016" max="1016" width="19.5703125" style="2" customWidth="1"/>
    <col min="1017" max="1017" width="20.140625" style="2" customWidth="1"/>
    <col min="1018" max="1018" width="96.5703125" style="2" customWidth="1"/>
    <col min="1019" max="1019" width="10.85546875" style="2" customWidth="1"/>
    <col min="1020" max="1020" width="22" style="2" customWidth="1"/>
    <col min="1021" max="1021" width="20.28515625" style="2" customWidth="1"/>
    <col min="1022" max="1022" width="30" style="2" customWidth="1"/>
    <col min="1023" max="1023" width="23.140625" style="2" customWidth="1"/>
    <col min="1024" max="1270" width="9.140625" style="2"/>
    <col min="1271" max="1271" width="7.28515625" style="2" customWidth="1"/>
    <col min="1272" max="1272" width="19.5703125" style="2" customWidth="1"/>
    <col min="1273" max="1273" width="20.140625" style="2" customWidth="1"/>
    <col min="1274" max="1274" width="96.5703125" style="2" customWidth="1"/>
    <col min="1275" max="1275" width="10.85546875" style="2" customWidth="1"/>
    <col min="1276" max="1276" width="22" style="2" customWidth="1"/>
    <col min="1277" max="1277" width="20.28515625" style="2" customWidth="1"/>
    <col min="1278" max="1278" width="30" style="2" customWidth="1"/>
    <col min="1279" max="1279" width="23.140625" style="2" customWidth="1"/>
    <col min="1280" max="1526" width="9.140625" style="2"/>
    <col min="1527" max="1527" width="7.28515625" style="2" customWidth="1"/>
    <col min="1528" max="1528" width="19.5703125" style="2" customWidth="1"/>
    <col min="1529" max="1529" width="20.140625" style="2" customWidth="1"/>
    <col min="1530" max="1530" width="96.5703125" style="2" customWidth="1"/>
    <col min="1531" max="1531" width="10.85546875" style="2" customWidth="1"/>
    <col min="1532" max="1532" width="22" style="2" customWidth="1"/>
    <col min="1533" max="1533" width="20.28515625" style="2" customWidth="1"/>
    <col min="1534" max="1534" width="30" style="2" customWidth="1"/>
    <col min="1535" max="1535" width="23.140625" style="2" customWidth="1"/>
    <col min="1536" max="1782" width="9.140625" style="2"/>
    <col min="1783" max="1783" width="7.28515625" style="2" customWidth="1"/>
    <col min="1784" max="1784" width="19.5703125" style="2" customWidth="1"/>
    <col min="1785" max="1785" width="20.140625" style="2" customWidth="1"/>
    <col min="1786" max="1786" width="96.5703125" style="2" customWidth="1"/>
    <col min="1787" max="1787" width="10.85546875" style="2" customWidth="1"/>
    <col min="1788" max="1788" width="22" style="2" customWidth="1"/>
    <col min="1789" max="1789" width="20.28515625" style="2" customWidth="1"/>
    <col min="1790" max="1790" width="30" style="2" customWidth="1"/>
    <col min="1791" max="1791" width="23.140625" style="2" customWidth="1"/>
    <col min="1792" max="2038" width="9.140625" style="2"/>
    <col min="2039" max="2039" width="7.28515625" style="2" customWidth="1"/>
    <col min="2040" max="2040" width="19.5703125" style="2" customWidth="1"/>
    <col min="2041" max="2041" width="20.140625" style="2" customWidth="1"/>
    <col min="2042" max="2042" width="96.5703125" style="2" customWidth="1"/>
    <col min="2043" max="2043" width="10.85546875" style="2" customWidth="1"/>
    <col min="2044" max="2044" width="22" style="2" customWidth="1"/>
    <col min="2045" max="2045" width="20.28515625" style="2" customWidth="1"/>
    <col min="2046" max="2046" width="30" style="2" customWidth="1"/>
    <col min="2047" max="2047" width="23.140625" style="2" customWidth="1"/>
    <col min="2048" max="2294" width="9.140625" style="2"/>
    <col min="2295" max="2295" width="7.28515625" style="2" customWidth="1"/>
    <col min="2296" max="2296" width="19.5703125" style="2" customWidth="1"/>
    <col min="2297" max="2297" width="20.140625" style="2" customWidth="1"/>
    <col min="2298" max="2298" width="96.5703125" style="2" customWidth="1"/>
    <col min="2299" max="2299" width="10.85546875" style="2" customWidth="1"/>
    <col min="2300" max="2300" width="22" style="2" customWidth="1"/>
    <col min="2301" max="2301" width="20.28515625" style="2" customWidth="1"/>
    <col min="2302" max="2302" width="30" style="2" customWidth="1"/>
    <col min="2303" max="2303" width="23.140625" style="2" customWidth="1"/>
    <col min="2304" max="2550" width="9.140625" style="2"/>
    <col min="2551" max="2551" width="7.28515625" style="2" customWidth="1"/>
    <col min="2552" max="2552" width="19.5703125" style="2" customWidth="1"/>
    <col min="2553" max="2553" width="20.140625" style="2" customWidth="1"/>
    <col min="2554" max="2554" width="96.5703125" style="2" customWidth="1"/>
    <col min="2555" max="2555" width="10.85546875" style="2" customWidth="1"/>
    <col min="2556" max="2556" width="22" style="2" customWidth="1"/>
    <col min="2557" max="2557" width="20.28515625" style="2" customWidth="1"/>
    <col min="2558" max="2558" width="30" style="2" customWidth="1"/>
    <col min="2559" max="2559" width="23.140625" style="2" customWidth="1"/>
    <col min="2560" max="2806" width="9.140625" style="2"/>
    <col min="2807" max="2807" width="7.28515625" style="2" customWidth="1"/>
    <col min="2808" max="2808" width="19.5703125" style="2" customWidth="1"/>
    <col min="2809" max="2809" width="20.140625" style="2" customWidth="1"/>
    <col min="2810" max="2810" width="96.5703125" style="2" customWidth="1"/>
    <col min="2811" max="2811" width="10.85546875" style="2" customWidth="1"/>
    <col min="2812" max="2812" width="22" style="2" customWidth="1"/>
    <col min="2813" max="2813" width="20.28515625" style="2" customWidth="1"/>
    <col min="2814" max="2814" width="30" style="2" customWidth="1"/>
    <col min="2815" max="2815" width="23.140625" style="2" customWidth="1"/>
    <col min="2816" max="3062" width="9.140625" style="2"/>
    <col min="3063" max="3063" width="7.28515625" style="2" customWidth="1"/>
    <col min="3064" max="3064" width="19.5703125" style="2" customWidth="1"/>
    <col min="3065" max="3065" width="20.140625" style="2" customWidth="1"/>
    <col min="3066" max="3066" width="96.5703125" style="2" customWidth="1"/>
    <col min="3067" max="3067" width="10.85546875" style="2" customWidth="1"/>
    <col min="3068" max="3068" width="22" style="2" customWidth="1"/>
    <col min="3069" max="3069" width="20.28515625" style="2" customWidth="1"/>
    <col min="3070" max="3070" width="30" style="2" customWidth="1"/>
    <col min="3071" max="3071" width="23.140625" style="2" customWidth="1"/>
    <col min="3072" max="3318" width="9.140625" style="2"/>
    <col min="3319" max="3319" width="7.28515625" style="2" customWidth="1"/>
    <col min="3320" max="3320" width="19.5703125" style="2" customWidth="1"/>
    <col min="3321" max="3321" width="20.140625" style="2" customWidth="1"/>
    <col min="3322" max="3322" width="96.5703125" style="2" customWidth="1"/>
    <col min="3323" max="3323" width="10.85546875" style="2" customWidth="1"/>
    <col min="3324" max="3324" width="22" style="2" customWidth="1"/>
    <col min="3325" max="3325" width="20.28515625" style="2" customWidth="1"/>
    <col min="3326" max="3326" width="30" style="2" customWidth="1"/>
    <col min="3327" max="3327" width="23.140625" style="2" customWidth="1"/>
    <col min="3328" max="3574" width="9.140625" style="2"/>
    <col min="3575" max="3575" width="7.28515625" style="2" customWidth="1"/>
    <col min="3576" max="3576" width="19.5703125" style="2" customWidth="1"/>
    <col min="3577" max="3577" width="20.140625" style="2" customWidth="1"/>
    <col min="3578" max="3578" width="96.5703125" style="2" customWidth="1"/>
    <col min="3579" max="3579" width="10.85546875" style="2" customWidth="1"/>
    <col min="3580" max="3580" width="22" style="2" customWidth="1"/>
    <col min="3581" max="3581" width="20.28515625" style="2" customWidth="1"/>
    <col min="3582" max="3582" width="30" style="2" customWidth="1"/>
    <col min="3583" max="3583" width="23.140625" style="2" customWidth="1"/>
    <col min="3584" max="3830" width="9.140625" style="2"/>
    <col min="3831" max="3831" width="7.28515625" style="2" customWidth="1"/>
    <col min="3832" max="3832" width="19.5703125" style="2" customWidth="1"/>
    <col min="3833" max="3833" width="20.140625" style="2" customWidth="1"/>
    <col min="3834" max="3834" width="96.5703125" style="2" customWidth="1"/>
    <col min="3835" max="3835" width="10.85546875" style="2" customWidth="1"/>
    <col min="3836" max="3836" width="22" style="2" customWidth="1"/>
    <col min="3837" max="3837" width="20.28515625" style="2" customWidth="1"/>
    <col min="3838" max="3838" width="30" style="2" customWidth="1"/>
    <col min="3839" max="3839" width="23.140625" style="2" customWidth="1"/>
    <col min="3840" max="4086" width="9.140625" style="2"/>
    <col min="4087" max="4087" width="7.28515625" style="2" customWidth="1"/>
    <col min="4088" max="4088" width="19.5703125" style="2" customWidth="1"/>
    <col min="4089" max="4089" width="20.140625" style="2" customWidth="1"/>
    <col min="4090" max="4090" width="96.5703125" style="2" customWidth="1"/>
    <col min="4091" max="4091" width="10.85546875" style="2" customWidth="1"/>
    <col min="4092" max="4092" width="22" style="2" customWidth="1"/>
    <col min="4093" max="4093" width="20.28515625" style="2" customWidth="1"/>
    <col min="4094" max="4094" width="30" style="2" customWidth="1"/>
    <col min="4095" max="4095" width="23.140625" style="2" customWidth="1"/>
    <col min="4096" max="4342" width="9.140625" style="2"/>
    <col min="4343" max="4343" width="7.28515625" style="2" customWidth="1"/>
    <col min="4344" max="4344" width="19.5703125" style="2" customWidth="1"/>
    <col min="4345" max="4345" width="20.140625" style="2" customWidth="1"/>
    <col min="4346" max="4346" width="96.5703125" style="2" customWidth="1"/>
    <col min="4347" max="4347" width="10.85546875" style="2" customWidth="1"/>
    <col min="4348" max="4348" width="22" style="2" customWidth="1"/>
    <col min="4349" max="4349" width="20.28515625" style="2" customWidth="1"/>
    <col min="4350" max="4350" width="30" style="2" customWidth="1"/>
    <col min="4351" max="4351" width="23.140625" style="2" customWidth="1"/>
    <col min="4352" max="4598" width="9.140625" style="2"/>
    <col min="4599" max="4599" width="7.28515625" style="2" customWidth="1"/>
    <col min="4600" max="4600" width="19.5703125" style="2" customWidth="1"/>
    <col min="4601" max="4601" width="20.140625" style="2" customWidth="1"/>
    <col min="4602" max="4602" width="96.5703125" style="2" customWidth="1"/>
    <col min="4603" max="4603" width="10.85546875" style="2" customWidth="1"/>
    <col min="4604" max="4604" width="22" style="2" customWidth="1"/>
    <col min="4605" max="4605" width="20.28515625" style="2" customWidth="1"/>
    <col min="4606" max="4606" width="30" style="2" customWidth="1"/>
    <col min="4607" max="4607" width="23.140625" style="2" customWidth="1"/>
    <col min="4608" max="4854" width="9.140625" style="2"/>
    <col min="4855" max="4855" width="7.28515625" style="2" customWidth="1"/>
    <col min="4856" max="4856" width="19.5703125" style="2" customWidth="1"/>
    <col min="4857" max="4857" width="20.140625" style="2" customWidth="1"/>
    <col min="4858" max="4858" width="96.5703125" style="2" customWidth="1"/>
    <col min="4859" max="4859" width="10.85546875" style="2" customWidth="1"/>
    <col min="4860" max="4860" width="22" style="2" customWidth="1"/>
    <col min="4861" max="4861" width="20.28515625" style="2" customWidth="1"/>
    <col min="4862" max="4862" width="30" style="2" customWidth="1"/>
    <col min="4863" max="4863" width="23.140625" style="2" customWidth="1"/>
    <col min="4864" max="5110" width="9.140625" style="2"/>
    <col min="5111" max="5111" width="7.28515625" style="2" customWidth="1"/>
    <col min="5112" max="5112" width="19.5703125" style="2" customWidth="1"/>
    <col min="5113" max="5113" width="20.140625" style="2" customWidth="1"/>
    <col min="5114" max="5114" width="96.5703125" style="2" customWidth="1"/>
    <col min="5115" max="5115" width="10.85546875" style="2" customWidth="1"/>
    <col min="5116" max="5116" width="22" style="2" customWidth="1"/>
    <col min="5117" max="5117" width="20.28515625" style="2" customWidth="1"/>
    <col min="5118" max="5118" width="30" style="2" customWidth="1"/>
    <col min="5119" max="5119" width="23.140625" style="2" customWidth="1"/>
    <col min="5120" max="5366" width="9.140625" style="2"/>
    <col min="5367" max="5367" width="7.28515625" style="2" customWidth="1"/>
    <col min="5368" max="5368" width="19.5703125" style="2" customWidth="1"/>
    <col min="5369" max="5369" width="20.140625" style="2" customWidth="1"/>
    <col min="5370" max="5370" width="96.5703125" style="2" customWidth="1"/>
    <col min="5371" max="5371" width="10.85546875" style="2" customWidth="1"/>
    <col min="5372" max="5372" width="22" style="2" customWidth="1"/>
    <col min="5373" max="5373" width="20.28515625" style="2" customWidth="1"/>
    <col min="5374" max="5374" width="30" style="2" customWidth="1"/>
    <col min="5375" max="5375" width="23.140625" style="2" customWidth="1"/>
    <col min="5376" max="5622" width="9.140625" style="2"/>
    <col min="5623" max="5623" width="7.28515625" style="2" customWidth="1"/>
    <col min="5624" max="5624" width="19.5703125" style="2" customWidth="1"/>
    <col min="5625" max="5625" width="20.140625" style="2" customWidth="1"/>
    <col min="5626" max="5626" width="96.5703125" style="2" customWidth="1"/>
    <col min="5627" max="5627" width="10.85546875" style="2" customWidth="1"/>
    <col min="5628" max="5628" width="22" style="2" customWidth="1"/>
    <col min="5629" max="5629" width="20.28515625" style="2" customWidth="1"/>
    <col min="5630" max="5630" width="30" style="2" customWidth="1"/>
    <col min="5631" max="5631" width="23.140625" style="2" customWidth="1"/>
    <col min="5632" max="5878" width="9.140625" style="2"/>
    <col min="5879" max="5879" width="7.28515625" style="2" customWidth="1"/>
    <col min="5880" max="5880" width="19.5703125" style="2" customWidth="1"/>
    <col min="5881" max="5881" width="20.140625" style="2" customWidth="1"/>
    <col min="5882" max="5882" width="96.5703125" style="2" customWidth="1"/>
    <col min="5883" max="5883" width="10.85546875" style="2" customWidth="1"/>
    <col min="5884" max="5884" width="22" style="2" customWidth="1"/>
    <col min="5885" max="5885" width="20.28515625" style="2" customWidth="1"/>
    <col min="5886" max="5886" width="30" style="2" customWidth="1"/>
    <col min="5887" max="5887" width="23.140625" style="2" customWidth="1"/>
    <col min="5888" max="6134" width="9.140625" style="2"/>
    <col min="6135" max="6135" width="7.28515625" style="2" customWidth="1"/>
    <col min="6136" max="6136" width="19.5703125" style="2" customWidth="1"/>
    <col min="6137" max="6137" width="20.140625" style="2" customWidth="1"/>
    <col min="6138" max="6138" width="96.5703125" style="2" customWidth="1"/>
    <col min="6139" max="6139" width="10.85546875" style="2" customWidth="1"/>
    <col min="6140" max="6140" width="22" style="2" customWidth="1"/>
    <col min="6141" max="6141" width="20.28515625" style="2" customWidth="1"/>
    <col min="6142" max="6142" width="30" style="2" customWidth="1"/>
    <col min="6143" max="6143" width="23.140625" style="2" customWidth="1"/>
    <col min="6144" max="6390" width="9.140625" style="2"/>
    <col min="6391" max="6391" width="7.28515625" style="2" customWidth="1"/>
    <col min="6392" max="6392" width="19.5703125" style="2" customWidth="1"/>
    <col min="6393" max="6393" width="20.140625" style="2" customWidth="1"/>
    <col min="6394" max="6394" width="96.5703125" style="2" customWidth="1"/>
    <col min="6395" max="6395" width="10.85546875" style="2" customWidth="1"/>
    <col min="6396" max="6396" width="22" style="2" customWidth="1"/>
    <col min="6397" max="6397" width="20.28515625" style="2" customWidth="1"/>
    <col min="6398" max="6398" width="30" style="2" customWidth="1"/>
    <col min="6399" max="6399" width="23.140625" style="2" customWidth="1"/>
    <col min="6400" max="6646" width="9.140625" style="2"/>
    <col min="6647" max="6647" width="7.28515625" style="2" customWidth="1"/>
    <col min="6648" max="6648" width="19.5703125" style="2" customWidth="1"/>
    <col min="6649" max="6649" width="20.140625" style="2" customWidth="1"/>
    <col min="6650" max="6650" width="96.5703125" style="2" customWidth="1"/>
    <col min="6651" max="6651" width="10.85546875" style="2" customWidth="1"/>
    <col min="6652" max="6652" width="22" style="2" customWidth="1"/>
    <col min="6653" max="6653" width="20.28515625" style="2" customWidth="1"/>
    <col min="6654" max="6654" width="30" style="2" customWidth="1"/>
    <col min="6655" max="6655" width="23.140625" style="2" customWidth="1"/>
    <col min="6656" max="6902" width="9.140625" style="2"/>
    <col min="6903" max="6903" width="7.28515625" style="2" customWidth="1"/>
    <col min="6904" max="6904" width="19.5703125" style="2" customWidth="1"/>
    <col min="6905" max="6905" width="20.140625" style="2" customWidth="1"/>
    <col min="6906" max="6906" width="96.5703125" style="2" customWidth="1"/>
    <col min="6907" max="6907" width="10.85546875" style="2" customWidth="1"/>
    <col min="6908" max="6908" width="22" style="2" customWidth="1"/>
    <col min="6909" max="6909" width="20.28515625" style="2" customWidth="1"/>
    <col min="6910" max="6910" width="30" style="2" customWidth="1"/>
    <col min="6911" max="6911" width="23.140625" style="2" customWidth="1"/>
    <col min="6912" max="7158" width="9.140625" style="2"/>
    <col min="7159" max="7159" width="7.28515625" style="2" customWidth="1"/>
    <col min="7160" max="7160" width="19.5703125" style="2" customWidth="1"/>
    <col min="7161" max="7161" width="20.140625" style="2" customWidth="1"/>
    <col min="7162" max="7162" width="96.5703125" style="2" customWidth="1"/>
    <col min="7163" max="7163" width="10.85546875" style="2" customWidth="1"/>
    <col min="7164" max="7164" width="22" style="2" customWidth="1"/>
    <col min="7165" max="7165" width="20.28515625" style="2" customWidth="1"/>
    <col min="7166" max="7166" width="30" style="2" customWidth="1"/>
    <col min="7167" max="7167" width="23.140625" style="2" customWidth="1"/>
    <col min="7168" max="7414" width="9.140625" style="2"/>
    <col min="7415" max="7415" width="7.28515625" style="2" customWidth="1"/>
    <col min="7416" max="7416" width="19.5703125" style="2" customWidth="1"/>
    <col min="7417" max="7417" width="20.140625" style="2" customWidth="1"/>
    <col min="7418" max="7418" width="96.5703125" style="2" customWidth="1"/>
    <col min="7419" max="7419" width="10.85546875" style="2" customWidth="1"/>
    <col min="7420" max="7420" width="22" style="2" customWidth="1"/>
    <col min="7421" max="7421" width="20.28515625" style="2" customWidth="1"/>
    <col min="7422" max="7422" width="30" style="2" customWidth="1"/>
    <col min="7423" max="7423" width="23.140625" style="2" customWidth="1"/>
    <col min="7424" max="7670" width="9.140625" style="2"/>
    <col min="7671" max="7671" width="7.28515625" style="2" customWidth="1"/>
    <col min="7672" max="7672" width="19.5703125" style="2" customWidth="1"/>
    <col min="7673" max="7673" width="20.140625" style="2" customWidth="1"/>
    <col min="7674" max="7674" width="96.5703125" style="2" customWidth="1"/>
    <col min="7675" max="7675" width="10.85546875" style="2" customWidth="1"/>
    <col min="7676" max="7676" width="22" style="2" customWidth="1"/>
    <col min="7677" max="7677" width="20.28515625" style="2" customWidth="1"/>
    <col min="7678" max="7678" width="30" style="2" customWidth="1"/>
    <col min="7679" max="7679" width="23.140625" style="2" customWidth="1"/>
    <col min="7680" max="7926" width="9.140625" style="2"/>
    <col min="7927" max="7927" width="7.28515625" style="2" customWidth="1"/>
    <col min="7928" max="7928" width="19.5703125" style="2" customWidth="1"/>
    <col min="7929" max="7929" width="20.140625" style="2" customWidth="1"/>
    <col min="7930" max="7930" width="96.5703125" style="2" customWidth="1"/>
    <col min="7931" max="7931" width="10.85546875" style="2" customWidth="1"/>
    <col min="7932" max="7932" width="22" style="2" customWidth="1"/>
    <col min="7933" max="7933" width="20.28515625" style="2" customWidth="1"/>
    <col min="7934" max="7934" width="30" style="2" customWidth="1"/>
    <col min="7935" max="7935" width="23.140625" style="2" customWidth="1"/>
    <col min="7936" max="8182" width="9.140625" style="2"/>
    <col min="8183" max="8183" width="7.28515625" style="2" customWidth="1"/>
    <col min="8184" max="8184" width="19.5703125" style="2" customWidth="1"/>
    <col min="8185" max="8185" width="20.140625" style="2" customWidth="1"/>
    <col min="8186" max="8186" width="96.5703125" style="2" customWidth="1"/>
    <col min="8187" max="8187" width="10.85546875" style="2" customWidth="1"/>
    <col min="8188" max="8188" width="22" style="2" customWidth="1"/>
    <col min="8189" max="8189" width="20.28515625" style="2" customWidth="1"/>
    <col min="8190" max="8190" width="30" style="2" customWidth="1"/>
    <col min="8191" max="8191" width="23.140625" style="2" customWidth="1"/>
    <col min="8192" max="8438" width="9.140625" style="2"/>
    <col min="8439" max="8439" width="7.28515625" style="2" customWidth="1"/>
    <col min="8440" max="8440" width="19.5703125" style="2" customWidth="1"/>
    <col min="8441" max="8441" width="20.140625" style="2" customWidth="1"/>
    <col min="8442" max="8442" width="96.5703125" style="2" customWidth="1"/>
    <col min="8443" max="8443" width="10.85546875" style="2" customWidth="1"/>
    <col min="8444" max="8444" width="22" style="2" customWidth="1"/>
    <col min="8445" max="8445" width="20.28515625" style="2" customWidth="1"/>
    <col min="8446" max="8446" width="30" style="2" customWidth="1"/>
    <col min="8447" max="8447" width="23.140625" style="2" customWidth="1"/>
    <col min="8448" max="8694" width="9.140625" style="2"/>
    <col min="8695" max="8695" width="7.28515625" style="2" customWidth="1"/>
    <col min="8696" max="8696" width="19.5703125" style="2" customWidth="1"/>
    <col min="8697" max="8697" width="20.140625" style="2" customWidth="1"/>
    <col min="8698" max="8698" width="96.5703125" style="2" customWidth="1"/>
    <col min="8699" max="8699" width="10.85546875" style="2" customWidth="1"/>
    <col min="8700" max="8700" width="22" style="2" customWidth="1"/>
    <col min="8701" max="8701" width="20.28515625" style="2" customWidth="1"/>
    <col min="8702" max="8702" width="30" style="2" customWidth="1"/>
    <col min="8703" max="8703" width="23.140625" style="2" customWidth="1"/>
    <col min="8704" max="8950" width="9.140625" style="2"/>
    <col min="8951" max="8951" width="7.28515625" style="2" customWidth="1"/>
    <col min="8952" max="8952" width="19.5703125" style="2" customWidth="1"/>
    <col min="8953" max="8953" width="20.140625" style="2" customWidth="1"/>
    <col min="8954" max="8954" width="96.5703125" style="2" customWidth="1"/>
    <col min="8955" max="8955" width="10.85546875" style="2" customWidth="1"/>
    <col min="8956" max="8956" width="22" style="2" customWidth="1"/>
    <col min="8957" max="8957" width="20.28515625" style="2" customWidth="1"/>
    <col min="8958" max="8958" width="30" style="2" customWidth="1"/>
    <col min="8959" max="8959" width="23.140625" style="2" customWidth="1"/>
    <col min="8960" max="9206" width="9.140625" style="2"/>
    <col min="9207" max="9207" width="7.28515625" style="2" customWidth="1"/>
    <col min="9208" max="9208" width="19.5703125" style="2" customWidth="1"/>
    <col min="9209" max="9209" width="20.140625" style="2" customWidth="1"/>
    <col min="9210" max="9210" width="96.5703125" style="2" customWidth="1"/>
    <col min="9211" max="9211" width="10.85546875" style="2" customWidth="1"/>
    <col min="9212" max="9212" width="22" style="2" customWidth="1"/>
    <col min="9213" max="9213" width="20.28515625" style="2" customWidth="1"/>
    <col min="9214" max="9214" width="30" style="2" customWidth="1"/>
    <col min="9215" max="9215" width="23.140625" style="2" customWidth="1"/>
    <col min="9216" max="9462" width="9.140625" style="2"/>
    <col min="9463" max="9463" width="7.28515625" style="2" customWidth="1"/>
    <col min="9464" max="9464" width="19.5703125" style="2" customWidth="1"/>
    <col min="9465" max="9465" width="20.140625" style="2" customWidth="1"/>
    <col min="9466" max="9466" width="96.5703125" style="2" customWidth="1"/>
    <col min="9467" max="9467" width="10.85546875" style="2" customWidth="1"/>
    <col min="9468" max="9468" width="22" style="2" customWidth="1"/>
    <col min="9469" max="9469" width="20.28515625" style="2" customWidth="1"/>
    <col min="9470" max="9470" width="30" style="2" customWidth="1"/>
    <col min="9471" max="9471" width="23.140625" style="2" customWidth="1"/>
    <col min="9472" max="9718" width="9.140625" style="2"/>
    <col min="9719" max="9719" width="7.28515625" style="2" customWidth="1"/>
    <col min="9720" max="9720" width="19.5703125" style="2" customWidth="1"/>
    <col min="9721" max="9721" width="20.140625" style="2" customWidth="1"/>
    <col min="9722" max="9722" width="96.5703125" style="2" customWidth="1"/>
    <col min="9723" max="9723" width="10.85546875" style="2" customWidth="1"/>
    <col min="9724" max="9724" width="22" style="2" customWidth="1"/>
    <col min="9725" max="9725" width="20.28515625" style="2" customWidth="1"/>
    <col min="9726" max="9726" width="30" style="2" customWidth="1"/>
    <col min="9727" max="9727" width="23.140625" style="2" customWidth="1"/>
    <col min="9728" max="9974" width="9.140625" style="2"/>
    <col min="9975" max="9975" width="7.28515625" style="2" customWidth="1"/>
    <col min="9976" max="9976" width="19.5703125" style="2" customWidth="1"/>
    <col min="9977" max="9977" width="20.140625" style="2" customWidth="1"/>
    <col min="9978" max="9978" width="96.5703125" style="2" customWidth="1"/>
    <col min="9979" max="9979" width="10.85546875" style="2" customWidth="1"/>
    <col min="9980" max="9980" width="22" style="2" customWidth="1"/>
    <col min="9981" max="9981" width="20.28515625" style="2" customWidth="1"/>
    <col min="9982" max="9982" width="30" style="2" customWidth="1"/>
    <col min="9983" max="9983" width="23.140625" style="2" customWidth="1"/>
    <col min="9984" max="10230" width="9.140625" style="2"/>
    <col min="10231" max="10231" width="7.28515625" style="2" customWidth="1"/>
    <col min="10232" max="10232" width="19.5703125" style="2" customWidth="1"/>
    <col min="10233" max="10233" width="20.140625" style="2" customWidth="1"/>
    <col min="10234" max="10234" width="96.5703125" style="2" customWidth="1"/>
    <col min="10235" max="10235" width="10.85546875" style="2" customWidth="1"/>
    <col min="10236" max="10236" width="22" style="2" customWidth="1"/>
    <col min="10237" max="10237" width="20.28515625" style="2" customWidth="1"/>
    <col min="10238" max="10238" width="30" style="2" customWidth="1"/>
    <col min="10239" max="10239" width="23.140625" style="2" customWidth="1"/>
    <col min="10240" max="10486" width="9.140625" style="2"/>
    <col min="10487" max="10487" width="7.28515625" style="2" customWidth="1"/>
    <col min="10488" max="10488" width="19.5703125" style="2" customWidth="1"/>
    <col min="10489" max="10489" width="20.140625" style="2" customWidth="1"/>
    <col min="10490" max="10490" width="96.5703125" style="2" customWidth="1"/>
    <col min="10491" max="10491" width="10.85546875" style="2" customWidth="1"/>
    <col min="10492" max="10492" width="22" style="2" customWidth="1"/>
    <col min="10493" max="10493" width="20.28515625" style="2" customWidth="1"/>
    <col min="10494" max="10494" width="30" style="2" customWidth="1"/>
    <col min="10495" max="10495" width="23.140625" style="2" customWidth="1"/>
    <col min="10496" max="10742" width="9.140625" style="2"/>
    <col min="10743" max="10743" width="7.28515625" style="2" customWidth="1"/>
    <col min="10744" max="10744" width="19.5703125" style="2" customWidth="1"/>
    <col min="10745" max="10745" width="20.140625" style="2" customWidth="1"/>
    <col min="10746" max="10746" width="96.5703125" style="2" customWidth="1"/>
    <col min="10747" max="10747" width="10.85546875" style="2" customWidth="1"/>
    <col min="10748" max="10748" width="22" style="2" customWidth="1"/>
    <col min="10749" max="10749" width="20.28515625" style="2" customWidth="1"/>
    <col min="10750" max="10750" width="30" style="2" customWidth="1"/>
    <col min="10751" max="10751" width="23.140625" style="2" customWidth="1"/>
    <col min="10752" max="10998" width="9.140625" style="2"/>
    <col min="10999" max="10999" width="7.28515625" style="2" customWidth="1"/>
    <col min="11000" max="11000" width="19.5703125" style="2" customWidth="1"/>
    <col min="11001" max="11001" width="20.140625" style="2" customWidth="1"/>
    <col min="11002" max="11002" width="96.5703125" style="2" customWidth="1"/>
    <col min="11003" max="11003" width="10.85546875" style="2" customWidth="1"/>
    <col min="11004" max="11004" width="22" style="2" customWidth="1"/>
    <col min="11005" max="11005" width="20.28515625" style="2" customWidth="1"/>
    <col min="11006" max="11006" width="30" style="2" customWidth="1"/>
    <col min="11007" max="11007" width="23.140625" style="2" customWidth="1"/>
    <col min="11008" max="11254" width="9.140625" style="2"/>
    <col min="11255" max="11255" width="7.28515625" style="2" customWidth="1"/>
    <col min="11256" max="11256" width="19.5703125" style="2" customWidth="1"/>
    <col min="11257" max="11257" width="20.140625" style="2" customWidth="1"/>
    <col min="11258" max="11258" width="96.5703125" style="2" customWidth="1"/>
    <col min="11259" max="11259" width="10.85546875" style="2" customWidth="1"/>
    <col min="11260" max="11260" width="22" style="2" customWidth="1"/>
    <col min="11261" max="11261" width="20.28515625" style="2" customWidth="1"/>
    <col min="11262" max="11262" width="30" style="2" customWidth="1"/>
    <col min="11263" max="11263" width="23.140625" style="2" customWidth="1"/>
    <col min="11264" max="11510" width="9.140625" style="2"/>
    <col min="11511" max="11511" width="7.28515625" style="2" customWidth="1"/>
    <col min="11512" max="11512" width="19.5703125" style="2" customWidth="1"/>
    <col min="11513" max="11513" width="20.140625" style="2" customWidth="1"/>
    <col min="11514" max="11514" width="96.5703125" style="2" customWidth="1"/>
    <col min="11515" max="11515" width="10.85546875" style="2" customWidth="1"/>
    <col min="11516" max="11516" width="22" style="2" customWidth="1"/>
    <col min="11517" max="11517" width="20.28515625" style="2" customWidth="1"/>
    <col min="11518" max="11518" width="30" style="2" customWidth="1"/>
    <col min="11519" max="11519" width="23.140625" style="2" customWidth="1"/>
    <col min="11520" max="11766" width="9.140625" style="2"/>
    <col min="11767" max="11767" width="7.28515625" style="2" customWidth="1"/>
    <col min="11768" max="11768" width="19.5703125" style="2" customWidth="1"/>
    <col min="11769" max="11769" width="20.140625" style="2" customWidth="1"/>
    <col min="11770" max="11770" width="96.5703125" style="2" customWidth="1"/>
    <col min="11771" max="11771" width="10.85546875" style="2" customWidth="1"/>
    <col min="11772" max="11772" width="22" style="2" customWidth="1"/>
    <col min="11773" max="11773" width="20.28515625" style="2" customWidth="1"/>
    <col min="11774" max="11774" width="30" style="2" customWidth="1"/>
    <col min="11775" max="11775" width="23.140625" style="2" customWidth="1"/>
    <col min="11776" max="12022" width="9.140625" style="2"/>
    <col min="12023" max="12023" width="7.28515625" style="2" customWidth="1"/>
    <col min="12024" max="12024" width="19.5703125" style="2" customWidth="1"/>
    <col min="12025" max="12025" width="20.140625" style="2" customWidth="1"/>
    <col min="12026" max="12026" width="96.5703125" style="2" customWidth="1"/>
    <col min="12027" max="12027" width="10.85546875" style="2" customWidth="1"/>
    <col min="12028" max="12028" width="22" style="2" customWidth="1"/>
    <col min="12029" max="12029" width="20.28515625" style="2" customWidth="1"/>
    <col min="12030" max="12030" width="30" style="2" customWidth="1"/>
    <col min="12031" max="12031" width="23.140625" style="2" customWidth="1"/>
    <col min="12032" max="12278" width="9.140625" style="2"/>
    <col min="12279" max="12279" width="7.28515625" style="2" customWidth="1"/>
    <col min="12280" max="12280" width="19.5703125" style="2" customWidth="1"/>
    <col min="12281" max="12281" width="20.140625" style="2" customWidth="1"/>
    <col min="12282" max="12282" width="96.5703125" style="2" customWidth="1"/>
    <col min="12283" max="12283" width="10.85546875" style="2" customWidth="1"/>
    <col min="12284" max="12284" width="22" style="2" customWidth="1"/>
    <col min="12285" max="12285" width="20.28515625" style="2" customWidth="1"/>
    <col min="12286" max="12286" width="30" style="2" customWidth="1"/>
    <col min="12287" max="12287" width="23.140625" style="2" customWidth="1"/>
    <col min="12288" max="12534" width="9.140625" style="2"/>
    <col min="12535" max="12535" width="7.28515625" style="2" customWidth="1"/>
    <col min="12536" max="12536" width="19.5703125" style="2" customWidth="1"/>
    <col min="12537" max="12537" width="20.140625" style="2" customWidth="1"/>
    <col min="12538" max="12538" width="96.5703125" style="2" customWidth="1"/>
    <col min="12539" max="12539" width="10.85546875" style="2" customWidth="1"/>
    <col min="12540" max="12540" width="22" style="2" customWidth="1"/>
    <col min="12541" max="12541" width="20.28515625" style="2" customWidth="1"/>
    <col min="12542" max="12542" width="30" style="2" customWidth="1"/>
    <col min="12543" max="12543" width="23.140625" style="2" customWidth="1"/>
    <col min="12544" max="12790" width="9.140625" style="2"/>
    <col min="12791" max="12791" width="7.28515625" style="2" customWidth="1"/>
    <col min="12792" max="12792" width="19.5703125" style="2" customWidth="1"/>
    <col min="12793" max="12793" width="20.140625" style="2" customWidth="1"/>
    <col min="12794" max="12794" width="96.5703125" style="2" customWidth="1"/>
    <col min="12795" max="12795" width="10.85546875" style="2" customWidth="1"/>
    <col min="12796" max="12796" width="22" style="2" customWidth="1"/>
    <col min="12797" max="12797" width="20.28515625" style="2" customWidth="1"/>
    <col min="12798" max="12798" width="30" style="2" customWidth="1"/>
    <col min="12799" max="12799" width="23.140625" style="2" customWidth="1"/>
    <col min="12800" max="13046" width="9.140625" style="2"/>
    <col min="13047" max="13047" width="7.28515625" style="2" customWidth="1"/>
    <col min="13048" max="13048" width="19.5703125" style="2" customWidth="1"/>
    <col min="13049" max="13049" width="20.140625" style="2" customWidth="1"/>
    <col min="13050" max="13050" width="96.5703125" style="2" customWidth="1"/>
    <col min="13051" max="13051" width="10.85546875" style="2" customWidth="1"/>
    <col min="13052" max="13052" width="22" style="2" customWidth="1"/>
    <col min="13053" max="13053" width="20.28515625" style="2" customWidth="1"/>
    <col min="13054" max="13054" width="30" style="2" customWidth="1"/>
    <col min="13055" max="13055" width="23.140625" style="2" customWidth="1"/>
    <col min="13056" max="13302" width="9.140625" style="2"/>
    <col min="13303" max="13303" width="7.28515625" style="2" customWidth="1"/>
    <col min="13304" max="13304" width="19.5703125" style="2" customWidth="1"/>
    <col min="13305" max="13305" width="20.140625" style="2" customWidth="1"/>
    <col min="13306" max="13306" width="96.5703125" style="2" customWidth="1"/>
    <col min="13307" max="13307" width="10.85546875" style="2" customWidth="1"/>
    <col min="13308" max="13308" width="22" style="2" customWidth="1"/>
    <col min="13309" max="13309" width="20.28515625" style="2" customWidth="1"/>
    <col min="13310" max="13310" width="30" style="2" customWidth="1"/>
    <col min="13311" max="13311" width="23.140625" style="2" customWidth="1"/>
    <col min="13312" max="13558" width="9.140625" style="2"/>
    <col min="13559" max="13559" width="7.28515625" style="2" customWidth="1"/>
    <col min="13560" max="13560" width="19.5703125" style="2" customWidth="1"/>
    <col min="13561" max="13561" width="20.140625" style="2" customWidth="1"/>
    <col min="13562" max="13562" width="96.5703125" style="2" customWidth="1"/>
    <col min="13563" max="13563" width="10.85546875" style="2" customWidth="1"/>
    <col min="13564" max="13564" width="22" style="2" customWidth="1"/>
    <col min="13565" max="13565" width="20.28515625" style="2" customWidth="1"/>
    <col min="13566" max="13566" width="30" style="2" customWidth="1"/>
    <col min="13567" max="13567" width="23.140625" style="2" customWidth="1"/>
    <col min="13568" max="13814" width="9.140625" style="2"/>
    <col min="13815" max="13815" width="7.28515625" style="2" customWidth="1"/>
    <col min="13816" max="13816" width="19.5703125" style="2" customWidth="1"/>
    <col min="13817" max="13817" width="20.140625" style="2" customWidth="1"/>
    <col min="13818" max="13818" width="96.5703125" style="2" customWidth="1"/>
    <col min="13819" max="13819" width="10.85546875" style="2" customWidth="1"/>
    <col min="13820" max="13820" width="22" style="2" customWidth="1"/>
    <col min="13821" max="13821" width="20.28515625" style="2" customWidth="1"/>
    <col min="13822" max="13822" width="30" style="2" customWidth="1"/>
    <col min="13823" max="13823" width="23.140625" style="2" customWidth="1"/>
    <col min="13824" max="14070" width="9.140625" style="2"/>
    <col min="14071" max="14071" width="7.28515625" style="2" customWidth="1"/>
    <col min="14072" max="14072" width="19.5703125" style="2" customWidth="1"/>
    <col min="14073" max="14073" width="20.140625" style="2" customWidth="1"/>
    <col min="14074" max="14074" width="96.5703125" style="2" customWidth="1"/>
    <col min="14075" max="14075" width="10.85546875" style="2" customWidth="1"/>
    <col min="14076" max="14076" width="22" style="2" customWidth="1"/>
    <col min="14077" max="14077" width="20.28515625" style="2" customWidth="1"/>
    <col min="14078" max="14078" width="30" style="2" customWidth="1"/>
    <col min="14079" max="14079" width="23.140625" style="2" customWidth="1"/>
    <col min="14080" max="14326" width="9.140625" style="2"/>
    <col min="14327" max="14327" width="7.28515625" style="2" customWidth="1"/>
    <col min="14328" max="14328" width="19.5703125" style="2" customWidth="1"/>
    <col min="14329" max="14329" width="20.140625" style="2" customWidth="1"/>
    <col min="14330" max="14330" width="96.5703125" style="2" customWidth="1"/>
    <col min="14331" max="14331" width="10.85546875" style="2" customWidth="1"/>
    <col min="14332" max="14332" width="22" style="2" customWidth="1"/>
    <col min="14333" max="14333" width="20.28515625" style="2" customWidth="1"/>
    <col min="14334" max="14334" width="30" style="2" customWidth="1"/>
    <col min="14335" max="14335" width="23.140625" style="2" customWidth="1"/>
    <col min="14336" max="14582" width="9.140625" style="2"/>
    <col min="14583" max="14583" width="7.28515625" style="2" customWidth="1"/>
    <col min="14584" max="14584" width="19.5703125" style="2" customWidth="1"/>
    <col min="14585" max="14585" width="20.140625" style="2" customWidth="1"/>
    <col min="14586" max="14586" width="96.5703125" style="2" customWidth="1"/>
    <col min="14587" max="14587" width="10.85546875" style="2" customWidth="1"/>
    <col min="14588" max="14588" width="22" style="2" customWidth="1"/>
    <col min="14589" max="14589" width="20.28515625" style="2" customWidth="1"/>
    <col min="14590" max="14590" width="30" style="2" customWidth="1"/>
    <col min="14591" max="14591" width="23.140625" style="2" customWidth="1"/>
    <col min="14592" max="14838" width="9.140625" style="2"/>
    <col min="14839" max="14839" width="7.28515625" style="2" customWidth="1"/>
    <col min="14840" max="14840" width="19.5703125" style="2" customWidth="1"/>
    <col min="14841" max="14841" width="20.140625" style="2" customWidth="1"/>
    <col min="14842" max="14842" width="96.5703125" style="2" customWidth="1"/>
    <col min="14843" max="14843" width="10.85546875" style="2" customWidth="1"/>
    <col min="14844" max="14844" width="22" style="2" customWidth="1"/>
    <col min="14845" max="14845" width="20.28515625" style="2" customWidth="1"/>
    <col min="14846" max="14846" width="30" style="2" customWidth="1"/>
    <col min="14847" max="14847" width="23.140625" style="2" customWidth="1"/>
    <col min="14848" max="15094" width="9.140625" style="2"/>
    <col min="15095" max="15095" width="7.28515625" style="2" customWidth="1"/>
    <col min="15096" max="15096" width="19.5703125" style="2" customWidth="1"/>
    <col min="15097" max="15097" width="20.140625" style="2" customWidth="1"/>
    <col min="15098" max="15098" width="96.5703125" style="2" customWidth="1"/>
    <col min="15099" max="15099" width="10.85546875" style="2" customWidth="1"/>
    <col min="15100" max="15100" width="22" style="2" customWidth="1"/>
    <col min="15101" max="15101" width="20.28515625" style="2" customWidth="1"/>
    <col min="15102" max="15102" width="30" style="2" customWidth="1"/>
    <col min="15103" max="15103" width="23.140625" style="2" customWidth="1"/>
    <col min="15104" max="15350" width="9.140625" style="2"/>
    <col min="15351" max="15351" width="7.28515625" style="2" customWidth="1"/>
    <col min="15352" max="15352" width="19.5703125" style="2" customWidth="1"/>
    <col min="15353" max="15353" width="20.140625" style="2" customWidth="1"/>
    <col min="15354" max="15354" width="96.5703125" style="2" customWidth="1"/>
    <col min="15355" max="15355" width="10.85546875" style="2" customWidth="1"/>
    <col min="15356" max="15356" width="22" style="2" customWidth="1"/>
    <col min="15357" max="15357" width="20.28515625" style="2" customWidth="1"/>
    <col min="15358" max="15358" width="30" style="2" customWidth="1"/>
    <col min="15359" max="15359" width="23.140625" style="2" customWidth="1"/>
    <col min="15360" max="15606" width="9.140625" style="2"/>
    <col min="15607" max="15607" width="7.28515625" style="2" customWidth="1"/>
    <col min="15608" max="15608" width="19.5703125" style="2" customWidth="1"/>
    <col min="15609" max="15609" width="20.140625" style="2" customWidth="1"/>
    <col min="15610" max="15610" width="96.5703125" style="2" customWidth="1"/>
    <col min="15611" max="15611" width="10.85546875" style="2" customWidth="1"/>
    <col min="15612" max="15612" width="22" style="2" customWidth="1"/>
    <col min="15613" max="15613" width="20.28515625" style="2" customWidth="1"/>
    <col min="15614" max="15614" width="30" style="2" customWidth="1"/>
    <col min="15615" max="15615" width="23.140625" style="2" customWidth="1"/>
    <col min="15616" max="15862" width="9.140625" style="2"/>
    <col min="15863" max="15863" width="7.28515625" style="2" customWidth="1"/>
    <col min="15864" max="15864" width="19.5703125" style="2" customWidth="1"/>
    <col min="15865" max="15865" width="20.140625" style="2" customWidth="1"/>
    <col min="15866" max="15866" width="96.5703125" style="2" customWidth="1"/>
    <col min="15867" max="15867" width="10.85546875" style="2" customWidth="1"/>
    <col min="15868" max="15868" width="22" style="2" customWidth="1"/>
    <col min="15869" max="15869" width="20.28515625" style="2" customWidth="1"/>
    <col min="15870" max="15870" width="30" style="2" customWidth="1"/>
    <col min="15871" max="15871" width="23.140625" style="2" customWidth="1"/>
    <col min="15872" max="16118" width="9.140625" style="2"/>
    <col min="16119" max="16119" width="7.28515625" style="2" customWidth="1"/>
    <col min="16120" max="16120" width="19.5703125" style="2" customWidth="1"/>
    <col min="16121" max="16121" width="20.140625" style="2" customWidth="1"/>
    <col min="16122" max="16122" width="96.5703125" style="2" customWidth="1"/>
    <col min="16123" max="16123" width="10.85546875" style="2" customWidth="1"/>
    <col min="16124" max="16124" width="22" style="2" customWidth="1"/>
    <col min="16125" max="16125" width="20.28515625" style="2" customWidth="1"/>
    <col min="16126" max="16126" width="30" style="2" customWidth="1"/>
    <col min="16127" max="16127" width="23.140625" style="2" customWidth="1"/>
    <col min="16128" max="16384" width="9.140625" style="2"/>
  </cols>
  <sheetData>
    <row r="2" spans="1:9" ht="30" customHeight="1" x14ac:dyDescent="0.2"/>
    <row r="3" spans="1:9" ht="30" customHeight="1" x14ac:dyDescent="0.2">
      <c r="A3" s="8"/>
      <c r="B3" s="8"/>
      <c r="C3" s="8"/>
      <c r="D3" s="3"/>
      <c r="E3" s="3"/>
      <c r="F3" s="3"/>
      <c r="G3" s="3"/>
    </row>
    <row r="4" spans="1:9" ht="30" customHeight="1" x14ac:dyDescent="0.2">
      <c r="A4" s="10"/>
      <c r="B4" s="139"/>
      <c r="C4" s="140"/>
      <c r="D4" s="156"/>
      <c r="E4" s="133"/>
      <c r="F4" s="4" t="s">
        <v>0</v>
      </c>
      <c r="G4" s="5">
        <v>155</v>
      </c>
      <c r="H4" s="6"/>
      <c r="I4" s="3"/>
    </row>
    <row r="5" spans="1:9" ht="30" customHeight="1" x14ac:dyDescent="0.2">
      <c r="A5" s="141" t="s">
        <v>112</v>
      </c>
      <c r="B5" s="71"/>
      <c r="C5" s="71"/>
      <c r="D5" s="157" t="s">
        <v>65</v>
      </c>
      <c r="E5" s="3"/>
      <c r="F5" s="4" t="s">
        <v>1</v>
      </c>
      <c r="G5" s="5">
        <v>7</v>
      </c>
      <c r="H5" s="7"/>
      <c r="I5" s="8"/>
    </row>
    <row r="6" spans="1:9" ht="30" customHeight="1" x14ac:dyDescent="0.2">
      <c r="A6" s="142" t="s">
        <v>120</v>
      </c>
      <c r="B6" s="71"/>
      <c r="C6" s="71"/>
      <c r="D6" s="3"/>
      <c r="E6" s="3"/>
      <c r="F6" s="4" t="s">
        <v>2</v>
      </c>
      <c r="G6" s="5">
        <v>1193.44</v>
      </c>
      <c r="H6" s="9"/>
      <c r="I6" s="65"/>
    </row>
    <row r="7" spans="1:9" s="13" customFormat="1" ht="30" customHeight="1" x14ac:dyDescent="0.2">
      <c r="A7" s="149" t="s">
        <v>3</v>
      </c>
      <c r="B7" s="10" t="s">
        <v>4</v>
      </c>
      <c r="C7" s="10" t="s">
        <v>5</v>
      </c>
      <c r="D7" s="10" t="s">
        <v>6</v>
      </c>
      <c r="E7" s="11" t="s">
        <v>7</v>
      </c>
      <c r="F7" s="10" t="s">
        <v>8</v>
      </c>
      <c r="G7" s="10" t="s">
        <v>9</v>
      </c>
      <c r="H7" s="12" t="s">
        <v>10</v>
      </c>
      <c r="I7" s="60" t="s">
        <v>11</v>
      </c>
    </row>
    <row r="8" spans="1:9" ht="30" customHeight="1" x14ac:dyDescent="0.2">
      <c r="A8" s="14">
        <v>1</v>
      </c>
      <c r="B8" s="14"/>
      <c r="C8" s="14"/>
      <c r="D8" s="15" t="s">
        <v>17</v>
      </c>
      <c r="E8" s="16"/>
      <c r="F8" s="17"/>
      <c r="G8" s="16"/>
      <c r="H8" s="120">
        <f>TRUNC(SUM(H9:H9),2)</f>
        <v>4459.24</v>
      </c>
      <c r="I8" s="66"/>
    </row>
    <row r="9" spans="1:9" ht="30" customHeight="1" x14ac:dyDescent="0.2">
      <c r="A9" s="86" t="s">
        <v>13</v>
      </c>
      <c r="B9" s="94" t="s">
        <v>31</v>
      </c>
      <c r="C9" s="87" t="s">
        <v>97</v>
      </c>
      <c r="D9" s="89" t="s">
        <v>144</v>
      </c>
      <c r="E9" s="86" t="s">
        <v>45</v>
      </c>
      <c r="F9" s="91">
        <f>'Memoriade calculo'!D11</f>
        <v>1</v>
      </c>
      <c r="G9" s="101">
        <f>ROUND(I9*(1+$B$63),2)</f>
        <v>4459.24</v>
      </c>
      <c r="H9" s="93">
        <f>ROUND(F9*G9,2)</f>
        <v>4459.24</v>
      </c>
      <c r="I9" s="184">
        <v>3653.92</v>
      </c>
    </row>
    <row r="10" spans="1:9" ht="19.5" customHeight="1" x14ac:dyDescent="0.2">
      <c r="A10" s="12"/>
      <c r="B10" s="18"/>
      <c r="C10" s="61"/>
      <c r="D10" s="85"/>
      <c r="E10" s="12"/>
      <c r="F10" s="23"/>
      <c r="G10" s="20"/>
      <c r="H10" s="21"/>
      <c r="I10" s="62"/>
    </row>
    <row r="11" spans="1:9" ht="30" customHeight="1" x14ac:dyDescent="0.25">
      <c r="A11" s="24">
        <v>2</v>
      </c>
      <c r="B11" s="169"/>
      <c r="C11" s="169"/>
      <c r="D11" s="15" t="s">
        <v>12</v>
      </c>
      <c r="E11" s="170"/>
      <c r="F11" s="170"/>
      <c r="G11" s="170"/>
      <c r="H11" s="147">
        <f>TRUNC(SUM(H12:H14),2)</f>
        <v>6893.18</v>
      </c>
      <c r="I11" s="77"/>
    </row>
    <row r="12" spans="1:9" ht="29.25" customHeight="1" x14ac:dyDescent="0.2">
      <c r="A12" s="86" t="s">
        <v>18</v>
      </c>
      <c r="B12" s="87" t="s">
        <v>14</v>
      </c>
      <c r="C12" s="88" t="s">
        <v>69</v>
      </c>
      <c r="D12" s="89" t="s">
        <v>100</v>
      </c>
      <c r="E12" s="90" t="s">
        <v>16</v>
      </c>
      <c r="F12" s="91">
        <f>'Memoriade calculo'!D14</f>
        <v>4.5</v>
      </c>
      <c r="G12" s="92">
        <f>ROUND(I12*(1+$B$63),2)</f>
        <v>366.12</v>
      </c>
      <c r="H12" s="93">
        <f>ROUND(F12*G12,2)</f>
        <v>1647.54</v>
      </c>
      <c r="I12" s="4">
        <v>300</v>
      </c>
    </row>
    <row r="13" spans="1:9" ht="30" customHeight="1" x14ac:dyDescent="0.2">
      <c r="A13" s="86" t="s">
        <v>19</v>
      </c>
      <c r="B13" s="94" t="s">
        <v>31</v>
      </c>
      <c r="C13" s="88" t="s">
        <v>85</v>
      </c>
      <c r="D13" s="89" t="s">
        <v>149</v>
      </c>
      <c r="E13" s="86" t="s">
        <v>45</v>
      </c>
      <c r="F13" s="91">
        <f>'Memoriade calculo'!D15</f>
        <v>1</v>
      </c>
      <c r="G13" s="92">
        <f>ROUND(I13*(1+$B$63),2)</f>
        <v>4410.53</v>
      </c>
      <c r="H13" s="93">
        <f>ROUND(F13*G13,2)</f>
        <v>4410.53</v>
      </c>
      <c r="I13" s="184">
        <v>3614</v>
      </c>
    </row>
    <row r="14" spans="1:9" ht="29.25" customHeight="1" x14ac:dyDescent="0.2">
      <c r="A14" s="12" t="s">
        <v>20</v>
      </c>
      <c r="B14" s="94" t="s">
        <v>31</v>
      </c>
      <c r="C14" s="61" t="s">
        <v>68</v>
      </c>
      <c r="D14" s="22" t="s">
        <v>152</v>
      </c>
      <c r="E14" s="12" t="s">
        <v>16</v>
      </c>
      <c r="F14" s="91">
        <f>'Memoriade calculo'!D16</f>
        <v>1670.22</v>
      </c>
      <c r="G14" s="92">
        <f>ROUND(I14*(1+$B$63),2)</f>
        <v>0.5</v>
      </c>
      <c r="H14" s="93">
        <f>ROUND(F14*G14,2)</f>
        <v>835.11</v>
      </c>
      <c r="I14" s="121">
        <v>0.41</v>
      </c>
    </row>
    <row r="15" spans="1:9" s="13" customFormat="1" ht="19.5" customHeight="1" x14ac:dyDescent="0.2">
      <c r="A15" s="149"/>
      <c r="B15" s="12"/>
      <c r="C15" s="12"/>
      <c r="D15" s="22"/>
      <c r="E15" s="26"/>
      <c r="F15" s="27"/>
      <c r="G15" s="28"/>
      <c r="H15" s="145"/>
      <c r="I15" s="67"/>
    </row>
    <row r="16" spans="1:9" s="31" customFormat="1" ht="30" customHeight="1" x14ac:dyDescent="0.2">
      <c r="A16" s="29">
        <v>3</v>
      </c>
      <c r="B16" s="29"/>
      <c r="C16" s="29"/>
      <c r="D16" s="15" t="s">
        <v>22</v>
      </c>
      <c r="E16" s="30"/>
      <c r="F16" s="17"/>
      <c r="G16" s="16"/>
      <c r="H16" s="120">
        <f>TRUNC(SUM(H17:H20),2)</f>
        <v>18733.78</v>
      </c>
      <c r="I16" s="68"/>
    </row>
    <row r="17" spans="1:10" s="31" customFormat="1" ht="37.5" customHeight="1" x14ac:dyDescent="0.2">
      <c r="A17" s="12" t="s">
        <v>23</v>
      </c>
      <c r="B17" s="94" t="s">
        <v>31</v>
      </c>
      <c r="C17" s="61" t="s">
        <v>67</v>
      </c>
      <c r="D17" s="76" t="s">
        <v>72</v>
      </c>
      <c r="E17" s="12" t="s">
        <v>24</v>
      </c>
      <c r="F17" s="91">
        <f>'Memoriade calculo'!D19</f>
        <v>543.53</v>
      </c>
      <c r="G17" s="92">
        <f>ROUND(I17*(1+$B$63),2)</f>
        <v>4.75</v>
      </c>
      <c r="H17" s="143">
        <f>ROUND(F17*G17,2)</f>
        <v>2581.77</v>
      </c>
      <c r="I17" s="62">
        <v>3.89</v>
      </c>
    </row>
    <row r="18" spans="1:10" s="31" customFormat="1" ht="30" customHeight="1" x14ac:dyDescent="0.2">
      <c r="A18" s="12" t="s">
        <v>25</v>
      </c>
      <c r="B18" s="18" t="s">
        <v>14</v>
      </c>
      <c r="C18" s="61" t="s">
        <v>70</v>
      </c>
      <c r="D18" s="32" t="s">
        <v>104</v>
      </c>
      <c r="E18" s="12" t="s">
        <v>26</v>
      </c>
      <c r="F18" s="91">
        <f>'Memoriade calculo'!D20</f>
        <v>2193</v>
      </c>
      <c r="G18" s="92">
        <f>ROUND(I18*(1+$B$63),2)</f>
        <v>3.32</v>
      </c>
      <c r="H18" s="143">
        <f>TRUNC(F18*G18,2)</f>
        <v>7280.76</v>
      </c>
      <c r="I18" s="62">
        <v>2.72</v>
      </c>
    </row>
    <row r="19" spans="1:10" s="31" customFormat="1" ht="30" customHeight="1" x14ac:dyDescent="0.2">
      <c r="A19" s="12" t="s">
        <v>27</v>
      </c>
      <c r="B19" s="18" t="s">
        <v>14</v>
      </c>
      <c r="C19" s="61" t="s">
        <v>62</v>
      </c>
      <c r="D19" s="22" t="s">
        <v>63</v>
      </c>
      <c r="E19" s="12" t="s">
        <v>24</v>
      </c>
      <c r="F19" s="91">
        <f>'Memoriade calculo'!D21</f>
        <v>516</v>
      </c>
      <c r="G19" s="92">
        <f>ROUND(I19*(1+$B$63),2)</f>
        <v>10.3</v>
      </c>
      <c r="H19" s="144">
        <f>TRUNC(F19*G19,2)</f>
        <v>5314.8</v>
      </c>
      <c r="I19" s="62">
        <v>8.44</v>
      </c>
    </row>
    <row r="20" spans="1:10" s="31" customFormat="1" ht="30" customHeight="1" x14ac:dyDescent="0.2">
      <c r="A20" s="12" t="s">
        <v>64</v>
      </c>
      <c r="B20" s="33" t="s">
        <v>14</v>
      </c>
      <c r="C20" s="72" t="s">
        <v>28</v>
      </c>
      <c r="D20" s="34" t="s">
        <v>29</v>
      </c>
      <c r="E20" s="12" t="s">
        <v>16</v>
      </c>
      <c r="F20" s="91">
        <f>'Memoriade calculo'!D22</f>
        <v>1193.44</v>
      </c>
      <c r="G20" s="92">
        <f>ROUND(I20*(1+$B$63),2)</f>
        <v>2.98</v>
      </c>
      <c r="H20" s="143">
        <f>TRUNC(F20*G20,2)</f>
        <v>3556.45</v>
      </c>
      <c r="I20" s="62">
        <v>2.44</v>
      </c>
    </row>
    <row r="21" spans="1:10" s="31" customFormat="1" ht="30" customHeight="1" x14ac:dyDescent="0.2">
      <c r="A21" s="150"/>
      <c r="B21" s="33"/>
      <c r="C21" s="72"/>
      <c r="D21" s="34"/>
      <c r="E21" s="12"/>
      <c r="F21" s="35"/>
      <c r="G21" s="36"/>
      <c r="H21" s="143"/>
      <c r="I21" s="69"/>
    </row>
    <row r="22" spans="1:10" s="31" customFormat="1" ht="30" customHeight="1" x14ac:dyDescent="0.2">
      <c r="A22" s="14">
        <v>4</v>
      </c>
      <c r="B22" s="14"/>
      <c r="C22" s="14"/>
      <c r="D22" s="78" t="s">
        <v>88</v>
      </c>
      <c r="E22" s="37"/>
      <c r="F22" s="17"/>
      <c r="G22" s="37"/>
      <c r="H22" s="148">
        <f>TRUNC(SUM(H23:H25),2)</f>
        <v>70015.48</v>
      </c>
      <c r="I22" s="79"/>
    </row>
    <row r="23" spans="1:10" s="31" customFormat="1" ht="24.95" customHeight="1" x14ac:dyDescent="0.2">
      <c r="A23" s="12" t="s">
        <v>30</v>
      </c>
      <c r="B23" s="18" t="s">
        <v>14</v>
      </c>
      <c r="C23" s="61" t="s">
        <v>33</v>
      </c>
      <c r="D23" s="22" t="s">
        <v>138</v>
      </c>
      <c r="E23" s="12" t="s">
        <v>24</v>
      </c>
      <c r="F23" s="91">
        <f>'Memoriade calculo'!D25</f>
        <v>238.68</v>
      </c>
      <c r="G23" s="20">
        <f>TRUNC(I23*(1+$B$63),2)</f>
        <v>153.12</v>
      </c>
      <c r="H23" s="143">
        <f>TRUNC(F23*G23,2)</f>
        <v>36546.68</v>
      </c>
      <c r="I23" s="62">
        <v>125.47</v>
      </c>
    </row>
    <row r="24" spans="1:10" s="31" customFormat="1" ht="24.95" customHeight="1" x14ac:dyDescent="0.2">
      <c r="A24" s="12" t="s">
        <v>32</v>
      </c>
      <c r="B24" s="18" t="s">
        <v>14</v>
      </c>
      <c r="C24" s="61" t="s">
        <v>66</v>
      </c>
      <c r="D24" s="22" t="s">
        <v>172</v>
      </c>
      <c r="E24" s="12" t="s">
        <v>26</v>
      </c>
      <c r="F24" s="91">
        <f>'Memoriade calculo'!D26</f>
        <v>4081.42</v>
      </c>
      <c r="G24" s="20">
        <f>ROUND(I24*(1+$B$63),2)</f>
        <v>2.81</v>
      </c>
      <c r="H24" s="143">
        <f>ROUND(F24*G24,2)</f>
        <v>11468.79</v>
      </c>
      <c r="I24" s="62">
        <v>2.2999999999999998</v>
      </c>
    </row>
    <row r="25" spans="1:10" s="31" customFormat="1" ht="24.95" customHeight="1" x14ac:dyDescent="0.2">
      <c r="A25" s="12" t="s">
        <v>87</v>
      </c>
      <c r="B25" s="18" t="s">
        <v>14</v>
      </c>
      <c r="C25" s="61" t="s">
        <v>34</v>
      </c>
      <c r="D25" s="4" t="s">
        <v>35</v>
      </c>
      <c r="E25" s="12" t="s">
        <v>36</v>
      </c>
      <c r="F25" s="91">
        <f>'Memoriade calculo'!D27</f>
        <v>343</v>
      </c>
      <c r="G25" s="20">
        <f>TRUNC(I25*(1+$B$63),2)</f>
        <v>64.14</v>
      </c>
      <c r="H25" s="143">
        <f>TRUNC(F25*G25,2)-0.01</f>
        <v>22000.010000000002</v>
      </c>
      <c r="I25" s="62">
        <v>52.56</v>
      </c>
    </row>
    <row r="26" spans="1:10" s="31" customFormat="1" ht="20.25" customHeight="1" x14ac:dyDescent="0.2">
      <c r="A26" s="12"/>
      <c r="B26" s="18"/>
      <c r="C26" s="61"/>
      <c r="D26" s="4"/>
      <c r="E26" s="12"/>
      <c r="F26" s="19"/>
      <c r="G26" s="20"/>
      <c r="H26" s="143"/>
      <c r="I26" s="62"/>
    </row>
    <row r="27" spans="1:10" s="31" customFormat="1" ht="30" customHeight="1" x14ac:dyDescent="0.2">
      <c r="A27" s="79">
        <v>5</v>
      </c>
      <c r="B27" s="79"/>
      <c r="C27" s="80"/>
      <c r="D27" s="78" t="s">
        <v>110</v>
      </c>
      <c r="E27" s="79"/>
      <c r="F27" s="81"/>
      <c r="G27" s="82"/>
      <c r="H27" s="148">
        <f>TRUNC(SUM(H28:H29),2)</f>
        <v>188852.69</v>
      </c>
      <c r="I27" s="83"/>
    </row>
    <row r="28" spans="1:10" s="31" customFormat="1" ht="33" customHeight="1" x14ac:dyDescent="0.2">
      <c r="A28" s="12" t="s">
        <v>38</v>
      </c>
      <c r="B28" s="60" t="s">
        <v>31</v>
      </c>
      <c r="C28" s="61" t="s">
        <v>121</v>
      </c>
      <c r="D28" s="4" t="s">
        <v>181</v>
      </c>
      <c r="E28" s="12" t="s">
        <v>16</v>
      </c>
      <c r="F28" s="91">
        <f>'Memoriade calculo'!D30</f>
        <v>1193.44</v>
      </c>
      <c r="G28" s="20">
        <f>TRUNC(I28*(1+$B$63),2)</f>
        <v>9.0399999999999991</v>
      </c>
      <c r="H28" s="143">
        <f>ROUND(F28*G28,2)</f>
        <v>10788.7</v>
      </c>
      <c r="I28" s="4">
        <v>7.41</v>
      </c>
      <c r="J28" s="115"/>
    </row>
    <row r="29" spans="1:10" s="31" customFormat="1" ht="45" customHeight="1" x14ac:dyDescent="0.2">
      <c r="A29" s="12" t="s">
        <v>41</v>
      </c>
      <c r="B29" s="18" t="s">
        <v>14</v>
      </c>
      <c r="C29" s="61" t="s">
        <v>203</v>
      </c>
      <c r="D29" s="76" t="s">
        <v>148</v>
      </c>
      <c r="E29" s="12" t="s">
        <v>24</v>
      </c>
      <c r="F29" s="91">
        <f>'Memoriade calculo'!D31</f>
        <v>71.61</v>
      </c>
      <c r="G29" s="20">
        <f>ROUND(I29*(1+$B$63),2)</f>
        <v>2486.58</v>
      </c>
      <c r="H29" s="143">
        <f>TRUNC(F29*G29,2)</f>
        <v>178063.99</v>
      </c>
      <c r="I29" s="118">
        <v>2037.51</v>
      </c>
    </row>
    <row r="30" spans="1:10" s="31" customFormat="1" ht="13.5" customHeight="1" x14ac:dyDescent="0.2">
      <c r="A30" s="12"/>
      <c r="B30" s="60"/>
      <c r="C30" s="61"/>
      <c r="D30" s="4"/>
      <c r="E30" s="12"/>
      <c r="F30" s="19"/>
      <c r="G30" s="20"/>
      <c r="H30" s="143"/>
      <c r="I30" s="62"/>
    </row>
    <row r="31" spans="1:10" s="31" customFormat="1" ht="30" customHeight="1" x14ac:dyDescent="0.2">
      <c r="A31" s="14">
        <v>6</v>
      </c>
      <c r="B31" s="14"/>
      <c r="C31" s="14"/>
      <c r="D31" s="15" t="s">
        <v>37</v>
      </c>
      <c r="E31" s="37"/>
      <c r="F31" s="39"/>
      <c r="G31" s="40"/>
      <c r="H31" s="120">
        <f>TRUNC(SUM(H32:H39),2)</f>
        <v>33647.01</v>
      </c>
      <c r="I31" s="102"/>
    </row>
    <row r="32" spans="1:10" s="31" customFormat="1" ht="30" customHeight="1" x14ac:dyDescent="0.2">
      <c r="A32" s="12" t="s">
        <v>48</v>
      </c>
      <c r="B32" s="18" t="s">
        <v>14</v>
      </c>
      <c r="C32" s="61" t="s">
        <v>39</v>
      </c>
      <c r="D32" s="22" t="s">
        <v>40</v>
      </c>
      <c r="E32" s="12" t="s">
        <v>24</v>
      </c>
      <c r="F32" s="91">
        <f>'Memoriade calculo'!D34</f>
        <v>125.66</v>
      </c>
      <c r="G32" s="20">
        <f>ROUND(I32*(1+$B$63),2)</f>
        <v>9.4600000000000009</v>
      </c>
      <c r="H32" s="143">
        <f>TRUNC(F32*G32,2)</f>
        <v>1188.74</v>
      </c>
      <c r="I32" s="62">
        <v>7.75</v>
      </c>
    </row>
    <row r="33" spans="1:9" s="31" customFormat="1" ht="30" customHeight="1" x14ac:dyDescent="0.2">
      <c r="A33" s="12" t="s">
        <v>49</v>
      </c>
      <c r="B33" s="18" t="s">
        <v>14</v>
      </c>
      <c r="C33" s="61" t="s">
        <v>79</v>
      </c>
      <c r="D33" s="22" t="s">
        <v>80</v>
      </c>
      <c r="E33" s="12" t="s">
        <v>36</v>
      </c>
      <c r="F33" s="91">
        <f>'Memoriade calculo'!D35</f>
        <v>78</v>
      </c>
      <c r="G33" s="20">
        <f>TRUNC(I33*(1+$B$63),2)</f>
        <v>75.59</v>
      </c>
      <c r="H33" s="143">
        <f>TRUNC(F33*G33,2)</f>
        <v>5896.02</v>
      </c>
      <c r="I33" s="116">
        <v>61.94</v>
      </c>
    </row>
    <row r="34" spans="1:9" s="31" customFormat="1" ht="30" customHeight="1" x14ac:dyDescent="0.2">
      <c r="A34" s="12" t="s">
        <v>59</v>
      </c>
      <c r="B34" s="18" t="s">
        <v>14</v>
      </c>
      <c r="C34" s="61" t="s">
        <v>83</v>
      </c>
      <c r="D34" s="22" t="s">
        <v>81</v>
      </c>
      <c r="E34" s="12" t="s">
        <v>36</v>
      </c>
      <c r="F34" s="91">
        <f>'Memoriade calculo'!D36</f>
        <v>78</v>
      </c>
      <c r="G34" s="20">
        <f>TRUNC(I34*(1+$B$63),2)</f>
        <v>71.22</v>
      </c>
      <c r="H34" s="143">
        <f>TRUNC(F34*G34,2)</f>
        <v>5555.16</v>
      </c>
      <c r="I34" s="116">
        <v>58.36</v>
      </c>
    </row>
    <row r="35" spans="1:9" s="31" customFormat="1" ht="30" customHeight="1" x14ac:dyDescent="0.2">
      <c r="A35" s="12" t="s">
        <v>89</v>
      </c>
      <c r="B35" s="18" t="s">
        <v>14</v>
      </c>
      <c r="C35" s="61" t="s">
        <v>42</v>
      </c>
      <c r="D35" s="22" t="s">
        <v>82</v>
      </c>
      <c r="E35" s="12" t="s">
        <v>36</v>
      </c>
      <c r="F35" s="91">
        <f>'Memoriade calculo'!D37</f>
        <v>31</v>
      </c>
      <c r="G35" s="20">
        <f>ROUND(I35*(1+$B$63),2)</f>
        <v>217.16</v>
      </c>
      <c r="H35" s="143">
        <f>TRUNC(F35*G35,2)</f>
        <v>6731.96</v>
      </c>
      <c r="I35" s="116">
        <v>177.94</v>
      </c>
    </row>
    <row r="36" spans="1:9" ht="30" customHeight="1" x14ac:dyDescent="0.2">
      <c r="A36" s="12" t="s">
        <v>90</v>
      </c>
      <c r="B36" s="18" t="s">
        <v>14</v>
      </c>
      <c r="C36" s="61" t="s">
        <v>43</v>
      </c>
      <c r="D36" s="22" t="s">
        <v>44</v>
      </c>
      <c r="E36" s="12" t="s">
        <v>24</v>
      </c>
      <c r="F36" s="91">
        <f>'Memoriade calculo'!D38</f>
        <v>105.94</v>
      </c>
      <c r="G36" s="20">
        <f>TRUNC(I36*(1+$B$63),2)</f>
        <v>13.52</v>
      </c>
      <c r="H36" s="143">
        <f>ROUND(F36*G36,2)</f>
        <v>1432.31</v>
      </c>
      <c r="I36" s="4">
        <v>11.08</v>
      </c>
    </row>
    <row r="37" spans="1:9" ht="30" customHeight="1" x14ac:dyDescent="0.2">
      <c r="A37" s="12" t="s">
        <v>91</v>
      </c>
      <c r="B37" s="18" t="s">
        <v>14</v>
      </c>
      <c r="C37" s="61" t="s">
        <v>62</v>
      </c>
      <c r="D37" s="22" t="s">
        <v>63</v>
      </c>
      <c r="E37" s="12" t="s">
        <v>24</v>
      </c>
      <c r="F37" s="91">
        <f>'Memoriade calculo'!D39</f>
        <v>19.72</v>
      </c>
      <c r="G37" s="59">
        <f>TRUNC(I37*(1+$B$63),2)</f>
        <v>10.3</v>
      </c>
      <c r="H37" s="144">
        <f>ROUND(F37*G37,2)</f>
        <v>203.12</v>
      </c>
      <c r="I37" s="62">
        <v>8.44</v>
      </c>
    </row>
    <row r="38" spans="1:9" ht="30" customHeight="1" x14ac:dyDescent="0.2">
      <c r="A38" s="12" t="s">
        <v>92</v>
      </c>
      <c r="B38" s="18" t="s">
        <v>14</v>
      </c>
      <c r="C38" s="61" t="s">
        <v>70</v>
      </c>
      <c r="D38" s="22" t="s">
        <v>84</v>
      </c>
      <c r="E38" s="12" t="s">
        <v>26</v>
      </c>
      <c r="F38" s="91">
        <f>'Memoriade calculo'!D40</f>
        <v>83.81</v>
      </c>
      <c r="G38" s="20">
        <f>ROUND(I38*(1+$B$63),2)</f>
        <v>3.32</v>
      </c>
      <c r="H38" s="143">
        <f>ROUND(F38*G38,2)</f>
        <v>278.25</v>
      </c>
      <c r="I38" s="4">
        <v>2.72</v>
      </c>
    </row>
    <row r="39" spans="1:9" ht="47.25" customHeight="1" x14ac:dyDescent="0.2">
      <c r="A39" s="12" t="s">
        <v>93</v>
      </c>
      <c r="B39" s="60" t="s">
        <v>31</v>
      </c>
      <c r="C39" s="73" t="s">
        <v>122</v>
      </c>
      <c r="D39" s="173" t="s">
        <v>143</v>
      </c>
      <c r="E39" s="12" t="s">
        <v>45</v>
      </c>
      <c r="F39" s="91">
        <f>'Memoriade calculo'!D41</f>
        <v>5</v>
      </c>
      <c r="G39" s="20">
        <f>ROUND(I39*(1+$B$63),2)</f>
        <v>2472.29</v>
      </c>
      <c r="H39" s="143">
        <f>TRUNC(F39*G39,2)</f>
        <v>12361.45</v>
      </c>
      <c r="I39" s="117">
        <v>2025.8</v>
      </c>
    </row>
    <row r="40" spans="1:9" ht="15" customHeight="1" x14ac:dyDescent="0.2">
      <c r="A40" s="12"/>
      <c r="B40" s="60"/>
      <c r="C40" s="73"/>
      <c r="D40" s="171"/>
      <c r="E40" s="12"/>
      <c r="F40" s="91"/>
      <c r="G40" s="20"/>
      <c r="H40" s="143"/>
      <c r="I40" s="117" t="s">
        <v>132</v>
      </c>
    </row>
    <row r="41" spans="1:9" ht="30" customHeight="1" x14ac:dyDescent="0.2">
      <c r="A41" s="79">
        <v>7</v>
      </c>
      <c r="B41" s="119"/>
      <c r="C41" s="119"/>
      <c r="D41" s="14" t="s">
        <v>114</v>
      </c>
      <c r="E41" s="119"/>
      <c r="F41" s="119"/>
      <c r="G41" s="119"/>
      <c r="H41" s="120">
        <f>TRUNC(SUM(H42:H42),2)</f>
        <v>12311.19</v>
      </c>
      <c r="I41" s="117"/>
    </row>
    <row r="42" spans="1:9" ht="37.5" customHeight="1" x14ac:dyDescent="0.2">
      <c r="A42" s="12" t="s">
        <v>51</v>
      </c>
      <c r="B42" s="60" t="s">
        <v>31</v>
      </c>
      <c r="C42" s="73" t="s">
        <v>123</v>
      </c>
      <c r="D42" s="172" t="s">
        <v>150</v>
      </c>
      <c r="E42" s="12" t="s">
        <v>45</v>
      </c>
      <c r="F42" s="91">
        <f>'Memoriade calculo'!D44</f>
        <v>9</v>
      </c>
      <c r="G42" s="20">
        <f>ROUND(I42*(1+$B$63),2)</f>
        <v>1367.91</v>
      </c>
      <c r="H42" s="143">
        <f>TRUNC(F42*G42,2)</f>
        <v>12311.19</v>
      </c>
      <c r="I42" s="118">
        <v>1120.8699999999999</v>
      </c>
    </row>
    <row r="43" spans="1:9" ht="15.75" customHeight="1" x14ac:dyDescent="0.2">
      <c r="A43" s="12"/>
      <c r="B43" s="12"/>
      <c r="C43" s="12"/>
      <c r="D43" s="4"/>
      <c r="E43" s="12"/>
      <c r="F43" s="35"/>
      <c r="G43" s="20"/>
      <c r="H43" s="143"/>
      <c r="I43" s="62"/>
    </row>
    <row r="44" spans="1:9" ht="30" customHeight="1" x14ac:dyDescent="0.2">
      <c r="A44" s="14">
        <v>8</v>
      </c>
      <c r="B44" s="14"/>
      <c r="C44" s="14"/>
      <c r="D44" s="15" t="s">
        <v>47</v>
      </c>
      <c r="E44" s="37"/>
      <c r="F44" s="39"/>
      <c r="G44" s="40"/>
      <c r="H44" s="120">
        <f>TRUNC(SUM(H45:H48),2)</f>
        <v>2542.11</v>
      </c>
      <c r="I44" s="69"/>
    </row>
    <row r="45" spans="1:9" ht="38.25" customHeight="1" x14ac:dyDescent="0.2">
      <c r="A45" s="12" t="s">
        <v>94</v>
      </c>
      <c r="B45" s="18" t="s">
        <v>14</v>
      </c>
      <c r="C45" s="61" t="s">
        <v>60</v>
      </c>
      <c r="D45" s="76" t="s">
        <v>131</v>
      </c>
      <c r="E45" s="58" t="s">
        <v>36</v>
      </c>
      <c r="F45" s="91">
        <f>'Memoriade calculo'!D47</f>
        <v>56.7</v>
      </c>
      <c r="G45" s="59">
        <f>ROUND(I45*(1+$B$63),2)</f>
        <v>6.09</v>
      </c>
      <c r="H45" s="144">
        <f>TRUNC(F45*G45,2)</f>
        <v>345.3</v>
      </c>
      <c r="I45" s="62">
        <v>4.99</v>
      </c>
    </row>
    <row r="46" spans="1:9" ht="30" customHeight="1" x14ac:dyDescent="0.2">
      <c r="A46" s="12" t="s">
        <v>95</v>
      </c>
      <c r="B46" s="18" t="s">
        <v>14</v>
      </c>
      <c r="C46" s="61" t="s">
        <v>61</v>
      </c>
      <c r="D46" s="22" t="s">
        <v>58</v>
      </c>
      <c r="E46" s="58" t="s">
        <v>16</v>
      </c>
      <c r="F46" s="91">
        <f>'Memoriade calculo'!D48</f>
        <v>44.8</v>
      </c>
      <c r="G46" s="59">
        <f>TRUNC(I46*(1+$B$63),2)</f>
        <v>27.76</v>
      </c>
      <c r="H46" s="144">
        <f>ROUND(F46*G46,2)</f>
        <v>1243.6500000000001</v>
      </c>
      <c r="I46" s="62">
        <v>22.75</v>
      </c>
    </row>
    <row r="47" spans="1:9" ht="30" customHeight="1" x14ac:dyDescent="0.2">
      <c r="A47" s="12" t="s">
        <v>96</v>
      </c>
      <c r="B47" s="60" t="s">
        <v>31</v>
      </c>
      <c r="C47" s="41">
        <v>11</v>
      </c>
      <c r="D47" s="22" t="s">
        <v>151</v>
      </c>
      <c r="E47" s="12" t="s">
        <v>16</v>
      </c>
      <c r="F47" s="91">
        <f>'Memoriade calculo'!D49</f>
        <v>0.9</v>
      </c>
      <c r="G47" s="59">
        <f>ROUND(I47*(1+$B$63),2)</f>
        <v>669.27</v>
      </c>
      <c r="H47" s="144">
        <f>ROUND(F47*G47,2)</f>
        <v>602.34</v>
      </c>
      <c r="I47" s="62">
        <v>548.4</v>
      </c>
    </row>
    <row r="48" spans="1:9" ht="30" customHeight="1" x14ac:dyDescent="0.2">
      <c r="A48" s="12" t="s">
        <v>154</v>
      </c>
      <c r="B48" s="60" t="s">
        <v>31</v>
      </c>
      <c r="C48" s="12">
        <v>17</v>
      </c>
      <c r="D48" s="174" t="s">
        <v>153</v>
      </c>
      <c r="E48" s="12" t="s">
        <v>16</v>
      </c>
      <c r="F48" s="91">
        <f>'Memoriade calculo'!D50</f>
        <v>0.6</v>
      </c>
      <c r="G48" s="59">
        <f>ROUND(I48*(1+$B$63),2)</f>
        <v>584.69000000000005</v>
      </c>
      <c r="H48" s="144">
        <f>ROUND(F48*G48,2)+0.01</f>
        <v>350.82</v>
      </c>
      <c r="I48" s="62">
        <v>479.1</v>
      </c>
    </row>
    <row r="49" spans="1:87" ht="12.75" customHeight="1" x14ac:dyDescent="0.2">
      <c r="A49" s="42"/>
      <c r="B49" s="60"/>
      <c r="C49" s="42"/>
      <c r="D49" s="174"/>
      <c r="E49" s="12"/>
      <c r="F49" s="56"/>
      <c r="G49" s="36"/>
      <c r="H49" s="145"/>
      <c r="I49" s="69"/>
    </row>
    <row r="50" spans="1:87" ht="30" customHeight="1" x14ac:dyDescent="0.2">
      <c r="A50" s="14">
        <v>9</v>
      </c>
      <c r="B50" s="14"/>
      <c r="C50" s="14"/>
      <c r="D50" s="14"/>
      <c r="E50" s="37"/>
      <c r="F50" s="39"/>
      <c r="G50" s="40"/>
      <c r="H50" s="120">
        <f>SUM(H51:H57)</f>
        <v>46670.789999999994</v>
      </c>
      <c r="I50" s="69"/>
    </row>
    <row r="51" spans="1:87" ht="35.25" customHeight="1" x14ac:dyDescent="0.2">
      <c r="A51" s="86" t="s">
        <v>115</v>
      </c>
      <c r="B51" s="18" t="s">
        <v>14</v>
      </c>
      <c r="C51" s="103">
        <v>94991</v>
      </c>
      <c r="D51" s="89" t="s">
        <v>141</v>
      </c>
      <c r="E51" s="86" t="s">
        <v>24</v>
      </c>
      <c r="F51" s="91">
        <f>'Memoriade calculo'!D53</f>
        <v>33.369999999999997</v>
      </c>
      <c r="G51" s="92">
        <f t="shared" ref="G51:G57" si="0">ROUND(I51*(1+$B$63),2)</f>
        <v>837.94</v>
      </c>
      <c r="H51" s="104">
        <f>ROUND(F51*G51,2)</f>
        <v>27962.06</v>
      </c>
      <c r="I51" s="4">
        <v>686.61</v>
      </c>
    </row>
    <row r="52" spans="1:87" ht="30" customHeight="1" x14ac:dyDescent="0.2">
      <c r="A52" s="86" t="s">
        <v>116</v>
      </c>
      <c r="B52" s="87" t="s">
        <v>102</v>
      </c>
      <c r="C52" s="103">
        <v>4721</v>
      </c>
      <c r="D52" s="89" t="s">
        <v>103</v>
      </c>
      <c r="E52" s="86" t="s">
        <v>24</v>
      </c>
      <c r="F52" s="91">
        <f>'Memoriade calculo'!D54</f>
        <v>14.3</v>
      </c>
      <c r="G52" s="92">
        <f t="shared" si="0"/>
        <v>85.2</v>
      </c>
      <c r="H52" s="104">
        <f>TRUNC(F52*G52,2)</f>
        <v>1218.3599999999999</v>
      </c>
      <c r="I52" s="184">
        <v>69.81</v>
      </c>
    </row>
    <row r="53" spans="1:87" ht="30" customHeight="1" x14ac:dyDescent="0.2">
      <c r="A53" s="86" t="s">
        <v>117</v>
      </c>
      <c r="B53" s="18" t="s">
        <v>14</v>
      </c>
      <c r="C53" s="61" t="s">
        <v>66</v>
      </c>
      <c r="D53" s="89" t="s">
        <v>174</v>
      </c>
      <c r="E53" s="12" t="s">
        <v>26</v>
      </c>
      <c r="F53" s="91">
        <f>'Memoriade calculo'!D55</f>
        <v>244.58</v>
      </c>
      <c r="G53" s="20">
        <f t="shared" si="0"/>
        <v>2.81</v>
      </c>
      <c r="H53" s="143">
        <f>TRUNC(F53*G53,2)</f>
        <v>687.26</v>
      </c>
      <c r="I53" s="62">
        <v>2.2999999999999998</v>
      </c>
    </row>
    <row r="54" spans="1:87" ht="33.75" customHeight="1" x14ac:dyDescent="0.2">
      <c r="A54" s="86" t="s">
        <v>118</v>
      </c>
      <c r="B54" s="94" t="s">
        <v>31</v>
      </c>
      <c r="C54" s="41">
        <v>2</v>
      </c>
      <c r="D54" s="76" t="s">
        <v>147</v>
      </c>
      <c r="E54" s="12" t="s">
        <v>52</v>
      </c>
      <c r="F54" s="91">
        <f>'Memoriade calculo'!D56</f>
        <v>3</v>
      </c>
      <c r="G54" s="20">
        <f t="shared" si="0"/>
        <v>658.67</v>
      </c>
      <c r="H54" s="75">
        <f>ROUND(F54*G54,2)</f>
        <v>1976.01</v>
      </c>
      <c r="I54" s="4">
        <v>539.72</v>
      </c>
    </row>
    <row r="55" spans="1:87" ht="30" customHeight="1" x14ac:dyDescent="0.2">
      <c r="A55" s="86" t="s">
        <v>119</v>
      </c>
      <c r="B55" s="94" t="s">
        <v>31</v>
      </c>
      <c r="C55" s="41">
        <v>1</v>
      </c>
      <c r="D55" s="4" t="s">
        <v>145</v>
      </c>
      <c r="E55" s="12" t="s">
        <v>16</v>
      </c>
      <c r="F55" s="91">
        <f>'Memoriade calculo'!D57</f>
        <v>16</v>
      </c>
      <c r="G55" s="20">
        <f t="shared" si="0"/>
        <v>114.21</v>
      </c>
      <c r="H55" s="75">
        <f>TRUNC(F55*G55,2)</f>
        <v>1827.36</v>
      </c>
      <c r="I55" s="4">
        <v>93.580000000000013</v>
      </c>
    </row>
    <row r="56" spans="1:87" ht="30" customHeight="1" x14ac:dyDescent="0.2">
      <c r="A56" s="86" t="s">
        <v>137</v>
      </c>
      <c r="B56" s="94" t="s">
        <v>31</v>
      </c>
      <c r="C56" s="41">
        <v>7</v>
      </c>
      <c r="D56" s="4" t="s">
        <v>146</v>
      </c>
      <c r="E56" s="77" t="s">
        <v>16</v>
      </c>
      <c r="F56" s="91">
        <f>'Memoriade calculo'!D58</f>
        <v>110.4</v>
      </c>
      <c r="G56" s="20">
        <f t="shared" si="0"/>
        <v>114.21</v>
      </c>
      <c r="H56" s="75">
        <f>ROUND(F56*G56,2)</f>
        <v>12608.78</v>
      </c>
      <c r="I56" s="4">
        <v>93.580000000000013</v>
      </c>
    </row>
    <row r="57" spans="1:87" ht="37.5" customHeight="1" x14ac:dyDescent="0.2">
      <c r="A57" s="86" t="s">
        <v>163</v>
      </c>
      <c r="B57" s="18" t="s">
        <v>14</v>
      </c>
      <c r="C57" s="103">
        <v>97084</v>
      </c>
      <c r="D57" s="22" t="s">
        <v>198</v>
      </c>
      <c r="E57" s="77" t="s">
        <v>16</v>
      </c>
      <c r="F57" s="91">
        <f>'Memoriade calculo'!D59</f>
        <v>476.78</v>
      </c>
      <c r="G57" s="92">
        <f t="shared" si="0"/>
        <v>0.82</v>
      </c>
      <c r="H57" s="75">
        <f t="shared" ref="H57" si="1">ROUND(F57*G57,2)</f>
        <v>390.96</v>
      </c>
      <c r="I57" s="4">
        <v>0.67</v>
      </c>
    </row>
    <row r="58" spans="1:87" customFormat="1" ht="30" customHeight="1" thickBot="1" x14ac:dyDescent="0.25">
      <c r="A58" s="151"/>
      <c r="B58" s="43"/>
      <c r="C58" s="43"/>
      <c r="D58" s="202"/>
      <c r="E58" s="44"/>
      <c r="F58" s="44"/>
      <c r="G58" s="45" t="s">
        <v>53</v>
      </c>
      <c r="H58" s="146">
        <f>TRUNC(SUM(H8,H11,H16,H22,H27,H31,H41,H44,H50),2)</f>
        <v>384125.47</v>
      </c>
      <c r="I58" s="70"/>
    </row>
    <row r="59" spans="1:87" s="108" customFormat="1" ht="24.95" customHeight="1" thickBot="1" x14ac:dyDescent="0.25">
      <c r="A59" s="105" t="s">
        <v>113</v>
      </c>
      <c r="B59" s="105"/>
      <c r="C59" s="105"/>
      <c r="D59" s="203"/>
      <c r="E59" s="105"/>
      <c r="F59" s="105"/>
      <c r="G59" s="105"/>
      <c r="H59" s="106"/>
      <c r="I59" s="107"/>
      <c r="J59" s="3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G59" s="107"/>
      <c r="AH59" s="107"/>
      <c r="AI59" s="107"/>
      <c r="AJ59" s="107"/>
      <c r="AK59" s="107"/>
      <c r="AL59" s="107"/>
      <c r="AM59" s="107"/>
      <c r="AN59" s="107"/>
      <c r="AO59" s="107"/>
      <c r="AP59" s="107"/>
      <c r="AQ59" s="107"/>
      <c r="AR59" s="107"/>
      <c r="AS59" s="107"/>
      <c r="AT59" s="107"/>
      <c r="AU59" s="107"/>
      <c r="AV59" s="107"/>
      <c r="AW59" s="107"/>
      <c r="AX59" s="107"/>
      <c r="AY59" s="107"/>
      <c r="AZ59" s="107"/>
      <c r="BA59" s="107"/>
      <c r="BB59" s="107"/>
      <c r="BC59" s="107"/>
      <c r="BD59" s="107"/>
      <c r="BE59" s="107"/>
      <c r="BF59" s="107"/>
      <c r="BG59" s="107"/>
      <c r="BH59" s="107"/>
      <c r="BI59" s="107"/>
      <c r="BJ59" s="107"/>
      <c r="BK59" s="107"/>
      <c r="BL59" s="107"/>
      <c r="BM59" s="107"/>
      <c r="BN59" s="107"/>
      <c r="BO59" s="107"/>
      <c r="BP59" s="107"/>
      <c r="BQ59" s="107"/>
      <c r="BR59" s="107"/>
      <c r="BS59" s="107"/>
      <c r="BT59" s="107"/>
      <c r="BU59" s="107"/>
      <c r="BV59" s="107"/>
      <c r="BW59" s="107"/>
      <c r="BX59" s="107"/>
      <c r="BY59" s="107"/>
      <c r="BZ59" s="107"/>
      <c r="CA59" s="107"/>
      <c r="CB59" s="107"/>
      <c r="CC59" s="107"/>
      <c r="CD59" s="107"/>
      <c r="CE59" s="107"/>
      <c r="CF59" s="107"/>
      <c r="CG59" s="107"/>
      <c r="CH59" s="107"/>
      <c r="CI59" s="107"/>
    </row>
    <row r="60" spans="1:87" s="107" customFormat="1" ht="24.95" customHeight="1" x14ac:dyDescent="0.2">
      <c r="A60" s="109" t="s">
        <v>134</v>
      </c>
      <c r="B60" s="110"/>
      <c r="C60" s="111"/>
      <c r="D60" s="111"/>
      <c r="E60" s="3"/>
      <c r="F60" s="3"/>
      <c r="G60" s="48"/>
      <c r="H60" s="112"/>
      <c r="J60" s="3"/>
    </row>
    <row r="61" spans="1:87" s="107" customFormat="1" ht="24.95" customHeight="1" x14ac:dyDescent="0.2">
      <c r="A61" s="46" t="s">
        <v>111</v>
      </c>
      <c r="B61" s="113"/>
      <c r="C61" s="47"/>
      <c r="D61" s="47"/>
      <c r="E61" s="3"/>
      <c r="F61" s="3"/>
      <c r="G61" s="3"/>
      <c r="H61" s="3"/>
      <c r="I61" s="114"/>
      <c r="J61" s="3"/>
    </row>
    <row r="62" spans="1:87" ht="24.95" customHeight="1" x14ac:dyDescent="0.2">
      <c r="A62" s="8"/>
      <c r="B62" s="8"/>
      <c r="C62" s="8"/>
      <c r="D62" s="3"/>
      <c r="E62" s="3"/>
      <c r="F62" s="3"/>
      <c r="G62" s="3"/>
      <c r="H62" s="48"/>
      <c r="I62" s="48"/>
    </row>
    <row r="63" spans="1:87" ht="19.5" hidden="1" customHeight="1" x14ac:dyDescent="0.2">
      <c r="A63" s="8" t="s">
        <v>54</v>
      </c>
      <c r="B63" s="74">
        <v>0.22040000000000001</v>
      </c>
      <c r="C63" s="8"/>
      <c r="D63" s="3"/>
      <c r="E63" s="3"/>
      <c r="F63" s="3"/>
      <c r="G63" s="3"/>
      <c r="H63" s="3"/>
      <c r="I63" s="3"/>
    </row>
    <row r="64" spans="1:87" ht="24.95" customHeight="1" x14ac:dyDescent="0.2">
      <c r="A64" s="8"/>
      <c r="B64" s="8"/>
      <c r="C64" s="8"/>
      <c r="D64" s="3"/>
      <c r="E64" s="3"/>
      <c r="F64" s="3"/>
      <c r="G64" s="3"/>
      <c r="H64" s="51"/>
      <c r="I64" s="3"/>
    </row>
    <row r="65" spans="1:9" ht="24.95" customHeight="1" x14ac:dyDescent="0.2">
      <c r="A65" s="8"/>
      <c r="B65" s="8"/>
      <c r="C65" s="8"/>
      <c r="D65" s="3"/>
      <c r="E65" s="3"/>
      <c r="F65" s="3"/>
      <c r="G65" s="3"/>
      <c r="H65" s="3"/>
      <c r="I65" s="3"/>
    </row>
    <row r="66" spans="1:9" ht="24.95" customHeight="1" x14ac:dyDescent="0.2">
      <c r="A66" s="8"/>
      <c r="B66" s="8"/>
      <c r="C66" s="8"/>
      <c r="D66" s="3"/>
      <c r="E66" s="3"/>
      <c r="F66" s="3"/>
      <c r="G66" s="3"/>
      <c r="H66" s="3"/>
      <c r="I66" s="3"/>
    </row>
    <row r="67" spans="1:9" ht="24.95" customHeight="1" x14ac:dyDescent="0.2">
      <c r="A67" s="8"/>
      <c r="B67" s="8"/>
      <c r="C67" s="8"/>
      <c r="D67" s="3"/>
      <c r="E67" s="3"/>
      <c r="F67" s="3"/>
      <c r="G67" s="3"/>
      <c r="H67" s="3"/>
      <c r="I67" s="3"/>
    </row>
    <row r="68" spans="1:9" ht="24.95" customHeight="1" x14ac:dyDescent="0.2">
      <c r="A68" s="8"/>
      <c r="B68" s="8"/>
      <c r="C68" s="8"/>
      <c r="D68" s="3"/>
      <c r="E68" s="3"/>
      <c r="F68" s="3"/>
      <c r="G68" s="3"/>
      <c r="H68" s="3"/>
      <c r="I68" s="3"/>
    </row>
    <row r="69" spans="1:9" ht="24.95" customHeight="1" x14ac:dyDescent="0.2">
      <c r="A69" s="8"/>
      <c r="B69" s="8"/>
      <c r="C69" s="8"/>
      <c r="D69" s="3"/>
      <c r="E69" s="3"/>
      <c r="F69" s="3"/>
      <c r="G69" s="3"/>
      <c r="H69" s="3"/>
      <c r="I69" s="3"/>
    </row>
    <row r="70" spans="1:9" ht="24.95" customHeight="1" x14ac:dyDescent="0.2">
      <c r="A70" s="8"/>
      <c r="B70" s="8"/>
      <c r="C70" s="8"/>
      <c r="D70" s="3"/>
      <c r="E70" s="3"/>
      <c r="F70" s="3"/>
      <c r="G70" s="3"/>
      <c r="H70" s="3"/>
      <c r="I70" s="3"/>
    </row>
    <row r="71" spans="1:9" ht="20.100000000000001" customHeight="1" x14ac:dyDescent="0.2">
      <c r="A71" s="8"/>
      <c r="B71" s="8"/>
      <c r="C71" s="8"/>
      <c r="D71" s="3"/>
      <c r="E71" s="3"/>
      <c r="F71" s="3"/>
      <c r="G71" s="3"/>
      <c r="H71" s="3"/>
      <c r="I71" s="3"/>
    </row>
    <row r="72" spans="1:9" ht="20.100000000000001" customHeight="1" x14ac:dyDescent="0.2">
      <c r="A72" s="8"/>
      <c r="B72" s="8"/>
      <c r="C72" s="8"/>
      <c r="D72" s="3"/>
      <c r="E72" s="3"/>
      <c r="F72" s="3"/>
      <c r="G72" s="3"/>
      <c r="H72" s="3"/>
      <c r="I72" s="3"/>
    </row>
    <row r="73" spans="1:9" ht="20.100000000000001" customHeight="1" x14ac:dyDescent="0.2">
      <c r="A73" s="8"/>
      <c r="B73" s="8"/>
      <c r="C73" s="8"/>
      <c r="D73" s="3"/>
      <c r="E73" s="3"/>
      <c r="F73" s="3"/>
      <c r="G73" s="3"/>
      <c r="H73" s="3"/>
      <c r="I73" s="3"/>
    </row>
    <row r="74" spans="1:9" ht="20.100000000000001" customHeight="1" x14ac:dyDescent="0.2">
      <c r="A74" s="8"/>
      <c r="B74" s="8"/>
      <c r="C74" s="8"/>
      <c r="D74" s="3"/>
      <c r="E74" s="3"/>
      <c r="F74" s="3"/>
      <c r="G74" s="3"/>
      <c r="H74" s="3"/>
      <c r="I74" s="3"/>
    </row>
    <row r="75" spans="1:9" ht="15" x14ac:dyDescent="0.2">
      <c r="A75" s="8"/>
      <c r="B75" s="8"/>
      <c r="C75" s="8"/>
      <c r="D75" s="3"/>
      <c r="E75" s="3"/>
      <c r="F75" s="3"/>
      <c r="G75" s="3"/>
      <c r="H75" s="3"/>
      <c r="I75" s="3"/>
    </row>
    <row r="76" spans="1:9" ht="15" x14ac:dyDescent="0.2">
      <c r="A76" s="8"/>
      <c r="B76" s="8"/>
      <c r="C76" s="8"/>
      <c r="D76" s="3"/>
      <c r="E76" s="3"/>
      <c r="F76" s="3"/>
      <c r="G76" s="3"/>
      <c r="H76" s="3"/>
      <c r="I76" s="3"/>
    </row>
    <row r="77" spans="1:9" ht="15" x14ac:dyDescent="0.2">
      <c r="A77" s="8"/>
      <c r="B77" s="8"/>
      <c r="C77" s="8"/>
      <c r="D77" s="3"/>
      <c r="E77" s="3"/>
      <c r="F77" s="3"/>
      <c r="G77" s="3"/>
      <c r="H77" s="3"/>
      <c r="I77" s="3"/>
    </row>
    <row r="78" spans="1:9" ht="15" x14ac:dyDescent="0.2">
      <c r="A78" s="8"/>
      <c r="B78" s="8"/>
      <c r="C78" s="8"/>
      <c r="D78" s="3"/>
      <c r="E78" s="3"/>
      <c r="F78" s="3"/>
      <c r="G78" s="3"/>
      <c r="H78" s="3"/>
      <c r="I78" s="3"/>
    </row>
    <row r="79" spans="1:9" ht="15" x14ac:dyDescent="0.2">
      <c r="A79" s="8"/>
      <c r="B79" s="8"/>
      <c r="C79" s="8"/>
      <c r="D79" s="3"/>
      <c r="E79" s="3"/>
      <c r="F79" s="3"/>
      <c r="G79" s="3"/>
      <c r="H79" s="3"/>
      <c r="I79" s="3"/>
    </row>
    <row r="80" spans="1:9" ht="15" x14ac:dyDescent="0.2">
      <c r="A80" s="8"/>
      <c r="B80" s="8"/>
      <c r="C80" s="8"/>
      <c r="D80" s="3"/>
      <c r="E80" s="3"/>
      <c r="F80" s="3"/>
      <c r="G80" s="3"/>
      <c r="H80" s="3"/>
      <c r="I80" s="3"/>
    </row>
    <row r="81" spans="1:9" ht="15" x14ac:dyDescent="0.2">
      <c r="A81" s="8"/>
      <c r="B81" s="8"/>
      <c r="C81" s="8"/>
      <c r="D81" s="3"/>
      <c r="E81" s="3"/>
      <c r="F81" s="3"/>
      <c r="G81" s="3"/>
      <c r="H81" s="3"/>
      <c r="I81" s="3"/>
    </row>
    <row r="82" spans="1:9" ht="15" x14ac:dyDescent="0.2">
      <c r="A82" s="8"/>
      <c r="B82" s="8"/>
      <c r="C82" s="8"/>
      <c r="D82" s="3"/>
      <c r="E82" s="3"/>
      <c r="F82" s="3"/>
      <c r="G82" s="3"/>
      <c r="H82" s="3"/>
      <c r="I82" s="3"/>
    </row>
    <row r="83" spans="1:9" ht="15" x14ac:dyDescent="0.2">
      <c r="A83" s="8"/>
      <c r="B83" s="8"/>
      <c r="C83" s="8"/>
      <c r="D83" s="3"/>
      <c r="E83" s="3"/>
      <c r="F83" s="3"/>
      <c r="G83" s="3"/>
      <c r="H83" s="3"/>
      <c r="I83" s="3"/>
    </row>
    <row r="84" spans="1:9" ht="15" x14ac:dyDescent="0.2">
      <c r="A84" s="8"/>
      <c r="B84" s="8"/>
      <c r="C84" s="8"/>
      <c r="D84" s="3"/>
      <c r="E84" s="3"/>
      <c r="F84" s="3"/>
      <c r="G84" s="3"/>
      <c r="H84" s="3"/>
      <c r="I84" s="3"/>
    </row>
    <row r="85" spans="1:9" ht="15" x14ac:dyDescent="0.2">
      <c r="A85" s="8"/>
      <c r="B85" s="8"/>
      <c r="C85" s="8"/>
      <c r="D85" s="3"/>
      <c r="E85" s="3"/>
      <c r="F85" s="3"/>
      <c r="G85" s="3"/>
      <c r="H85" s="3"/>
      <c r="I85" s="3"/>
    </row>
    <row r="86" spans="1:9" ht="15" x14ac:dyDescent="0.2">
      <c r="A86" s="8"/>
      <c r="B86" s="8"/>
      <c r="C86" s="8"/>
      <c r="D86" s="3"/>
      <c r="E86" s="3"/>
      <c r="F86" s="3"/>
      <c r="G86" s="3"/>
      <c r="H86" s="3"/>
      <c r="I86" s="3"/>
    </row>
    <row r="87" spans="1:9" ht="15" x14ac:dyDescent="0.2">
      <c r="A87" s="8"/>
      <c r="B87" s="8"/>
      <c r="C87" s="8"/>
      <c r="D87" s="3"/>
      <c r="E87" s="3"/>
      <c r="F87" s="3"/>
      <c r="G87" s="3"/>
      <c r="H87" s="3"/>
      <c r="I87" s="3"/>
    </row>
    <row r="88" spans="1:9" ht="15" x14ac:dyDescent="0.2">
      <c r="A88" s="8"/>
      <c r="B88" s="8"/>
      <c r="C88" s="8"/>
      <c r="D88" s="3"/>
      <c r="E88" s="3"/>
      <c r="F88" s="3"/>
      <c r="G88" s="3"/>
      <c r="H88" s="3"/>
      <c r="I88" s="3"/>
    </row>
    <row r="89" spans="1:9" ht="15" x14ac:dyDescent="0.2">
      <c r="A89" s="8"/>
      <c r="B89" s="8"/>
      <c r="C89" s="8"/>
      <c r="D89" s="3"/>
      <c r="E89" s="3"/>
      <c r="F89" s="3"/>
      <c r="G89" s="3"/>
      <c r="H89" s="3"/>
      <c r="I89" s="3"/>
    </row>
    <row r="90" spans="1:9" ht="15" x14ac:dyDescent="0.2">
      <c r="A90" s="8"/>
      <c r="B90" s="8"/>
      <c r="C90" s="8"/>
      <c r="D90" s="3"/>
      <c r="E90" s="3"/>
      <c r="F90" s="3"/>
      <c r="G90" s="3"/>
      <c r="H90" s="3"/>
      <c r="I90" s="3"/>
    </row>
    <row r="91" spans="1:9" ht="15" x14ac:dyDescent="0.2">
      <c r="A91" s="8"/>
      <c r="B91" s="8"/>
      <c r="C91" s="8"/>
      <c r="D91" s="3"/>
      <c r="E91" s="3"/>
      <c r="F91" s="3"/>
      <c r="G91" s="3"/>
      <c r="H91" s="3"/>
      <c r="I91" s="3"/>
    </row>
    <row r="92" spans="1:9" ht="15" x14ac:dyDescent="0.2">
      <c r="A92" s="8"/>
      <c r="B92" s="8"/>
      <c r="C92" s="8"/>
      <c r="D92" s="3"/>
      <c r="E92" s="3"/>
      <c r="F92" s="3"/>
      <c r="G92" s="3"/>
      <c r="H92" s="3"/>
      <c r="I92" s="3"/>
    </row>
    <row r="93" spans="1:9" ht="15" x14ac:dyDescent="0.2">
      <c r="A93" s="8"/>
      <c r="B93" s="8"/>
      <c r="C93" s="8"/>
      <c r="D93" s="3"/>
      <c r="E93" s="3"/>
      <c r="F93" s="3"/>
      <c r="G93" s="3"/>
      <c r="H93" s="3"/>
      <c r="I93" s="3"/>
    </row>
    <row r="94" spans="1:9" ht="15" x14ac:dyDescent="0.2">
      <c r="A94" s="8"/>
      <c r="B94" s="8"/>
      <c r="C94" s="8"/>
      <c r="D94" s="3"/>
      <c r="E94" s="3"/>
      <c r="F94" s="3"/>
      <c r="G94" s="3"/>
      <c r="H94" s="3"/>
      <c r="I94" s="3"/>
    </row>
    <row r="95" spans="1:9" ht="15" x14ac:dyDescent="0.2">
      <c r="A95" s="8"/>
      <c r="B95" s="8"/>
      <c r="C95" s="8"/>
      <c r="D95" s="3"/>
      <c r="E95" s="3"/>
      <c r="F95" s="3"/>
      <c r="G95" s="3"/>
      <c r="H95" s="3"/>
      <c r="I95" s="3"/>
    </row>
    <row r="96" spans="1:9" ht="15" x14ac:dyDescent="0.2">
      <c r="A96" s="8"/>
      <c r="B96" s="8"/>
      <c r="C96" s="8"/>
      <c r="D96" s="3"/>
      <c r="E96" s="3"/>
      <c r="F96" s="3"/>
      <c r="G96" s="3"/>
      <c r="H96" s="3"/>
      <c r="I96" s="3"/>
    </row>
    <row r="97" spans="1:9" ht="15" x14ac:dyDescent="0.2">
      <c r="A97" s="8"/>
      <c r="B97" s="8"/>
      <c r="C97" s="8"/>
      <c r="D97" s="3"/>
      <c r="E97" s="3"/>
      <c r="F97" s="3"/>
      <c r="G97" s="3"/>
      <c r="H97" s="3"/>
      <c r="I97" s="3"/>
    </row>
    <row r="98" spans="1:9" ht="15" x14ac:dyDescent="0.2">
      <c r="A98" s="8"/>
      <c r="B98" s="8"/>
      <c r="C98" s="8"/>
      <c r="D98" s="3"/>
      <c r="E98" s="3"/>
      <c r="F98" s="3"/>
      <c r="G98" s="3"/>
      <c r="H98" s="3"/>
      <c r="I98" s="3"/>
    </row>
    <row r="99" spans="1:9" ht="15" x14ac:dyDescent="0.2">
      <c r="A99" s="8"/>
      <c r="B99" s="8"/>
      <c r="C99" s="8"/>
      <c r="D99" s="3"/>
      <c r="E99" s="3"/>
      <c r="F99" s="3"/>
      <c r="G99" s="3"/>
      <c r="H99" s="3"/>
      <c r="I99" s="3"/>
    </row>
    <row r="100" spans="1:9" ht="15" x14ac:dyDescent="0.2">
      <c r="A100" s="8"/>
      <c r="B100" s="8"/>
      <c r="C100" s="8"/>
      <c r="D100" s="3"/>
      <c r="E100" s="3"/>
      <c r="F100" s="3"/>
      <c r="G100" s="3"/>
      <c r="H100" s="3"/>
      <c r="I100" s="3"/>
    </row>
    <row r="101" spans="1:9" ht="15" x14ac:dyDescent="0.2">
      <c r="A101" s="8"/>
      <c r="B101" s="8"/>
      <c r="C101" s="8"/>
      <c r="D101" s="3"/>
      <c r="E101" s="3"/>
      <c r="F101" s="3"/>
      <c r="G101" s="3"/>
      <c r="H101" s="3"/>
      <c r="I101" s="3"/>
    </row>
    <row r="102" spans="1:9" ht="15" x14ac:dyDescent="0.2">
      <c r="A102" s="8"/>
      <c r="B102" s="8"/>
      <c r="C102" s="8"/>
      <c r="D102" s="3"/>
      <c r="E102" s="3"/>
      <c r="F102" s="3"/>
      <c r="G102" s="3"/>
      <c r="H102" s="3"/>
      <c r="I102" s="3"/>
    </row>
    <row r="103" spans="1:9" ht="15" x14ac:dyDescent="0.2">
      <c r="A103" s="8"/>
      <c r="B103" s="8"/>
      <c r="C103" s="8"/>
      <c r="D103" s="3"/>
      <c r="E103" s="3"/>
      <c r="F103" s="3"/>
      <c r="G103" s="3"/>
      <c r="H103" s="3"/>
      <c r="I103" s="3"/>
    </row>
    <row r="104" spans="1:9" ht="15" x14ac:dyDescent="0.2">
      <c r="A104" s="8"/>
      <c r="B104" s="8"/>
      <c r="C104" s="8"/>
      <c r="D104" s="3"/>
      <c r="E104" s="3"/>
      <c r="F104" s="3"/>
      <c r="G104" s="3"/>
      <c r="H104" s="3"/>
      <c r="I104" s="3"/>
    </row>
    <row r="105" spans="1:9" ht="15" x14ac:dyDescent="0.2">
      <c r="A105" s="8"/>
      <c r="B105" s="8"/>
      <c r="C105" s="8"/>
      <c r="D105" s="3"/>
      <c r="E105" s="3"/>
      <c r="F105" s="3"/>
      <c r="G105" s="3"/>
      <c r="H105" s="3"/>
      <c r="I105" s="3"/>
    </row>
    <row r="106" spans="1:9" ht="15" x14ac:dyDescent="0.2">
      <c r="A106" s="8"/>
      <c r="B106" s="8"/>
      <c r="C106" s="8"/>
      <c r="D106" s="3"/>
      <c r="E106" s="3"/>
      <c r="F106" s="3"/>
      <c r="G106" s="3"/>
      <c r="H106" s="3"/>
      <c r="I106" s="3"/>
    </row>
    <row r="107" spans="1:9" ht="15" x14ac:dyDescent="0.2">
      <c r="A107" s="8"/>
      <c r="B107" s="8"/>
      <c r="C107" s="8"/>
      <c r="D107" s="3"/>
      <c r="E107" s="3"/>
      <c r="F107" s="3"/>
      <c r="G107" s="3"/>
      <c r="H107" s="3"/>
      <c r="I107" s="3"/>
    </row>
    <row r="108" spans="1:9" ht="15" x14ac:dyDescent="0.2">
      <c r="A108" s="8"/>
      <c r="B108" s="8"/>
      <c r="C108" s="8"/>
      <c r="D108" s="3"/>
      <c r="E108" s="3"/>
      <c r="F108" s="3"/>
      <c r="G108" s="3"/>
      <c r="H108" s="3"/>
      <c r="I108" s="3"/>
    </row>
    <row r="109" spans="1:9" ht="15" x14ac:dyDescent="0.2">
      <c r="A109" s="8"/>
      <c r="B109" s="8"/>
      <c r="C109" s="8"/>
      <c r="D109" s="3"/>
      <c r="E109" s="3"/>
      <c r="F109" s="3"/>
      <c r="G109" s="3"/>
      <c r="H109" s="3"/>
      <c r="I109" s="3"/>
    </row>
    <row r="110" spans="1:9" ht="15" x14ac:dyDescent="0.2">
      <c r="A110" s="8"/>
      <c r="B110" s="8"/>
      <c r="C110" s="8"/>
      <c r="D110" s="3"/>
      <c r="E110" s="3"/>
      <c r="F110" s="3"/>
      <c r="G110" s="3"/>
      <c r="H110" s="3"/>
      <c r="I110" s="3"/>
    </row>
    <row r="111" spans="1:9" ht="15" x14ac:dyDescent="0.2">
      <c r="A111" s="8"/>
      <c r="B111" s="8"/>
      <c r="C111" s="8"/>
      <c r="D111" s="3"/>
      <c r="E111" s="3"/>
      <c r="F111" s="3"/>
      <c r="G111" s="3"/>
      <c r="H111" s="3"/>
      <c r="I111" s="3"/>
    </row>
    <row r="112" spans="1:9" ht="15" x14ac:dyDescent="0.2">
      <c r="A112" s="8"/>
      <c r="B112" s="8"/>
      <c r="C112" s="8"/>
      <c r="D112" s="3"/>
      <c r="E112" s="3"/>
      <c r="F112" s="3"/>
      <c r="G112" s="3"/>
      <c r="H112" s="3"/>
      <c r="I112" s="3"/>
    </row>
    <row r="113" spans="1:9" ht="15" x14ac:dyDescent="0.2">
      <c r="A113" s="8"/>
      <c r="B113" s="8"/>
      <c r="C113" s="8"/>
      <c r="D113" s="3"/>
      <c r="E113" s="3"/>
      <c r="F113" s="3"/>
      <c r="G113" s="3"/>
      <c r="H113" s="3"/>
      <c r="I113" s="3"/>
    </row>
    <row r="114" spans="1:9" ht="15" x14ac:dyDescent="0.2">
      <c r="A114" s="8"/>
      <c r="B114" s="8"/>
      <c r="C114" s="8"/>
      <c r="D114" s="3"/>
      <c r="E114" s="3"/>
      <c r="F114" s="3"/>
      <c r="G114" s="3"/>
      <c r="H114" s="3"/>
      <c r="I114" s="3"/>
    </row>
    <row r="115" spans="1:9" ht="15" x14ac:dyDescent="0.2">
      <c r="A115" s="8"/>
      <c r="B115" s="8"/>
      <c r="C115" s="8"/>
      <c r="D115" s="3"/>
      <c r="E115" s="3"/>
      <c r="F115" s="3"/>
      <c r="G115" s="3"/>
      <c r="H115" s="3"/>
      <c r="I115" s="3"/>
    </row>
    <row r="116" spans="1:9" ht="15" x14ac:dyDescent="0.2">
      <c r="A116" s="8"/>
      <c r="B116" s="8"/>
      <c r="C116" s="8"/>
      <c r="D116" s="3"/>
      <c r="E116" s="3"/>
      <c r="F116" s="3"/>
      <c r="G116" s="3"/>
      <c r="H116" s="3"/>
      <c r="I116" s="3"/>
    </row>
    <row r="117" spans="1:9" ht="15" x14ac:dyDescent="0.2">
      <c r="A117" s="8"/>
      <c r="B117" s="8"/>
      <c r="C117" s="8"/>
      <c r="D117" s="3"/>
      <c r="E117" s="3"/>
      <c r="F117" s="3"/>
      <c r="G117" s="3"/>
      <c r="H117" s="3"/>
      <c r="I117" s="3"/>
    </row>
    <row r="118" spans="1:9" ht="15" x14ac:dyDescent="0.2">
      <c r="A118" s="8"/>
      <c r="B118" s="8"/>
      <c r="C118" s="8"/>
      <c r="D118" s="3"/>
      <c r="E118" s="3"/>
      <c r="F118" s="3"/>
      <c r="G118" s="3"/>
      <c r="H118" s="3"/>
      <c r="I118" s="3"/>
    </row>
    <row r="119" spans="1:9" ht="15" x14ac:dyDescent="0.2">
      <c r="A119" s="8"/>
      <c r="B119" s="8"/>
      <c r="C119" s="8"/>
      <c r="D119" s="3"/>
      <c r="E119" s="3"/>
      <c r="F119" s="3"/>
      <c r="G119" s="3"/>
      <c r="H119" s="3"/>
      <c r="I119" s="3"/>
    </row>
    <row r="120" spans="1:9" ht="15" x14ac:dyDescent="0.2">
      <c r="A120" s="8"/>
      <c r="B120" s="8"/>
      <c r="C120" s="8"/>
      <c r="D120" s="3"/>
      <c r="E120" s="3"/>
      <c r="F120" s="3"/>
      <c r="G120" s="3"/>
      <c r="H120" s="3"/>
      <c r="I120" s="3"/>
    </row>
    <row r="121" spans="1:9" ht="15" x14ac:dyDescent="0.2">
      <c r="A121" s="8"/>
      <c r="B121" s="8"/>
      <c r="C121" s="8"/>
      <c r="D121" s="3"/>
      <c r="E121" s="3"/>
      <c r="F121" s="3"/>
      <c r="G121" s="3"/>
      <c r="H121" s="3"/>
      <c r="I121" s="3"/>
    </row>
    <row r="122" spans="1:9" ht="15" x14ac:dyDescent="0.2">
      <c r="A122" s="8"/>
      <c r="B122" s="8"/>
      <c r="C122" s="8"/>
      <c r="D122" s="3"/>
      <c r="E122" s="3"/>
      <c r="F122" s="3"/>
      <c r="G122" s="3"/>
      <c r="H122" s="3"/>
      <c r="I122" s="3"/>
    </row>
    <row r="123" spans="1:9" ht="15" x14ac:dyDescent="0.2">
      <c r="A123" s="8"/>
      <c r="B123" s="8"/>
      <c r="C123" s="8"/>
      <c r="D123" s="3"/>
      <c r="E123" s="3"/>
      <c r="F123" s="3"/>
      <c r="G123" s="3"/>
      <c r="H123" s="3"/>
      <c r="I123" s="3"/>
    </row>
    <row r="124" spans="1:9" ht="15" x14ac:dyDescent="0.2">
      <c r="A124" s="8"/>
      <c r="B124" s="8"/>
      <c r="C124" s="8"/>
      <c r="D124" s="3"/>
      <c r="E124" s="3"/>
      <c r="F124" s="3"/>
      <c r="G124" s="3"/>
      <c r="H124" s="3"/>
      <c r="I124" s="3"/>
    </row>
    <row r="125" spans="1:9" ht="15" x14ac:dyDescent="0.2">
      <c r="A125" s="8"/>
      <c r="B125" s="8"/>
      <c r="C125" s="8"/>
      <c r="D125" s="3"/>
      <c r="E125" s="3"/>
      <c r="F125" s="3"/>
      <c r="G125" s="3"/>
      <c r="H125" s="3"/>
      <c r="I125" s="3"/>
    </row>
    <row r="126" spans="1:9" ht="15" x14ac:dyDescent="0.2">
      <c r="A126" s="8"/>
      <c r="B126" s="8"/>
      <c r="C126" s="8"/>
      <c r="D126" s="3"/>
      <c r="E126" s="3"/>
      <c r="F126" s="3"/>
      <c r="G126" s="3"/>
      <c r="H126" s="3"/>
      <c r="I126" s="3"/>
    </row>
    <row r="127" spans="1:9" ht="15" x14ac:dyDescent="0.2">
      <c r="A127" s="8"/>
      <c r="B127" s="8"/>
      <c r="C127" s="8"/>
      <c r="D127" s="3"/>
      <c r="E127" s="3"/>
      <c r="F127" s="3"/>
      <c r="G127" s="3"/>
      <c r="H127" s="3"/>
      <c r="I127" s="3"/>
    </row>
    <row r="128" spans="1:9" ht="15" x14ac:dyDescent="0.2">
      <c r="A128" s="8"/>
      <c r="B128" s="8"/>
      <c r="C128" s="8"/>
      <c r="D128" s="3"/>
      <c r="E128" s="3"/>
      <c r="F128" s="3"/>
      <c r="G128" s="3"/>
      <c r="H128" s="3"/>
      <c r="I128" s="3"/>
    </row>
    <row r="129" spans="1:9" ht="15" x14ac:dyDescent="0.2">
      <c r="A129" s="8"/>
      <c r="B129" s="8"/>
      <c r="C129" s="8"/>
      <c r="D129" s="3"/>
      <c r="E129" s="3"/>
      <c r="F129" s="3"/>
      <c r="G129" s="3"/>
      <c r="H129" s="3"/>
      <c r="I129" s="3"/>
    </row>
    <row r="130" spans="1:9" ht="15" x14ac:dyDescent="0.2">
      <c r="A130" s="8"/>
      <c r="B130" s="8"/>
      <c r="C130" s="8"/>
      <c r="D130" s="3"/>
      <c r="E130" s="3"/>
      <c r="F130" s="3"/>
      <c r="G130" s="3"/>
      <c r="H130" s="3"/>
      <c r="I130" s="3"/>
    </row>
    <row r="131" spans="1:9" ht="15" x14ac:dyDescent="0.2">
      <c r="A131" s="8"/>
      <c r="B131" s="8"/>
      <c r="C131" s="8"/>
      <c r="D131" s="3"/>
      <c r="E131" s="3"/>
      <c r="F131" s="3"/>
      <c r="G131" s="3"/>
      <c r="H131" s="3"/>
      <c r="I131" s="3"/>
    </row>
    <row r="132" spans="1:9" ht="15" x14ac:dyDescent="0.2">
      <c r="A132" s="8"/>
      <c r="B132" s="8"/>
      <c r="C132" s="8"/>
      <c r="D132" s="3"/>
      <c r="E132" s="3"/>
      <c r="F132" s="3"/>
      <c r="G132" s="3"/>
      <c r="H132" s="3"/>
      <c r="I132" s="3"/>
    </row>
  </sheetData>
  <phoneticPr fontId="11" type="noConversion"/>
  <printOptions horizontalCentered="1"/>
  <pageMargins left="0" right="0" top="0" bottom="0" header="0.35433070866141736" footer="0.19685039370078741"/>
  <pageSetup paperSize="9" scale="45" fitToWidth="0" orientation="portrait" r:id="rId1"/>
  <headerFooter alignWithMargins="0">
    <oddHeader xml:space="preserve">&amp;C&amp;14Prefeitura Municipal de Alvorada
&amp;10Secretaria Municipal de Obras e Viação
Diretoria Geral Técnica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0FEBE-0B15-42CF-8DD3-CBCAECBF187F}">
  <sheetPr>
    <pageSetUpPr fitToPage="1"/>
  </sheetPr>
  <dimension ref="A4:J51"/>
  <sheetViews>
    <sheetView topLeftCell="A16" workbookViewId="0">
      <selection activeCell="Q22" sqref="Q22"/>
    </sheetView>
  </sheetViews>
  <sheetFormatPr defaultRowHeight="12.75" x14ac:dyDescent="0.2"/>
  <cols>
    <col min="1" max="1" width="11.7109375" customWidth="1"/>
    <col min="2" max="2" width="24.28515625" customWidth="1"/>
    <col min="3" max="3" width="24.42578125" customWidth="1"/>
    <col min="4" max="4" width="19" customWidth="1"/>
    <col min="5" max="5" width="17.7109375" customWidth="1"/>
    <col min="6" max="6" width="23.85546875" customWidth="1"/>
    <col min="7" max="7" width="22.85546875" customWidth="1"/>
    <col min="8" max="8" width="18.140625" customWidth="1"/>
    <col min="9" max="9" width="26.85546875" customWidth="1"/>
  </cols>
  <sheetData>
    <row r="4" spans="1:10" x14ac:dyDescent="0.2">
      <c r="A4" s="205" t="s">
        <v>167</v>
      </c>
      <c r="B4" s="205"/>
      <c r="C4" s="205"/>
      <c r="D4" s="205"/>
      <c r="E4" s="205"/>
      <c r="F4" s="205"/>
      <c r="G4" s="205"/>
      <c r="H4" s="205"/>
      <c r="I4" s="205"/>
      <c r="J4" s="187"/>
    </row>
    <row r="5" spans="1:10" x14ac:dyDescent="0.2">
      <c r="A5" s="205"/>
      <c r="B5" s="205"/>
      <c r="C5" s="205"/>
      <c r="D5" s="205"/>
      <c r="E5" s="205"/>
      <c r="F5" s="205"/>
      <c r="G5" s="205"/>
      <c r="H5" s="205"/>
      <c r="I5" s="205"/>
      <c r="J5" s="188"/>
    </row>
    <row r="6" spans="1:10" x14ac:dyDescent="0.2">
      <c r="A6" s="206" t="s">
        <v>164</v>
      </c>
      <c r="B6" s="206"/>
      <c r="C6" s="206"/>
      <c r="D6" s="206"/>
      <c r="E6" s="206"/>
      <c r="F6" s="206"/>
      <c r="G6" s="206"/>
      <c r="H6" s="206"/>
      <c r="I6" s="206"/>
      <c r="J6" s="188"/>
    </row>
    <row r="7" spans="1:10" x14ac:dyDescent="0.2">
      <c r="A7" s="206"/>
      <c r="B7" s="206"/>
      <c r="C7" s="206"/>
      <c r="D7" s="206"/>
      <c r="E7" s="206"/>
      <c r="F7" s="206"/>
      <c r="G7" s="206"/>
      <c r="H7" s="206"/>
      <c r="I7" s="206"/>
      <c r="J7" s="188"/>
    </row>
    <row r="8" spans="1:10" ht="38.25" x14ac:dyDescent="0.2">
      <c r="A8" s="189" t="s">
        <v>166</v>
      </c>
      <c r="B8" s="190" t="s">
        <v>182</v>
      </c>
      <c r="C8" s="190" t="s">
        <v>183</v>
      </c>
      <c r="D8" s="191" t="s">
        <v>184</v>
      </c>
      <c r="E8" s="190" t="s">
        <v>185</v>
      </c>
      <c r="F8" s="190" t="s">
        <v>186</v>
      </c>
      <c r="G8" s="190" t="s">
        <v>187</v>
      </c>
      <c r="H8" s="191" t="s">
        <v>184</v>
      </c>
      <c r="I8" s="190" t="s">
        <v>188</v>
      </c>
      <c r="J8" s="188"/>
    </row>
    <row r="9" spans="1:10" x14ac:dyDescent="0.2">
      <c r="A9" s="192">
        <v>0</v>
      </c>
      <c r="B9" s="193">
        <v>3.06</v>
      </c>
      <c r="C9" s="193">
        <f>(B9+B10)/2</f>
        <v>2.91</v>
      </c>
      <c r="D9" s="194">
        <v>20</v>
      </c>
      <c r="E9" s="194">
        <f>ROUND(C9*D9,2)</f>
        <v>58.2</v>
      </c>
      <c r="F9" s="194">
        <f>0.6+0.55</f>
        <v>1.1499999999999999</v>
      </c>
      <c r="G9" s="193">
        <f>(F9+F10)/2</f>
        <v>0.95499999999999996</v>
      </c>
      <c r="H9" s="194">
        <v>20</v>
      </c>
      <c r="I9" s="194">
        <f>ROUND(G9*H9,2)</f>
        <v>19.100000000000001</v>
      </c>
      <c r="J9" s="188"/>
    </row>
    <row r="10" spans="1:10" x14ac:dyDescent="0.2">
      <c r="A10" s="192">
        <v>1</v>
      </c>
      <c r="B10" s="193">
        <v>2.76</v>
      </c>
      <c r="C10" s="193">
        <f>(B10+B11)/2</f>
        <v>2.76</v>
      </c>
      <c r="D10" s="194">
        <v>20</v>
      </c>
      <c r="E10" s="194">
        <f t="shared" ref="E10:E12" si="0">ROUND(C10*D10,2)</f>
        <v>55.2</v>
      </c>
      <c r="F10" s="194">
        <f>0.12+0.64</f>
        <v>0.76</v>
      </c>
      <c r="G10" s="193">
        <f>(F10+F11)/2</f>
        <v>0.76</v>
      </c>
      <c r="H10" s="194">
        <v>20</v>
      </c>
      <c r="I10" s="194">
        <f t="shared" ref="I10:I20" si="1">ROUND(G10*H10,2)</f>
        <v>15.2</v>
      </c>
      <c r="J10" s="188"/>
    </row>
    <row r="11" spans="1:10" x14ac:dyDescent="0.2">
      <c r="A11" s="192">
        <v>2</v>
      </c>
      <c r="B11" s="193">
        <v>2.76</v>
      </c>
      <c r="C11" s="193">
        <f>(B11+B12)/2</f>
        <v>2.6399999999999997</v>
      </c>
      <c r="D11" s="194">
        <v>10.7</v>
      </c>
      <c r="E11" s="194">
        <f t="shared" si="0"/>
        <v>28.25</v>
      </c>
      <c r="F11" s="194">
        <f>0.12+0.64</f>
        <v>0.76</v>
      </c>
      <c r="G11" s="193">
        <f t="shared" ref="G11:G20" si="2">(F11+F12)/2</f>
        <v>0.67999999999999994</v>
      </c>
      <c r="H11" s="194">
        <v>10.7</v>
      </c>
      <c r="I11" s="194">
        <f t="shared" si="1"/>
        <v>7.28</v>
      </c>
      <c r="J11" s="188"/>
    </row>
    <row r="12" spans="1:10" x14ac:dyDescent="0.2">
      <c r="A12" s="192" t="s">
        <v>168</v>
      </c>
      <c r="B12" s="193">
        <v>2.52</v>
      </c>
      <c r="C12" s="193">
        <f>(B12+B13)/2</f>
        <v>1.26</v>
      </c>
      <c r="D12" s="194">
        <v>0</v>
      </c>
      <c r="E12" s="194">
        <f t="shared" si="0"/>
        <v>0</v>
      </c>
      <c r="F12" s="194">
        <v>0.6</v>
      </c>
      <c r="G12" s="193">
        <f t="shared" si="2"/>
        <v>0.3</v>
      </c>
      <c r="H12" s="194">
        <v>0</v>
      </c>
      <c r="I12" s="194">
        <f t="shared" si="1"/>
        <v>0</v>
      </c>
      <c r="J12" s="188"/>
    </row>
    <row r="13" spans="1:10" x14ac:dyDescent="0.2">
      <c r="A13" s="192"/>
      <c r="B13" s="193"/>
      <c r="C13" s="193"/>
      <c r="D13" s="194"/>
      <c r="E13" s="194"/>
      <c r="F13" s="194"/>
      <c r="G13" s="193"/>
      <c r="H13" s="194"/>
      <c r="I13" s="194">
        <f t="shared" si="1"/>
        <v>0</v>
      </c>
      <c r="J13" s="188"/>
    </row>
    <row r="14" spans="1:10" x14ac:dyDescent="0.2">
      <c r="A14" s="192" t="s">
        <v>169</v>
      </c>
      <c r="B14" s="193">
        <v>2.33</v>
      </c>
      <c r="C14" s="193">
        <f t="shared" ref="C14:C20" si="3">(B14+B15)/2</f>
        <v>2.395</v>
      </c>
      <c r="D14" s="194">
        <v>9.3000000000000007</v>
      </c>
      <c r="E14" s="194">
        <f t="shared" ref="E14:E20" si="4">ROUND(C14*D14,2)</f>
        <v>22.27</v>
      </c>
      <c r="F14" s="194">
        <v>0.6</v>
      </c>
      <c r="G14" s="193">
        <f t="shared" si="2"/>
        <v>0.76</v>
      </c>
      <c r="H14" s="194">
        <v>20</v>
      </c>
      <c r="I14" s="194">
        <f t="shared" si="1"/>
        <v>15.2</v>
      </c>
      <c r="J14" s="188"/>
    </row>
    <row r="15" spans="1:10" x14ac:dyDescent="0.2">
      <c r="A15" s="192">
        <v>3</v>
      </c>
      <c r="B15" s="193">
        <v>2.46</v>
      </c>
      <c r="C15" s="193">
        <f t="shared" si="3"/>
        <v>2.6</v>
      </c>
      <c r="D15" s="194">
        <v>20</v>
      </c>
      <c r="E15" s="194">
        <f t="shared" si="4"/>
        <v>52</v>
      </c>
      <c r="F15" s="194">
        <v>0.92</v>
      </c>
      <c r="G15" s="193">
        <f t="shared" si="2"/>
        <v>0.755</v>
      </c>
      <c r="H15" s="194">
        <v>20</v>
      </c>
      <c r="I15" s="194">
        <f t="shared" si="1"/>
        <v>15.1</v>
      </c>
      <c r="J15" s="188"/>
    </row>
    <row r="16" spans="1:10" x14ac:dyDescent="0.2">
      <c r="A16" s="192">
        <v>4</v>
      </c>
      <c r="B16" s="194">
        <v>2.74</v>
      </c>
      <c r="C16" s="193">
        <f t="shared" si="3"/>
        <v>2.9649999999999999</v>
      </c>
      <c r="D16" s="194">
        <v>20</v>
      </c>
      <c r="E16" s="194">
        <f t="shared" si="4"/>
        <v>59.3</v>
      </c>
      <c r="F16" s="194">
        <v>0.59</v>
      </c>
      <c r="G16" s="193">
        <f t="shared" si="2"/>
        <v>0.41499999999999998</v>
      </c>
      <c r="H16" s="194">
        <v>20</v>
      </c>
      <c r="I16" s="194">
        <f t="shared" si="1"/>
        <v>8.3000000000000007</v>
      </c>
      <c r="J16" s="188"/>
    </row>
    <row r="17" spans="1:10" x14ac:dyDescent="0.2">
      <c r="A17" s="192">
        <v>5</v>
      </c>
      <c r="B17" s="193">
        <v>3.19</v>
      </c>
      <c r="C17" s="193">
        <f>(B17+B18)/2</f>
        <v>3.0549999999999997</v>
      </c>
      <c r="D17" s="194">
        <v>20</v>
      </c>
      <c r="E17" s="194">
        <f t="shared" si="4"/>
        <v>61.1</v>
      </c>
      <c r="F17" s="194">
        <v>0.24</v>
      </c>
      <c r="G17" s="193">
        <f t="shared" si="2"/>
        <v>0.45500000000000002</v>
      </c>
      <c r="H17" s="194">
        <v>20</v>
      </c>
      <c r="I17" s="194">
        <f t="shared" si="1"/>
        <v>9.1</v>
      </c>
      <c r="J17" s="188"/>
    </row>
    <row r="18" spans="1:10" x14ac:dyDescent="0.2">
      <c r="A18" s="192">
        <v>6</v>
      </c>
      <c r="B18" s="193">
        <v>2.92</v>
      </c>
      <c r="C18" s="193">
        <f t="shared" si="3"/>
        <v>2.9299999999999997</v>
      </c>
      <c r="D18" s="194">
        <v>20</v>
      </c>
      <c r="E18" s="194">
        <f t="shared" si="4"/>
        <v>58.6</v>
      </c>
      <c r="F18" s="194">
        <v>0.67</v>
      </c>
      <c r="G18" s="193">
        <f t="shared" si="2"/>
        <v>0.58499999999999996</v>
      </c>
      <c r="H18" s="194">
        <v>20</v>
      </c>
      <c r="I18" s="194">
        <f t="shared" si="1"/>
        <v>11.7</v>
      </c>
      <c r="J18" s="188"/>
    </row>
    <row r="19" spans="1:10" x14ac:dyDescent="0.2">
      <c r="A19" s="192">
        <v>7</v>
      </c>
      <c r="B19" s="193">
        <v>2.94</v>
      </c>
      <c r="C19" s="193">
        <f t="shared" si="3"/>
        <v>2.6749999999999998</v>
      </c>
      <c r="D19" s="194">
        <v>15</v>
      </c>
      <c r="E19" s="194">
        <f t="shared" si="4"/>
        <v>40.130000000000003</v>
      </c>
      <c r="F19" s="194">
        <v>0.5</v>
      </c>
      <c r="G19" s="193">
        <f t="shared" si="2"/>
        <v>0.375</v>
      </c>
      <c r="H19" s="194">
        <v>20</v>
      </c>
      <c r="I19" s="194">
        <f t="shared" si="1"/>
        <v>7.5</v>
      </c>
      <c r="J19" s="188"/>
    </row>
    <row r="20" spans="1:10" x14ac:dyDescent="0.2">
      <c r="A20" s="192" t="s">
        <v>170</v>
      </c>
      <c r="B20" s="193">
        <v>2.41</v>
      </c>
      <c r="C20" s="193">
        <f t="shared" si="3"/>
        <v>1.2050000000000001</v>
      </c>
      <c r="D20" s="194">
        <v>0</v>
      </c>
      <c r="E20" s="194">
        <f t="shared" si="4"/>
        <v>0</v>
      </c>
      <c r="F20" s="194">
        <v>0.25</v>
      </c>
      <c r="G20" s="193">
        <f t="shared" si="2"/>
        <v>0.125</v>
      </c>
      <c r="H20" s="194">
        <v>0</v>
      </c>
      <c r="I20" s="194">
        <f t="shared" si="1"/>
        <v>0</v>
      </c>
      <c r="J20" s="188"/>
    </row>
    <row r="21" spans="1:10" x14ac:dyDescent="0.2">
      <c r="A21" s="196"/>
      <c r="B21" s="193"/>
      <c r="C21" s="193"/>
      <c r="D21" s="193"/>
      <c r="E21" s="193"/>
      <c r="F21" s="193"/>
      <c r="G21" s="193"/>
      <c r="H21" s="193"/>
      <c r="I21" s="193"/>
      <c r="J21" s="195"/>
    </row>
    <row r="22" spans="1:10" x14ac:dyDescent="0.2">
      <c r="A22" s="197" t="s">
        <v>189</v>
      </c>
      <c r="B22" s="197"/>
      <c r="C22" s="197"/>
      <c r="D22" s="197"/>
      <c r="E22" s="198">
        <f>SUM(E9:E20)</f>
        <v>435.05000000000007</v>
      </c>
      <c r="F22" s="197"/>
      <c r="G22" s="198"/>
      <c r="H22" s="198"/>
      <c r="I22" s="198">
        <f>SUM(I9:I20)</f>
        <v>108.47999999999999</v>
      </c>
      <c r="J22" s="188"/>
    </row>
    <row r="23" spans="1:10" x14ac:dyDescent="0.2">
      <c r="A23" s="197" t="s">
        <v>190</v>
      </c>
      <c r="B23" s="207">
        <f>E22+I22</f>
        <v>543.53000000000009</v>
      </c>
      <c r="C23" s="208"/>
      <c r="D23" s="208"/>
      <c r="E23" s="208"/>
      <c r="F23" s="208"/>
      <c r="G23" s="208"/>
      <c r="H23" s="208"/>
      <c r="I23" s="209"/>
      <c r="J23" s="188"/>
    </row>
    <row r="24" spans="1:10" x14ac:dyDescent="0.2">
      <c r="A24" s="210"/>
      <c r="B24" s="208"/>
      <c r="C24" s="208"/>
      <c r="D24" s="208"/>
      <c r="E24" s="208"/>
      <c r="F24" s="208"/>
      <c r="G24" s="208"/>
      <c r="H24" s="208"/>
      <c r="I24" s="209"/>
      <c r="J24" s="188"/>
    </row>
    <row r="25" spans="1:10" x14ac:dyDescent="0.2">
      <c r="A25" s="211" t="s">
        <v>165</v>
      </c>
      <c r="B25" s="208"/>
      <c r="C25" s="208"/>
      <c r="D25" s="208"/>
      <c r="E25" s="208"/>
      <c r="F25" s="208"/>
      <c r="G25" s="208"/>
      <c r="H25" s="208"/>
      <c r="I25" s="209"/>
      <c r="J25" s="188"/>
    </row>
    <row r="26" spans="1:10" ht="38.25" x14ac:dyDescent="0.2">
      <c r="A26" s="189" t="s">
        <v>166</v>
      </c>
      <c r="B26" s="190" t="s">
        <v>191</v>
      </c>
      <c r="C26" s="190" t="s">
        <v>192</v>
      </c>
      <c r="D26" s="191" t="s">
        <v>184</v>
      </c>
      <c r="E26" s="190" t="s">
        <v>193</v>
      </c>
      <c r="F26" s="190" t="s">
        <v>194</v>
      </c>
      <c r="G26" s="190" t="s">
        <v>195</v>
      </c>
      <c r="H26" s="191" t="s">
        <v>184</v>
      </c>
      <c r="I26" s="190" t="s">
        <v>196</v>
      </c>
      <c r="J26" s="188"/>
    </row>
    <row r="27" spans="1:10" x14ac:dyDescent="0.2">
      <c r="A27" s="192">
        <v>0</v>
      </c>
      <c r="B27" s="200">
        <v>0</v>
      </c>
      <c r="C27" s="200">
        <f>(B27+B28)/2</f>
        <v>0</v>
      </c>
      <c r="D27" s="194">
        <v>20</v>
      </c>
      <c r="E27" s="200">
        <f>ROUND(C27*D27,2)</f>
        <v>0</v>
      </c>
      <c r="F27" s="200">
        <f>D27*E27</f>
        <v>0</v>
      </c>
      <c r="G27" s="200">
        <f>(F27+F28)/2</f>
        <v>0</v>
      </c>
      <c r="H27" s="194">
        <v>20</v>
      </c>
      <c r="I27" s="200">
        <f>ROUND(G27*H27,2)</f>
        <v>0</v>
      </c>
      <c r="J27" s="188"/>
    </row>
    <row r="28" spans="1:10" x14ac:dyDescent="0.2">
      <c r="A28" s="192">
        <v>1</v>
      </c>
      <c r="B28" s="200">
        <v>0</v>
      </c>
      <c r="C28" s="200">
        <f>(B28+B29)/2</f>
        <v>0</v>
      </c>
      <c r="D28" s="194">
        <v>20</v>
      </c>
      <c r="E28" s="200">
        <f t="shared" ref="E28:E30" si="5">ROUND(C28*D28,2)</f>
        <v>0</v>
      </c>
      <c r="F28" s="200">
        <f t="shared" ref="F28:F29" si="6">D28*E28</f>
        <v>0</v>
      </c>
      <c r="G28" s="200">
        <f>(F28+F29)/2</f>
        <v>0</v>
      </c>
      <c r="H28" s="194">
        <v>20</v>
      </c>
      <c r="I28" s="200">
        <f t="shared" ref="I28:I30" si="7">ROUND(G28*H28,2)</f>
        <v>0</v>
      </c>
      <c r="J28" s="188"/>
    </row>
    <row r="29" spans="1:10" x14ac:dyDescent="0.2">
      <c r="A29" s="192">
        <v>2</v>
      </c>
      <c r="B29" s="200">
        <v>0</v>
      </c>
      <c r="C29" s="200">
        <f>(B29+B30)/2</f>
        <v>0</v>
      </c>
      <c r="D29" s="194">
        <v>10.7</v>
      </c>
      <c r="E29" s="200">
        <f t="shared" si="5"/>
        <v>0</v>
      </c>
      <c r="F29" s="200">
        <f t="shared" si="6"/>
        <v>0</v>
      </c>
      <c r="G29" s="200">
        <f>(F29+F30)/2</f>
        <v>0.08</v>
      </c>
      <c r="H29" s="194">
        <v>10.7</v>
      </c>
      <c r="I29" s="200">
        <f t="shared" si="7"/>
        <v>0.86</v>
      </c>
      <c r="J29" s="188"/>
    </row>
    <row r="30" spans="1:10" x14ac:dyDescent="0.2">
      <c r="A30" s="192" t="s">
        <v>168</v>
      </c>
      <c r="B30" s="200">
        <v>0</v>
      </c>
      <c r="C30" s="200">
        <f>(B30+B32)/2</f>
        <v>0</v>
      </c>
      <c r="D30" s="194">
        <v>0</v>
      </c>
      <c r="E30" s="200">
        <f t="shared" si="5"/>
        <v>0</v>
      </c>
      <c r="F30" s="192">
        <v>0.16</v>
      </c>
      <c r="G30" s="200">
        <f>(F30+F31)/2</f>
        <v>0.08</v>
      </c>
      <c r="H30" s="194">
        <v>0</v>
      </c>
      <c r="I30" s="200">
        <f t="shared" si="7"/>
        <v>0</v>
      </c>
      <c r="J30" s="188"/>
    </row>
    <row r="31" spans="1:10" x14ac:dyDescent="0.2">
      <c r="A31" s="192"/>
      <c r="B31" s="200"/>
      <c r="C31" s="200"/>
      <c r="D31" s="194"/>
      <c r="E31" s="200"/>
      <c r="F31" s="192"/>
      <c r="G31" s="200"/>
      <c r="H31" s="194"/>
      <c r="I31" s="200"/>
      <c r="J31" s="188"/>
    </row>
    <row r="32" spans="1:10" x14ac:dyDescent="0.2">
      <c r="A32" s="192" t="s">
        <v>169</v>
      </c>
      <c r="B32" s="200">
        <v>0</v>
      </c>
      <c r="C32" s="200">
        <f>(B32+B33)/2</f>
        <v>0</v>
      </c>
      <c r="D32" s="194">
        <v>9.3000000000000007</v>
      </c>
      <c r="E32" s="200">
        <f t="shared" ref="E32:E38" si="8">ROUND(C32*D32,2)</f>
        <v>0</v>
      </c>
      <c r="F32" s="192">
        <v>0.36</v>
      </c>
      <c r="G32" s="200">
        <f t="shared" ref="G32:G36" si="9">(F32+F33)/2</f>
        <v>0.22499999999999998</v>
      </c>
      <c r="H32" s="194">
        <v>9.3000000000000007</v>
      </c>
      <c r="I32" s="200">
        <f t="shared" ref="I32:I38" si="10">ROUND(G32*H32,2)</f>
        <v>2.09</v>
      </c>
      <c r="J32" s="188"/>
    </row>
    <row r="33" spans="1:10" x14ac:dyDescent="0.2">
      <c r="A33" s="192">
        <v>3</v>
      </c>
      <c r="B33" s="200">
        <v>0</v>
      </c>
      <c r="C33" s="200">
        <f>(B33+B34)/2</f>
        <v>0</v>
      </c>
      <c r="D33" s="194">
        <v>20</v>
      </c>
      <c r="E33" s="200">
        <f t="shared" si="8"/>
        <v>0</v>
      </c>
      <c r="F33" s="192">
        <v>0.09</v>
      </c>
      <c r="G33" s="200">
        <f t="shared" si="9"/>
        <v>4.4999999999999998E-2</v>
      </c>
      <c r="H33" s="194">
        <v>20</v>
      </c>
      <c r="I33" s="200">
        <f t="shared" si="10"/>
        <v>0.9</v>
      </c>
      <c r="J33" s="188"/>
    </row>
    <row r="34" spans="1:10" x14ac:dyDescent="0.2">
      <c r="A34" s="192">
        <v>4</v>
      </c>
      <c r="B34" s="200">
        <v>0</v>
      </c>
      <c r="C34" s="200">
        <f t="shared" ref="C34:C37" si="11">(B34+B35)/2</f>
        <v>0</v>
      </c>
      <c r="D34" s="194">
        <v>20</v>
      </c>
      <c r="E34" s="200">
        <f t="shared" si="8"/>
        <v>0</v>
      </c>
      <c r="F34" s="200">
        <v>0</v>
      </c>
      <c r="G34" s="200">
        <f t="shared" si="9"/>
        <v>0.04</v>
      </c>
      <c r="H34" s="194">
        <v>20</v>
      </c>
      <c r="I34" s="200">
        <f t="shared" si="10"/>
        <v>0.8</v>
      </c>
      <c r="J34" s="188"/>
    </row>
    <row r="35" spans="1:10" x14ac:dyDescent="0.2">
      <c r="A35" s="192">
        <v>5</v>
      </c>
      <c r="B35" s="200">
        <v>0</v>
      </c>
      <c r="C35" s="200">
        <f t="shared" si="11"/>
        <v>0</v>
      </c>
      <c r="D35" s="194">
        <v>20</v>
      </c>
      <c r="E35" s="200">
        <f t="shared" si="8"/>
        <v>0</v>
      </c>
      <c r="F35" s="192">
        <v>0.08</v>
      </c>
      <c r="G35" s="200">
        <f t="shared" si="9"/>
        <v>0.315</v>
      </c>
      <c r="H35" s="194">
        <v>20</v>
      </c>
      <c r="I35" s="200">
        <f t="shared" si="10"/>
        <v>6.3</v>
      </c>
      <c r="J35" s="188"/>
    </row>
    <row r="36" spans="1:10" x14ac:dyDescent="0.2">
      <c r="A36" s="192">
        <v>6</v>
      </c>
      <c r="B36" s="200">
        <v>0</v>
      </c>
      <c r="C36" s="200">
        <f t="shared" si="11"/>
        <v>0</v>
      </c>
      <c r="D36" s="194">
        <v>20</v>
      </c>
      <c r="E36" s="200">
        <f t="shared" si="8"/>
        <v>0</v>
      </c>
      <c r="F36" s="192">
        <v>0.55000000000000004</v>
      </c>
      <c r="G36" s="200">
        <f t="shared" si="9"/>
        <v>0.48</v>
      </c>
      <c r="H36" s="194">
        <v>20</v>
      </c>
      <c r="I36" s="200">
        <f t="shared" si="10"/>
        <v>9.6</v>
      </c>
      <c r="J36" s="188"/>
    </row>
    <row r="37" spans="1:10" x14ac:dyDescent="0.2">
      <c r="A37" s="192">
        <v>7</v>
      </c>
      <c r="B37" s="200">
        <v>0</v>
      </c>
      <c r="C37" s="200">
        <f t="shared" si="11"/>
        <v>0</v>
      </c>
      <c r="D37" s="194">
        <v>15</v>
      </c>
      <c r="E37" s="200">
        <f t="shared" si="8"/>
        <v>0</v>
      </c>
      <c r="F37" s="192">
        <v>0.41</v>
      </c>
      <c r="G37" s="200">
        <f>(F37+F38)/2</f>
        <v>0.46499999999999997</v>
      </c>
      <c r="H37" s="194">
        <v>15</v>
      </c>
      <c r="I37" s="200">
        <f t="shared" si="10"/>
        <v>6.98</v>
      </c>
      <c r="J37" s="188"/>
    </row>
    <row r="38" spans="1:10" x14ac:dyDescent="0.2">
      <c r="A38" s="192" t="s">
        <v>170</v>
      </c>
      <c r="B38" s="200">
        <v>0</v>
      </c>
      <c r="C38" s="200"/>
      <c r="D38" s="200">
        <v>0</v>
      </c>
      <c r="E38" s="200">
        <f t="shared" si="8"/>
        <v>0</v>
      </c>
      <c r="F38" s="192">
        <v>0.52</v>
      </c>
      <c r="G38" s="200">
        <f>(F38+F39)/2</f>
        <v>0.26</v>
      </c>
      <c r="H38" s="200">
        <v>0</v>
      </c>
      <c r="I38" s="200">
        <f t="shared" si="10"/>
        <v>0</v>
      </c>
      <c r="J38" s="188"/>
    </row>
    <row r="39" spans="1:10" x14ac:dyDescent="0.2">
      <c r="A39" s="199"/>
      <c r="B39" s="200"/>
      <c r="C39" s="200"/>
      <c r="D39" s="200"/>
      <c r="E39" s="200"/>
      <c r="F39" s="192"/>
      <c r="G39" s="200"/>
      <c r="H39" s="200"/>
      <c r="I39" s="192"/>
      <c r="J39" s="188"/>
    </row>
    <row r="40" spans="1:10" x14ac:dyDescent="0.2">
      <c r="A40" s="196"/>
      <c r="B40" s="193"/>
      <c r="C40" s="193"/>
      <c r="D40" s="193"/>
      <c r="E40" s="193"/>
      <c r="F40" s="193"/>
      <c r="G40" s="193"/>
      <c r="H40" s="193"/>
      <c r="I40" s="193"/>
      <c r="J40" s="188"/>
    </row>
    <row r="41" spans="1:10" x14ac:dyDescent="0.2">
      <c r="A41" s="197" t="s">
        <v>189</v>
      </c>
      <c r="B41" s="197"/>
      <c r="C41" s="197"/>
      <c r="D41" s="197"/>
      <c r="E41" s="198">
        <f>SUM(E27:E38)</f>
        <v>0</v>
      </c>
      <c r="F41" s="197"/>
      <c r="G41" s="197"/>
      <c r="H41" s="197"/>
      <c r="I41" s="198">
        <f>SUM(I27:I40)</f>
        <v>27.529999999999998</v>
      </c>
      <c r="J41" s="188"/>
    </row>
    <row r="42" spans="1:10" x14ac:dyDescent="0.2">
      <c r="A42" s="197" t="s">
        <v>190</v>
      </c>
      <c r="B42" s="210">
        <f>E41+I41</f>
        <v>27.529999999999998</v>
      </c>
      <c r="C42" s="208"/>
      <c r="D42" s="208"/>
      <c r="E42" s="208"/>
      <c r="F42" s="208"/>
      <c r="G42" s="208"/>
      <c r="H42" s="208"/>
      <c r="I42" s="209"/>
      <c r="J42" s="188"/>
    </row>
    <row r="43" spans="1:10" x14ac:dyDescent="0.2">
      <c r="A43" s="213"/>
      <c r="B43" s="213"/>
      <c r="C43" s="213"/>
      <c r="D43" s="213"/>
      <c r="E43" s="213"/>
      <c r="F43" s="213"/>
      <c r="G43" s="213"/>
      <c r="H43" s="213"/>
      <c r="I43" s="213"/>
      <c r="J43" s="188"/>
    </row>
    <row r="44" spans="1:10" x14ac:dyDescent="0.2">
      <c r="A44" s="214" t="s">
        <v>197</v>
      </c>
      <c r="B44" s="214"/>
      <c r="C44" s="214"/>
      <c r="D44" s="214"/>
      <c r="E44" s="214"/>
      <c r="F44" s="214"/>
      <c r="G44" s="214"/>
      <c r="H44" s="214"/>
      <c r="I44" s="198">
        <f>B23-B42</f>
        <v>516.00000000000011</v>
      </c>
      <c r="J44" s="188"/>
    </row>
    <row r="45" spans="1:10" x14ac:dyDescent="0.2">
      <c r="A45" s="212" t="s">
        <v>200</v>
      </c>
      <c r="B45" s="212"/>
      <c r="C45" s="212"/>
      <c r="D45" s="212"/>
      <c r="E45" s="212"/>
      <c r="F45" s="212"/>
      <c r="G45" s="212"/>
      <c r="H45" s="212"/>
      <c r="I45" s="212"/>
      <c r="J45" s="201"/>
    </row>
    <row r="46" spans="1:10" x14ac:dyDescent="0.2">
      <c r="A46" s="212" t="s">
        <v>201</v>
      </c>
      <c r="B46" s="212"/>
      <c r="C46" s="212"/>
      <c r="D46" s="212"/>
      <c r="E46" s="212"/>
      <c r="F46" s="212"/>
      <c r="G46" s="212"/>
      <c r="H46" s="212"/>
      <c r="I46" s="212"/>
      <c r="J46" s="201"/>
    </row>
    <row r="47" spans="1:10" x14ac:dyDescent="0.2">
      <c r="A47" s="212" t="s">
        <v>202</v>
      </c>
      <c r="B47" s="212"/>
      <c r="C47" s="212"/>
      <c r="D47" s="212"/>
      <c r="E47" s="212"/>
      <c r="F47" s="212"/>
      <c r="G47" s="212"/>
      <c r="H47" s="212"/>
      <c r="I47" s="212"/>
      <c r="J47" s="201"/>
    </row>
    <row r="51" spans="9:9" x14ac:dyDescent="0.2">
      <c r="I51" s="204"/>
    </row>
  </sheetData>
  <mergeCells count="11">
    <mergeCell ref="A47:I47"/>
    <mergeCell ref="B42:I42"/>
    <mergeCell ref="A43:I43"/>
    <mergeCell ref="A44:H44"/>
    <mergeCell ref="A45:I45"/>
    <mergeCell ref="A46:I46"/>
    <mergeCell ref="A4:I5"/>
    <mergeCell ref="A6:I7"/>
    <mergeCell ref="B23:I23"/>
    <mergeCell ref="A24:I24"/>
    <mergeCell ref="A25:I25"/>
  </mergeCells>
  <pageMargins left="0.511811024" right="0.511811024" top="0.78740157499999996" bottom="0.78740157499999996" header="0.31496062000000002" footer="0.31496062000000002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NA136"/>
  <sheetViews>
    <sheetView zoomScale="80" zoomScaleNormal="80" zoomScaleSheetLayoutView="75" workbookViewId="0">
      <selection activeCell="J36" sqref="J36"/>
    </sheetView>
  </sheetViews>
  <sheetFormatPr defaultRowHeight="12.75" x14ac:dyDescent="0.2"/>
  <cols>
    <col min="1" max="1" width="7.28515625" style="52" customWidth="1"/>
    <col min="2" max="2" width="102.85546875" style="2" customWidth="1"/>
    <col min="3" max="3" width="11.7109375" style="2" customWidth="1"/>
    <col min="4" max="4" width="22.85546875" style="2" customWidth="1"/>
    <col min="5" max="5" width="63.85546875" style="2" customWidth="1"/>
    <col min="6" max="7" width="9.140625" style="2" customWidth="1"/>
    <col min="8" max="8" width="17.140625" style="2" customWidth="1"/>
    <col min="9" max="28" width="9.140625" style="2" customWidth="1"/>
    <col min="29" max="29" width="12.140625" style="2" customWidth="1"/>
    <col min="30" max="30" width="9.140625" style="2" customWidth="1"/>
    <col min="31" max="31" width="24" style="2" customWidth="1"/>
    <col min="32" max="32" width="13.42578125" style="2" customWidth="1"/>
    <col min="33" max="36" width="9.140625" style="2" customWidth="1"/>
    <col min="37" max="41" width="9.140625" style="2" hidden="1" customWidth="1"/>
    <col min="42" max="42" width="0" style="2" hidden="1" customWidth="1"/>
    <col min="43" max="258" width="9.140625" style="2"/>
    <col min="259" max="259" width="7.28515625" style="2" customWidth="1"/>
    <col min="260" max="260" width="96.5703125" style="2" customWidth="1"/>
    <col min="261" max="261" width="10.85546875" style="2" customWidth="1"/>
    <col min="262" max="262" width="22" style="2" customWidth="1"/>
    <col min="263" max="263" width="96.28515625" style="2" customWidth="1"/>
    <col min="264" max="514" width="9.140625" style="2"/>
    <col min="515" max="515" width="7.28515625" style="2" customWidth="1"/>
    <col min="516" max="516" width="96.5703125" style="2" customWidth="1"/>
    <col min="517" max="517" width="10.85546875" style="2" customWidth="1"/>
    <col min="518" max="518" width="22" style="2" customWidth="1"/>
    <col min="519" max="519" width="96.28515625" style="2" customWidth="1"/>
    <col min="520" max="770" width="9.140625" style="2"/>
    <col min="771" max="771" width="7.28515625" style="2" customWidth="1"/>
    <col min="772" max="772" width="96.5703125" style="2" customWidth="1"/>
    <col min="773" max="773" width="10.85546875" style="2" customWidth="1"/>
    <col min="774" max="774" width="22" style="2" customWidth="1"/>
    <col min="775" max="775" width="96.28515625" style="2" customWidth="1"/>
    <col min="776" max="1026" width="9.140625" style="2"/>
    <col min="1027" max="1027" width="7.28515625" style="2" customWidth="1"/>
    <col min="1028" max="1028" width="96.5703125" style="2" customWidth="1"/>
    <col min="1029" max="1029" width="10.85546875" style="2" customWidth="1"/>
    <col min="1030" max="1030" width="22" style="2" customWidth="1"/>
    <col min="1031" max="1031" width="96.28515625" style="2" customWidth="1"/>
    <col min="1032" max="1282" width="9.140625" style="2"/>
    <col min="1283" max="1283" width="7.28515625" style="2" customWidth="1"/>
    <col min="1284" max="1284" width="96.5703125" style="2" customWidth="1"/>
    <col min="1285" max="1285" width="10.85546875" style="2" customWidth="1"/>
    <col min="1286" max="1286" width="22" style="2" customWidth="1"/>
    <col min="1287" max="1287" width="96.28515625" style="2" customWidth="1"/>
    <col min="1288" max="1538" width="9.140625" style="2"/>
    <col min="1539" max="1539" width="7.28515625" style="2" customWidth="1"/>
    <col min="1540" max="1540" width="96.5703125" style="2" customWidth="1"/>
    <col min="1541" max="1541" width="10.85546875" style="2" customWidth="1"/>
    <col min="1542" max="1542" width="22" style="2" customWidth="1"/>
    <col min="1543" max="1543" width="96.28515625" style="2" customWidth="1"/>
    <col min="1544" max="1794" width="9.140625" style="2"/>
    <col min="1795" max="1795" width="7.28515625" style="2" customWidth="1"/>
    <col min="1796" max="1796" width="96.5703125" style="2" customWidth="1"/>
    <col min="1797" max="1797" width="10.85546875" style="2" customWidth="1"/>
    <col min="1798" max="1798" width="22" style="2" customWidth="1"/>
    <col min="1799" max="1799" width="96.28515625" style="2" customWidth="1"/>
    <col min="1800" max="2050" width="9.140625" style="2"/>
    <col min="2051" max="2051" width="7.28515625" style="2" customWidth="1"/>
    <col min="2052" max="2052" width="96.5703125" style="2" customWidth="1"/>
    <col min="2053" max="2053" width="10.85546875" style="2" customWidth="1"/>
    <col min="2054" max="2054" width="22" style="2" customWidth="1"/>
    <col min="2055" max="2055" width="96.28515625" style="2" customWidth="1"/>
    <col min="2056" max="2306" width="9.140625" style="2"/>
    <col min="2307" max="2307" width="7.28515625" style="2" customWidth="1"/>
    <col min="2308" max="2308" width="96.5703125" style="2" customWidth="1"/>
    <col min="2309" max="2309" width="10.85546875" style="2" customWidth="1"/>
    <col min="2310" max="2310" width="22" style="2" customWidth="1"/>
    <col min="2311" max="2311" width="96.28515625" style="2" customWidth="1"/>
    <col min="2312" max="2562" width="9.140625" style="2"/>
    <col min="2563" max="2563" width="7.28515625" style="2" customWidth="1"/>
    <col min="2564" max="2564" width="96.5703125" style="2" customWidth="1"/>
    <col min="2565" max="2565" width="10.85546875" style="2" customWidth="1"/>
    <col min="2566" max="2566" width="22" style="2" customWidth="1"/>
    <col min="2567" max="2567" width="96.28515625" style="2" customWidth="1"/>
    <col min="2568" max="2818" width="9.140625" style="2"/>
    <col min="2819" max="2819" width="7.28515625" style="2" customWidth="1"/>
    <col min="2820" max="2820" width="96.5703125" style="2" customWidth="1"/>
    <col min="2821" max="2821" width="10.85546875" style="2" customWidth="1"/>
    <col min="2822" max="2822" width="22" style="2" customWidth="1"/>
    <col min="2823" max="2823" width="96.28515625" style="2" customWidth="1"/>
    <col min="2824" max="3074" width="9.140625" style="2"/>
    <col min="3075" max="3075" width="7.28515625" style="2" customWidth="1"/>
    <col min="3076" max="3076" width="96.5703125" style="2" customWidth="1"/>
    <col min="3077" max="3077" width="10.85546875" style="2" customWidth="1"/>
    <col min="3078" max="3078" width="22" style="2" customWidth="1"/>
    <col min="3079" max="3079" width="96.28515625" style="2" customWidth="1"/>
    <col min="3080" max="3330" width="9.140625" style="2"/>
    <col min="3331" max="3331" width="7.28515625" style="2" customWidth="1"/>
    <col min="3332" max="3332" width="96.5703125" style="2" customWidth="1"/>
    <col min="3333" max="3333" width="10.85546875" style="2" customWidth="1"/>
    <col min="3334" max="3334" width="22" style="2" customWidth="1"/>
    <col min="3335" max="3335" width="96.28515625" style="2" customWidth="1"/>
    <col min="3336" max="3586" width="9.140625" style="2"/>
    <col min="3587" max="3587" width="7.28515625" style="2" customWidth="1"/>
    <col min="3588" max="3588" width="96.5703125" style="2" customWidth="1"/>
    <col min="3589" max="3589" width="10.85546875" style="2" customWidth="1"/>
    <col min="3590" max="3590" width="22" style="2" customWidth="1"/>
    <col min="3591" max="3591" width="96.28515625" style="2" customWidth="1"/>
    <col min="3592" max="3842" width="9.140625" style="2"/>
    <col min="3843" max="3843" width="7.28515625" style="2" customWidth="1"/>
    <col min="3844" max="3844" width="96.5703125" style="2" customWidth="1"/>
    <col min="3845" max="3845" width="10.85546875" style="2" customWidth="1"/>
    <col min="3846" max="3846" width="22" style="2" customWidth="1"/>
    <col min="3847" max="3847" width="96.28515625" style="2" customWidth="1"/>
    <col min="3848" max="4098" width="9.140625" style="2"/>
    <col min="4099" max="4099" width="7.28515625" style="2" customWidth="1"/>
    <col min="4100" max="4100" width="96.5703125" style="2" customWidth="1"/>
    <col min="4101" max="4101" width="10.85546875" style="2" customWidth="1"/>
    <col min="4102" max="4102" width="22" style="2" customWidth="1"/>
    <col min="4103" max="4103" width="96.28515625" style="2" customWidth="1"/>
    <col min="4104" max="4354" width="9.140625" style="2"/>
    <col min="4355" max="4355" width="7.28515625" style="2" customWidth="1"/>
    <col min="4356" max="4356" width="96.5703125" style="2" customWidth="1"/>
    <col min="4357" max="4357" width="10.85546875" style="2" customWidth="1"/>
    <col min="4358" max="4358" width="22" style="2" customWidth="1"/>
    <col min="4359" max="4359" width="96.28515625" style="2" customWidth="1"/>
    <col min="4360" max="4610" width="9.140625" style="2"/>
    <col min="4611" max="4611" width="7.28515625" style="2" customWidth="1"/>
    <col min="4612" max="4612" width="96.5703125" style="2" customWidth="1"/>
    <col min="4613" max="4613" width="10.85546875" style="2" customWidth="1"/>
    <col min="4614" max="4614" width="22" style="2" customWidth="1"/>
    <col min="4615" max="4615" width="96.28515625" style="2" customWidth="1"/>
    <col min="4616" max="4866" width="9.140625" style="2"/>
    <col min="4867" max="4867" width="7.28515625" style="2" customWidth="1"/>
    <col min="4868" max="4868" width="96.5703125" style="2" customWidth="1"/>
    <col min="4869" max="4869" width="10.85546875" style="2" customWidth="1"/>
    <col min="4870" max="4870" width="22" style="2" customWidth="1"/>
    <col min="4871" max="4871" width="96.28515625" style="2" customWidth="1"/>
    <col min="4872" max="5122" width="9.140625" style="2"/>
    <col min="5123" max="5123" width="7.28515625" style="2" customWidth="1"/>
    <col min="5124" max="5124" width="96.5703125" style="2" customWidth="1"/>
    <col min="5125" max="5125" width="10.85546875" style="2" customWidth="1"/>
    <col min="5126" max="5126" width="22" style="2" customWidth="1"/>
    <col min="5127" max="5127" width="96.28515625" style="2" customWidth="1"/>
    <col min="5128" max="5378" width="9.140625" style="2"/>
    <col min="5379" max="5379" width="7.28515625" style="2" customWidth="1"/>
    <col min="5380" max="5380" width="96.5703125" style="2" customWidth="1"/>
    <col min="5381" max="5381" width="10.85546875" style="2" customWidth="1"/>
    <col min="5382" max="5382" width="22" style="2" customWidth="1"/>
    <col min="5383" max="5383" width="96.28515625" style="2" customWidth="1"/>
    <col min="5384" max="5634" width="9.140625" style="2"/>
    <col min="5635" max="5635" width="7.28515625" style="2" customWidth="1"/>
    <col min="5636" max="5636" width="96.5703125" style="2" customWidth="1"/>
    <col min="5637" max="5637" width="10.85546875" style="2" customWidth="1"/>
    <col min="5638" max="5638" width="22" style="2" customWidth="1"/>
    <col min="5639" max="5639" width="96.28515625" style="2" customWidth="1"/>
    <col min="5640" max="5890" width="9.140625" style="2"/>
    <col min="5891" max="5891" width="7.28515625" style="2" customWidth="1"/>
    <col min="5892" max="5892" width="96.5703125" style="2" customWidth="1"/>
    <col min="5893" max="5893" width="10.85546875" style="2" customWidth="1"/>
    <col min="5894" max="5894" width="22" style="2" customWidth="1"/>
    <col min="5895" max="5895" width="96.28515625" style="2" customWidth="1"/>
    <col min="5896" max="6146" width="9.140625" style="2"/>
    <col min="6147" max="6147" width="7.28515625" style="2" customWidth="1"/>
    <col min="6148" max="6148" width="96.5703125" style="2" customWidth="1"/>
    <col min="6149" max="6149" width="10.85546875" style="2" customWidth="1"/>
    <col min="6150" max="6150" width="22" style="2" customWidth="1"/>
    <col min="6151" max="6151" width="96.28515625" style="2" customWidth="1"/>
    <col min="6152" max="6402" width="9.140625" style="2"/>
    <col min="6403" max="6403" width="7.28515625" style="2" customWidth="1"/>
    <col min="6404" max="6404" width="96.5703125" style="2" customWidth="1"/>
    <col min="6405" max="6405" width="10.85546875" style="2" customWidth="1"/>
    <col min="6406" max="6406" width="22" style="2" customWidth="1"/>
    <col min="6407" max="6407" width="96.28515625" style="2" customWidth="1"/>
    <col min="6408" max="6658" width="9.140625" style="2"/>
    <col min="6659" max="6659" width="7.28515625" style="2" customWidth="1"/>
    <col min="6660" max="6660" width="96.5703125" style="2" customWidth="1"/>
    <col min="6661" max="6661" width="10.85546875" style="2" customWidth="1"/>
    <col min="6662" max="6662" width="22" style="2" customWidth="1"/>
    <col min="6663" max="6663" width="96.28515625" style="2" customWidth="1"/>
    <col min="6664" max="6914" width="9.140625" style="2"/>
    <col min="6915" max="6915" width="7.28515625" style="2" customWidth="1"/>
    <col min="6916" max="6916" width="96.5703125" style="2" customWidth="1"/>
    <col min="6917" max="6917" width="10.85546875" style="2" customWidth="1"/>
    <col min="6918" max="6918" width="22" style="2" customWidth="1"/>
    <col min="6919" max="6919" width="96.28515625" style="2" customWidth="1"/>
    <col min="6920" max="7170" width="9.140625" style="2"/>
    <col min="7171" max="7171" width="7.28515625" style="2" customWidth="1"/>
    <col min="7172" max="7172" width="96.5703125" style="2" customWidth="1"/>
    <col min="7173" max="7173" width="10.85546875" style="2" customWidth="1"/>
    <col min="7174" max="7174" width="22" style="2" customWidth="1"/>
    <col min="7175" max="7175" width="96.28515625" style="2" customWidth="1"/>
    <col min="7176" max="7426" width="9.140625" style="2"/>
    <col min="7427" max="7427" width="7.28515625" style="2" customWidth="1"/>
    <col min="7428" max="7428" width="96.5703125" style="2" customWidth="1"/>
    <col min="7429" max="7429" width="10.85546875" style="2" customWidth="1"/>
    <col min="7430" max="7430" width="22" style="2" customWidth="1"/>
    <col min="7431" max="7431" width="96.28515625" style="2" customWidth="1"/>
    <col min="7432" max="7682" width="9.140625" style="2"/>
    <col min="7683" max="7683" width="7.28515625" style="2" customWidth="1"/>
    <col min="7684" max="7684" width="96.5703125" style="2" customWidth="1"/>
    <col min="7685" max="7685" width="10.85546875" style="2" customWidth="1"/>
    <col min="7686" max="7686" width="22" style="2" customWidth="1"/>
    <col min="7687" max="7687" width="96.28515625" style="2" customWidth="1"/>
    <col min="7688" max="7938" width="9.140625" style="2"/>
    <col min="7939" max="7939" width="7.28515625" style="2" customWidth="1"/>
    <col min="7940" max="7940" width="96.5703125" style="2" customWidth="1"/>
    <col min="7941" max="7941" width="10.85546875" style="2" customWidth="1"/>
    <col min="7942" max="7942" width="22" style="2" customWidth="1"/>
    <col min="7943" max="7943" width="96.28515625" style="2" customWidth="1"/>
    <col min="7944" max="8194" width="9.140625" style="2"/>
    <col min="8195" max="8195" width="7.28515625" style="2" customWidth="1"/>
    <col min="8196" max="8196" width="96.5703125" style="2" customWidth="1"/>
    <col min="8197" max="8197" width="10.85546875" style="2" customWidth="1"/>
    <col min="8198" max="8198" width="22" style="2" customWidth="1"/>
    <col min="8199" max="8199" width="96.28515625" style="2" customWidth="1"/>
    <col min="8200" max="8450" width="9.140625" style="2"/>
    <col min="8451" max="8451" width="7.28515625" style="2" customWidth="1"/>
    <col min="8452" max="8452" width="96.5703125" style="2" customWidth="1"/>
    <col min="8453" max="8453" width="10.85546875" style="2" customWidth="1"/>
    <col min="8454" max="8454" width="22" style="2" customWidth="1"/>
    <col min="8455" max="8455" width="96.28515625" style="2" customWidth="1"/>
    <col min="8456" max="8706" width="9.140625" style="2"/>
    <col min="8707" max="8707" width="7.28515625" style="2" customWidth="1"/>
    <col min="8708" max="8708" width="96.5703125" style="2" customWidth="1"/>
    <col min="8709" max="8709" width="10.85546875" style="2" customWidth="1"/>
    <col min="8710" max="8710" width="22" style="2" customWidth="1"/>
    <col min="8711" max="8711" width="96.28515625" style="2" customWidth="1"/>
    <col min="8712" max="8962" width="9.140625" style="2"/>
    <col min="8963" max="8963" width="7.28515625" style="2" customWidth="1"/>
    <col min="8964" max="8964" width="96.5703125" style="2" customWidth="1"/>
    <col min="8965" max="8965" width="10.85546875" style="2" customWidth="1"/>
    <col min="8966" max="8966" width="22" style="2" customWidth="1"/>
    <col min="8967" max="8967" width="96.28515625" style="2" customWidth="1"/>
    <col min="8968" max="9218" width="9.140625" style="2"/>
    <col min="9219" max="9219" width="7.28515625" style="2" customWidth="1"/>
    <col min="9220" max="9220" width="96.5703125" style="2" customWidth="1"/>
    <col min="9221" max="9221" width="10.85546875" style="2" customWidth="1"/>
    <col min="9222" max="9222" width="22" style="2" customWidth="1"/>
    <col min="9223" max="9223" width="96.28515625" style="2" customWidth="1"/>
    <col min="9224" max="9474" width="9.140625" style="2"/>
    <col min="9475" max="9475" width="7.28515625" style="2" customWidth="1"/>
    <col min="9476" max="9476" width="96.5703125" style="2" customWidth="1"/>
    <col min="9477" max="9477" width="10.85546875" style="2" customWidth="1"/>
    <col min="9478" max="9478" width="22" style="2" customWidth="1"/>
    <col min="9479" max="9479" width="96.28515625" style="2" customWidth="1"/>
    <col min="9480" max="9730" width="9.140625" style="2"/>
    <col min="9731" max="9731" width="7.28515625" style="2" customWidth="1"/>
    <col min="9732" max="9732" width="96.5703125" style="2" customWidth="1"/>
    <col min="9733" max="9733" width="10.85546875" style="2" customWidth="1"/>
    <col min="9734" max="9734" width="22" style="2" customWidth="1"/>
    <col min="9735" max="9735" width="96.28515625" style="2" customWidth="1"/>
    <col min="9736" max="9986" width="9.140625" style="2"/>
    <col min="9987" max="9987" width="7.28515625" style="2" customWidth="1"/>
    <col min="9988" max="9988" width="96.5703125" style="2" customWidth="1"/>
    <col min="9989" max="9989" width="10.85546875" style="2" customWidth="1"/>
    <col min="9990" max="9990" width="22" style="2" customWidth="1"/>
    <col min="9991" max="9991" width="96.28515625" style="2" customWidth="1"/>
    <col min="9992" max="10242" width="9.140625" style="2"/>
    <col min="10243" max="10243" width="7.28515625" style="2" customWidth="1"/>
    <col min="10244" max="10244" width="96.5703125" style="2" customWidth="1"/>
    <col min="10245" max="10245" width="10.85546875" style="2" customWidth="1"/>
    <col min="10246" max="10246" width="22" style="2" customWidth="1"/>
    <col min="10247" max="10247" width="96.28515625" style="2" customWidth="1"/>
    <col min="10248" max="10498" width="9.140625" style="2"/>
    <col min="10499" max="10499" width="7.28515625" style="2" customWidth="1"/>
    <col min="10500" max="10500" width="96.5703125" style="2" customWidth="1"/>
    <col min="10501" max="10501" width="10.85546875" style="2" customWidth="1"/>
    <col min="10502" max="10502" width="22" style="2" customWidth="1"/>
    <col min="10503" max="10503" width="96.28515625" style="2" customWidth="1"/>
    <col min="10504" max="10754" width="9.140625" style="2"/>
    <col min="10755" max="10755" width="7.28515625" style="2" customWidth="1"/>
    <col min="10756" max="10756" width="96.5703125" style="2" customWidth="1"/>
    <col min="10757" max="10757" width="10.85546875" style="2" customWidth="1"/>
    <col min="10758" max="10758" width="22" style="2" customWidth="1"/>
    <col min="10759" max="10759" width="96.28515625" style="2" customWidth="1"/>
    <col min="10760" max="11010" width="9.140625" style="2"/>
    <col min="11011" max="11011" width="7.28515625" style="2" customWidth="1"/>
    <col min="11012" max="11012" width="96.5703125" style="2" customWidth="1"/>
    <col min="11013" max="11013" width="10.85546875" style="2" customWidth="1"/>
    <col min="11014" max="11014" width="22" style="2" customWidth="1"/>
    <col min="11015" max="11015" width="96.28515625" style="2" customWidth="1"/>
    <col min="11016" max="11266" width="9.140625" style="2"/>
    <col min="11267" max="11267" width="7.28515625" style="2" customWidth="1"/>
    <col min="11268" max="11268" width="96.5703125" style="2" customWidth="1"/>
    <col min="11269" max="11269" width="10.85546875" style="2" customWidth="1"/>
    <col min="11270" max="11270" width="22" style="2" customWidth="1"/>
    <col min="11271" max="11271" width="96.28515625" style="2" customWidth="1"/>
    <col min="11272" max="11522" width="9.140625" style="2"/>
    <col min="11523" max="11523" width="7.28515625" style="2" customWidth="1"/>
    <col min="11524" max="11524" width="96.5703125" style="2" customWidth="1"/>
    <col min="11525" max="11525" width="10.85546875" style="2" customWidth="1"/>
    <col min="11526" max="11526" width="22" style="2" customWidth="1"/>
    <col min="11527" max="11527" width="96.28515625" style="2" customWidth="1"/>
    <col min="11528" max="11778" width="9.140625" style="2"/>
    <col min="11779" max="11779" width="7.28515625" style="2" customWidth="1"/>
    <col min="11780" max="11780" width="96.5703125" style="2" customWidth="1"/>
    <col min="11781" max="11781" width="10.85546875" style="2" customWidth="1"/>
    <col min="11782" max="11782" width="22" style="2" customWidth="1"/>
    <col min="11783" max="11783" width="96.28515625" style="2" customWidth="1"/>
    <col min="11784" max="12034" width="9.140625" style="2"/>
    <col min="12035" max="12035" width="7.28515625" style="2" customWidth="1"/>
    <col min="12036" max="12036" width="96.5703125" style="2" customWidth="1"/>
    <col min="12037" max="12037" width="10.85546875" style="2" customWidth="1"/>
    <col min="12038" max="12038" width="22" style="2" customWidth="1"/>
    <col min="12039" max="12039" width="96.28515625" style="2" customWidth="1"/>
    <col min="12040" max="12290" width="9.140625" style="2"/>
    <col min="12291" max="12291" width="7.28515625" style="2" customWidth="1"/>
    <col min="12292" max="12292" width="96.5703125" style="2" customWidth="1"/>
    <col min="12293" max="12293" width="10.85546875" style="2" customWidth="1"/>
    <col min="12294" max="12294" width="22" style="2" customWidth="1"/>
    <col min="12295" max="12295" width="96.28515625" style="2" customWidth="1"/>
    <col min="12296" max="12546" width="9.140625" style="2"/>
    <col min="12547" max="12547" width="7.28515625" style="2" customWidth="1"/>
    <col min="12548" max="12548" width="96.5703125" style="2" customWidth="1"/>
    <col min="12549" max="12549" width="10.85546875" style="2" customWidth="1"/>
    <col min="12550" max="12550" width="22" style="2" customWidth="1"/>
    <col min="12551" max="12551" width="96.28515625" style="2" customWidth="1"/>
    <col min="12552" max="12802" width="9.140625" style="2"/>
    <col min="12803" max="12803" width="7.28515625" style="2" customWidth="1"/>
    <col min="12804" max="12804" width="96.5703125" style="2" customWidth="1"/>
    <col min="12805" max="12805" width="10.85546875" style="2" customWidth="1"/>
    <col min="12806" max="12806" width="22" style="2" customWidth="1"/>
    <col min="12807" max="12807" width="96.28515625" style="2" customWidth="1"/>
    <col min="12808" max="13058" width="9.140625" style="2"/>
    <col min="13059" max="13059" width="7.28515625" style="2" customWidth="1"/>
    <col min="13060" max="13060" width="96.5703125" style="2" customWidth="1"/>
    <col min="13061" max="13061" width="10.85546875" style="2" customWidth="1"/>
    <col min="13062" max="13062" width="22" style="2" customWidth="1"/>
    <col min="13063" max="13063" width="96.28515625" style="2" customWidth="1"/>
    <col min="13064" max="13314" width="9.140625" style="2"/>
    <col min="13315" max="13315" width="7.28515625" style="2" customWidth="1"/>
    <col min="13316" max="13316" width="96.5703125" style="2" customWidth="1"/>
    <col min="13317" max="13317" width="10.85546875" style="2" customWidth="1"/>
    <col min="13318" max="13318" width="22" style="2" customWidth="1"/>
    <col min="13319" max="13319" width="96.28515625" style="2" customWidth="1"/>
    <col min="13320" max="13570" width="9.140625" style="2"/>
    <col min="13571" max="13571" width="7.28515625" style="2" customWidth="1"/>
    <col min="13572" max="13572" width="96.5703125" style="2" customWidth="1"/>
    <col min="13573" max="13573" width="10.85546875" style="2" customWidth="1"/>
    <col min="13574" max="13574" width="22" style="2" customWidth="1"/>
    <col min="13575" max="13575" width="96.28515625" style="2" customWidth="1"/>
    <col min="13576" max="13826" width="9.140625" style="2"/>
    <col min="13827" max="13827" width="7.28515625" style="2" customWidth="1"/>
    <col min="13828" max="13828" width="96.5703125" style="2" customWidth="1"/>
    <col min="13829" max="13829" width="10.85546875" style="2" customWidth="1"/>
    <col min="13830" max="13830" width="22" style="2" customWidth="1"/>
    <col min="13831" max="13831" width="96.28515625" style="2" customWidth="1"/>
    <col min="13832" max="14082" width="9.140625" style="2"/>
    <col min="14083" max="14083" width="7.28515625" style="2" customWidth="1"/>
    <col min="14084" max="14084" width="96.5703125" style="2" customWidth="1"/>
    <col min="14085" max="14085" width="10.85546875" style="2" customWidth="1"/>
    <col min="14086" max="14086" width="22" style="2" customWidth="1"/>
    <col min="14087" max="14087" width="96.28515625" style="2" customWidth="1"/>
    <col min="14088" max="14338" width="9.140625" style="2"/>
    <col min="14339" max="14339" width="7.28515625" style="2" customWidth="1"/>
    <col min="14340" max="14340" width="96.5703125" style="2" customWidth="1"/>
    <col min="14341" max="14341" width="10.85546875" style="2" customWidth="1"/>
    <col min="14342" max="14342" width="22" style="2" customWidth="1"/>
    <col min="14343" max="14343" width="96.28515625" style="2" customWidth="1"/>
    <col min="14344" max="14594" width="9.140625" style="2"/>
    <col min="14595" max="14595" width="7.28515625" style="2" customWidth="1"/>
    <col min="14596" max="14596" width="96.5703125" style="2" customWidth="1"/>
    <col min="14597" max="14597" width="10.85546875" style="2" customWidth="1"/>
    <col min="14598" max="14598" width="22" style="2" customWidth="1"/>
    <col min="14599" max="14599" width="96.28515625" style="2" customWidth="1"/>
    <col min="14600" max="14850" width="9.140625" style="2"/>
    <col min="14851" max="14851" width="7.28515625" style="2" customWidth="1"/>
    <col min="14852" max="14852" width="96.5703125" style="2" customWidth="1"/>
    <col min="14853" max="14853" width="10.85546875" style="2" customWidth="1"/>
    <col min="14854" max="14854" width="22" style="2" customWidth="1"/>
    <col min="14855" max="14855" width="96.28515625" style="2" customWidth="1"/>
    <col min="14856" max="15106" width="9.140625" style="2"/>
    <col min="15107" max="15107" width="7.28515625" style="2" customWidth="1"/>
    <col min="15108" max="15108" width="96.5703125" style="2" customWidth="1"/>
    <col min="15109" max="15109" width="10.85546875" style="2" customWidth="1"/>
    <col min="15110" max="15110" width="22" style="2" customWidth="1"/>
    <col min="15111" max="15111" width="96.28515625" style="2" customWidth="1"/>
    <col min="15112" max="15362" width="9.140625" style="2"/>
    <col min="15363" max="15363" width="7.28515625" style="2" customWidth="1"/>
    <col min="15364" max="15364" width="96.5703125" style="2" customWidth="1"/>
    <col min="15365" max="15365" width="10.85546875" style="2" customWidth="1"/>
    <col min="15366" max="15366" width="22" style="2" customWidth="1"/>
    <col min="15367" max="15367" width="96.28515625" style="2" customWidth="1"/>
    <col min="15368" max="15618" width="9.140625" style="2"/>
    <col min="15619" max="15619" width="7.28515625" style="2" customWidth="1"/>
    <col min="15620" max="15620" width="96.5703125" style="2" customWidth="1"/>
    <col min="15621" max="15621" width="10.85546875" style="2" customWidth="1"/>
    <col min="15622" max="15622" width="22" style="2" customWidth="1"/>
    <col min="15623" max="15623" width="96.28515625" style="2" customWidth="1"/>
    <col min="15624" max="15874" width="9.140625" style="2"/>
    <col min="15875" max="15875" width="7.28515625" style="2" customWidth="1"/>
    <col min="15876" max="15876" width="96.5703125" style="2" customWidth="1"/>
    <col min="15877" max="15877" width="10.85546875" style="2" customWidth="1"/>
    <col min="15878" max="15878" width="22" style="2" customWidth="1"/>
    <col min="15879" max="15879" width="96.28515625" style="2" customWidth="1"/>
    <col min="15880" max="16130" width="9.140625" style="2"/>
    <col min="16131" max="16131" width="7.28515625" style="2" customWidth="1"/>
    <col min="16132" max="16132" width="96.5703125" style="2" customWidth="1"/>
    <col min="16133" max="16133" width="10.85546875" style="2" customWidth="1"/>
    <col min="16134" max="16134" width="22" style="2" customWidth="1"/>
    <col min="16135" max="16135" width="96.28515625" style="2" customWidth="1"/>
    <col min="16136" max="16384" width="9.140625" style="2"/>
  </cols>
  <sheetData>
    <row r="2" spans="1:31" ht="13.5" thickBot="1" x14ac:dyDescent="0.25"/>
    <row r="3" spans="1:31" ht="30" customHeight="1" x14ac:dyDescent="0.2">
      <c r="A3" s="164"/>
      <c r="B3" s="1"/>
      <c r="C3" s="1"/>
      <c r="D3" s="1"/>
      <c r="E3" s="167"/>
    </row>
    <row r="4" spans="1:31" ht="30" customHeight="1" x14ac:dyDescent="0.2">
      <c r="A4" s="7"/>
      <c r="B4" s="3"/>
      <c r="C4" s="3"/>
      <c r="D4" s="3"/>
      <c r="E4" s="168"/>
    </row>
    <row r="5" spans="1:31" ht="30" customHeight="1" x14ac:dyDescent="0.2">
      <c r="A5" s="7"/>
      <c r="B5" s="3"/>
      <c r="C5" s="3"/>
      <c r="D5" s="3"/>
      <c r="E5" s="168"/>
    </row>
    <row r="6" spans="1:31" ht="30" customHeight="1" x14ac:dyDescent="0.2">
      <c r="A6" s="10"/>
      <c r="B6" s="185" t="s">
        <v>160</v>
      </c>
      <c r="C6" s="133"/>
      <c r="D6" s="53" t="s">
        <v>0</v>
      </c>
      <c r="E6" s="5">
        <f>'Planilha orçamentária'!G4</f>
        <v>155</v>
      </c>
    </row>
    <row r="7" spans="1:31" ht="30" customHeight="1" x14ac:dyDescent="0.2">
      <c r="A7" s="138"/>
      <c r="B7" s="165" t="str">
        <f>'Planilha orçamentária'!D5</f>
        <v>Hermes Pereira de Souza</v>
      </c>
      <c r="C7" s="137"/>
      <c r="D7" s="53" t="s">
        <v>1</v>
      </c>
      <c r="E7" s="5">
        <f>'Planilha orçamentária'!G5</f>
        <v>7</v>
      </c>
    </row>
    <row r="8" spans="1:31" ht="30" customHeight="1" x14ac:dyDescent="0.2">
      <c r="A8" s="134"/>
      <c r="B8" s="135"/>
      <c r="C8" s="136"/>
      <c r="D8" s="53" t="s">
        <v>2</v>
      </c>
      <c r="E8" s="5">
        <f>'Planilha orçamentária'!G6</f>
        <v>1193.44</v>
      </c>
    </row>
    <row r="9" spans="1:31" s="13" customFormat="1" ht="30" customHeight="1" x14ac:dyDescent="0.2">
      <c r="A9" s="12" t="s">
        <v>3</v>
      </c>
      <c r="B9" s="166" t="s">
        <v>6</v>
      </c>
      <c r="C9" s="26" t="s">
        <v>7</v>
      </c>
      <c r="D9" s="166" t="s">
        <v>8</v>
      </c>
      <c r="E9" s="12" t="s">
        <v>55</v>
      </c>
    </row>
    <row r="10" spans="1:31" ht="30" customHeight="1" x14ac:dyDescent="0.2">
      <c r="A10" s="14">
        <v>1</v>
      </c>
      <c r="B10" s="15" t="s">
        <v>17</v>
      </c>
      <c r="C10" s="16"/>
      <c r="D10" s="17"/>
      <c r="E10" s="17"/>
    </row>
    <row r="11" spans="1:31" ht="30" customHeight="1" x14ac:dyDescent="0.2">
      <c r="A11" s="12" t="s">
        <v>13</v>
      </c>
      <c r="B11" s="22" t="s">
        <v>101</v>
      </c>
      <c r="C11" s="12" t="s">
        <v>52</v>
      </c>
      <c r="D11" s="95">
        <v>1</v>
      </c>
      <c r="E11" s="176" t="s">
        <v>99</v>
      </c>
      <c r="AE11" s="163"/>
    </row>
    <row r="12" spans="1:31" ht="15.75" customHeight="1" x14ac:dyDescent="0.2">
      <c r="A12" s="12"/>
      <c r="B12" s="22"/>
      <c r="C12" s="12"/>
      <c r="D12" s="97"/>
      <c r="E12" s="23"/>
      <c r="AE12" s="163"/>
    </row>
    <row r="13" spans="1:31" ht="30" customHeight="1" x14ac:dyDescent="0.25">
      <c r="A13" s="24">
        <v>2</v>
      </c>
      <c r="B13" s="15" t="s">
        <v>12</v>
      </c>
      <c r="C13" s="25"/>
      <c r="D13" s="25"/>
      <c r="E13" s="25"/>
      <c r="AE13" s="163"/>
    </row>
    <row r="14" spans="1:31" ht="30" customHeight="1" x14ac:dyDescent="0.2">
      <c r="A14" s="12" t="s">
        <v>18</v>
      </c>
      <c r="B14" s="22" t="s">
        <v>15</v>
      </c>
      <c r="C14" s="12" t="s">
        <v>16</v>
      </c>
      <c r="D14" s="95">
        <f>TRUNC(3*1.5,2)</f>
        <v>4.5</v>
      </c>
      <c r="E14" s="176" t="s">
        <v>142</v>
      </c>
      <c r="AE14" s="163"/>
    </row>
    <row r="15" spans="1:31" ht="36" customHeight="1" x14ac:dyDescent="0.2">
      <c r="A15" s="12" t="s">
        <v>19</v>
      </c>
      <c r="B15" s="22" t="s">
        <v>21</v>
      </c>
      <c r="C15" s="12" t="s">
        <v>52</v>
      </c>
      <c r="D15" s="95">
        <v>1</v>
      </c>
      <c r="E15" s="176" t="s">
        <v>99</v>
      </c>
      <c r="AE15" s="163"/>
    </row>
    <row r="16" spans="1:31" ht="27" customHeight="1" x14ac:dyDescent="0.2">
      <c r="A16" s="12" t="s">
        <v>20</v>
      </c>
      <c r="B16" s="22" t="s">
        <v>98</v>
      </c>
      <c r="C16" s="12" t="s">
        <v>16</v>
      </c>
      <c r="D16" s="95">
        <v>1670.22</v>
      </c>
      <c r="E16" s="177" t="s">
        <v>133</v>
      </c>
      <c r="AE16" s="162"/>
    </row>
    <row r="17" spans="1:365" s="13" customFormat="1" ht="15" customHeight="1" x14ac:dyDescent="0.2">
      <c r="A17" s="149"/>
      <c r="B17" s="12"/>
      <c r="C17" s="26"/>
      <c r="D17" s="98"/>
      <c r="E17" s="176"/>
      <c r="G17" s="31"/>
      <c r="H17" s="31"/>
      <c r="I17" s="31"/>
      <c r="J17" s="31"/>
    </row>
    <row r="18" spans="1:365" s="31" customFormat="1" ht="30" customHeight="1" x14ac:dyDescent="0.2">
      <c r="A18" s="29">
        <v>3</v>
      </c>
      <c r="B18" s="15" t="s">
        <v>22</v>
      </c>
      <c r="C18" s="30"/>
      <c r="D18" s="17"/>
      <c r="E18" s="178"/>
    </row>
    <row r="19" spans="1:365" s="31" customFormat="1" ht="42.75" customHeight="1" x14ac:dyDescent="0.2">
      <c r="A19" s="12" t="s">
        <v>23</v>
      </c>
      <c r="B19" s="76" t="s">
        <v>72</v>
      </c>
      <c r="C19" s="12" t="s">
        <v>24</v>
      </c>
      <c r="D19" s="96">
        <v>543.53</v>
      </c>
      <c r="E19" s="183" t="s">
        <v>171</v>
      </c>
    </row>
    <row r="20" spans="1:365" s="31" customFormat="1" ht="27" customHeight="1" x14ac:dyDescent="0.2">
      <c r="A20" s="12" t="s">
        <v>25</v>
      </c>
      <c r="B20" s="32" t="s">
        <v>104</v>
      </c>
      <c r="C20" s="12" t="s">
        <v>26</v>
      </c>
      <c r="D20" s="96">
        <f>ROUND((D21)*3.4*1.25,2)</f>
        <v>2193</v>
      </c>
      <c r="E20" s="176" t="s">
        <v>199</v>
      </c>
      <c r="G20" s="2"/>
      <c r="H20" s="2"/>
      <c r="I20" s="2"/>
      <c r="J20" s="2"/>
      <c r="AF20" s="159"/>
    </row>
    <row r="21" spans="1:365" s="64" customFormat="1" ht="26.25" customHeight="1" x14ac:dyDescent="0.2">
      <c r="A21" s="18" t="s">
        <v>27</v>
      </c>
      <c r="B21" s="63" t="s">
        <v>63</v>
      </c>
      <c r="C21" s="18" t="s">
        <v>24</v>
      </c>
      <c r="D21" s="96">
        <v>516</v>
      </c>
      <c r="E21" s="183" t="s">
        <v>171</v>
      </c>
      <c r="G21" s="2"/>
      <c r="H21" s="31"/>
      <c r="I21" s="115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  <c r="IU21" s="31"/>
      <c r="IV21" s="31"/>
      <c r="IW21" s="31"/>
      <c r="IX21" s="31"/>
      <c r="IY21" s="31"/>
      <c r="IZ21" s="31"/>
      <c r="JA21" s="31"/>
      <c r="JB21" s="31"/>
      <c r="JC21" s="31"/>
      <c r="JD21" s="31"/>
      <c r="JE21" s="31"/>
      <c r="JF21" s="31"/>
      <c r="JG21" s="31"/>
      <c r="JH21" s="31"/>
      <c r="JI21" s="31"/>
      <c r="JJ21" s="31"/>
      <c r="JK21" s="31"/>
      <c r="JL21" s="31"/>
      <c r="JM21" s="31"/>
      <c r="JN21" s="31"/>
      <c r="JO21" s="31"/>
      <c r="JP21" s="31"/>
      <c r="JQ21" s="31"/>
      <c r="JR21" s="31"/>
      <c r="JS21" s="31"/>
      <c r="JT21" s="31"/>
      <c r="JU21" s="31"/>
      <c r="JV21" s="31"/>
      <c r="JW21" s="31"/>
      <c r="JX21" s="31"/>
      <c r="JY21" s="31"/>
      <c r="JZ21" s="31"/>
      <c r="KA21" s="31"/>
      <c r="KB21" s="31"/>
      <c r="KC21" s="31"/>
      <c r="KD21" s="31"/>
      <c r="KE21" s="31"/>
      <c r="KF21" s="31"/>
      <c r="KG21" s="31"/>
      <c r="KH21" s="31"/>
      <c r="KI21" s="31"/>
      <c r="KJ21" s="31"/>
      <c r="KK21" s="31"/>
      <c r="KL21" s="31"/>
      <c r="KM21" s="31"/>
      <c r="KN21" s="31"/>
      <c r="KO21" s="31"/>
      <c r="KP21" s="31"/>
      <c r="KQ21" s="31"/>
      <c r="KR21" s="31"/>
      <c r="KS21" s="31"/>
      <c r="KT21" s="31"/>
      <c r="KU21" s="31"/>
      <c r="KV21" s="31"/>
      <c r="KW21" s="31"/>
      <c r="KX21" s="31"/>
      <c r="KY21" s="31"/>
      <c r="KZ21" s="31"/>
      <c r="LA21" s="31"/>
      <c r="LB21" s="31"/>
      <c r="LC21" s="31"/>
      <c r="LD21" s="31"/>
      <c r="LE21" s="31"/>
      <c r="LF21" s="31"/>
      <c r="LG21" s="31"/>
      <c r="LH21" s="31"/>
      <c r="LI21" s="31"/>
      <c r="LJ21" s="31"/>
      <c r="LK21" s="31"/>
      <c r="LL21" s="31"/>
      <c r="LM21" s="31"/>
      <c r="LN21" s="31"/>
      <c r="LO21" s="31"/>
      <c r="LP21" s="31"/>
      <c r="LQ21" s="31"/>
      <c r="LR21" s="31"/>
      <c r="LS21" s="31"/>
      <c r="LT21" s="31"/>
      <c r="LU21" s="31"/>
      <c r="LV21" s="31"/>
      <c r="LW21" s="31"/>
      <c r="LX21" s="31"/>
      <c r="LY21" s="31"/>
      <c r="LZ21" s="31"/>
      <c r="MA21" s="31"/>
      <c r="MB21" s="31"/>
      <c r="MC21" s="31"/>
      <c r="MD21" s="31"/>
      <c r="ME21" s="31"/>
      <c r="MF21" s="31"/>
      <c r="MG21" s="31"/>
      <c r="MH21" s="31"/>
      <c r="MI21" s="31"/>
      <c r="MJ21" s="31"/>
      <c r="MK21" s="31"/>
      <c r="ML21" s="31"/>
      <c r="MM21" s="31"/>
      <c r="MN21" s="31"/>
      <c r="MO21" s="31"/>
      <c r="MP21" s="31"/>
      <c r="MQ21" s="31"/>
      <c r="MR21" s="31"/>
      <c r="MS21" s="31"/>
      <c r="MT21" s="31"/>
      <c r="MU21" s="31"/>
      <c r="MV21" s="31"/>
      <c r="MW21" s="31"/>
      <c r="MX21" s="31"/>
      <c r="MY21" s="31"/>
      <c r="MZ21" s="31"/>
      <c r="NA21" s="31"/>
    </row>
    <row r="22" spans="1:365" s="31" customFormat="1" ht="30" customHeight="1" x14ac:dyDescent="0.2">
      <c r="A22" s="12" t="s">
        <v>64</v>
      </c>
      <c r="B22" s="34" t="s">
        <v>29</v>
      </c>
      <c r="C22" s="12" t="s">
        <v>16</v>
      </c>
      <c r="D22" s="96">
        <f>E8</f>
        <v>1193.44</v>
      </c>
      <c r="E22" s="176" t="s">
        <v>75</v>
      </c>
      <c r="G22" s="2"/>
      <c r="H22" s="2"/>
      <c r="I22" s="2"/>
      <c r="J22" s="2"/>
    </row>
    <row r="23" spans="1:365" s="31" customFormat="1" ht="12" customHeight="1" x14ac:dyDescent="0.2">
      <c r="A23" s="150"/>
      <c r="B23" s="34"/>
      <c r="C23" s="12"/>
      <c r="D23" s="35"/>
      <c r="E23" s="35"/>
      <c r="G23" s="2"/>
      <c r="H23" s="2"/>
      <c r="I23" s="2"/>
      <c r="J23" s="2"/>
    </row>
    <row r="24" spans="1:365" s="31" customFormat="1" ht="30" customHeight="1" x14ac:dyDescent="0.2">
      <c r="A24" s="14">
        <v>4</v>
      </c>
      <c r="B24" s="78" t="s">
        <v>88</v>
      </c>
      <c r="C24" s="37"/>
      <c r="D24" s="38"/>
      <c r="E24" s="179"/>
    </row>
    <row r="25" spans="1:365" s="31" customFormat="1" ht="30" customHeight="1" x14ac:dyDescent="0.2">
      <c r="A25" s="12" t="s">
        <v>30</v>
      </c>
      <c r="B25" s="22" t="s">
        <v>139</v>
      </c>
      <c r="C25" s="12" t="s">
        <v>24</v>
      </c>
      <c r="D25" s="95">
        <f>TRUNC(E8*0.2,2)</f>
        <v>238.68</v>
      </c>
      <c r="E25" s="176" t="s">
        <v>109</v>
      </c>
    </row>
    <row r="26" spans="1:365" s="31" customFormat="1" ht="36" customHeight="1" x14ac:dyDescent="0.2">
      <c r="A26" s="12" t="s">
        <v>32</v>
      </c>
      <c r="B26" s="22" t="s">
        <v>180</v>
      </c>
      <c r="C26" s="12" t="s">
        <v>26</v>
      </c>
      <c r="D26" s="95">
        <f>TRUNC(D25*17.1,2)</f>
        <v>4081.42</v>
      </c>
      <c r="E26" s="176" t="s">
        <v>173</v>
      </c>
      <c r="AL26" s="31">
        <f>TRUNC(70.98*21,2)</f>
        <v>1490.58</v>
      </c>
      <c r="AN26" s="31">
        <f>TRUNC(354.9*0.2,2)</f>
        <v>70.98</v>
      </c>
      <c r="AO26" s="31">
        <f>TRUNC(70.98*21,2)</f>
        <v>1490.58</v>
      </c>
    </row>
    <row r="27" spans="1:365" s="31" customFormat="1" ht="30" customHeight="1" x14ac:dyDescent="0.2">
      <c r="A27" s="12" t="s">
        <v>87</v>
      </c>
      <c r="B27" s="4" t="s">
        <v>35</v>
      </c>
      <c r="C27" s="12" t="s">
        <v>36</v>
      </c>
      <c r="D27" s="96">
        <v>343</v>
      </c>
      <c r="E27" s="176" t="s">
        <v>86</v>
      </c>
      <c r="AL27" s="31">
        <f>TRUNC(41.02*21,2)</f>
        <v>861.42</v>
      </c>
      <c r="AN27" s="31">
        <f>TRUNC(205.1*0.2,2)</f>
        <v>41.02</v>
      </c>
      <c r="AO27" s="31">
        <f>TRUNC(41.02*21,2)</f>
        <v>861.42</v>
      </c>
    </row>
    <row r="28" spans="1:365" s="31" customFormat="1" ht="15" customHeight="1" x14ac:dyDescent="0.2">
      <c r="A28" s="12"/>
      <c r="B28" s="4"/>
      <c r="C28" s="12"/>
      <c r="D28" s="35"/>
      <c r="E28" s="176"/>
      <c r="AL28" s="31">
        <f>TRUNC(56*21,2)</f>
        <v>1176</v>
      </c>
      <c r="AN28" s="31">
        <f>TRUNC(280*0.2,2)</f>
        <v>56</v>
      </c>
      <c r="AO28" s="31">
        <f>TRUNC(56*21,2)</f>
        <v>1176</v>
      </c>
    </row>
    <row r="29" spans="1:365" s="31" customFormat="1" ht="30" customHeight="1" x14ac:dyDescent="0.2">
      <c r="A29" s="79">
        <v>5</v>
      </c>
      <c r="B29" s="78" t="s">
        <v>110</v>
      </c>
      <c r="C29" s="79"/>
      <c r="D29" s="84"/>
      <c r="E29" s="180"/>
      <c r="AL29" s="31">
        <f t="shared" ref="AL29" si="0">TRUNC(70.98*21,2)</f>
        <v>1490.58</v>
      </c>
      <c r="AN29" s="31">
        <f>TRUNC(353.44*0.2,2)</f>
        <v>70.680000000000007</v>
      </c>
      <c r="AO29" s="31">
        <f>TRUNC(70.68*21,2)</f>
        <v>1484.28</v>
      </c>
    </row>
    <row r="30" spans="1:365" s="31" customFormat="1" ht="30" customHeight="1" x14ac:dyDescent="0.2">
      <c r="A30" s="12" t="s">
        <v>38</v>
      </c>
      <c r="B30" s="4" t="s">
        <v>105</v>
      </c>
      <c r="C30" s="12" t="s">
        <v>16</v>
      </c>
      <c r="D30" s="95">
        <f>E8</f>
        <v>1193.44</v>
      </c>
      <c r="E30" s="176" t="s">
        <v>75</v>
      </c>
    </row>
    <row r="31" spans="1:365" s="31" customFormat="1" ht="30" customHeight="1" x14ac:dyDescent="0.2">
      <c r="A31" s="12" t="s">
        <v>41</v>
      </c>
      <c r="B31" s="4" t="s">
        <v>107</v>
      </c>
      <c r="C31" s="12" t="s">
        <v>24</v>
      </c>
      <c r="D31" s="96">
        <f>ROUND(E8*0.06,2)</f>
        <v>71.61</v>
      </c>
      <c r="E31" s="176" t="s">
        <v>108</v>
      </c>
    </row>
    <row r="32" spans="1:365" s="31" customFormat="1" ht="15.75" customHeight="1" x14ac:dyDescent="0.2">
      <c r="A32" s="12"/>
      <c r="B32" s="4"/>
      <c r="C32" s="12"/>
      <c r="D32" s="54"/>
      <c r="E32" s="181"/>
    </row>
    <row r="33" spans="1:22" s="31" customFormat="1" ht="30" customHeight="1" x14ac:dyDescent="0.2">
      <c r="A33" s="14">
        <v>6</v>
      </c>
      <c r="B33" s="15" t="s">
        <v>37</v>
      </c>
      <c r="C33" s="37"/>
      <c r="D33" s="99"/>
      <c r="E33" s="182"/>
    </row>
    <row r="34" spans="1:22" s="31" customFormat="1" ht="47.25" customHeight="1" x14ac:dyDescent="0.2">
      <c r="A34" s="12" t="s">
        <v>48</v>
      </c>
      <c r="B34" s="22" t="s">
        <v>40</v>
      </c>
      <c r="C34" s="12" t="s">
        <v>24</v>
      </c>
      <c r="D34" s="95">
        <v>125.66</v>
      </c>
      <c r="E34" s="177" t="s">
        <v>177</v>
      </c>
      <c r="V34" s="159"/>
    </row>
    <row r="35" spans="1:22" s="31" customFormat="1" ht="30" customHeight="1" x14ac:dyDescent="0.2">
      <c r="A35" s="12" t="s">
        <v>49</v>
      </c>
      <c r="B35" s="22" t="s">
        <v>80</v>
      </c>
      <c r="C35" s="12" t="s">
        <v>36</v>
      </c>
      <c r="D35" s="95">
        <v>78</v>
      </c>
      <c r="E35" s="176" t="s">
        <v>157</v>
      </c>
      <c r="H35" s="158"/>
      <c r="V35" s="159"/>
    </row>
    <row r="36" spans="1:22" s="31" customFormat="1" ht="30" customHeight="1" x14ac:dyDescent="0.2">
      <c r="A36" s="12" t="s">
        <v>59</v>
      </c>
      <c r="B36" s="22" t="s">
        <v>81</v>
      </c>
      <c r="C36" s="12" t="s">
        <v>36</v>
      </c>
      <c r="D36" s="95">
        <f>D35</f>
        <v>78</v>
      </c>
      <c r="E36" s="176" t="str">
        <f>E35</f>
        <v>78 m tubo Ø 400mm</v>
      </c>
      <c r="H36" s="115"/>
    </row>
    <row r="37" spans="1:22" s="31" customFormat="1" ht="36.75" customHeight="1" x14ac:dyDescent="0.2">
      <c r="A37" s="12" t="s">
        <v>89</v>
      </c>
      <c r="B37" s="22" t="s">
        <v>82</v>
      </c>
      <c r="C37" s="12" t="s">
        <v>36</v>
      </c>
      <c r="D37" s="95">
        <v>31</v>
      </c>
      <c r="E37" s="176" t="s">
        <v>156</v>
      </c>
      <c r="V37" s="159"/>
    </row>
    <row r="38" spans="1:22" ht="30" customHeight="1" x14ac:dyDescent="0.2">
      <c r="A38" s="12" t="s">
        <v>90</v>
      </c>
      <c r="B38" s="22" t="s">
        <v>44</v>
      </c>
      <c r="C38" s="12" t="s">
        <v>24</v>
      </c>
      <c r="D38" s="95">
        <f>TRUNC(D34-D39,2)</f>
        <v>105.94</v>
      </c>
      <c r="E38" s="176" t="s">
        <v>159</v>
      </c>
      <c r="G38" s="31"/>
      <c r="H38" s="31"/>
      <c r="I38" s="31"/>
      <c r="J38" s="31"/>
    </row>
    <row r="39" spans="1:22" ht="29.25" customHeight="1" x14ac:dyDescent="0.2">
      <c r="A39" s="12" t="s">
        <v>91</v>
      </c>
      <c r="B39" s="22" t="s">
        <v>63</v>
      </c>
      <c r="C39" s="12" t="s">
        <v>24</v>
      </c>
      <c r="D39" s="186">
        <f>TRUNC((D35+D37)*3.1416*0.48*0.48/4,2)</f>
        <v>19.72</v>
      </c>
      <c r="E39" s="177" t="s">
        <v>178</v>
      </c>
      <c r="G39" s="31"/>
      <c r="H39" s="31"/>
      <c r="I39" s="31"/>
      <c r="J39" s="31"/>
    </row>
    <row r="40" spans="1:22" ht="31.5" customHeight="1" x14ac:dyDescent="0.2">
      <c r="A40" s="12" t="s">
        <v>92</v>
      </c>
      <c r="B40" s="22" t="s">
        <v>84</v>
      </c>
      <c r="C40" s="12" t="s">
        <v>26</v>
      </c>
      <c r="D40" s="186">
        <f>TRUNC((D39)*1.25*3.4,2)</f>
        <v>83.81</v>
      </c>
      <c r="E40" s="177" t="s">
        <v>179</v>
      </c>
      <c r="G40" s="31"/>
      <c r="H40" s="31"/>
      <c r="I40" s="31"/>
      <c r="J40" s="31"/>
      <c r="K40" s="31"/>
      <c r="P40" s="161"/>
      <c r="Q40" s="160"/>
      <c r="R40" s="160"/>
    </row>
    <row r="41" spans="1:22" ht="30" customHeight="1" x14ac:dyDescent="0.2">
      <c r="A41" s="12" t="s">
        <v>93</v>
      </c>
      <c r="B41" s="173" t="s">
        <v>143</v>
      </c>
      <c r="C41" s="12" t="s">
        <v>45</v>
      </c>
      <c r="D41" s="95">
        <v>5</v>
      </c>
      <c r="E41" s="176" t="s">
        <v>78</v>
      </c>
      <c r="G41" s="31"/>
      <c r="H41" s="31"/>
      <c r="I41" s="31"/>
      <c r="J41" s="31"/>
    </row>
    <row r="42" spans="1:22" ht="19.5" customHeight="1" x14ac:dyDescent="0.2">
      <c r="A42" s="12"/>
      <c r="B42" s="22"/>
      <c r="C42" s="12"/>
      <c r="D42" s="95"/>
      <c r="E42" s="176"/>
      <c r="G42" s="31"/>
      <c r="H42" s="31"/>
      <c r="I42" s="31"/>
      <c r="J42" s="31"/>
    </row>
    <row r="43" spans="1:22" ht="30" customHeight="1" x14ac:dyDescent="0.2">
      <c r="A43" s="79">
        <v>7</v>
      </c>
      <c r="B43" s="14" t="s">
        <v>114</v>
      </c>
      <c r="C43" s="79"/>
      <c r="D43" s="152"/>
      <c r="E43" s="180"/>
      <c r="G43" s="31"/>
      <c r="H43" s="31"/>
      <c r="I43" s="31"/>
      <c r="J43" s="31"/>
    </row>
    <row r="44" spans="1:22" ht="30" customHeight="1" x14ac:dyDescent="0.2">
      <c r="A44" s="12" t="s">
        <v>51</v>
      </c>
      <c r="B44" s="22" t="s">
        <v>46</v>
      </c>
      <c r="C44" s="12" t="s">
        <v>45</v>
      </c>
      <c r="D44" s="95">
        <v>9</v>
      </c>
      <c r="E44" s="176" t="s">
        <v>158</v>
      </c>
      <c r="G44" s="31"/>
      <c r="H44" s="31"/>
      <c r="I44" s="31"/>
      <c r="J44" s="31"/>
    </row>
    <row r="45" spans="1:22" ht="18" customHeight="1" x14ac:dyDescent="0.2">
      <c r="A45" s="12"/>
      <c r="B45" s="4"/>
      <c r="C45" s="12"/>
      <c r="D45" s="35"/>
      <c r="E45" s="35"/>
      <c r="G45" s="31"/>
      <c r="H45" s="31"/>
      <c r="I45" s="31"/>
      <c r="J45" s="31"/>
    </row>
    <row r="46" spans="1:22" ht="30" customHeight="1" x14ac:dyDescent="0.2">
      <c r="A46" s="14">
        <v>8</v>
      </c>
      <c r="B46" s="15" t="s">
        <v>47</v>
      </c>
      <c r="C46" s="37"/>
      <c r="D46" s="99"/>
      <c r="E46" s="182"/>
      <c r="G46" s="31"/>
      <c r="H46" s="31"/>
      <c r="I46" s="31"/>
      <c r="J46" s="31"/>
      <c r="L46" s="158"/>
    </row>
    <row r="47" spans="1:22" ht="30" customHeight="1" x14ac:dyDescent="0.2">
      <c r="A47" s="12" t="s">
        <v>94</v>
      </c>
      <c r="B47" s="57" t="s">
        <v>56</v>
      </c>
      <c r="C47" s="12" t="s">
        <v>36</v>
      </c>
      <c r="D47" s="96">
        <v>56.7</v>
      </c>
      <c r="E47" s="183" t="s">
        <v>57</v>
      </c>
      <c r="G47" s="31"/>
      <c r="H47" s="31"/>
      <c r="I47" s="31"/>
      <c r="J47" s="31"/>
      <c r="L47" s="158"/>
    </row>
    <row r="48" spans="1:22" ht="30" customHeight="1" x14ac:dyDescent="0.2">
      <c r="A48" s="12" t="s">
        <v>95</v>
      </c>
      <c r="B48" s="22" t="s">
        <v>58</v>
      </c>
      <c r="C48" s="12" t="s">
        <v>16</v>
      </c>
      <c r="D48" s="96">
        <v>44.8</v>
      </c>
      <c r="E48" s="183" t="s">
        <v>57</v>
      </c>
      <c r="G48" s="31"/>
      <c r="H48" s="31"/>
      <c r="I48" s="31"/>
      <c r="J48" s="31"/>
    </row>
    <row r="49" spans="1:31" ht="30" customHeight="1" x14ac:dyDescent="0.2">
      <c r="A49" s="12" t="s">
        <v>96</v>
      </c>
      <c r="B49" s="22" t="s">
        <v>161</v>
      </c>
      <c r="C49" s="12" t="s">
        <v>16</v>
      </c>
      <c r="D49" s="96">
        <f>ROUND(3*0.3,2)</f>
        <v>0.9</v>
      </c>
      <c r="E49" s="183" t="s">
        <v>76</v>
      </c>
      <c r="G49" s="31"/>
      <c r="H49" s="31"/>
      <c r="I49" s="31"/>
      <c r="J49" s="31"/>
      <c r="AE49" s="158"/>
    </row>
    <row r="50" spans="1:31" ht="30" customHeight="1" x14ac:dyDescent="0.2">
      <c r="A50" s="12" t="s">
        <v>154</v>
      </c>
      <c r="B50" s="174" t="s">
        <v>153</v>
      </c>
      <c r="C50" s="12" t="s">
        <v>16</v>
      </c>
      <c r="D50" s="96">
        <f>ROUND(3*0.2,2)</f>
        <v>0.6</v>
      </c>
      <c r="E50" s="183" t="s">
        <v>155</v>
      </c>
      <c r="G50" s="31"/>
      <c r="H50" s="31"/>
      <c r="I50" s="31"/>
      <c r="J50" s="31"/>
    </row>
    <row r="51" spans="1:31" ht="16.5" customHeight="1" x14ac:dyDescent="0.2">
      <c r="A51" s="42"/>
      <c r="B51" s="55"/>
      <c r="C51" s="12"/>
      <c r="D51" s="100"/>
      <c r="E51" s="181"/>
      <c r="G51" s="31"/>
      <c r="H51" s="31"/>
      <c r="I51" s="31"/>
      <c r="J51" s="31"/>
    </row>
    <row r="52" spans="1:31" ht="30" customHeight="1" x14ac:dyDescent="0.2">
      <c r="A52" s="14">
        <v>9</v>
      </c>
      <c r="B52" s="15" t="s">
        <v>50</v>
      </c>
      <c r="C52" s="37"/>
      <c r="D52" s="99"/>
      <c r="E52" s="182"/>
      <c r="G52" s="31"/>
      <c r="H52" s="31"/>
      <c r="I52" s="31"/>
      <c r="J52" s="31"/>
    </row>
    <row r="53" spans="1:31" ht="36.75" customHeight="1" x14ac:dyDescent="0.2">
      <c r="A53" s="12" t="s">
        <v>115</v>
      </c>
      <c r="B53" s="22" t="s">
        <v>141</v>
      </c>
      <c r="C53" s="12" t="s">
        <v>24</v>
      </c>
      <c r="D53" s="95">
        <f>TRUNC(476.78*0.07,2)</f>
        <v>33.369999999999997</v>
      </c>
      <c r="E53" s="183" t="s">
        <v>140</v>
      </c>
      <c r="G53" s="31"/>
      <c r="H53" s="31"/>
      <c r="I53" s="31"/>
      <c r="J53" s="31"/>
    </row>
    <row r="54" spans="1:31" ht="30" customHeight="1" x14ac:dyDescent="0.2">
      <c r="A54" s="12" t="s">
        <v>116</v>
      </c>
      <c r="B54" s="4" t="s">
        <v>103</v>
      </c>
      <c r="C54" s="12" t="s">
        <v>24</v>
      </c>
      <c r="D54" s="95">
        <f>TRUNC(476.78*0.03,2)</f>
        <v>14.3</v>
      </c>
      <c r="E54" s="183" t="s">
        <v>106</v>
      </c>
      <c r="G54" s="31"/>
      <c r="H54" s="31"/>
      <c r="I54" s="31"/>
      <c r="J54" s="31"/>
    </row>
    <row r="55" spans="1:31" ht="39" customHeight="1" x14ac:dyDescent="0.2">
      <c r="A55" s="12" t="s">
        <v>117</v>
      </c>
      <c r="B55" s="22" t="s">
        <v>175</v>
      </c>
      <c r="C55" s="12" t="s">
        <v>26</v>
      </c>
      <c r="D55" s="95">
        <f>TRUNC(476.78*0.03*17.1,2)</f>
        <v>244.58</v>
      </c>
      <c r="E55" s="183" t="s">
        <v>176</v>
      </c>
      <c r="G55" s="31"/>
      <c r="H55" s="31"/>
      <c r="I55" s="31"/>
      <c r="J55" s="31"/>
      <c r="AC55" s="161"/>
    </row>
    <row r="56" spans="1:31" ht="30" customHeight="1" x14ac:dyDescent="0.2">
      <c r="A56" s="12" t="s">
        <v>118</v>
      </c>
      <c r="B56" s="4" t="s">
        <v>71</v>
      </c>
      <c r="C56" s="12" t="s">
        <v>52</v>
      </c>
      <c r="D56" s="95">
        <v>3</v>
      </c>
      <c r="E56" s="183" t="s">
        <v>77</v>
      </c>
      <c r="G56" s="31"/>
      <c r="H56" s="31"/>
      <c r="I56" s="31"/>
      <c r="J56" s="31"/>
    </row>
    <row r="57" spans="1:31" ht="30" customHeight="1" x14ac:dyDescent="0.2">
      <c r="A57" s="12" t="s">
        <v>119</v>
      </c>
      <c r="B57" s="4" t="s">
        <v>73</v>
      </c>
      <c r="C57" s="12" t="s">
        <v>16</v>
      </c>
      <c r="D57" s="95">
        <f>TRUNC(40*0.4,2)</f>
        <v>16</v>
      </c>
      <c r="E57" s="183" t="s">
        <v>135</v>
      </c>
      <c r="G57" s="31"/>
      <c r="H57" s="31"/>
      <c r="I57" s="31"/>
      <c r="J57" s="31"/>
    </row>
    <row r="58" spans="1:31" ht="30" customHeight="1" x14ac:dyDescent="0.2">
      <c r="A58" s="12" t="s">
        <v>137</v>
      </c>
      <c r="B58" s="4" t="s">
        <v>74</v>
      </c>
      <c r="C58" s="77" t="s">
        <v>16</v>
      </c>
      <c r="D58" s="95">
        <f>TRUNC(276*0.4,2)</f>
        <v>110.4</v>
      </c>
      <c r="E58" s="183" t="s">
        <v>136</v>
      </c>
      <c r="G58" s="31"/>
      <c r="H58" s="31"/>
      <c r="I58" s="31"/>
      <c r="J58" s="31"/>
    </row>
    <row r="59" spans="1:31" ht="36" customHeight="1" x14ac:dyDescent="0.2">
      <c r="A59" s="12" t="s">
        <v>163</v>
      </c>
      <c r="B59" s="22" t="s">
        <v>162</v>
      </c>
      <c r="C59" s="12" t="s">
        <v>16</v>
      </c>
      <c r="D59" s="95">
        <v>476.78</v>
      </c>
      <c r="E59" s="176" t="s">
        <v>75</v>
      </c>
      <c r="G59" s="31"/>
      <c r="H59" s="31"/>
      <c r="I59" s="31"/>
      <c r="J59" s="31"/>
    </row>
    <row r="60" spans="1:31" customFormat="1" ht="30" customHeight="1" thickBot="1" x14ac:dyDescent="0.25">
      <c r="A60" s="151"/>
      <c r="B60" s="44"/>
      <c r="C60" s="44"/>
      <c r="D60" s="44"/>
      <c r="E60" s="44"/>
      <c r="G60" s="31"/>
      <c r="H60" s="31"/>
      <c r="I60" s="31"/>
      <c r="J60" s="31"/>
    </row>
    <row r="61" spans="1:31" ht="24.95" customHeight="1" x14ac:dyDescent="0.2">
      <c r="A61" s="49"/>
      <c r="B61" s="50"/>
      <c r="C61" s="3"/>
      <c r="D61" s="3"/>
      <c r="E61" s="3"/>
      <c r="G61" s="31"/>
      <c r="H61" s="31"/>
      <c r="I61" s="31"/>
      <c r="J61" s="31"/>
    </row>
    <row r="62" spans="1:31" ht="24.95" customHeight="1" x14ac:dyDescent="0.2">
      <c r="A62" s="8"/>
      <c r="B62" s="3"/>
      <c r="C62" s="3"/>
      <c r="D62" s="3"/>
      <c r="E62" s="3"/>
      <c r="G62" s="31"/>
      <c r="H62" s="31"/>
      <c r="I62" s="31"/>
      <c r="J62" s="31"/>
    </row>
    <row r="63" spans="1:31" ht="19.5" hidden="1" customHeight="1" x14ac:dyDescent="0.2">
      <c r="A63" s="8" t="s">
        <v>54</v>
      </c>
      <c r="B63" s="3"/>
      <c r="C63" s="3"/>
      <c r="D63" s="3"/>
      <c r="E63" s="3"/>
      <c r="G63" s="31"/>
      <c r="H63" s="31"/>
      <c r="I63" s="31"/>
      <c r="J63" s="31"/>
    </row>
    <row r="64" spans="1:31" ht="24.95" customHeight="1" x14ac:dyDescent="0.2">
      <c r="A64" s="8"/>
      <c r="B64" s="3"/>
      <c r="C64" s="3"/>
      <c r="D64" s="3"/>
      <c r="E64" s="3"/>
      <c r="G64" s="31"/>
      <c r="H64" s="31"/>
      <c r="I64" s="31"/>
      <c r="J64" s="31"/>
    </row>
    <row r="65" spans="1:10" ht="24.95" customHeight="1" x14ac:dyDescent="0.2">
      <c r="A65" s="8"/>
      <c r="B65" s="3"/>
      <c r="C65" s="3"/>
      <c r="D65" s="3"/>
      <c r="E65" s="3"/>
      <c r="G65" s="31"/>
      <c r="H65" s="31"/>
      <c r="I65" s="31"/>
      <c r="J65" s="31"/>
    </row>
    <row r="66" spans="1:10" ht="24.95" customHeight="1" x14ac:dyDescent="0.2">
      <c r="A66" s="8"/>
      <c r="B66" s="3"/>
      <c r="C66" s="3"/>
      <c r="D66" s="3"/>
      <c r="E66" s="3"/>
    </row>
    <row r="67" spans="1:10" ht="24.95" customHeight="1" x14ac:dyDescent="0.2">
      <c r="A67" s="8"/>
      <c r="B67" s="3"/>
      <c r="C67" s="3"/>
      <c r="D67" s="3"/>
      <c r="E67" s="3"/>
    </row>
    <row r="68" spans="1:10" ht="24.95" customHeight="1" x14ac:dyDescent="0.2">
      <c r="A68" s="8"/>
      <c r="B68" s="3"/>
      <c r="C68" s="3"/>
      <c r="D68" s="3"/>
      <c r="E68" s="3"/>
    </row>
    <row r="69" spans="1:10" ht="24.95" customHeight="1" x14ac:dyDescent="0.2">
      <c r="A69" s="8"/>
      <c r="B69" s="3"/>
      <c r="C69" s="3"/>
      <c r="D69" s="3"/>
      <c r="E69" s="3"/>
    </row>
    <row r="70" spans="1:10" ht="24.95" customHeight="1" x14ac:dyDescent="0.2">
      <c r="A70" s="8"/>
      <c r="B70" s="3"/>
      <c r="C70" s="3"/>
      <c r="D70" s="3"/>
      <c r="E70" s="3"/>
    </row>
    <row r="71" spans="1:10" ht="20.100000000000001" customHeight="1" x14ac:dyDescent="0.2">
      <c r="A71" s="8"/>
      <c r="B71" s="3"/>
      <c r="C71" s="3"/>
      <c r="D71" s="3"/>
      <c r="E71" s="3"/>
    </row>
    <row r="72" spans="1:10" ht="20.100000000000001" customHeight="1" x14ac:dyDescent="0.2">
      <c r="A72" s="8"/>
      <c r="B72" s="3"/>
      <c r="C72" s="3"/>
      <c r="D72" s="3"/>
      <c r="E72" s="3"/>
    </row>
    <row r="73" spans="1:10" ht="20.100000000000001" customHeight="1" x14ac:dyDescent="0.2">
      <c r="A73" s="8"/>
      <c r="B73" s="3"/>
      <c r="C73" s="3"/>
      <c r="D73" s="3"/>
      <c r="E73" s="3"/>
    </row>
    <row r="74" spans="1:10" ht="20.100000000000001" customHeight="1" x14ac:dyDescent="0.2">
      <c r="A74" s="8"/>
      <c r="B74" s="3"/>
      <c r="C74" s="3"/>
      <c r="D74" s="3"/>
      <c r="E74" s="3"/>
    </row>
    <row r="75" spans="1:10" ht="15" x14ac:dyDescent="0.2">
      <c r="A75" s="8"/>
      <c r="B75" s="3"/>
      <c r="C75" s="3"/>
      <c r="D75" s="3"/>
      <c r="E75" s="3"/>
    </row>
    <row r="76" spans="1:10" ht="15" x14ac:dyDescent="0.2">
      <c r="A76" s="8"/>
      <c r="B76" s="3"/>
      <c r="C76" s="3"/>
      <c r="D76" s="3"/>
      <c r="E76" s="3"/>
    </row>
    <row r="77" spans="1:10" ht="15" x14ac:dyDescent="0.2">
      <c r="A77" s="8"/>
      <c r="B77" s="3"/>
      <c r="C77" s="3"/>
      <c r="D77" s="3"/>
      <c r="E77" s="3"/>
    </row>
    <row r="78" spans="1:10" ht="15" x14ac:dyDescent="0.2">
      <c r="A78" s="8"/>
      <c r="B78" s="3"/>
      <c r="C78" s="3"/>
      <c r="D78" s="3"/>
      <c r="E78" s="3"/>
    </row>
    <row r="79" spans="1:10" ht="15" x14ac:dyDescent="0.2">
      <c r="A79" s="8"/>
      <c r="B79" s="3"/>
      <c r="C79" s="3"/>
      <c r="D79" s="3"/>
      <c r="E79" s="3"/>
    </row>
    <row r="80" spans="1:10" ht="15" x14ac:dyDescent="0.2">
      <c r="A80" s="8"/>
      <c r="B80" s="3"/>
      <c r="C80" s="3"/>
      <c r="D80" s="3"/>
      <c r="E80" s="3"/>
    </row>
    <row r="81" spans="1:5" ht="15" x14ac:dyDescent="0.2">
      <c r="A81" s="8"/>
      <c r="B81" s="3"/>
      <c r="C81" s="3"/>
      <c r="D81" s="3"/>
      <c r="E81" s="3"/>
    </row>
    <row r="82" spans="1:5" ht="15" x14ac:dyDescent="0.2">
      <c r="A82" s="8"/>
      <c r="B82" s="3"/>
      <c r="C82" s="3"/>
      <c r="D82" s="3"/>
      <c r="E82" s="3"/>
    </row>
    <row r="83" spans="1:5" ht="15" x14ac:dyDescent="0.2">
      <c r="A83" s="8"/>
      <c r="B83" s="3"/>
      <c r="C83" s="3"/>
      <c r="D83" s="3"/>
      <c r="E83" s="3"/>
    </row>
    <row r="84" spans="1:5" ht="15" x14ac:dyDescent="0.2">
      <c r="A84" s="8"/>
      <c r="B84" s="3"/>
      <c r="C84" s="3"/>
      <c r="D84" s="3"/>
      <c r="E84" s="3"/>
    </row>
    <row r="85" spans="1:5" ht="15" x14ac:dyDescent="0.2">
      <c r="A85" s="8"/>
      <c r="B85" s="3"/>
      <c r="C85" s="3"/>
      <c r="D85" s="3"/>
      <c r="E85" s="3"/>
    </row>
    <row r="86" spans="1:5" ht="15" x14ac:dyDescent="0.2">
      <c r="A86" s="8"/>
      <c r="B86" s="3"/>
      <c r="C86" s="3"/>
      <c r="D86" s="3"/>
      <c r="E86" s="3"/>
    </row>
    <row r="87" spans="1:5" ht="15" x14ac:dyDescent="0.2">
      <c r="A87" s="8"/>
      <c r="B87" s="3"/>
      <c r="C87" s="3"/>
      <c r="D87" s="3"/>
      <c r="E87" s="3"/>
    </row>
    <row r="88" spans="1:5" ht="15" x14ac:dyDescent="0.2">
      <c r="A88" s="8"/>
      <c r="B88" s="3"/>
      <c r="C88" s="3"/>
      <c r="D88" s="3"/>
      <c r="E88" s="3"/>
    </row>
    <row r="89" spans="1:5" ht="15" x14ac:dyDescent="0.2">
      <c r="A89" s="8"/>
      <c r="B89" s="3"/>
      <c r="C89" s="3"/>
      <c r="D89" s="3"/>
      <c r="E89" s="3"/>
    </row>
    <row r="90" spans="1:5" ht="15" x14ac:dyDescent="0.2">
      <c r="A90" s="8"/>
      <c r="B90" s="3"/>
      <c r="C90" s="3"/>
      <c r="D90" s="3"/>
      <c r="E90" s="3"/>
    </row>
    <row r="91" spans="1:5" ht="15" x14ac:dyDescent="0.2">
      <c r="A91" s="8"/>
      <c r="B91" s="3"/>
      <c r="C91" s="3"/>
      <c r="D91" s="3"/>
      <c r="E91" s="3"/>
    </row>
    <row r="92" spans="1:5" ht="15" x14ac:dyDescent="0.2">
      <c r="A92" s="8"/>
      <c r="B92" s="3"/>
      <c r="C92" s="3"/>
      <c r="D92" s="3"/>
      <c r="E92" s="3"/>
    </row>
    <row r="93" spans="1:5" ht="15" x14ac:dyDescent="0.2">
      <c r="A93" s="8"/>
      <c r="B93" s="3"/>
      <c r="C93" s="3"/>
      <c r="D93" s="3"/>
      <c r="E93" s="3"/>
    </row>
    <row r="94" spans="1:5" ht="15" x14ac:dyDescent="0.2">
      <c r="A94" s="8"/>
      <c r="B94" s="3"/>
      <c r="C94" s="3"/>
      <c r="D94" s="3"/>
      <c r="E94" s="3"/>
    </row>
    <row r="95" spans="1:5" ht="15" x14ac:dyDescent="0.2">
      <c r="A95" s="8"/>
      <c r="B95" s="3"/>
      <c r="C95" s="3"/>
      <c r="D95" s="3"/>
      <c r="E95" s="3"/>
    </row>
    <row r="96" spans="1:5" ht="15" x14ac:dyDescent="0.2">
      <c r="A96" s="8"/>
      <c r="B96" s="3"/>
      <c r="C96" s="3"/>
      <c r="D96" s="3"/>
      <c r="E96" s="3"/>
    </row>
    <row r="97" spans="1:5" ht="15" x14ac:dyDescent="0.2">
      <c r="A97" s="8"/>
      <c r="B97" s="3"/>
      <c r="C97" s="3"/>
      <c r="D97" s="3"/>
      <c r="E97" s="3"/>
    </row>
    <row r="98" spans="1:5" ht="15" x14ac:dyDescent="0.2">
      <c r="A98" s="8"/>
      <c r="B98" s="3"/>
      <c r="C98" s="3"/>
      <c r="D98" s="3"/>
      <c r="E98" s="3"/>
    </row>
    <row r="99" spans="1:5" ht="15" x14ac:dyDescent="0.2">
      <c r="A99" s="8"/>
      <c r="B99" s="3"/>
      <c r="C99" s="3"/>
      <c r="D99" s="3"/>
      <c r="E99" s="3"/>
    </row>
    <row r="100" spans="1:5" ht="15" x14ac:dyDescent="0.2">
      <c r="A100" s="8"/>
      <c r="B100" s="3"/>
      <c r="C100" s="3"/>
      <c r="D100" s="3"/>
      <c r="E100" s="3"/>
    </row>
    <row r="101" spans="1:5" ht="15" x14ac:dyDescent="0.2">
      <c r="A101" s="8"/>
      <c r="B101" s="3"/>
      <c r="C101" s="3"/>
      <c r="D101" s="3"/>
      <c r="E101" s="3"/>
    </row>
    <row r="102" spans="1:5" ht="15" x14ac:dyDescent="0.2">
      <c r="A102" s="8"/>
      <c r="B102" s="3"/>
      <c r="C102" s="3"/>
      <c r="D102" s="3"/>
      <c r="E102" s="3"/>
    </row>
    <row r="103" spans="1:5" ht="15" x14ac:dyDescent="0.2">
      <c r="A103" s="8"/>
      <c r="B103" s="3"/>
      <c r="C103" s="3"/>
      <c r="D103" s="3"/>
      <c r="E103" s="3"/>
    </row>
    <row r="104" spans="1:5" ht="15" x14ac:dyDescent="0.2">
      <c r="A104" s="8"/>
      <c r="B104" s="3"/>
      <c r="C104" s="3"/>
      <c r="D104" s="3"/>
      <c r="E104" s="3"/>
    </row>
    <row r="105" spans="1:5" ht="15" x14ac:dyDescent="0.2">
      <c r="A105" s="8"/>
      <c r="B105" s="3"/>
      <c r="C105" s="3"/>
      <c r="D105" s="3"/>
      <c r="E105" s="3"/>
    </row>
    <row r="106" spans="1:5" ht="15" x14ac:dyDescent="0.2">
      <c r="A106" s="8"/>
      <c r="B106" s="3"/>
      <c r="C106" s="3"/>
      <c r="D106" s="3"/>
      <c r="E106" s="3"/>
    </row>
    <row r="107" spans="1:5" ht="15" x14ac:dyDescent="0.2">
      <c r="A107" s="8"/>
      <c r="B107" s="3"/>
      <c r="C107" s="3"/>
      <c r="D107" s="3"/>
      <c r="E107" s="3"/>
    </row>
    <row r="108" spans="1:5" ht="15" x14ac:dyDescent="0.2">
      <c r="A108" s="8"/>
      <c r="B108" s="3"/>
      <c r="C108" s="3"/>
      <c r="D108" s="3"/>
      <c r="E108" s="3"/>
    </row>
    <row r="109" spans="1:5" ht="15" x14ac:dyDescent="0.2">
      <c r="A109" s="8"/>
      <c r="B109" s="3"/>
      <c r="C109" s="3"/>
      <c r="D109" s="3"/>
      <c r="E109" s="3"/>
    </row>
    <row r="110" spans="1:5" ht="15" x14ac:dyDescent="0.2">
      <c r="A110" s="8"/>
      <c r="B110" s="3"/>
      <c r="C110" s="3"/>
      <c r="D110" s="3"/>
      <c r="E110" s="3"/>
    </row>
    <row r="111" spans="1:5" ht="15" x14ac:dyDescent="0.2">
      <c r="A111" s="8"/>
      <c r="B111" s="3"/>
      <c r="C111" s="3"/>
      <c r="D111" s="3"/>
      <c r="E111" s="3"/>
    </row>
    <row r="112" spans="1:5" ht="15" x14ac:dyDescent="0.2">
      <c r="A112" s="8"/>
      <c r="B112" s="3"/>
      <c r="C112" s="3"/>
      <c r="D112" s="3"/>
      <c r="E112" s="3"/>
    </row>
    <row r="113" spans="1:5" ht="15" x14ac:dyDescent="0.2">
      <c r="A113" s="8"/>
      <c r="B113" s="3"/>
      <c r="C113" s="3"/>
      <c r="D113" s="3"/>
      <c r="E113" s="3"/>
    </row>
    <row r="114" spans="1:5" ht="15" x14ac:dyDescent="0.2">
      <c r="A114" s="8"/>
      <c r="B114" s="3"/>
      <c r="C114" s="3"/>
      <c r="D114" s="3"/>
      <c r="E114" s="3"/>
    </row>
    <row r="115" spans="1:5" ht="15" x14ac:dyDescent="0.2">
      <c r="A115" s="8"/>
      <c r="B115" s="3"/>
      <c r="C115" s="3"/>
      <c r="D115" s="3"/>
      <c r="E115" s="3"/>
    </row>
    <row r="116" spans="1:5" ht="15" x14ac:dyDescent="0.2">
      <c r="A116" s="8"/>
      <c r="B116" s="3"/>
      <c r="C116" s="3"/>
      <c r="D116" s="3"/>
      <c r="E116" s="3"/>
    </row>
    <row r="117" spans="1:5" ht="15" x14ac:dyDescent="0.2">
      <c r="A117" s="8"/>
      <c r="B117" s="3"/>
      <c r="C117" s="3"/>
      <c r="D117" s="3"/>
      <c r="E117" s="3"/>
    </row>
    <row r="118" spans="1:5" ht="15" x14ac:dyDescent="0.2">
      <c r="A118" s="8"/>
      <c r="B118" s="3"/>
      <c r="C118" s="3"/>
      <c r="D118" s="3"/>
      <c r="E118" s="3"/>
    </row>
    <row r="119" spans="1:5" ht="15" x14ac:dyDescent="0.2">
      <c r="A119" s="8"/>
      <c r="B119" s="3"/>
      <c r="C119" s="3"/>
      <c r="D119" s="3"/>
      <c r="E119" s="3"/>
    </row>
    <row r="120" spans="1:5" ht="15" x14ac:dyDescent="0.2">
      <c r="A120" s="8"/>
      <c r="B120" s="3"/>
      <c r="C120" s="3"/>
      <c r="D120" s="3"/>
      <c r="E120" s="3"/>
    </row>
    <row r="121" spans="1:5" ht="15" x14ac:dyDescent="0.2">
      <c r="A121" s="8"/>
      <c r="B121" s="3"/>
      <c r="C121" s="3"/>
      <c r="D121" s="3"/>
      <c r="E121" s="3"/>
    </row>
    <row r="122" spans="1:5" ht="15" x14ac:dyDescent="0.2">
      <c r="A122" s="8"/>
      <c r="B122" s="3"/>
      <c r="C122" s="3"/>
      <c r="D122" s="3"/>
      <c r="E122" s="3"/>
    </row>
    <row r="123" spans="1:5" ht="15" x14ac:dyDescent="0.2">
      <c r="A123" s="8"/>
      <c r="B123" s="3"/>
      <c r="C123" s="3"/>
      <c r="D123" s="3"/>
      <c r="E123" s="3"/>
    </row>
    <row r="124" spans="1:5" ht="15" x14ac:dyDescent="0.2">
      <c r="A124" s="8"/>
      <c r="B124" s="3"/>
      <c r="C124" s="3"/>
      <c r="D124" s="3"/>
      <c r="E124" s="3"/>
    </row>
    <row r="125" spans="1:5" ht="15" x14ac:dyDescent="0.2">
      <c r="A125" s="8"/>
      <c r="B125" s="3"/>
      <c r="C125" s="3"/>
      <c r="D125" s="3"/>
      <c r="E125" s="3"/>
    </row>
    <row r="126" spans="1:5" ht="15" x14ac:dyDescent="0.2">
      <c r="A126" s="8"/>
      <c r="B126" s="3"/>
      <c r="C126" s="3"/>
      <c r="D126" s="3"/>
      <c r="E126" s="3"/>
    </row>
    <row r="127" spans="1:5" ht="15" x14ac:dyDescent="0.2">
      <c r="A127" s="8"/>
      <c r="B127" s="3"/>
      <c r="C127" s="3"/>
      <c r="D127" s="3"/>
      <c r="E127" s="3"/>
    </row>
    <row r="128" spans="1:5" ht="15" x14ac:dyDescent="0.2">
      <c r="A128" s="8"/>
      <c r="B128" s="3"/>
      <c r="C128" s="3"/>
      <c r="D128" s="3"/>
      <c r="E128" s="3"/>
    </row>
    <row r="129" spans="1:5" ht="15" x14ac:dyDescent="0.2">
      <c r="A129" s="8"/>
      <c r="B129" s="3"/>
      <c r="C129" s="3"/>
      <c r="D129" s="3"/>
      <c r="E129" s="3"/>
    </row>
    <row r="130" spans="1:5" ht="15" x14ac:dyDescent="0.2">
      <c r="A130" s="8"/>
      <c r="B130" s="3"/>
      <c r="C130" s="3"/>
      <c r="D130" s="3"/>
      <c r="E130" s="3"/>
    </row>
    <row r="131" spans="1:5" ht="15" x14ac:dyDescent="0.2">
      <c r="A131" s="8"/>
      <c r="B131" s="3"/>
      <c r="C131" s="3"/>
      <c r="D131" s="3"/>
      <c r="E131" s="3"/>
    </row>
    <row r="132" spans="1:5" ht="15" x14ac:dyDescent="0.2">
      <c r="A132" s="8"/>
      <c r="B132" s="3"/>
      <c r="C132" s="3"/>
      <c r="D132" s="3"/>
      <c r="E132" s="3"/>
    </row>
    <row r="133" spans="1:5" ht="15" x14ac:dyDescent="0.2">
      <c r="D133" s="3"/>
    </row>
    <row r="134" spans="1:5" ht="15" x14ac:dyDescent="0.2">
      <c r="D134" s="3"/>
    </row>
    <row r="135" spans="1:5" ht="15" x14ac:dyDescent="0.2">
      <c r="D135" s="3"/>
    </row>
    <row r="136" spans="1:5" ht="15" x14ac:dyDescent="0.2">
      <c r="D136" s="3"/>
    </row>
  </sheetData>
  <phoneticPr fontId="11" type="noConversion"/>
  <printOptions horizontalCentered="1"/>
  <pageMargins left="0" right="0" top="0" bottom="0" header="0.35433070866141736" footer="0.19685039370078741"/>
  <pageSetup paperSize="9" scale="46" orientation="portrait" r:id="rId1"/>
  <headerFooter alignWithMargins="0">
    <oddHeader xml:space="preserve">&amp;C&amp;14Prefeitura Municipal de Alvorada
&amp;10Secretaria Municipal de Obras e Viação
Diretoria Geral Técnica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8BA4A-6CF1-43A1-85C2-E563F85823D4}">
  <sheetPr>
    <pageSetUpPr fitToPage="1"/>
  </sheetPr>
  <dimension ref="A5:D20"/>
  <sheetViews>
    <sheetView tabSelected="1" topLeftCell="A10" workbookViewId="0">
      <selection activeCell="G27" sqref="G27"/>
    </sheetView>
  </sheetViews>
  <sheetFormatPr defaultRowHeight="12.75" x14ac:dyDescent="0.2"/>
  <cols>
    <col min="1" max="1" width="7.85546875" customWidth="1"/>
    <col min="2" max="2" width="55.5703125" customWidth="1"/>
    <col min="3" max="3" width="29.7109375" customWidth="1"/>
  </cols>
  <sheetData>
    <row r="5" spans="1:4" x14ac:dyDescent="0.2">
      <c r="A5" s="125"/>
      <c r="B5" s="126"/>
      <c r="C5" s="127"/>
    </row>
    <row r="6" spans="1:4" ht="18" x14ac:dyDescent="0.25">
      <c r="A6" s="153"/>
      <c r="B6" s="155" t="s">
        <v>130</v>
      </c>
      <c r="C6" s="154"/>
    </row>
    <row r="7" spans="1:4" x14ac:dyDescent="0.2">
      <c r="A7" s="128"/>
      <c r="C7" s="129"/>
    </row>
    <row r="8" spans="1:4" ht="15" x14ac:dyDescent="0.2">
      <c r="A8" s="4"/>
      <c r="B8" s="123"/>
      <c r="C8" s="4"/>
      <c r="D8" s="3"/>
    </row>
    <row r="9" spans="1:4" ht="15" x14ac:dyDescent="0.2">
      <c r="A9" s="130" t="s">
        <v>124</v>
      </c>
      <c r="B9" s="122" t="s">
        <v>125</v>
      </c>
      <c r="C9" s="122" t="s">
        <v>126</v>
      </c>
      <c r="D9" s="107"/>
    </row>
    <row r="10" spans="1:4" ht="30" customHeight="1" x14ac:dyDescent="0.2">
      <c r="A10" s="77">
        <v>1</v>
      </c>
      <c r="B10" s="123" t="s">
        <v>17</v>
      </c>
      <c r="C10" s="124">
        <f>'Planilha orçamentária'!H8</f>
        <v>4459.24</v>
      </c>
      <c r="D10" s="107"/>
    </row>
    <row r="11" spans="1:4" ht="30" customHeight="1" x14ac:dyDescent="0.2">
      <c r="A11" s="77">
        <v>2</v>
      </c>
      <c r="B11" s="123" t="s">
        <v>12</v>
      </c>
      <c r="C11" s="124">
        <f>'Planilha orçamentária'!H11</f>
        <v>6893.18</v>
      </c>
      <c r="D11" s="107"/>
    </row>
    <row r="12" spans="1:4" ht="30" customHeight="1" x14ac:dyDescent="0.2">
      <c r="A12" s="77">
        <v>3</v>
      </c>
      <c r="B12" s="123" t="s">
        <v>127</v>
      </c>
      <c r="C12" s="124">
        <f>'Planilha orçamentária'!H16</f>
        <v>18733.78</v>
      </c>
      <c r="D12" s="107"/>
    </row>
    <row r="13" spans="1:4" ht="30" customHeight="1" x14ac:dyDescent="0.2">
      <c r="A13" s="77">
        <v>4</v>
      </c>
      <c r="B13" s="123" t="s">
        <v>88</v>
      </c>
      <c r="C13" s="124">
        <f>'Planilha orçamentária'!H22</f>
        <v>70015.48</v>
      </c>
      <c r="D13" s="107"/>
    </row>
    <row r="14" spans="1:4" ht="30" customHeight="1" x14ac:dyDescent="0.2">
      <c r="A14" s="77">
        <v>5</v>
      </c>
      <c r="B14" s="123" t="s">
        <v>110</v>
      </c>
      <c r="C14" s="124">
        <f>'Planilha orçamentária'!H27</f>
        <v>188852.69</v>
      </c>
      <c r="D14" s="107"/>
    </row>
    <row r="15" spans="1:4" ht="30" customHeight="1" x14ac:dyDescent="0.2">
      <c r="A15" s="77">
        <v>6</v>
      </c>
      <c r="B15" s="123" t="s">
        <v>37</v>
      </c>
      <c r="C15" s="124">
        <f>'Planilha orçamentária'!H31</f>
        <v>33647.01</v>
      </c>
      <c r="D15" s="107"/>
    </row>
    <row r="16" spans="1:4" ht="30" customHeight="1" x14ac:dyDescent="0.2">
      <c r="A16" s="77">
        <v>7</v>
      </c>
      <c r="B16" s="123" t="s">
        <v>128</v>
      </c>
      <c r="C16" s="124">
        <f>'Planilha orçamentária'!H41</f>
        <v>12311.19</v>
      </c>
      <c r="D16" s="107"/>
    </row>
    <row r="17" spans="1:4" ht="30" customHeight="1" x14ac:dyDescent="0.2">
      <c r="A17" s="77">
        <v>8</v>
      </c>
      <c r="B17" s="116" t="s">
        <v>47</v>
      </c>
      <c r="C17" s="124">
        <f>'Planilha orçamentária'!H44</f>
        <v>2542.11</v>
      </c>
      <c r="D17" s="107"/>
    </row>
    <row r="18" spans="1:4" ht="30" customHeight="1" x14ac:dyDescent="0.2">
      <c r="A18" s="77">
        <v>9</v>
      </c>
      <c r="B18" s="116" t="s">
        <v>50</v>
      </c>
      <c r="C18" s="124">
        <f>'Planilha orçamentária'!H50</f>
        <v>46670.789999999994</v>
      </c>
      <c r="D18" s="107"/>
    </row>
    <row r="19" spans="1:4" ht="30" customHeight="1" x14ac:dyDescent="0.25">
      <c r="A19" s="131"/>
      <c r="B19" s="131" t="s">
        <v>129</v>
      </c>
      <c r="C19" s="132">
        <f>SUM(C10:C18)</f>
        <v>384125.47</v>
      </c>
      <c r="D19" s="107"/>
    </row>
    <row r="20" spans="1:4" ht="15" x14ac:dyDescent="0.2">
      <c r="A20" s="107"/>
      <c r="B20" s="107"/>
      <c r="C20" s="107"/>
      <c r="D20" s="107"/>
    </row>
  </sheetData>
  <pageMargins left="0.511811024" right="0.511811024" top="0.78740157499999996" bottom="0.78740157499999996" header="0.31496062000000002" footer="0.3149606200000000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Planilha orçamentária</vt:lpstr>
      <vt:lpstr>Planilha1</vt:lpstr>
      <vt:lpstr>Memoriade calculo</vt:lpstr>
      <vt:lpstr>RESUMO</vt:lpstr>
      <vt:lpstr>'Memoriade calculo'!Titulos_de_impressao</vt:lpstr>
      <vt:lpstr>'Planilha orçamentária'!Titulos_de_impressao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Rogerio</dc:creator>
  <cp:lastModifiedBy>COMPRAS</cp:lastModifiedBy>
  <cp:lastPrinted>2023-08-31T12:02:02Z</cp:lastPrinted>
  <dcterms:created xsi:type="dcterms:W3CDTF">2021-09-17T12:47:48Z</dcterms:created>
  <dcterms:modified xsi:type="dcterms:W3CDTF">2023-10-19T17:26:32Z</dcterms:modified>
</cp:coreProperties>
</file>