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PAT54887\Documentos1\Brasília\Ministerio das Cidades\MANAUS, FRANCELINO, FEIJÓ e VISTA ALEGRE\LICITAÇÃO\"/>
    </mc:Choice>
  </mc:AlternateContent>
  <xr:revisionPtr revIDLastSave="0" documentId="13_ncr:1_{5CB86B3D-3A81-4A72-BA44-A308020D28DE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Memoria de calculo" sheetId="30" r:id="rId1"/>
    <sheet name="Resumo" sheetId="31" r:id="rId2"/>
    <sheet name="GERAL" sheetId="28" r:id="rId3"/>
    <sheet name="Cronograma" sheetId="29" r:id="rId4"/>
  </sheets>
  <externalReferences>
    <externalReference r:id="rId5"/>
    <externalReference r:id="rId6"/>
    <externalReference r:id="rId7"/>
    <externalReference r:id="rId8"/>
  </externalReferences>
  <definedNames>
    <definedName name="_xlnm.Print_Titles" localSheetId="2">GERAL!$4:$6</definedName>
    <definedName name="_xlnm.Print_Titles" localSheetId="0">'Memoria de calculo'!$5:$6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4" i="28" l="1"/>
  <c r="N4" i="28"/>
  <c r="O4" i="28"/>
  <c r="P4" i="28"/>
  <c r="M8" i="28"/>
  <c r="P8" i="28"/>
  <c r="Q8" i="28"/>
  <c r="Q7" i="28" s="1"/>
  <c r="M11" i="28"/>
  <c r="P11" i="28"/>
  <c r="M12" i="28"/>
  <c r="P12" i="28"/>
  <c r="K13" i="28"/>
  <c r="M13" i="28" s="1"/>
  <c r="L13" i="28"/>
  <c r="N13" i="28"/>
  <c r="O13" i="28"/>
  <c r="K16" i="28"/>
  <c r="K17" i="28" s="1"/>
  <c r="L16" i="28"/>
  <c r="K19" i="28"/>
  <c r="M19" i="28" s="1"/>
  <c r="L19" i="28"/>
  <c r="K27" i="28"/>
  <c r="L27" i="28"/>
  <c r="M27" i="28" s="1"/>
  <c r="K33" i="28"/>
  <c r="K32" i="28" s="1"/>
  <c r="M32" i="28" s="1"/>
  <c r="L33" i="28"/>
  <c r="L34" i="28" s="1"/>
  <c r="M35" i="28"/>
  <c r="M36" i="28"/>
  <c r="M37" i="28"/>
  <c r="M38" i="28"/>
  <c r="M39" i="28"/>
  <c r="M42" i="28"/>
  <c r="M43" i="28"/>
  <c r="M44" i="28"/>
  <c r="K48" i="28"/>
  <c r="M48" i="28" s="1"/>
  <c r="L48" i="28"/>
  <c r="R48" i="28"/>
  <c r="K49" i="28"/>
  <c r="M49" i="28" s="1"/>
  <c r="L49" i="28"/>
  <c r="K50" i="28"/>
  <c r="L50" i="28"/>
  <c r="M51" i="28"/>
  <c r="K52" i="28"/>
  <c r="M52" i="28" s="1"/>
  <c r="L52" i="28"/>
  <c r="K53" i="28"/>
  <c r="L53" i="28"/>
  <c r="P58" i="28"/>
  <c r="N61" i="28"/>
  <c r="O61" i="28"/>
  <c r="O62" i="28"/>
  <c r="P63" i="28"/>
  <c r="N64" i="28"/>
  <c r="O64" i="28"/>
  <c r="P64" i="28" s="1"/>
  <c r="N81" i="28"/>
  <c r="N88" i="28" s="1"/>
  <c r="N82" i="28"/>
  <c r="P82" i="28" s="1"/>
  <c r="O82" i="28"/>
  <c r="O83" i="28" s="1"/>
  <c r="N83" i="28"/>
  <c r="P89" i="28"/>
  <c r="P90" i="28"/>
  <c r="P91" i="28"/>
  <c r="P93" i="28"/>
  <c r="P96" i="28"/>
  <c r="P97" i="28"/>
  <c r="P98" i="28"/>
  <c r="N102" i="28"/>
  <c r="O102" i="28"/>
  <c r="N103" i="28"/>
  <c r="O103" i="28"/>
  <c r="N104" i="28"/>
  <c r="O104" i="28"/>
  <c r="P104" i="28" s="1"/>
  <c r="P105" i="28"/>
  <c r="N106" i="28"/>
  <c r="O106" i="28"/>
  <c r="P106" i="28" s="1"/>
  <c r="N107" i="28"/>
  <c r="P107" i="28" s="1"/>
  <c r="O107" i="28"/>
  <c r="S48" i="28"/>
  <c r="T48" i="28" s="1"/>
  <c r="P102" i="28" l="1"/>
  <c r="M53" i="28"/>
  <c r="K18" i="28"/>
  <c r="P61" i="28"/>
  <c r="M50" i="28"/>
  <c r="P13" i="28"/>
  <c r="P103" i="28"/>
  <c r="M16" i="28"/>
  <c r="P83" i="28"/>
  <c r="O81" i="28"/>
  <c r="N62" i="28"/>
  <c r="P62" i="28" s="1"/>
  <c r="K34" i="28"/>
  <c r="M34" i="28" s="1"/>
  <c r="L17" i="28"/>
  <c r="M17" i="28" s="1"/>
  <c r="M33" i="28"/>
  <c r="L18" i="28"/>
  <c r="M18" i="28" s="1"/>
  <c r="G76" i="28"/>
  <c r="G27" i="28"/>
  <c r="P81" i="28" l="1"/>
  <c r="O88" i="28"/>
  <c r="P88" i="28" s="1"/>
  <c r="G92" i="28"/>
  <c r="H92" i="28" s="1"/>
  <c r="G178" i="28"/>
  <c r="G97" i="28" l="1"/>
  <c r="G82" i="28"/>
  <c r="G73" i="28"/>
  <c r="G43" i="28"/>
  <c r="G35" i="28"/>
  <c r="G33" i="28"/>
  <c r="G24" i="28"/>
  <c r="I8" i="28" l="1"/>
  <c r="G8" i="28" s="1"/>
  <c r="F203" i="28" l="1"/>
  <c r="F200" i="28"/>
  <c r="F199" i="28"/>
  <c r="G196" i="28" l="1"/>
  <c r="F196" i="28"/>
  <c r="G145" i="28"/>
  <c r="F145" i="28"/>
  <c r="G99" i="28"/>
  <c r="F99" i="28"/>
  <c r="G45" i="28"/>
  <c r="F45" i="28"/>
  <c r="F44" i="28"/>
  <c r="H145" i="28" l="1"/>
  <c r="H45" i="28"/>
  <c r="H99" i="28"/>
  <c r="H196" i="28"/>
  <c r="F71" i="28"/>
  <c r="G71" i="28"/>
  <c r="G72" i="28"/>
  <c r="G69" i="28"/>
  <c r="H71" i="28" l="1"/>
  <c r="F72" i="28"/>
  <c r="H72" i="28" s="1"/>
  <c r="E185" i="30"/>
  <c r="F173" i="28" l="1"/>
  <c r="F174" i="28" s="1"/>
  <c r="F165" i="28"/>
  <c r="F162" i="28"/>
  <c r="F187" i="28" l="1"/>
  <c r="F184" i="28"/>
  <c r="K89" i="29"/>
  <c r="K86" i="29"/>
  <c r="K83" i="29"/>
  <c r="K80" i="29"/>
  <c r="K77" i="29"/>
  <c r="K74" i="29"/>
  <c r="K71" i="29"/>
  <c r="K68" i="29"/>
  <c r="K65" i="29"/>
  <c r="K62" i="29"/>
  <c r="K59" i="29"/>
  <c r="K56" i="29"/>
  <c r="K53" i="29"/>
  <c r="K50" i="29"/>
  <c r="K47" i="29"/>
  <c r="K44" i="29"/>
  <c r="K41" i="29"/>
  <c r="K38" i="29"/>
  <c r="K35" i="29"/>
  <c r="K32" i="29"/>
  <c r="K29" i="29"/>
  <c r="K26" i="29"/>
  <c r="K23" i="29"/>
  <c r="K20" i="29"/>
  <c r="K17" i="29"/>
  <c r="K14" i="29"/>
  <c r="K11" i="29"/>
  <c r="K8" i="29"/>
  <c r="F205" i="28" l="1"/>
  <c r="F204" i="28"/>
  <c r="F195" i="28"/>
  <c r="F188" i="28"/>
  <c r="F186" i="28"/>
  <c r="F185" i="28"/>
  <c r="G180" i="28"/>
  <c r="F178" i="28"/>
  <c r="F171" i="28"/>
  <c r="F169" i="28"/>
  <c r="F170" i="28" s="1"/>
  <c r="F166" i="28"/>
  <c r="F163" i="28"/>
  <c r="F159" i="28"/>
  <c r="F172" i="28" l="1"/>
  <c r="F201" i="28"/>
  <c r="G166" i="28"/>
  <c r="H166" i="28" s="1"/>
  <c r="F154" i="28"/>
  <c r="G154" i="28" l="1"/>
  <c r="H154" i="28" s="1"/>
  <c r="F104" i="28"/>
  <c r="F103" i="28"/>
  <c r="F102" i="28"/>
  <c r="F48" i="28" l="1"/>
  <c r="G57" i="28" l="1"/>
  <c r="H57" i="28" s="1"/>
  <c r="G56" i="28"/>
  <c r="F56" i="28"/>
  <c r="G200" i="28"/>
  <c r="H200" i="28" s="1"/>
  <c r="G201" i="28"/>
  <c r="G202" i="28"/>
  <c r="H202" i="28" s="1"/>
  <c r="G203" i="28"/>
  <c r="H203" i="28" s="1"/>
  <c r="G204" i="28"/>
  <c r="G205" i="28"/>
  <c r="G199" i="28"/>
  <c r="G194" i="28"/>
  <c r="G195" i="28"/>
  <c r="H195" i="28" s="1"/>
  <c r="G193" i="28"/>
  <c r="H193" i="28" s="1"/>
  <c r="G184" i="28"/>
  <c r="H184" i="28" s="1"/>
  <c r="G185" i="28"/>
  <c r="H185" i="28" s="1"/>
  <c r="G186" i="28"/>
  <c r="H186" i="28" s="1"/>
  <c r="G187" i="28"/>
  <c r="G188" i="28"/>
  <c r="G189" i="28"/>
  <c r="H189" i="28" s="1"/>
  <c r="G190" i="28"/>
  <c r="H190" i="28" s="1"/>
  <c r="G183" i="28"/>
  <c r="H183" i="28" s="1"/>
  <c r="G179" i="28"/>
  <c r="G170" i="28"/>
  <c r="G171" i="28"/>
  <c r="H171" i="28" s="1"/>
  <c r="G172" i="28"/>
  <c r="H172" i="28" s="1"/>
  <c r="G173" i="28"/>
  <c r="G174" i="28"/>
  <c r="G175" i="28"/>
  <c r="H175" i="28" s="1"/>
  <c r="G169" i="28"/>
  <c r="G163" i="28"/>
  <c r="G164" i="28"/>
  <c r="G165" i="28"/>
  <c r="G162" i="28"/>
  <c r="G158" i="28"/>
  <c r="H158" i="28" s="1"/>
  <c r="G159" i="28"/>
  <c r="G157" i="28"/>
  <c r="F157" i="28"/>
  <c r="H56" i="28" l="1"/>
  <c r="H201" i="28"/>
  <c r="H205" i="28"/>
  <c r="H188" i="28"/>
  <c r="H204" i="28"/>
  <c r="H163" i="28"/>
  <c r="H194" i="28"/>
  <c r="H192" i="28" s="1"/>
  <c r="C31" i="31" s="1"/>
  <c r="H199" i="28"/>
  <c r="H187" i="28"/>
  <c r="H162" i="28"/>
  <c r="F164" i="28"/>
  <c r="H164" i="28" s="1"/>
  <c r="H157" i="28"/>
  <c r="H198" i="28" l="1"/>
  <c r="C32" i="31" s="1"/>
  <c r="H182" i="28"/>
  <c r="C30" i="31" s="1"/>
  <c r="K91" i="29" l="1"/>
  <c r="K88" i="29"/>
  <c r="K85" i="29"/>
  <c r="G85" i="29" s="1"/>
  <c r="F153" i="28"/>
  <c r="F152" i="28"/>
  <c r="F150" i="28"/>
  <c r="F149" i="28"/>
  <c r="F148" i="28"/>
  <c r="F144" i="28"/>
  <c r="G134" i="28"/>
  <c r="H134" i="28" s="1"/>
  <c r="F136" i="28"/>
  <c r="F137" i="28" s="1"/>
  <c r="F133" i="28"/>
  <c r="F126" i="28"/>
  <c r="F127" i="28" s="1"/>
  <c r="F121" i="28"/>
  <c r="F122" i="28" s="1"/>
  <c r="F118" i="28"/>
  <c r="F115" i="28"/>
  <c r="F110" i="28"/>
  <c r="G153" i="28"/>
  <c r="G152" i="28"/>
  <c r="G151" i="28"/>
  <c r="H151" i="28" s="1"/>
  <c r="G150" i="28"/>
  <c r="G149" i="28"/>
  <c r="G148" i="28"/>
  <c r="G144" i="28"/>
  <c r="G143" i="28"/>
  <c r="H143" i="28" s="1"/>
  <c r="G142" i="28"/>
  <c r="H142" i="28" s="1"/>
  <c r="G139" i="28"/>
  <c r="H139" i="28" s="1"/>
  <c r="G138" i="28"/>
  <c r="H138" i="28" s="1"/>
  <c r="G137" i="28"/>
  <c r="G136" i="28"/>
  <c r="G135" i="28"/>
  <c r="G133" i="28"/>
  <c r="G132" i="28"/>
  <c r="H132" i="28" s="1"/>
  <c r="G131" i="28"/>
  <c r="H131" i="28" s="1"/>
  <c r="G128" i="28"/>
  <c r="G127" i="28"/>
  <c r="G126" i="28"/>
  <c r="G123" i="28"/>
  <c r="H123" i="28" s="1"/>
  <c r="G122" i="28"/>
  <c r="G121" i="28"/>
  <c r="G118" i="28"/>
  <c r="G117" i="28"/>
  <c r="G116" i="28"/>
  <c r="G115" i="28"/>
  <c r="G112" i="28"/>
  <c r="H112" i="28" s="1"/>
  <c r="G111" i="28"/>
  <c r="H111" i="28" s="1"/>
  <c r="G110" i="28"/>
  <c r="H110" i="28" s="1"/>
  <c r="H144" i="28" l="1"/>
  <c r="H148" i="28"/>
  <c r="J85" i="29"/>
  <c r="E85" i="29"/>
  <c r="H85" i="29"/>
  <c r="H91" i="29"/>
  <c r="E91" i="29"/>
  <c r="J91" i="29"/>
  <c r="C91" i="29"/>
  <c r="G91" i="29"/>
  <c r="D91" i="29"/>
  <c r="I91" i="29"/>
  <c r="B91" i="29"/>
  <c r="F91" i="29"/>
  <c r="J88" i="29"/>
  <c r="H88" i="29"/>
  <c r="I88" i="29"/>
  <c r="G88" i="29"/>
  <c r="E88" i="29"/>
  <c r="C88" i="29"/>
  <c r="D88" i="29"/>
  <c r="B88" i="29"/>
  <c r="F88" i="29"/>
  <c r="B85" i="29"/>
  <c r="F85" i="29"/>
  <c r="I85" i="29"/>
  <c r="D85" i="29"/>
  <c r="C85" i="29"/>
  <c r="H115" i="28"/>
  <c r="H159" i="28"/>
  <c r="H156" i="28" s="1"/>
  <c r="C26" i="31" s="1"/>
  <c r="H165" i="28"/>
  <c r="H161" i="28" s="1"/>
  <c r="C27" i="31" s="1"/>
  <c r="H149" i="28"/>
  <c r="H153" i="28"/>
  <c r="H150" i="28"/>
  <c r="H152" i="28"/>
  <c r="F128" i="28"/>
  <c r="H128" i="28" s="1"/>
  <c r="H136" i="28"/>
  <c r="H141" i="28"/>
  <c r="C24" i="31" s="1"/>
  <c r="H137" i="28"/>
  <c r="F135" i="28"/>
  <c r="H135" i="28" s="1"/>
  <c r="H133" i="28"/>
  <c r="H127" i="28"/>
  <c r="H118" i="28"/>
  <c r="H122" i="28"/>
  <c r="H126" i="28"/>
  <c r="H121" i="28"/>
  <c r="F116" i="28"/>
  <c r="H116" i="28" s="1"/>
  <c r="F117" i="28"/>
  <c r="H117" i="28" s="1"/>
  <c r="K73" i="29" l="1"/>
  <c r="K76" i="29"/>
  <c r="H120" i="28"/>
  <c r="C21" i="31" s="1"/>
  <c r="H147" i="28"/>
  <c r="C25" i="31" s="1"/>
  <c r="F179" i="28"/>
  <c r="F180" i="28" s="1"/>
  <c r="H178" i="28"/>
  <c r="H174" i="28"/>
  <c r="H173" i="28"/>
  <c r="H170" i="28"/>
  <c r="H169" i="28"/>
  <c r="H125" i="28"/>
  <c r="C22" i="31" s="1"/>
  <c r="H130" i="28"/>
  <c r="C23" i="31" s="1"/>
  <c r="H114" i="28"/>
  <c r="C20" i="31" s="1"/>
  <c r="H109" i="28"/>
  <c r="C19" i="31" s="1"/>
  <c r="K52" i="29" l="1"/>
  <c r="H76" i="29"/>
  <c r="D76" i="29"/>
  <c r="C76" i="29"/>
  <c r="G76" i="29"/>
  <c r="I76" i="29"/>
  <c r="F76" i="29"/>
  <c r="J76" i="29"/>
  <c r="E76" i="29"/>
  <c r="B76" i="29"/>
  <c r="K55" i="29"/>
  <c r="K70" i="29"/>
  <c r="K64" i="29"/>
  <c r="K61" i="29"/>
  <c r="K58" i="29"/>
  <c r="K67" i="29"/>
  <c r="I73" i="29"/>
  <c r="C73" i="29"/>
  <c r="D73" i="29"/>
  <c r="F73" i="29"/>
  <c r="G73" i="29"/>
  <c r="H73" i="29"/>
  <c r="J73" i="29"/>
  <c r="E73" i="29"/>
  <c r="B73" i="29"/>
  <c r="H180" i="28"/>
  <c r="H179" i="28"/>
  <c r="H168" i="28"/>
  <c r="C28" i="31" s="1"/>
  <c r="F107" i="28"/>
  <c r="F106" i="28"/>
  <c r="G103" i="28"/>
  <c r="H103" i="28" s="1"/>
  <c r="F98" i="28"/>
  <c r="G81" i="28"/>
  <c r="F89" i="28"/>
  <c r="F90" i="28" s="1"/>
  <c r="F83" i="28"/>
  <c r="G84" i="28"/>
  <c r="H84" i="28" s="1"/>
  <c r="G85" i="28"/>
  <c r="H85" i="28" s="1"/>
  <c r="G86" i="28"/>
  <c r="H86" i="28" s="1"/>
  <c r="G87" i="28"/>
  <c r="H87" i="28" s="1"/>
  <c r="G78" i="28"/>
  <c r="G77" i="28"/>
  <c r="F78" i="28"/>
  <c r="F76" i="28"/>
  <c r="G70" i="28"/>
  <c r="G68" i="28"/>
  <c r="F67" i="28"/>
  <c r="F69" i="28"/>
  <c r="F70" i="28" s="1"/>
  <c r="G64" i="28"/>
  <c r="G61" i="28"/>
  <c r="F64" i="28"/>
  <c r="H64" i="28" s="1"/>
  <c r="F61" i="28"/>
  <c r="F63" i="28" s="1"/>
  <c r="F29" i="28"/>
  <c r="F27" i="28"/>
  <c r="F22" i="28"/>
  <c r="F19" i="28"/>
  <c r="F16" i="28"/>
  <c r="H73" i="28"/>
  <c r="G67" i="28"/>
  <c r="F68" i="28" l="1"/>
  <c r="H67" i="28"/>
  <c r="F77" i="28"/>
  <c r="H77" i="28" s="1"/>
  <c r="H76" i="28"/>
  <c r="E58" i="29"/>
  <c r="B58" i="29"/>
  <c r="G58" i="29"/>
  <c r="H58" i="29"/>
  <c r="J58" i="29"/>
  <c r="D58" i="29"/>
  <c r="F58" i="29"/>
  <c r="I58" i="29"/>
  <c r="C58" i="29"/>
  <c r="J52" i="29"/>
  <c r="D52" i="29"/>
  <c r="B52" i="29"/>
  <c r="G52" i="29"/>
  <c r="I52" i="29"/>
  <c r="H52" i="29"/>
  <c r="C52" i="29"/>
  <c r="F52" i="29"/>
  <c r="E52" i="29"/>
  <c r="K79" i="29"/>
  <c r="J61" i="29"/>
  <c r="D61" i="29"/>
  <c r="I61" i="29"/>
  <c r="E61" i="29"/>
  <c r="C61" i="29"/>
  <c r="F61" i="29"/>
  <c r="G61" i="29"/>
  <c r="B61" i="29"/>
  <c r="H61" i="29"/>
  <c r="H64" i="29"/>
  <c r="E64" i="29"/>
  <c r="F64" i="29"/>
  <c r="I64" i="29"/>
  <c r="C64" i="29"/>
  <c r="J64" i="29"/>
  <c r="G64" i="29"/>
  <c r="B64" i="29"/>
  <c r="D64" i="29"/>
  <c r="H70" i="29"/>
  <c r="C70" i="29"/>
  <c r="J70" i="29"/>
  <c r="B70" i="29"/>
  <c r="I70" i="29"/>
  <c r="D70" i="29"/>
  <c r="E70" i="29"/>
  <c r="G70" i="29"/>
  <c r="F70" i="29"/>
  <c r="I67" i="29"/>
  <c r="D67" i="29"/>
  <c r="B67" i="29"/>
  <c r="G67" i="29"/>
  <c r="H67" i="29"/>
  <c r="J67" i="29"/>
  <c r="C67" i="29"/>
  <c r="E67" i="29"/>
  <c r="F67" i="29"/>
  <c r="H55" i="29"/>
  <c r="B55" i="29"/>
  <c r="J55" i="29"/>
  <c r="G55" i="29"/>
  <c r="D55" i="29"/>
  <c r="E55" i="29"/>
  <c r="F55" i="29"/>
  <c r="I55" i="29"/>
  <c r="C55" i="29"/>
  <c r="H177" i="28"/>
  <c r="C29" i="31" s="1"/>
  <c r="F88" i="28"/>
  <c r="H70" i="28"/>
  <c r="H78" i="28"/>
  <c r="H68" i="28"/>
  <c r="H69" i="28"/>
  <c r="F62" i="28"/>
  <c r="K82" i="29" l="1"/>
  <c r="G79" i="29"/>
  <c r="I79" i="29"/>
  <c r="J79" i="29"/>
  <c r="B79" i="29"/>
  <c r="C79" i="29"/>
  <c r="E79" i="29"/>
  <c r="H79" i="29"/>
  <c r="F79" i="29"/>
  <c r="D79" i="29"/>
  <c r="H75" i="28"/>
  <c r="C15" i="31" s="1"/>
  <c r="H66" i="28"/>
  <c r="C14" i="31" s="1"/>
  <c r="H82" i="29" l="1"/>
  <c r="C82" i="29"/>
  <c r="E82" i="29"/>
  <c r="F82" i="29"/>
  <c r="G82" i="29"/>
  <c r="I82" i="29"/>
  <c r="J82" i="29"/>
  <c r="D82" i="29"/>
  <c r="B82" i="29"/>
  <c r="K37" i="29"/>
  <c r="K40" i="29"/>
  <c r="F18" i="28"/>
  <c r="F53" i="28"/>
  <c r="F52" i="28"/>
  <c r="F50" i="28"/>
  <c r="F49" i="28"/>
  <c r="G32" i="28"/>
  <c r="H32" i="28" s="1"/>
  <c r="F36" i="28"/>
  <c r="F37" i="28" s="1"/>
  <c r="F34" i="28"/>
  <c r="G29" i="28"/>
  <c r="H29" i="28" s="1"/>
  <c r="G28" i="28"/>
  <c r="G23" i="28"/>
  <c r="F23" i="28"/>
  <c r="G19" i="28"/>
  <c r="H23" i="28" l="1"/>
  <c r="J37" i="29"/>
  <c r="E37" i="29"/>
  <c r="F37" i="29"/>
  <c r="C37" i="29"/>
  <c r="B37" i="29"/>
  <c r="G37" i="29"/>
  <c r="D37" i="29"/>
  <c r="H37" i="29"/>
  <c r="I37" i="29"/>
  <c r="I40" i="29"/>
  <c r="C40" i="29"/>
  <c r="H40" i="29"/>
  <c r="F40" i="29"/>
  <c r="J40" i="29"/>
  <c r="D40" i="29"/>
  <c r="B40" i="29"/>
  <c r="G40" i="29"/>
  <c r="E40" i="29"/>
  <c r="F35" i="28"/>
  <c r="H35" i="28" s="1"/>
  <c r="H25" i="28" l="1"/>
  <c r="H24" i="28"/>
  <c r="G22" i="28"/>
  <c r="H22" i="28" s="1"/>
  <c r="G104" i="28"/>
  <c r="G102" i="28"/>
  <c r="H102" i="28" s="1"/>
  <c r="G91" i="28"/>
  <c r="H91" i="28" s="1"/>
  <c r="G90" i="28"/>
  <c r="G83" i="28"/>
  <c r="G62" i="28"/>
  <c r="H62" i="28" s="1"/>
  <c r="G50" i="28"/>
  <c r="H50" i="28" s="1"/>
  <c r="G49" i="28"/>
  <c r="H49" i="28" s="1"/>
  <c r="G48" i="28"/>
  <c r="G38" i="28"/>
  <c r="H38" i="28" s="1"/>
  <c r="G37" i="28"/>
  <c r="G34" i="28"/>
  <c r="G17" i="28"/>
  <c r="G13" i="28"/>
  <c r="H13" i="28" s="1"/>
  <c r="G11" i="28"/>
  <c r="F11" i="28"/>
  <c r="G107" i="28"/>
  <c r="G106" i="28"/>
  <c r="H106" i="28" s="1"/>
  <c r="G105" i="28"/>
  <c r="H105" i="28" s="1"/>
  <c r="G98" i="28"/>
  <c r="G96" i="28"/>
  <c r="H96" i="28" s="1"/>
  <c r="G93" i="28"/>
  <c r="H93" i="28" s="1"/>
  <c r="G89" i="28"/>
  <c r="G63" i="28"/>
  <c r="H63" i="28" s="1"/>
  <c r="G53" i="28"/>
  <c r="H53" i="28" s="1"/>
  <c r="G52" i="28"/>
  <c r="H52" i="28" s="1"/>
  <c r="G51" i="28"/>
  <c r="H51" i="28" s="1"/>
  <c r="G44" i="28"/>
  <c r="H44" i="28" s="1"/>
  <c r="G42" i="28"/>
  <c r="H42" i="28" s="1"/>
  <c r="G39" i="28"/>
  <c r="H39" i="28" s="1"/>
  <c r="G36" i="28"/>
  <c r="G16" i="28"/>
  <c r="G12" i="28"/>
  <c r="H12" i="28" s="1"/>
  <c r="F17" i="28"/>
  <c r="H97" i="28"/>
  <c r="G88" i="28"/>
  <c r="H88" i="28" s="1"/>
  <c r="G58" i="28"/>
  <c r="H27" i="28"/>
  <c r="H43" i="28"/>
  <c r="G18" i="28"/>
  <c r="H98" i="28" l="1"/>
  <c r="H95" i="28" s="1"/>
  <c r="C17" i="31" s="1"/>
  <c r="H41" i="28"/>
  <c r="H17" i="28"/>
  <c r="H21" i="28"/>
  <c r="C7" i="31" s="1"/>
  <c r="F28" i="28"/>
  <c r="H28" i="28" s="1"/>
  <c r="H58" i="28"/>
  <c r="H55" i="28" s="1"/>
  <c r="C12" i="31" s="1"/>
  <c r="H90" i="28"/>
  <c r="H83" i="28"/>
  <c r="H82" i="28"/>
  <c r="H11" i="28"/>
  <c r="H33" i="28"/>
  <c r="H81" i="28"/>
  <c r="F8" i="28"/>
  <c r="H61" i="28"/>
  <c r="H48" i="28"/>
  <c r="H36" i="28"/>
  <c r="H104" i="28"/>
  <c r="H19" i="28"/>
  <c r="H107" i="28"/>
  <c r="H16" i="28"/>
  <c r="H8" i="28" l="1"/>
  <c r="H7" i="28" s="1"/>
  <c r="C4" i="31" s="1"/>
  <c r="K25" i="29"/>
  <c r="K31" i="29"/>
  <c r="K16" i="29"/>
  <c r="K46" i="29"/>
  <c r="H60" i="28"/>
  <c r="C13" i="31" s="1"/>
  <c r="H89" i="28"/>
  <c r="H26" i="28"/>
  <c r="C8" i="31" s="1"/>
  <c r="H10" i="28"/>
  <c r="C5" i="31" s="1"/>
  <c r="H18" i="28"/>
  <c r="H15" i="28" s="1"/>
  <c r="C6" i="31" s="1"/>
  <c r="H101" i="28"/>
  <c r="C18" i="31" s="1"/>
  <c r="H34" i="28"/>
  <c r="H47" i="28"/>
  <c r="C11" i="31" s="1"/>
  <c r="H37" i="28"/>
  <c r="C10" i="31"/>
  <c r="K7" i="29" l="1"/>
  <c r="B7" i="29" s="1"/>
  <c r="K49" i="29"/>
  <c r="K34" i="29"/>
  <c r="J46" i="29"/>
  <c r="I46" i="29"/>
  <c r="G46" i="29"/>
  <c r="B46" i="29"/>
  <c r="H46" i="29"/>
  <c r="E46" i="29"/>
  <c r="D46" i="29"/>
  <c r="F46" i="29"/>
  <c r="C46" i="29"/>
  <c r="D16" i="29"/>
  <c r="B16" i="29"/>
  <c r="G16" i="29"/>
  <c r="I16" i="29"/>
  <c r="J16" i="29"/>
  <c r="F16" i="29"/>
  <c r="H16" i="29"/>
  <c r="E16" i="29"/>
  <c r="D25" i="29"/>
  <c r="E25" i="29"/>
  <c r="H25" i="29"/>
  <c r="J25" i="29"/>
  <c r="G25" i="29"/>
  <c r="C25" i="29"/>
  <c r="I25" i="29"/>
  <c r="F25" i="29"/>
  <c r="B25" i="29"/>
  <c r="K10" i="29"/>
  <c r="B10" i="29" s="1"/>
  <c r="B31" i="29"/>
  <c r="J31" i="29"/>
  <c r="I31" i="29"/>
  <c r="C31" i="29"/>
  <c r="F31" i="29"/>
  <c r="G31" i="29"/>
  <c r="D31" i="29"/>
  <c r="H31" i="29"/>
  <c r="E31" i="29"/>
  <c r="K19" i="29"/>
  <c r="J7" i="29"/>
  <c r="H80" i="28"/>
  <c r="C16" i="31" s="1"/>
  <c r="K28" i="29"/>
  <c r="K13" i="29"/>
  <c r="H31" i="28"/>
  <c r="H207" i="28" l="1"/>
  <c r="C9" i="31"/>
  <c r="D7" i="29"/>
  <c r="E7" i="29"/>
  <c r="G7" i="29"/>
  <c r="C7" i="29"/>
  <c r="H7" i="29"/>
  <c r="F7" i="29"/>
  <c r="I7" i="29"/>
  <c r="E10" i="29"/>
  <c r="F10" i="29"/>
  <c r="B13" i="29"/>
  <c r="K22" i="29"/>
  <c r="K43" i="29"/>
  <c r="C10" i="29"/>
  <c r="J10" i="29"/>
  <c r="D10" i="29"/>
  <c r="I10" i="29"/>
  <c r="G10" i="29"/>
  <c r="H19" i="29"/>
  <c r="B19" i="29"/>
  <c r="F19" i="29"/>
  <c r="D19" i="29"/>
  <c r="I19" i="29"/>
  <c r="J19" i="29"/>
  <c r="G19" i="29"/>
  <c r="C19" i="29"/>
  <c r="H10" i="29"/>
  <c r="B34" i="29"/>
  <c r="G34" i="29"/>
  <c r="C34" i="29"/>
  <c r="F34" i="29"/>
  <c r="E34" i="29"/>
  <c r="H34" i="29"/>
  <c r="D34" i="29"/>
  <c r="J34" i="29"/>
  <c r="I34" i="29"/>
  <c r="G49" i="29"/>
  <c r="B49" i="29"/>
  <c r="H49" i="29"/>
  <c r="F49" i="29"/>
  <c r="C49" i="29"/>
  <c r="I49" i="29"/>
  <c r="J49" i="29"/>
  <c r="E49" i="29"/>
  <c r="D49" i="29"/>
  <c r="D13" i="29"/>
  <c r="H13" i="29"/>
  <c r="C13" i="29"/>
  <c r="G13" i="29"/>
  <c r="E13" i="29"/>
  <c r="J13" i="29"/>
  <c r="F13" i="29"/>
  <c r="I13" i="29"/>
  <c r="I28" i="29"/>
  <c r="J28" i="29"/>
  <c r="F28" i="29"/>
  <c r="H28" i="29"/>
  <c r="E28" i="29"/>
  <c r="G28" i="29"/>
  <c r="B28" i="29"/>
  <c r="D28" i="29"/>
  <c r="C28" i="29"/>
  <c r="C16" i="29"/>
  <c r="K93" i="29" l="1"/>
  <c r="J22" i="29"/>
  <c r="H22" i="29"/>
  <c r="I22" i="29"/>
  <c r="E22" i="29"/>
  <c r="G22" i="29"/>
  <c r="F22" i="29"/>
  <c r="B22" i="29"/>
  <c r="D22" i="29"/>
  <c r="C22" i="29"/>
  <c r="D43" i="29"/>
  <c r="F43" i="29"/>
  <c r="G43" i="29"/>
  <c r="E43" i="29"/>
  <c r="B43" i="29"/>
  <c r="H43" i="29"/>
  <c r="J43" i="29"/>
  <c r="I43" i="29"/>
  <c r="C43" i="29"/>
  <c r="C33" i="31"/>
  <c r="M17" i="29"/>
  <c r="E19" i="29"/>
  <c r="I93" i="29" l="1"/>
  <c r="I96" i="29" s="1"/>
  <c r="J93" i="29"/>
  <c r="J96" i="29" s="1"/>
  <c r="H93" i="29"/>
  <c r="H96" i="29" s="1"/>
  <c r="E93" i="29"/>
  <c r="E96" i="29" s="1"/>
  <c r="F93" i="29"/>
  <c r="F96" i="29" s="1"/>
  <c r="C93" i="29"/>
  <c r="D93" i="29"/>
  <c r="D96" i="29" s="1"/>
  <c r="G93" i="29"/>
  <c r="G96" i="29" s="1"/>
  <c r="B93" i="29"/>
  <c r="B96" i="29" s="1"/>
  <c r="N17" i="29"/>
  <c r="M11" i="29"/>
  <c r="N11" i="29" s="1"/>
  <c r="M13" i="29"/>
  <c r="M15" i="29"/>
  <c r="N15" i="29" s="1"/>
  <c r="C96" i="29" l="1"/>
  <c r="K96" i="29" s="1"/>
  <c r="N13" i="29"/>
  <c r="B99" i="29"/>
  <c r="B102" i="29" s="1"/>
  <c r="C99" i="29" l="1"/>
  <c r="D99" i="29" s="1"/>
  <c r="E99" i="29" s="1"/>
  <c r="F99" i="29" s="1"/>
  <c r="G99" i="29" s="1"/>
  <c r="H99" i="29" s="1"/>
  <c r="I99" i="29" s="1"/>
  <c r="J99" i="29" s="1"/>
  <c r="C102" i="29" l="1"/>
  <c r="D102" i="29" l="1"/>
  <c r="E102" i="29" l="1"/>
  <c r="F102" i="29" l="1"/>
  <c r="G102" i="29" l="1"/>
  <c r="H102" i="29" l="1"/>
  <c r="J102" i="29" l="1"/>
  <c r="I102" i="29"/>
</calcChain>
</file>

<file path=xl/sharedStrings.xml><?xml version="1.0" encoding="utf-8"?>
<sst xmlns="http://schemas.openxmlformats.org/spreadsheetml/2006/main" count="1431" uniqueCount="496">
  <si>
    <t>m</t>
  </si>
  <si>
    <t>m²</t>
  </si>
  <si>
    <t>1.1</t>
  </si>
  <si>
    <t>m³</t>
  </si>
  <si>
    <t>Regularização e compactação do sub-leito</t>
  </si>
  <si>
    <t>Item</t>
  </si>
  <si>
    <t>Descrição dos Serviços</t>
  </si>
  <si>
    <t>Un</t>
  </si>
  <si>
    <t xml:space="preserve"> R$ unit.</t>
  </si>
  <si>
    <t>Quantitativo</t>
  </si>
  <si>
    <t>Preço total</t>
  </si>
  <si>
    <t>Largura (m)</t>
  </si>
  <si>
    <t>Área (m²)</t>
  </si>
  <si>
    <t>4.1</t>
  </si>
  <si>
    <t>4.2</t>
  </si>
  <si>
    <t>Fornecimento e colocação de meio-fio de concreto (0,15x0,30x1,00)m</t>
  </si>
  <si>
    <t>Referência</t>
  </si>
  <si>
    <t>un.</t>
  </si>
  <si>
    <t>5.1</t>
  </si>
  <si>
    <t>SINAPI</t>
  </si>
  <si>
    <t>5.2</t>
  </si>
  <si>
    <t>TOTAL</t>
  </si>
  <si>
    <t>Código</t>
  </si>
  <si>
    <t>2.1</t>
  </si>
  <si>
    <t>4.3</t>
  </si>
  <si>
    <t>Comprimento (m)</t>
  </si>
  <si>
    <t>3.1</t>
  </si>
  <si>
    <t>Escavação mecânica de valas em material de 1ª categoria</t>
  </si>
  <si>
    <t>3.2</t>
  </si>
  <si>
    <t>3.3</t>
  </si>
  <si>
    <t>Reaterro mecânico de valas com material local</t>
  </si>
  <si>
    <t>un</t>
  </si>
  <si>
    <t>Boca-de-Lobo com Fornec. com colocação de Artefatos</t>
  </si>
  <si>
    <t>6.1</t>
  </si>
  <si>
    <t>6.2</t>
  </si>
  <si>
    <t>Discriminado</t>
  </si>
  <si>
    <t>ITEM</t>
  </si>
  <si>
    <t>DESCRIÇÃO DOS SERVIÇOS</t>
  </si>
  <si>
    <t>Valor R$</t>
  </si>
  <si>
    <t>Total da Obra</t>
  </si>
  <si>
    <t xml:space="preserve">BDI </t>
  </si>
  <si>
    <t>m³xKm</t>
  </si>
  <si>
    <t>94273</t>
  </si>
  <si>
    <t>90106</t>
  </si>
  <si>
    <t>93381</t>
  </si>
  <si>
    <t>Placa sinalização semi-refletiva  R1 (PARE) 0,3m²</t>
  </si>
  <si>
    <t>Placa de Identificação de Logradouro Público 50X25 cm, com suporte</t>
  </si>
  <si>
    <t>BDI =22,04% Conforme Acórdão - Lei 13161/2015-TCU</t>
  </si>
  <si>
    <t>4</t>
  </si>
  <si>
    <t>97914</t>
  </si>
  <si>
    <t>96396</t>
  </si>
  <si>
    <t>Dias corridos</t>
  </si>
  <si>
    <t>1º mês  1 - 30</t>
  </si>
  <si>
    <t>2º mês     31 - 60</t>
  </si>
  <si>
    <t>3º mês  61 - 90</t>
  </si>
  <si>
    <t>4º mês     91 - 120</t>
  </si>
  <si>
    <t>TOTAL (R$)</t>
  </si>
  <si>
    <t>Total Mensal</t>
  </si>
  <si>
    <t>PERCENTUAL MENSAL (%)</t>
  </si>
  <si>
    <t>Total Acumulado</t>
  </si>
  <si>
    <t>PERCENTUAL ACUMULADO (%)</t>
  </si>
  <si>
    <t>Conforme planta de pavimentação</t>
  </si>
  <si>
    <t>Administração Local</t>
  </si>
  <si>
    <t>5.3</t>
  </si>
  <si>
    <t>7.1</t>
  </si>
  <si>
    <t>7.2</t>
  </si>
  <si>
    <t>7.3</t>
  </si>
  <si>
    <t>100576</t>
  </si>
  <si>
    <t>Fornecimento e compactação de brita graduada, e= 20 cm</t>
  </si>
  <si>
    <t>Placa de obra</t>
  </si>
  <si>
    <t>2.2</t>
  </si>
  <si>
    <t>Aluguel container/escr,  larg= 2,30 m,  compr= 6,00 m, altura 2,50 m, com um sanitário, para escritório, completo, sem divisórias.</t>
  </si>
  <si>
    <t>PREÇO SEM BDI</t>
  </si>
  <si>
    <t>92809</t>
  </si>
  <si>
    <t xml:space="preserve">Assentamento Tubo Conc. Simples PS2 PB, para águas pluviaisNBR8890 DN 400mm </t>
  </si>
  <si>
    <t xml:space="preserve">7785 </t>
  </si>
  <si>
    <t xml:space="preserve">Fornecimento Tubo Conc. Simples PS2 PB, para águas pluviaisNBR8890 DN 400mm </t>
  </si>
  <si>
    <t>102509</t>
  </si>
  <si>
    <t>Pintura de faixa de pedestre com tinta retrorefletiva a base de resina acrilica com microesferas de vidro - BRANCO</t>
  </si>
  <si>
    <t>102512</t>
  </si>
  <si>
    <t>Pintura sobre eixo viário sobre asfalto  com tinta retrorefletiva a base de resina acrilica com microesferas de vidro, aplicação mecãnica com demarcadora autopropelida - AMARELO</t>
  </si>
  <si>
    <t>1 - Administração Local</t>
  </si>
  <si>
    <t>Transporte de material escavado DMT 1,6 Km</t>
  </si>
  <si>
    <t>Quantitativo Trecho  1</t>
  </si>
  <si>
    <t>Quantitativo Trecho  2</t>
  </si>
  <si>
    <t>Área Total(m²)</t>
  </si>
  <si>
    <t>Via</t>
  </si>
  <si>
    <t>Quantitativo Trecho  3</t>
  </si>
  <si>
    <t>Quantitativo Trecho  4</t>
  </si>
  <si>
    <t>Quantitativo Total - Rua 116</t>
  </si>
  <si>
    <t>Quantitativo Total - Rua São Paulo</t>
  </si>
  <si>
    <t>2.3</t>
  </si>
  <si>
    <t>14</t>
  </si>
  <si>
    <t>18</t>
  </si>
  <si>
    <t xml:space="preserve">Transporte do material escavado até 1,6 Km </t>
  </si>
  <si>
    <t>100973</t>
  </si>
  <si>
    <t>Carga e descarga mecanizada de solo utilizando caminhão basculante e pá carregadeira</t>
  </si>
  <si>
    <t>3.4</t>
  </si>
  <si>
    <t>95875</t>
  </si>
  <si>
    <t>19</t>
  </si>
  <si>
    <t>3</t>
  </si>
  <si>
    <t>12</t>
  </si>
  <si>
    <t>6.3</t>
  </si>
  <si>
    <t>8.1</t>
  </si>
  <si>
    <t>8.2</t>
  </si>
  <si>
    <t>8.3</t>
  </si>
  <si>
    <t>9.1</t>
  </si>
  <si>
    <t>9.2</t>
  </si>
  <si>
    <t>9.3</t>
  </si>
  <si>
    <t>10.1</t>
  </si>
  <si>
    <t>10.2</t>
  </si>
  <si>
    <t>10.3</t>
  </si>
  <si>
    <t>10.4</t>
  </si>
  <si>
    <t>11.1</t>
  </si>
  <si>
    <t>11.2</t>
  </si>
  <si>
    <t>11.3</t>
  </si>
  <si>
    <t>12.1</t>
  </si>
  <si>
    <t>12.2</t>
  </si>
  <si>
    <t>12.3</t>
  </si>
  <si>
    <t>8.4</t>
  </si>
  <si>
    <t>Escavação Mecânica a céu aberto, em material de 1a categoria, com escavadeira hidráulica, capacidade de 0,78 m³</t>
  </si>
  <si>
    <t>Administração local, engenheiro civil e técnico em segurança do trabalho</t>
  </si>
  <si>
    <t>Manaus</t>
  </si>
  <si>
    <t>Carga e descarga mecanizada de solo utilizando caminhão basculante  6,0m³ e pá carregadeira</t>
  </si>
  <si>
    <t>COMPOSIÇÃO PMA</t>
  </si>
  <si>
    <t>Transporte   de pó de pedra em caminhão Basculante em via urbana pavimentada DMT = 18 Km</t>
  </si>
  <si>
    <t>Transporte  de areia média em caminhão Basculante em via urbana pavimentada DMT = 18 Km</t>
  </si>
  <si>
    <t>Execução de Passeios (calçadas) e rampas com concreto moldado in loco, Usinado, acabamento convencional, não armado, resistência C2O, espessura 7 cm</t>
  </si>
  <si>
    <t>Transporte comercial de Pó de pedra com caminhão basculante 10,0 m³, rodovia pavimentada, DMT 18Km</t>
  </si>
  <si>
    <t>Conjunto de Placa sinalização semi-refletiva  R1 (PARE) 0,3m², incluindo suporte, acessórios de fixação e implantação</t>
  </si>
  <si>
    <t>Francelino Santos</t>
  </si>
  <si>
    <t>Feijó</t>
  </si>
  <si>
    <t>Vista Alegre</t>
  </si>
  <si>
    <t xml:space="preserve">Transporte do material escavado até 1,7 Km </t>
  </si>
  <si>
    <t>Transporte  de brita graduada em caminhão Basculante em via urbana pavimentada DMT = 18 Km</t>
  </si>
  <si>
    <t>Transporte  de brita graduada em caminhão Basculante em via urbana pavimentada DMT = 17,8Km</t>
  </si>
  <si>
    <t>Transporte de pedra  com caminhão basculante 10m³, via urbana pavimentada, DT 17,8Km</t>
  </si>
  <si>
    <t>6.4</t>
  </si>
  <si>
    <t>6.5</t>
  </si>
  <si>
    <t>6.6</t>
  </si>
  <si>
    <t>6.7</t>
  </si>
  <si>
    <t>6.8</t>
  </si>
  <si>
    <t>8.5</t>
  </si>
  <si>
    <t>8.6</t>
  </si>
  <si>
    <t>11.4</t>
  </si>
  <si>
    <t>11.5</t>
  </si>
  <si>
    <t>Transporte   de pó de pedra em caminhão Basculante em via urbana pavimentada DMT = 17,8 Km</t>
  </si>
  <si>
    <t>Transporte  de areia média em caminhão Basculante em via urbana pavimentada DMT = 17,8 Km</t>
  </si>
  <si>
    <t>Transporte de material escavado DMT 1,7 Km</t>
  </si>
  <si>
    <t>13.1</t>
  </si>
  <si>
    <t>13.2</t>
  </si>
  <si>
    <t>13.3</t>
  </si>
  <si>
    <t>Transporte comercial de Pó de pedra com caminhão basculante 10,0 m³, rodovia pavimentada, DMT 17,8 Km</t>
  </si>
  <si>
    <t>92211</t>
  </si>
  <si>
    <t>92810</t>
  </si>
  <si>
    <t>92216</t>
  </si>
  <si>
    <t>Fornec. e Assent. Tubo Conc. Armado para redes coletoras de águas pluviais PS2 PB NBR8890 DN 500mm, instalado em local com baixo nível de interferências.</t>
  </si>
  <si>
    <t>Fornecimento de Tubo Conc. simples para redes coletoras de águas pluviais PS2 PB NBR8890 DN 600mm, instalado em local com baixo nível de interferências.</t>
  </si>
  <si>
    <t xml:space="preserve"> Assentamento Tubo Conc. simples para redes coletoras de águas pluviais PS2 PB NBR8890 DN 600mm, instalado em local com baixo nível de interferências.</t>
  </si>
  <si>
    <t>Fornec. e Assent. Tubo Conc. Armado para redes coletoras de águas pluviais PS2 PB NBR8890 DN 1000mm, instalado em local com baixo nível de interferências.</t>
  </si>
  <si>
    <t>14.1</t>
  </si>
  <si>
    <t>14.2</t>
  </si>
  <si>
    <t>14.3</t>
  </si>
  <si>
    <t>15.1</t>
  </si>
  <si>
    <t>15.2</t>
  </si>
  <si>
    <t>15.3</t>
  </si>
  <si>
    <t>16.1</t>
  </si>
  <si>
    <t>16.2</t>
  </si>
  <si>
    <t>16.3</t>
  </si>
  <si>
    <t>17.1</t>
  </si>
  <si>
    <t>17.2</t>
  </si>
  <si>
    <t>17.3</t>
  </si>
  <si>
    <t>17.4</t>
  </si>
  <si>
    <t>18.1</t>
  </si>
  <si>
    <t>18.2</t>
  </si>
  <si>
    <t>18.3</t>
  </si>
  <si>
    <t>19.1</t>
  </si>
  <si>
    <t>19.2</t>
  </si>
  <si>
    <t>19.3</t>
  </si>
  <si>
    <t xml:space="preserve">Transporte do material escavado até 1,3 Km </t>
  </si>
  <si>
    <t>Transporte  de brita graduada em caminhão Basculante em via urbana pavimentada DMT = 20,9 Km</t>
  </si>
  <si>
    <t>Transporte   de pó de pedra em caminhão Basculante em via urbana pavimentada DMT = 20,9 Km</t>
  </si>
  <si>
    <t>Transporte  de areia média em caminhão Basculante em via urbana pavimentada DMT = 20,9 Km</t>
  </si>
  <si>
    <t>Transporte de material escavado DMT 1,3 Km</t>
  </si>
  <si>
    <t>Transporte comercial de Pó de pedra com caminhão basculante 10,0 m³, rodovia pavimentada, DMT 20,9Km</t>
  </si>
  <si>
    <t>Fornec. e Assent. Tubo Conc. Armado para redes coletoras de águas pluviais PS2 PB NBR8890 DN 400mm, instalado em local com baixo nível de interferências.</t>
  </si>
  <si>
    <t>3 meses</t>
  </si>
  <si>
    <t>Escavação mecânica, a céu aberto, em material de 1a categoria, com escavadeira hidráulica, capacidade de 0,78 m³</t>
  </si>
  <si>
    <t>Carga e descarga mecanizada de solo utilizando caminhão basculante 6,0 m³ e pá carregadeira</t>
  </si>
  <si>
    <t xml:space="preserve"> </t>
  </si>
  <si>
    <t>5</t>
  </si>
  <si>
    <t>Reforço do sub-leito com pedra britada nº 3 e=25cm</t>
  </si>
  <si>
    <t>6</t>
  </si>
  <si>
    <t>Fornecimento e compactação de camada de bloqueio com pó de pedra, e= 3 cm</t>
  </si>
  <si>
    <t>13</t>
  </si>
  <si>
    <t>Imprimação asfáltica com CM-30, taxa 1,5 l/m²</t>
  </si>
  <si>
    <t>Revestimento com CBUQ, esp 6 cm</t>
  </si>
  <si>
    <t>16</t>
  </si>
  <si>
    <t>m³ x km</t>
  </si>
  <si>
    <t xml:space="preserve">Fornecimento de Tubo Conc. Simples PS2 PB, para águas pluviaisNBR8890 DN 400mm </t>
  </si>
  <si>
    <t>Pintura de eixo viário sobre asfalto com tinta retrorrefletiva a base de resina acrílica com microesferas de vidro, aplicação mecânica com demarcadora autopropelida. af_05/2021</t>
  </si>
  <si>
    <t>Conjunto de  Placa de Sinalizacao SEMI-REFLETIVA R1 (PARE) 0,3M², incluindo suporte, acessorios de fixacao e implantacao</t>
  </si>
  <si>
    <t>Demolição de dispositivos de concreto simples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</si>
  <si>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</si>
  <si>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</si>
  <si>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</si>
  <si>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</si>
  <si>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</si>
  <si>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</si>
  <si>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</si>
  <si>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</si>
  <si>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</si>
  <si>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15.4</t>
  </si>
  <si>
    <t>15.5</t>
  </si>
  <si>
    <t>15.6</t>
  </si>
  <si>
    <t>20.1</t>
  </si>
  <si>
    <t>20.2</t>
  </si>
  <si>
    <t>20.3</t>
  </si>
  <si>
    <t>20.4</t>
  </si>
  <si>
    <t>20.5</t>
  </si>
  <si>
    <t>20.6</t>
  </si>
  <si>
    <t>20.7</t>
  </si>
  <si>
    <t>20.8</t>
  </si>
  <si>
    <t>20.9</t>
  </si>
  <si>
    <t>21.1</t>
  </si>
  <si>
    <t>21.2</t>
  </si>
  <si>
    <t>21.3</t>
  </si>
  <si>
    <t>22.1</t>
  </si>
  <si>
    <t>22.2</t>
  </si>
  <si>
    <t>22.3</t>
  </si>
  <si>
    <t>22.4</t>
  </si>
  <si>
    <t>22.5</t>
  </si>
  <si>
    <t>22.6</t>
  </si>
  <si>
    <t>23.1</t>
  </si>
  <si>
    <t>23.2</t>
  </si>
  <si>
    <t>25.1</t>
  </si>
  <si>
    <t>25.2</t>
  </si>
  <si>
    <t>25.3</t>
  </si>
  <si>
    <t>25.4</t>
  </si>
  <si>
    <t>26.1</t>
  </si>
  <si>
    <t>26.2</t>
  </si>
  <si>
    <t>26.3</t>
  </si>
  <si>
    <t>28.1</t>
  </si>
  <si>
    <t>28.2</t>
  </si>
  <si>
    <t>28.3</t>
  </si>
  <si>
    <t>29.1</t>
  </si>
  <si>
    <t>29.2</t>
  </si>
  <si>
    <t>29.3</t>
  </si>
  <si>
    <t>24.1</t>
  </si>
  <si>
    <t>24.2</t>
  </si>
  <si>
    <t>24.3</t>
  </si>
  <si>
    <t>24.4</t>
  </si>
  <si>
    <t>25.5</t>
  </si>
  <si>
    <t>25.6</t>
  </si>
  <si>
    <t>25.7</t>
  </si>
  <si>
    <t>27.1</t>
  </si>
  <si>
    <t>27.2</t>
  </si>
  <si>
    <t>27.3</t>
  </si>
  <si>
    <t>27.4</t>
  </si>
  <si>
    <t>27.5</t>
  </si>
  <si>
    <t>27.6</t>
  </si>
  <si>
    <t>27.7</t>
  </si>
  <si>
    <t>27.8</t>
  </si>
  <si>
    <t>29.4</t>
  </si>
  <si>
    <t>29.5</t>
  </si>
  <si>
    <t>29.6</t>
  </si>
  <si>
    <t>29.7</t>
  </si>
  <si>
    <t>448,00 cada lado</t>
  </si>
  <si>
    <t>6,50 cada lado</t>
  </si>
  <si>
    <t>22.7</t>
  </si>
  <si>
    <t>17</t>
  </si>
  <si>
    <t>Arrancamento e remoção de meios-fios</t>
  </si>
  <si>
    <t>Transporte  em caminhão Basculante DMT = 1,0 km</t>
  </si>
  <si>
    <t>Fornecimento, execução e compactação de brita graduada para pavimentação, e= 24 cm</t>
  </si>
  <si>
    <t>5º mês     121 - 150</t>
  </si>
  <si>
    <t>6º mês    151 - 180</t>
  </si>
  <si>
    <t>7º mês     181 - 210</t>
  </si>
  <si>
    <t>8º mês     211 - 240</t>
  </si>
  <si>
    <t>9º mês     241 - 270</t>
  </si>
  <si>
    <t>2 - Serviços Iniciais - Rua Manaus</t>
  </si>
  <si>
    <t>3 - Terraplenagem - Rua Manaus</t>
  </si>
  <si>
    <t>4 - Estrutura do Pavimento - Rua Manaus</t>
  </si>
  <si>
    <t>5 - Pavimentação em Bloco - Rua Manaus</t>
  </si>
  <si>
    <t>6 - Drenagem Pluvial - Rua Manaus</t>
  </si>
  <si>
    <t>7 - Sinalização Viária  - Rua Manaus</t>
  </si>
  <si>
    <t>8 - Serviços Urbanisticos e Mobilidade Urbana - Rua Manaus</t>
  </si>
  <si>
    <t>9 - Serviços Iniciais - Rua Francelino Santos</t>
  </si>
  <si>
    <t>10 - Terraplenagem - Rua Francelino Santos</t>
  </si>
  <si>
    <t>11 - Estrutura do Pavimento - Rua Francelino Santos</t>
  </si>
  <si>
    <t>12 - Pavimentação em Bloco - Rua Francelino Santos</t>
  </si>
  <si>
    <t>13- Drenagem Pluvial - Rua Francelino Santos</t>
  </si>
  <si>
    <t>14 - Sinalização Viária  - Rua Francelino Santos</t>
  </si>
  <si>
    <t>15 - Serviços Urbanisticos e Mobilidade Urbana - Rua Francelino Santos</t>
  </si>
  <si>
    <t>16 - Serviços Iniciais - Rua Feijó</t>
  </si>
  <si>
    <t>17 - Terraplenagem - Rua Feijó</t>
  </si>
  <si>
    <t>18 - Estrutura do Pavimento - Rua Feijó</t>
  </si>
  <si>
    <t>19 - Pavimentação em Bloco - Rua Feijó</t>
  </si>
  <si>
    <t>20- Drenagem Pluvial - Rua Feijó</t>
  </si>
  <si>
    <t>21 - Sinalização Viária  - Rua Feijó</t>
  </si>
  <si>
    <t>22 - Serviços Urbanisticos e Mobilidade Urbana - Rua Feijó</t>
  </si>
  <si>
    <t>23 - Serviços Iniciais - Rua Vista Alegre</t>
  </si>
  <si>
    <t>25 - Estrutura do Pavimento - Rua Vista Alegre</t>
  </si>
  <si>
    <t>24 - Terraplenagem - Rua Vista Alegre</t>
  </si>
  <si>
    <t>26 - Revestimento em CBUQ - Rua Vista Alegre</t>
  </si>
  <si>
    <t>27- Drenagem Pluvial - Rua Vista Alegre</t>
  </si>
  <si>
    <t>Transporte de material escavado DMT 1,0 Km</t>
  </si>
  <si>
    <t>28 - Sinalização Viária  - Rua Vista Alegre</t>
  </si>
  <si>
    <t>29 - Serviços Urbanisticos e Mobilidade Urbana - Rua Vista Alegre</t>
  </si>
  <si>
    <t>Área de Pavimentação (m²)</t>
  </si>
  <si>
    <t>Área de Terraplenagem (m²)</t>
  </si>
  <si>
    <t>Transporte de  pedra britada com caminhão basculante 10m³, via urbana pavimentada, DMT 22,9 Km</t>
  </si>
  <si>
    <t>Transporte de  pó de pedra com caminhão basculante 10m³, via urbana pavimentada, DMT 22,9 Km</t>
  </si>
  <si>
    <t>Transporte de brita graduada com caminhão basculante 10m³, via urbana pavimentada, DMT 22,9 Km</t>
  </si>
  <si>
    <t>Transporte de pedra britada Nº 1 (9,5 à 19 mm), lastro de brita para os passeios espessura 3 cm, DT 22,9 km</t>
  </si>
  <si>
    <r>
      <t>Cronograma físico-financeiro - Ruas Manaus, Francelino Santos, Feijó e Vista Alegre</t>
    </r>
    <r>
      <rPr>
        <b/>
        <sz val="11"/>
        <rFont val="Arial"/>
        <family val="2"/>
      </rPr>
      <t xml:space="preserve"> </t>
    </r>
    <r>
      <rPr>
        <sz val="11"/>
        <rFont val="Arial"/>
        <family val="2"/>
      </rPr>
      <t>- Alvorada</t>
    </r>
  </si>
  <si>
    <t>Serviços Topográficos Para Pavimentação</t>
  </si>
  <si>
    <t>Memória de Cálculo - Vias Manaus, Francelino Santos, Feijó e Vista Alegre</t>
  </si>
  <si>
    <t>m³xkm</t>
  </si>
  <si>
    <t>PROPOSTA Nº 23599/2022</t>
  </si>
  <si>
    <t>CONTRATO DE REPASSE Nº 939788/2022/MDR/CAIXA</t>
  </si>
  <si>
    <t>Área de abrangência (pista + Passeios) Conforme planta de pavimentação = 6296,84+1743,30</t>
  </si>
  <si>
    <t>6.565,30 * 0,73</t>
  </si>
  <si>
    <t>4.792,66*1,25*1,0Km</t>
  </si>
  <si>
    <t>110,00*2*0,0525</t>
  </si>
  <si>
    <t>6.296,84*0,25</t>
  </si>
  <si>
    <t>6.296,84*0,03</t>
  </si>
  <si>
    <t>6.565,30*0,24</t>
  </si>
  <si>
    <t>1868,58 MF</t>
  </si>
  <si>
    <t>6.296,84 * 0,06</t>
  </si>
  <si>
    <t>Conforme Planilha de Escavação</t>
  </si>
  <si>
    <t>251 m tubo Ø 400mm</t>
  </si>
  <si>
    <t>251* 3,1416 * 0,48 * 0,48 / 4</t>
  </si>
  <si>
    <t>251 * 3,1416 * 0,48 * 0,48 / 4 * 1,25*1,0 Km</t>
  </si>
  <si>
    <t>13 PV</t>
  </si>
  <si>
    <t>26 BL</t>
  </si>
  <si>
    <t>Conforme planta de sinalização</t>
  </si>
  <si>
    <t>5 Placas*0,3 m²</t>
  </si>
  <si>
    <t>6 Placas</t>
  </si>
  <si>
    <t>842,50*0,40 conforme planta de acessibilidade</t>
  </si>
  <si>
    <t>(8,64+11,56+18,86+129,85)*0,07</t>
  </si>
  <si>
    <t>1 Unidade</t>
  </si>
  <si>
    <t>3*1,5</t>
  </si>
  <si>
    <t>Área de abrangência (pista + Passeio) conforme plnata de pavimentação</t>
  </si>
  <si>
    <t>373,30*0,33+112,00MF*0,15*0,15</t>
  </si>
  <si>
    <t>(373,30*0,33+112,00MF*0,15*0,15)1,25*1,6</t>
  </si>
  <si>
    <t>373,30*0,20</t>
  </si>
  <si>
    <t>373,30*0,20*18Km</t>
  </si>
  <si>
    <t>112 MF</t>
  </si>
  <si>
    <t>Conforme projeto de Pavimentação</t>
  </si>
  <si>
    <t>373,30*0,056*18 Km</t>
  </si>
  <si>
    <t>373,30*0,0085*18 Km</t>
  </si>
  <si>
    <t>Conforme planilha de cálculo de volume de escavação</t>
  </si>
  <si>
    <t>79 tubos DN 400mm</t>
  </si>
  <si>
    <t>79*3,1416*0,48*0,48/4</t>
  </si>
  <si>
    <t>79*3,1416*0,48*0,48/4*1,25*1,6Km</t>
  </si>
  <si>
    <t>4 PV</t>
  </si>
  <si>
    <t>4BL</t>
  </si>
  <si>
    <t>Conforme projeto de sinalização</t>
  </si>
  <si>
    <t>0,3m²*2 placas</t>
  </si>
  <si>
    <t>144,52*0,07-(10,60+84,02)*0,4*0,035</t>
  </si>
  <si>
    <t>144,52*0,03</t>
  </si>
  <si>
    <t>144,52*0,03*18</t>
  </si>
  <si>
    <t>2 placas</t>
  </si>
  <si>
    <t>10,60*0,4</t>
  </si>
  <si>
    <t>84,02*0,4</t>
  </si>
  <si>
    <t>56*7*0,3+1051,82*0,33+306,90MF*0,15*0,15</t>
  </si>
  <si>
    <t>(56*7*0,3+1051,82*0,33+306,90MF*0,15*0,15)*1,25*1,7km</t>
  </si>
  <si>
    <t>1051,82*0,20</t>
  </si>
  <si>
    <t>1051,82*0,20*17,8Km</t>
  </si>
  <si>
    <t>56*7*0,30  reforço do subleito da Est 0 até Est 2+16</t>
  </si>
  <si>
    <t>(56*7*0,30  reforço do subleito da Est 0 até Est 2+16)*17,8Km</t>
  </si>
  <si>
    <t>306,90 MF</t>
  </si>
  <si>
    <t>1051,82*0,056*17,8Km</t>
  </si>
  <si>
    <t>1051,82*0,0085*17,8Km</t>
  </si>
  <si>
    <t>76 tubos DN 400mm</t>
  </si>
  <si>
    <t>10 tubos DN 500mm</t>
  </si>
  <si>
    <t>25 tubos DN 600mm</t>
  </si>
  <si>
    <t>2 tubos DN 1000mm</t>
  </si>
  <si>
    <t>132,59 - 28,65</t>
  </si>
  <si>
    <t>76*3,1416*0,48*0,48/4+10*3,1416*0,6*0,6/4+25*3,1416*0,72*0,72/4+2*3,1416*1,1*1,1/4</t>
  </si>
  <si>
    <t>(76*3,1416*0,48*0,48/4+10*3,1416*0,6*0,6/4+25*3,1416*0,72*0,72/4+2*3,1416*1,1*1,1/4)*1,25*1,7</t>
  </si>
  <si>
    <t>8 BL</t>
  </si>
  <si>
    <t>436,98*0,07-(11,6+279,76)*0,4*0,035</t>
  </si>
  <si>
    <t>436,98*0,03</t>
  </si>
  <si>
    <t>436,98*0,03*17,8</t>
  </si>
  <si>
    <t>11,60*0,4</t>
  </si>
  <si>
    <t>279,76*0,4</t>
  </si>
  <si>
    <t>1352,27*0,33+379*0,15*0,15</t>
  </si>
  <si>
    <t>(1352,27*0,33+379*0,15*0,15)*1,25*1,3Km</t>
  </si>
  <si>
    <t>1352,27*0,20</t>
  </si>
  <si>
    <t>1352,27*0,20*20,9Km</t>
  </si>
  <si>
    <t>379,00 MF</t>
  </si>
  <si>
    <t>1352,27*0,056*20,9Km</t>
  </si>
  <si>
    <t>1352,27*0,0085*20,9Km</t>
  </si>
  <si>
    <t>25 tubos DN 400mm</t>
  </si>
  <si>
    <t>24 tubos DN 400mm</t>
  </si>
  <si>
    <t>49,92-8,86</t>
  </si>
  <si>
    <t>(25+24)*3,1416*0,48*0,48/4</t>
  </si>
  <si>
    <t>(25+24)*3,1416*0,48*0,48/4*1,3*1,25</t>
  </si>
  <si>
    <t>3 PV</t>
  </si>
  <si>
    <t>11 BL</t>
  </si>
  <si>
    <t>3 placas</t>
  </si>
  <si>
    <t>667,22*0,07-(20+341,58)*0,04*0,035</t>
  </si>
  <si>
    <t>667,22*0,03</t>
  </si>
  <si>
    <t>667,22*0,03*20,9</t>
  </si>
  <si>
    <t>20*0,40</t>
  </si>
  <si>
    <t>341,58*0,40</t>
  </si>
  <si>
    <t>120,93m² *0,07 Conforme planta de demolição de dispositivos de concreto simples</t>
  </si>
  <si>
    <t>Reforço do sub-leito com pedra britada nº 3 e=30cm</t>
  </si>
  <si>
    <t>11.7</t>
  </si>
  <si>
    <t>11.6</t>
  </si>
  <si>
    <t>Transporte de  pó de pedra com caminhão basculante 10m³, via urbana pavimentada, DMT 17,8 Km</t>
  </si>
  <si>
    <t>7793</t>
  </si>
  <si>
    <t>7.4</t>
  </si>
  <si>
    <t>14.4</t>
  </si>
  <si>
    <t>Conjunto de  Placa de Sinalizacao SEMI-REFLETIVA R19 (VELOCIDADE MÁXIMA PERMITIDA) 0,20M², incluindo suporte, acessorios de fixacao e implantacao</t>
  </si>
  <si>
    <t>21.4</t>
  </si>
  <si>
    <t>28.4</t>
  </si>
  <si>
    <t>0,2m²*2 placas</t>
  </si>
  <si>
    <t>56*7*0,03 bloqueio com pó de pedra da Est 0 até Est 2+16</t>
  </si>
  <si>
    <t>(56*7*0,03 bloqueio com pó de pedra da Est 0 até Est 2+16)*17,8Km</t>
  </si>
  <si>
    <t>0,3m²*3 placas</t>
  </si>
  <si>
    <t>0,2m²*4 placas</t>
  </si>
  <si>
    <t>ART Nº 12507733  e ART Nº 12491284</t>
  </si>
  <si>
    <t>94,95 - 14,29</t>
  </si>
  <si>
    <t>270,24-45,81</t>
  </si>
  <si>
    <t>(1.755,30*0,07-(136+842,50)*0,4*0,035)</t>
  </si>
  <si>
    <t>(1755,30-200,25*1,8*)0,03</t>
  </si>
  <si>
    <t xml:space="preserve"> 136,00*0,40  conforme planta de acessibilidade</t>
  </si>
  <si>
    <t>23.3</t>
  </si>
  <si>
    <t>3,00 * 1,50</t>
  </si>
  <si>
    <t>(1755,30-200,25*1,8*)0,03*22,9Km</t>
  </si>
  <si>
    <t xml:space="preserve"> Vias Manaus, Francelino Santos, Feijó e Vista Alegre</t>
  </si>
  <si>
    <t>Serviços Iniciais  - Via Manaus</t>
  </si>
  <si>
    <t>Terraplenagem - Via Manaus</t>
  </si>
  <si>
    <t>Estrutura do Pavimento - Via Manaus</t>
  </si>
  <si>
    <t>Pavimentação em Bloco - Via Manaus</t>
  </si>
  <si>
    <t>Drenagem Pluvial - Via Manaus</t>
  </si>
  <si>
    <t>Sinalização Viária - Via Manaus</t>
  </si>
  <si>
    <t>Serviços Urbanisticos e Mobilidade Urbana - Via Manaus</t>
  </si>
  <si>
    <t>Serviços Iniciais  - Via Francelino Santos</t>
  </si>
  <si>
    <t>Terraplenagem - Via Francelino Santos</t>
  </si>
  <si>
    <t>Estrutura do Pavimento - Via Francelino Santos</t>
  </si>
  <si>
    <t>Pavimentação em Bloco - Via Francelino Santos</t>
  </si>
  <si>
    <t>Drenagem Pluvial - Via Francelino Santos</t>
  </si>
  <si>
    <t>Sinalização Viária - Via Francelino Santos</t>
  </si>
  <si>
    <t>Serviços Urbanisticos e Mobilidade Urbana - Via Francelino Santos</t>
  </si>
  <si>
    <t>Serviços Iniciais  - Via Feijó</t>
  </si>
  <si>
    <t>Terraplenagem - Via Feijó</t>
  </si>
  <si>
    <t>Estrutura do Pavimento - Via Feijó</t>
  </si>
  <si>
    <t>Pavimentação em Bloco - Via Feijó</t>
  </si>
  <si>
    <t>Drenagem Pluvial - Via Feijó</t>
  </si>
  <si>
    <t>Sinalização Viária - Via Feijó</t>
  </si>
  <si>
    <t>Serviços Urbanisticos e Mobilidade Urbana - Via Feijó</t>
  </si>
  <si>
    <t>Serviços Iniciais - Via Vista Alegre</t>
  </si>
  <si>
    <t>Terraplenagem - Via Vista Alegre</t>
  </si>
  <si>
    <t>Estrutura do Pavimento - Via Vista Alegre</t>
  </si>
  <si>
    <t>Revestimento em CBUQ - Via Vista Alegre</t>
  </si>
  <si>
    <t>Drenagem Pluvial - Via Vista Alegre</t>
  </si>
  <si>
    <t>Sinalização Viária - Via Vista Alegre</t>
  </si>
  <si>
    <t>Serviços Urbanisticos e Mobilidade Urbana - Via Vista Alegre</t>
  </si>
  <si>
    <t>Projeto: Pavimentação das Vias Manaus, Francelino Santos, Feijó e Vista Alegre</t>
  </si>
  <si>
    <t>Ref de preços - SINAPI - AGOSTO 2023  NÃO DESONERADO</t>
  </si>
  <si>
    <t xml:space="preserve">Camada de lastro de brita para os passeios, espessura 3cm, incluso compactação </t>
  </si>
  <si>
    <t>Transporte de Massa Asfáltica tipo CBUQ DMT=16,7 Km</t>
  </si>
  <si>
    <t>6.296,84*0,25*22,9Km</t>
  </si>
  <si>
    <t>6.296,84*0,03*22,9Km</t>
  </si>
  <si>
    <t>6.565,30*0,24*22,9Km</t>
  </si>
  <si>
    <t>6.296,84 * 0,06*16,7Km</t>
  </si>
  <si>
    <t>13.13</t>
  </si>
  <si>
    <t>22</t>
  </si>
  <si>
    <t xml:space="preserve">Execução de caixa coletora(1,20X2,000) prof. 1,20m paredes em alvenaria de pedra gres  com fundo e tampa de concreto armado </t>
  </si>
  <si>
    <t xml:space="preserve">Execução de caixa coletora(1,20X2,00) prof. 1,20m paredes em alvenaria de pedra gres  com fundo e tampa de concreto armado </t>
  </si>
  <si>
    <t>1PV</t>
  </si>
  <si>
    <t>5PV</t>
  </si>
  <si>
    <t>92210</t>
  </si>
  <si>
    <t>23</t>
  </si>
  <si>
    <t>10775</t>
  </si>
  <si>
    <t>mês</t>
  </si>
  <si>
    <t>2 meses</t>
  </si>
  <si>
    <t>5 meses</t>
  </si>
  <si>
    <t>Execução de via em bloco de concreto intertravado 16 faces 22x11 cm, e=8 cm</t>
  </si>
  <si>
    <t xml:space="preserve">Execução de caixa coletora(1,20X1,20) prof. média 1,20m paredes em alvenaria de pedra gres  com fundo e tampa de concreto armado </t>
  </si>
  <si>
    <t>Conjunto de placa de Identificação de Logradouro Público, com duas placas 50X25 cm, face dupla,incluindo suporte, acessorios de fixação e implantação</t>
  </si>
  <si>
    <t>Fornecimento e Colocação de piso tátil de Alerta 40x40x2,5</t>
  </si>
  <si>
    <t>Fornecimento e Colocação de piso tátil direcional 40x40x2,5</t>
  </si>
  <si>
    <t>95995</t>
  </si>
  <si>
    <t>Pavimentação das Vias Manaus, Francelino Santos, Feijó e Vista Alegre</t>
  </si>
  <si>
    <t>Serviços Iniciais - Via Manaus</t>
  </si>
  <si>
    <t>Drenagem Pluvial -Via Manaus</t>
  </si>
  <si>
    <t>Serviços Iniciais - Via Francelino Santos</t>
  </si>
  <si>
    <t>Drenagem Pluvial -Via Francelino Santos</t>
  </si>
  <si>
    <t>Serviços Iniciais - Via Feijó</t>
  </si>
  <si>
    <t>Drenagem Pluvial -Via Feijó</t>
  </si>
  <si>
    <t>Drenagem Pluvial -Via Vista Alegre</t>
  </si>
  <si>
    <t>Revestimento em CBUQ - Vista Alegre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</si>
</sst>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(&quot;R$&quot;* #,##0.00_);_(&quot;R$&quot;* \(#,##0.00\);_(&quot;R$&quot;* &quot;-&quot;??_);_(@_)"/>
    <numFmt numFmtId="167" formatCode="0.00000"/>
    <numFmt numFmtId="168" formatCode="_(* #,##0.000_);_(* \(#,##0.000\);_(* &quot;-&quot;??_);_(@_)"/>
    <numFmt numFmtId="169" formatCode="_-* #,##0.000000_-;\-* #,##0.000000_-;_-* &quot;-&quot;??_-;_-@_-"/>
    <numFmt numFmtId="170" formatCode="&quot;R$&quot;\ #,##0.00"/>
    <numFmt numFmtId="171" formatCode="_-* #,##0.00_-;\-* #,##0.00_-;_-* &quot;-&quot;???????????????_-;_-@_-"/>
  </numFmts>
  <fonts count="20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2"/>
      <color theme="0" tint="-0.34998626667073579"/>
      <name val="Arial"/>
      <family val="2"/>
    </font>
    <font>
      <sz val="12"/>
      <color rgb="FFFF0000"/>
      <name val="Arial"/>
      <family val="2"/>
    </font>
    <font>
      <sz val="14"/>
      <color theme="0" tint="-0.249977111117893"/>
      <name val="Arial"/>
      <family val="2"/>
    </font>
    <font>
      <b/>
      <sz val="11"/>
      <name val="Arial"/>
      <family val="2"/>
    </font>
    <font>
      <sz val="12"/>
      <color rgb="FF000000"/>
      <name val="Arial"/>
      <family val="2"/>
    </font>
    <font>
      <sz val="11"/>
      <color rgb="FF0070C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164" fontId="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0" fontId="2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29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1" xfId="0" applyFont="1" applyBorder="1" applyAlignment="1">
      <alignment horizontal="left" vertical="center"/>
    </xf>
    <xf numFmtId="168" fontId="5" fillId="0" borderId="2" xfId="14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3" fillId="3" borderId="4" xfId="8" applyFont="1" applyFill="1" applyBorder="1" applyAlignment="1">
      <alignment vertical="center"/>
    </xf>
    <xf numFmtId="0" fontId="3" fillId="0" borderId="4" xfId="8" applyFont="1" applyBorder="1" applyAlignment="1">
      <alignment vertical="center"/>
    </xf>
    <xf numFmtId="2" fontId="0" fillId="0" borderId="0" xfId="0" applyNumberFormat="1" applyAlignment="1">
      <alignment vertical="center"/>
    </xf>
    <xf numFmtId="167" fontId="4" fillId="0" borderId="0" xfId="0" applyNumberFormat="1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165" fontId="10" fillId="0" borderId="0" xfId="13" applyFont="1"/>
    <xf numFmtId="165" fontId="10" fillId="0" borderId="0" xfId="13" applyFont="1" applyFill="1" applyBorder="1" applyAlignment="1">
      <alignment vertical="center"/>
    </xf>
    <xf numFmtId="165" fontId="10" fillId="0" borderId="0" xfId="13" applyFont="1" applyFill="1" applyBorder="1"/>
    <xf numFmtId="0" fontId="3" fillId="0" borderId="4" xfId="0" applyFont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/>
    </xf>
    <xf numFmtId="165" fontId="3" fillId="0" borderId="4" xfId="15" applyFont="1" applyFill="1" applyBorder="1" applyAlignment="1">
      <alignment vertical="center"/>
    </xf>
    <xf numFmtId="2" fontId="3" fillId="0" borderId="5" xfId="3" applyNumberFormat="1" applyFont="1" applyBorder="1" applyAlignment="1">
      <alignment horizontal="right"/>
    </xf>
    <xf numFmtId="0" fontId="3" fillId="0" borderId="4" xfId="0" applyFont="1" applyBorder="1" applyAlignment="1">
      <alignment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5" fontId="3" fillId="2" borderId="4" xfId="14" applyFont="1" applyFill="1" applyBorder="1" applyAlignment="1">
      <alignment horizontal="center" vertical="center"/>
    </xf>
    <xf numFmtId="2" fontId="3" fillId="7" borderId="5" xfId="3" applyNumberFormat="1" applyFont="1" applyFill="1" applyBorder="1" applyAlignment="1">
      <alignment horizontal="right"/>
    </xf>
    <xf numFmtId="164" fontId="5" fillId="2" borderId="6" xfId="2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65" fontId="3" fillId="0" borderId="4" xfId="13" applyFont="1" applyBorder="1" applyAlignment="1">
      <alignment horizontal="center"/>
    </xf>
    <xf numFmtId="165" fontId="3" fillId="0" borderId="5" xfId="13" applyFont="1" applyBorder="1" applyAlignment="1">
      <alignment horizontal="right"/>
    </xf>
    <xf numFmtId="165" fontId="3" fillId="0" borderId="6" xfId="13" applyFont="1" applyBorder="1" applyAlignment="1">
      <alignment horizontal="right" vertical="center"/>
    </xf>
    <xf numFmtId="165" fontId="3" fillId="2" borderId="7" xfId="14" applyFont="1" applyFill="1" applyBorder="1"/>
    <xf numFmtId="49" fontId="3" fillId="0" borderId="8" xfId="0" applyNumberFormat="1" applyFont="1" applyBorder="1" applyAlignment="1">
      <alignment horizontal="center" vertical="center"/>
    </xf>
    <xf numFmtId="165" fontId="3" fillId="0" borderId="4" xfId="15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65" fontId="3" fillId="0" borderId="4" xfId="14" applyFont="1" applyBorder="1"/>
    <xf numFmtId="164" fontId="3" fillId="0" borderId="6" xfId="2" applyFont="1" applyBorder="1" applyAlignment="1">
      <alignment horizontal="center" vertical="center"/>
    </xf>
    <xf numFmtId="2" fontId="14" fillId="7" borderId="5" xfId="3" applyNumberFormat="1" applyFont="1" applyFill="1" applyBorder="1" applyAlignment="1">
      <alignment horizontal="right"/>
    </xf>
    <xf numFmtId="4" fontId="15" fillId="2" borderId="7" xfId="0" applyNumberFormat="1" applyFont="1" applyFill="1" applyBorder="1" applyAlignment="1">
      <alignment horizontal="center" vertical="center"/>
    </xf>
    <xf numFmtId="164" fontId="5" fillId="2" borderId="4" xfId="5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4" fontId="3" fillId="2" borderId="7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3" borderId="8" xfId="0" applyFont="1" applyFill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/>
    </xf>
    <xf numFmtId="10" fontId="3" fillId="0" borderId="0" xfId="0" applyNumberFormat="1" applyFont="1" applyAlignment="1">
      <alignment horizontal="center" vertical="center"/>
    </xf>
    <xf numFmtId="0" fontId="3" fillId="0" borderId="6" xfId="2" applyNumberFormat="1" applyFont="1" applyBorder="1" applyAlignment="1">
      <alignment horizontal="right" vertical="center"/>
    </xf>
    <xf numFmtId="165" fontId="3" fillId="0" borderId="4" xfId="14" applyFont="1" applyBorder="1" applyAlignment="1">
      <alignment horizontal="center"/>
    </xf>
    <xf numFmtId="2" fontId="3" fillId="0" borderId="6" xfId="2" applyNumberFormat="1" applyFont="1" applyBorder="1" applyAlignment="1">
      <alignment horizontal="right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vertical="center"/>
    </xf>
    <xf numFmtId="0" fontId="5" fillId="2" borderId="14" xfId="0" applyFont="1" applyFill="1" applyBorder="1" applyAlignment="1">
      <alignment vertical="center"/>
    </xf>
    <xf numFmtId="165" fontId="3" fillId="0" borderId="0" xfId="0" applyNumberFormat="1" applyFont="1" applyAlignment="1">
      <alignment vertical="center"/>
    </xf>
    <xf numFmtId="165" fontId="3" fillId="0" borderId="0" xfId="14" applyFont="1" applyFill="1" applyAlignment="1">
      <alignment vertical="center"/>
    </xf>
    <xf numFmtId="165" fontId="3" fillId="0" borderId="4" xfId="13" applyFont="1" applyBorder="1" applyAlignment="1">
      <alignment vertical="center"/>
    </xf>
    <xf numFmtId="165" fontId="3" fillId="0" borderId="4" xfId="13" applyFont="1" applyFill="1" applyBorder="1" applyAlignment="1">
      <alignment vertical="center"/>
    </xf>
    <xf numFmtId="165" fontId="3" fillId="0" borderId="4" xfId="13" applyFont="1" applyBorder="1" applyAlignment="1">
      <alignment horizontal="right" vertical="center"/>
    </xf>
    <xf numFmtId="165" fontId="3" fillId="0" borderId="4" xfId="13" applyFont="1" applyBorder="1" applyAlignment="1">
      <alignment horizontal="right"/>
    </xf>
    <xf numFmtId="164" fontId="5" fillId="2" borderId="15" xfId="0" applyNumberFormat="1" applyFont="1" applyFill="1" applyBorder="1" applyAlignment="1">
      <alignment vertical="center"/>
    </xf>
    <xf numFmtId="2" fontId="3" fillId="7" borderId="4" xfId="3" applyNumberFormat="1" applyFont="1" applyFill="1" applyBorder="1" applyAlignment="1">
      <alignment horizontal="right"/>
    </xf>
    <xf numFmtId="164" fontId="5" fillId="2" borderId="4" xfId="2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4" fontId="3" fillId="2" borderId="5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165" fontId="3" fillId="0" borderId="4" xfId="14" applyFont="1" applyFill="1" applyBorder="1" applyAlignment="1">
      <alignment vertical="center"/>
    </xf>
    <xf numFmtId="0" fontId="3" fillId="2" borderId="17" xfId="0" applyFont="1" applyFill="1" applyBorder="1" applyAlignment="1">
      <alignment horizontal="center" vertical="center"/>
    </xf>
    <xf numFmtId="165" fontId="3" fillId="0" borderId="6" xfId="15" applyFont="1" applyBorder="1" applyAlignment="1">
      <alignment horizontal="left"/>
    </xf>
    <xf numFmtId="165" fontId="3" fillId="2" borderId="4" xfId="15" applyFont="1" applyFill="1" applyBorder="1"/>
    <xf numFmtId="165" fontId="3" fillId="2" borderId="6" xfId="15" applyFont="1" applyFill="1" applyBorder="1"/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center" vertical="center"/>
    </xf>
    <xf numFmtId="165" fontId="3" fillId="2" borderId="4" xfId="14" applyFont="1" applyFill="1" applyBorder="1"/>
    <xf numFmtId="165" fontId="3" fillId="2" borderId="6" xfId="14" applyFont="1" applyFill="1" applyBorder="1"/>
    <xf numFmtId="4" fontId="3" fillId="0" borderId="4" xfId="0" applyNumberFormat="1" applyFont="1" applyBorder="1" applyAlignment="1">
      <alignment vertical="center"/>
    </xf>
    <xf numFmtId="165" fontId="3" fillId="2" borderId="6" xfId="14" applyFont="1" applyFill="1" applyBorder="1" applyAlignment="1">
      <alignment horizontal="center" vertical="center"/>
    </xf>
    <xf numFmtId="0" fontId="3" fillId="0" borderId="14" xfId="0" applyFont="1" applyBorder="1"/>
    <xf numFmtId="0" fontId="3" fillId="0" borderId="0" xfId="0" applyFont="1"/>
    <xf numFmtId="0" fontId="11" fillId="7" borderId="4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6" fillId="7" borderId="4" xfId="0" applyFont="1" applyFill="1" applyBorder="1" applyAlignment="1">
      <alignment horizontal="center"/>
    </xf>
    <xf numFmtId="164" fontId="11" fillId="2" borderId="4" xfId="3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165" fontId="3" fillId="7" borderId="5" xfId="15" applyFont="1" applyFill="1" applyBorder="1" applyAlignment="1">
      <alignment vertical="center"/>
    </xf>
    <xf numFmtId="16" fontId="3" fillId="7" borderId="4" xfId="0" applyNumberFormat="1" applyFont="1" applyFill="1" applyBorder="1" applyAlignment="1">
      <alignment vertical="center"/>
    </xf>
    <xf numFmtId="43" fontId="0" fillId="0" borderId="0" xfId="0" applyNumberFormat="1"/>
    <xf numFmtId="43" fontId="0" fillId="0" borderId="0" xfId="0" applyNumberFormat="1" applyAlignment="1">
      <alignment vertical="center"/>
    </xf>
    <xf numFmtId="164" fontId="3" fillId="0" borderId="0" xfId="0" applyNumberFormat="1" applyFont="1" applyAlignment="1">
      <alignment vertical="center"/>
    </xf>
    <xf numFmtId="169" fontId="0" fillId="0" borderId="0" xfId="0" applyNumberFormat="1" applyAlignment="1">
      <alignment vertical="center"/>
    </xf>
    <xf numFmtId="164" fontId="11" fillId="2" borderId="4" xfId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5" fontId="10" fillId="2" borderId="4" xfId="13" applyFont="1" applyFill="1" applyBorder="1" applyAlignment="1">
      <alignment horizontal="right"/>
    </xf>
    <xf numFmtId="170" fontId="12" fillId="0" borderId="0" xfId="0" applyNumberFormat="1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left" vertical="center"/>
    </xf>
    <xf numFmtId="2" fontId="3" fillId="0" borderId="5" xfId="1" applyNumberFormat="1" applyFont="1" applyBorder="1" applyAlignment="1">
      <alignment horizontal="right"/>
    </xf>
    <xf numFmtId="165" fontId="3" fillId="0" borderId="4" xfId="15" applyFont="1" applyFill="1" applyBorder="1" applyAlignment="1">
      <alignment horizontal="right"/>
    </xf>
    <xf numFmtId="171" fontId="0" fillId="0" borderId="0" xfId="0" applyNumberFormat="1" applyAlignment="1">
      <alignment vertical="center"/>
    </xf>
    <xf numFmtId="170" fontId="0" fillId="0" borderId="0" xfId="0" applyNumberFormat="1" applyAlignment="1">
      <alignment vertical="center"/>
    </xf>
    <xf numFmtId="165" fontId="3" fillId="0" borderId="4" xfId="15" applyFont="1" applyFill="1" applyBorder="1" applyAlignment="1"/>
    <xf numFmtId="0" fontId="4" fillId="0" borderId="4" xfId="0" applyFont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/>
    </xf>
    <xf numFmtId="43" fontId="3" fillId="0" borderId="4" xfId="0" applyNumberFormat="1" applyFont="1" applyBorder="1" applyAlignment="1">
      <alignment vertical="center"/>
    </xf>
    <xf numFmtId="165" fontId="3" fillId="0" borderId="4" xfId="0" applyNumberFormat="1" applyFont="1" applyBorder="1" applyAlignment="1">
      <alignment vertical="center"/>
    </xf>
    <xf numFmtId="2" fontId="3" fillId="0" borderId="4" xfId="0" applyNumberFormat="1" applyFont="1" applyBorder="1" applyAlignment="1">
      <alignment vertical="center"/>
    </xf>
    <xf numFmtId="165" fontId="3" fillId="0" borderId="4" xfId="15" applyFont="1" applyBorder="1" applyAlignment="1">
      <alignment horizontal="left" vertical="center"/>
    </xf>
    <xf numFmtId="164" fontId="3" fillId="0" borderId="0" xfId="1" applyFont="1" applyBorder="1" applyAlignment="1">
      <alignment horizontal="right"/>
    </xf>
    <xf numFmtId="164" fontId="3" fillId="0" borderId="4" xfId="2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2" fontId="3" fillId="0" borderId="0" xfId="0" applyNumberFormat="1" applyFont="1" applyAlignment="1">
      <alignment vertical="center"/>
    </xf>
    <xf numFmtId="0" fontId="3" fillId="0" borderId="5" xfId="0" applyFont="1" applyBorder="1" applyAlignment="1">
      <alignment vertical="center"/>
    </xf>
    <xf numFmtId="2" fontId="3" fillId="0" borderId="5" xfId="0" applyNumberFormat="1" applyFont="1" applyBorder="1" applyAlignment="1">
      <alignment vertical="center"/>
    </xf>
    <xf numFmtId="43" fontId="3" fillId="0" borderId="5" xfId="0" applyNumberFormat="1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0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  <xf numFmtId="49" fontId="3" fillId="0" borderId="4" xfId="8" applyNumberFormat="1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43" fontId="0" fillId="0" borderId="4" xfId="0" applyNumberFormat="1" applyBorder="1" applyAlignment="1">
      <alignment vertical="center"/>
    </xf>
    <xf numFmtId="4" fontId="3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6" borderId="4" xfId="0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165" fontId="3" fillId="0" borderId="4" xfId="13" applyFont="1" applyFill="1" applyBorder="1" applyAlignment="1">
      <alignment horizontal="left"/>
    </xf>
    <xf numFmtId="165" fontId="3" fillId="0" borderId="4" xfId="13" applyFont="1" applyFill="1" applyBorder="1" applyAlignment="1">
      <alignment horizontal="right"/>
    </xf>
    <xf numFmtId="165" fontId="3" fillId="0" borderId="4" xfId="13" applyFont="1" applyFill="1" applyBorder="1" applyAlignment="1">
      <alignment horizontal="center"/>
    </xf>
    <xf numFmtId="164" fontId="3" fillId="0" borderId="0" xfId="3" applyFont="1" applyFill="1" applyBorder="1" applyAlignment="1">
      <alignment horizontal="right"/>
    </xf>
    <xf numFmtId="43" fontId="6" fillId="0" borderId="0" xfId="0" applyNumberFormat="1" applyFont="1" applyAlignment="1">
      <alignment vertical="center"/>
    </xf>
    <xf numFmtId="0" fontId="3" fillId="0" borderId="12" xfId="0" applyFont="1" applyBorder="1" applyAlignment="1">
      <alignment horizontal="center"/>
    </xf>
    <xf numFmtId="165" fontId="3" fillId="0" borderId="11" xfId="13" applyFont="1" applyFill="1" applyBorder="1" applyAlignment="1">
      <alignment horizontal="center"/>
    </xf>
    <xf numFmtId="165" fontId="3" fillId="0" borderId="10" xfId="13" applyFont="1" applyBorder="1" applyAlignment="1">
      <alignment horizontal="right"/>
    </xf>
    <xf numFmtId="2" fontId="3" fillId="0" borderId="4" xfId="15" applyNumberFormat="1" applyFont="1" applyBorder="1" applyAlignment="1">
      <alignment horizontal="right"/>
    </xf>
    <xf numFmtId="165" fontId="3" fillId="0" borderId="5" xfId="13" applyFont="1" applyBorder="1" applyAlignment="1">
      <alignment horizontal="center"/>
    </xf>
    <xf numFmtId="2" fontId="3" fillId="0" borderId="20" xfId="1" applyNumberFormat="1" applyFont="1" applyBorder="1" applyAlignment="1">
      <alignment horizontal="right"/>
    </xf>
    <xf numFmtId="165" fontId="3" fillId="0" borderId="20" xfId="13" applyFont="1" applyBorder="1" applyAlignment="1">
      <alignment horizontal="center"/>
    </xf>
    <xf numFmtId="0" fontId="3" fillId="0" borderId="20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2" fontId="4" fillId="6" borderId="4" xfId="15" applyNumberFormat="1" applyFont="1" applyFill="1" applyBorder="1" applyAlignment="1">
      <alignment horizontal="center"/>
    </xf>
    <xf numFmtId="165" fontId="4" fillId="0" borderId="5" xfId="13" applyFont="1" applyBorder="1" applyAlignment="1">
      <alignment horizontal="right"/>
    </xf>
    <xf numFmtId="165" fontId="4" fillId="0" borderId="4" xfId="13" applyFont="1" applyBorder="1" applyAlignment="1">
      <alignment horizontal="right"/>
    </xf>
    <xf numFmtId="2" fontId="4" fillId="0" borderId="4" xfId="0" applyNumberFormat="1" applyFont="1" applyBorder="1" applyAlignment="1">
      <alignment vertical="center"/>
    </xf>
    <xf numFmtId="0" fontId="4" fillId="6" borderId="12" xfId="0" applyFont="1" applyFill="1" applyBorder="1" applyAlignment="1">
      <alignment horizontal="center" vertical="center" wrapText="1"/>
    </xf>
    <xf numFmtId="2" fontId="4" fillId="0" borderId="4" xfId="15" applyNumberFormat="1" applyFont="1" applyFill="1" applyBorder="1" applyAlignment="1">
      <alignment horizontal="center"/>
    </xf>
    <xf numFmtId="165" fontId="3" fillId="0" borderId="4" xfId="15" applyFont="1" applyBorder="1" applyAlignment="1">
      <alignment horizontal="right"/>
    </xf>
    <xf numFmtId="0" fontId="3" fillId="0" borderId="0" xfId="0" applyFont="1" applyAlignment="1">
      <alignment vertical="center" wrapText="1"/>
    </xf>
    <xf numFmtId="165" fontId="3" fillId="2" borderId="7" xfId="15" applyFont="1" applyFill="1" applyBorder="1"/>
    <xf numFmtId="0" fontId="3" fillId="0" borderId="4" xfId="0" applyFont="1" applyBorder="1"/>
    <xf numFmtId="165" fontId="3" fillId="0" borderId="5" xfId="15" applyFont="1" applyBorder="1" applyAlignment="1">
      <alignment horizontal="right"/>
    </xf>
    <xf numFmtId="0" fontId="3" fillId="3" borderId="4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65" fontId="3" fillId="0" borderId="7" xfId="15" applyFont="1" applyBorder="1"/>
    <xf numFmtId="2" fontId="3" fillId="6" borderId="4" xfId="15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/>
    </xf>
    <xf numFmtId="164" fontId="5" fillId="2" borderId="5" xfId="2" applyFont="1" applyFill="1" applyBorder="1" applyAlignment="1">
      <alignment horizontal="center" vertical="center"/>
    </xf>
    <xf numFmtId="165" fontId="3" fillId="0" borderId="19" xfId="13" applyFont="1" applyBorder="1" applyAlignment="1">
      <alignment horizontal="center"/>
    </xf>
    <xf numFmtId="164" fontId="3" fillId="0" borderId="19" xfId="3" applyFont="1" applyFill="1" applyBorder="1" applyAlignment="1">
      <alignment horizontal="right"/>
    </xf>
    <xf numFmtId="43" fontId="3" fillId="0" borderId="20" xfId="0" applyNumberFormat="1" applyFont="1" applyBorder="1" applyAlignment="1">
      <alignment horizontal="center" vertical="center"/>
    </xf>
    <xf numFmtId="165" fontId="3" fillId="0" borderId="5" xfId="13" applyFont="1" applyBorder="1" applyAlignment="1">
      <alignment horizontal="right" vertical="center"/>
    </xf>
    <xf numFmtId="2" fontId="3" fillId="0" borderId="19" xfId="3" applyNumberFormat="1" applyFont="1" applyFill="1" applyBorder="1" applyAlignment="1">
      <alignment horizontal="right"/>
    </xf>
    <xf numFmtId="0" fontId="3" fillId="0" borderId="19" xfId="0" applyFont="1" applyBorder="1" applyAlignment="1">
      <alignment horizontal="center" vertical="center"/>
    </xf>
    <xf numFmtId="165" fontId="3" fillId="0" borderId="0" xfId="15" applyFont="1" applyFill="1" applyBorder="1" applyAlignment="1">
      <alignment horizontal="right"/>
    </xf>
    <xf numFmtId="165" fontId="3" fillId="0" borderId="19" xfId="15" applyFont="1" applyFill="1" applyBorder="1" applyAlignment="1">
      <alignment horizontal="right"/>
    </xf>
    <xf numFmtId="164" fontId="3" fillId="0" borderId="5" xfId="2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11" xfId="0" applyFont="1" applyBorder="1" applyAlignment="1">
      <alignment horizontal="right" vertical="center"/>
    </xf>
    <xf numFmtId="0" fontId="4" fillId="0" borderId="18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10" fontId="4" fillId="0" borderId="11" xfId="9" applyNumberFormat="1" applyFont="1" applyBorder="1" applyAlignment="1">
      <alignment horizontal="center" vertical="center"/>
    </xf>
    <xf numFmtId="4" fontId="4" fillId="0" borderId="18" xfId="0" applyNumberFormat="1" applyFont="1" applyBorder="1"/>
    <xf numFmtId="0" fontId="4" fillId="5" borderId="22" xfId="0" applyFont="1" applyFill="1" applyBorder="1" applyAlignment="1">
      <alignment horizontal="center" vertical="center" wrapText="1"/>
    </xf>
    <xf numFmtId="0" fontId="4" fillId="5" borderId="18" xfId="0" applyFont="1" applyFill="1" applyBorder="1" applyAlignment="1">
      <alignment horizontal="center" vertical="center" wrapText="1"/>
    </xf>
    <xf numFmtId="165" fontId="4" fillId="0" borderId="18" xfId="17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/>
    </xf>
    <xf numFmtId="164" fontId="4" fillId="0" borderId="23" xfId="3" applyFont="1" applyBorder="1" applyAlignment="1">
      <alignment horizontal="center" vertical="center"/>
    </xf>
    <xf numFmtId="164" fontId="4" fillId="0" borderId="8" xfId="3" applyFont="1" applyBorder="1" applyAlignment="1">
      <alignment horizontal="center" vertical="center"/>
    </xf>
    <xf numFmtId="10" fontId="4" fillId="0" borderId="21" xfId="12" applyNumberFormat="1" applyFont="1" applyBorder="1" applyAlignment="1">
      <alignment horizontal="center" vertical="center"/>
    </xf>
    <xf numFmtId="10" fontId="4" fillId="0" borderId="11" xfId="11" applyNumberFormat="1" applyFont="1" applyBorder="1" applyAlignment="1">
      <alignment vertical="center"/>
    </xf>
    <xf numFmtId="165" fontId="4" fillId="0" borderId="18" xfId="17" applyFont="1" applyBorder="1" applyAlignment="1">
      <alignment vertical="center"/>
    </xf>
    <xf numFmtId="10" fontId="4" fillId="0" borderId="11" xfId="9" applyNumberFormat="1" applyFont="1" applyBorder="1" applyAlignment="1">
      <alignment vertical="center"/>
    </xf>
    <xf numFmtId="0" fontId="4" fillId="5" borderId="18" xfId="0" applyFont="1" applyFill="1" applyBorder="1" applyAlignment="1">
      <alignment horizontal="center" vertical="center"/>
    </xf>
    <xf numFmtId="164" fontId="4" fillId="0" borderId="8" xfId="3" applyFont="1" applyBorder="1" applyAlignment="1">
      <alignment vertical="center"/>
    </xf>
    <xf numFmtId="10" fontId="4" fillId="0" borderId="18" xfId="9" applyNumberFormat="1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1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justify" wrapText="1"/>
    </xf>
    <xf numFmtId="164" fontId="4" fillId="0" borderId="19" xfId="3" applyFont="1" applyBorder="1" applyAlignment="1">
      <alignment horizontal="center" vertical="center"/>
    </xf>
    <xf numFmtId="0" fontId="17" fillId="0" borderId="18" xfId="0" applyFont="1" applyBorder="1" applyAlignment="1">
      <alignment horizontal="justify" vertical="justify" wrapText="1"/>
    </xf>
    <xf numFmtId="164" fontId="17" fillId="0" borderId="19" xfId="3" applyFont="1" applyBorder="1" applyAlignment="1">
      <alignment horizontal="center" vertical="center"/>
    </xf>
    <xf numFmtId="164" fontId="17" fillId="0" borderId="18" xfId="3" applyFont="1" applyBorder="1" applyAlignment="1">
      <alignment horizontal="center" vertical="center"/>
    </xf>
    <xf numFmtId="164" fontId="4" fillId="0" borderId="18" xfId="3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65" fontId="4" fillId="0" borderId="11" xfId="17" applyFont="1" applyBorder="1" applyAlignment="1">
      <alignment vertical="center"/>
    </xf>
    <xf numFmtId="10" fontId="4" fillId="0" borderId="19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165" fontId="4" fillId="0" borderId="8" xfId="17" applyFont="1" applyBorder="1" applyAlignment="1">
      <alignment vertical="center"/>
    </xf>
    <xf numFmtId="10" fontId="4" fillId="0" borderId="18" xfId="9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1" fillId="0" borderId="0" xfId="0" applyFont="1" applyAlignment="1">
      <alignment horizontal="right"/>
    </xf>
    <xf numFmtId="0" fontId="4" fillId="0" borderId="18" xfId="0" applyFont="1" applyBorder="1" applyAlignment="1">
      <alignment horizontal="left" vertical="center" wrapText="1"/>
    </xf>
    <xf numFmtId="10" fontId="4" fillId="0" borderId="10" xfId="9" applyNumberFormat="1" applyFont="1" applyBorder="1" applyAlignment="1">
      <alignment horizontal="center" vertical="center"/>
    </xf>
    <xf numFmtId="10" fontId="4" fillId="0" borderId="11" xfId="12" applyNumberFormat="1" applyFont="1" applyBorder="1" applyAlignment="1">
      <alignment horizontal="center" vertical="center"/>
    </xf>
    <xf numFmtId="0" fontId="4" fillId="0" borderId="23" xfId="0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165" fontId="3" fillId="0" borderId="10" xfId="13" applyFont="1" applyBorder="1" applyAlignment="1">
      <alignment vertical="center"/>
    </xf>
    <xf numFmtId="165" fontId="3" fillId="0" borderId="4" xfId="13" applyFont="1" applyBorder="1" applyAlignment="1">
      <alignment horizontal="center" vertical="center"/>
    </xf>
    <xf numFmtId="2" fontId="4" fillId="0" borderId="19" xfId="9" applyNumberFormat="1" applyFont="1" applyBorder="1" applyAlignment="1">
      <alignment horizontal="center" vertical="center"/>
    </xf>
    <xf numFmtId="2" fontId="4" fillId="0" borderId="18" xfId="9" applyNumberFormat="1" applyFont="1" applyBorder="1" applyAlignment="1">
      <alignment vertical="center"/>
    </xf>
    <xf numFmtId="2" fontId="4" fillId="0" borderId="19" xfId="0" applyNumberFormat="1" applyFont="1" applyBorder="1" applyAlignment="1">
      <alignment horizontal="center" vertical="center"/>
    </xf>
    <xf numFmtId="165" fontId="3" fillId="0" borderId="0" xfId="13" applyFont="1" applyFill="1" applyBorder="1" applyAlignment="1">
      <alignment horizontal="left"/>
    </xf>
    <xf numFmtId="165" fontId="3" fillId="0" borderId="4" xfId="13" applyFont="1" applyFill="1" applyBorder="1" applyAlignment="1">
      <alignment vertical="center" wrapText="1"/>
    </xf>
    <xf numFmtId="165" fontId="3" fillId="0" borderId="4" xfId="15" applyFont="1" applyFill="1" applyBorder="1" applyAlignment="1">
      <alignment vertical="center" wrapText="1"/>
    </xf>
    <xf numFmtId="0" fontId="3" fillId="0" borderId="4" xfId="0" applyFont="1" applyBorder="1" applyAlignment="1">
      <alignment horizontal="left" wrapText="1"/>
    </xf>
    <xf numFmtId="0" fontId="3" fillId="6" borderId="4" xfId="0" applyFont="1" applyFill="1" applyBorder="1" applyAlignment="1">
      <alignment vertical="center"/>
    </xf>
    <xf numFmtId="0" fontId="18" fillId="0" borderId="4" xfId="0" applyFont="1" applyBorder="1" applyAlignment="1">
      <alignment vertical="center" wrapText="1"/>
    </xf>
    <xf numFmtId="165" fontId="3" fillId="0" borderId="0" xfId="15" applyFont="1" applyFill="1" applyBorder="1" applyAlignment="1">
      <alignment horizontal="left"/>
    </xf>
    <xf numFmtId="165" fontId="3" fillId="0" borderId="0" xfId="15" applyFont="1" applyBorder="1" applyAlignment="1">
      <alignment horizontal="left"/>
    </xf>
    <xf numFmtId="2" fontId="3" fillId="0" borderId="0" xfId="0" applyNumberFormat="1" applyFont="1" applyAlignment="1">
      <alignment vertical="center" wrapText="1"/>
    </xf>
    <xf numFmtId="165" fontId="3" fillId="0" borderId="5" xfId="13" applyFont="1" applyFill="1" applyBorder="1" applyAlignment="1">
      <alignment vertical="center" wrapText="1"/>
    </xf>
    <xf numFmtId="165" fontId="3" fillId="0" borderId="19" xfId="15" applyFont="1" applyFill="1" applyBorder="1" applyAlignment="1">
      <alignment horizontal="left"/>
    </xf>
    <xf numFmtId="0" fontId="0" fillId="0" borderId="19" xfId="0" applyBorder="1" applyAlignment="1">
      <alignment vertical="center"/>
    </xf>
    <xf numFmtId="165" fontId="3" fillId="0" borderId="4" xfId="15" applyFont="1" applyFill="1" applyBorder="1" applyAlignment="1">
      <alignment horizontal="right" vertical="center"/>
    </xf>
    <xf numFmtId="165" fontId="3" fillId="0" borderId="4" xfId="15" applyFont="1" applyBorder="1" applyAlignment="1">
      <alignment vertical="center"/>
    </xf>
    <xf numFmtId="165" fontId="3" fillId="6" borderId="4" xfId="15" applyFont="1" applyFill="1" applyBorder="1" applyAlignment="1">
      <alignment vertical="center"/>
    </xf>
    <xf numFmtId="0" fontId="3" fillId="0" borderId="4" xfId="0" applyFont="1" applyBorder="1" applyAlignment="1">
      <alignment horizontal="left" vertical="center" wrapText="1"/>
    </xf>
    <xf numFmtId="165" fontId="3" fillId="0" borderId="4" xfId="13" applyFont="1" applyBorder="1" applyAlignment="1">
      <alignment horizontal="left" vertical="center"/>
    </xf>
    <xf numFmtId="0" fontId="5" fillId="7" borderId="4" xfId="0" applyFont="1" applyFill="1" applyBorder="1" applyAlignment="1">
      <alignment horizontal="center" vertical="center"/>
    </xf>
    <xf numFmtId="2" fontId="3" fillId="0" borderId="4" xfId="0" applyNumberFormat="1" applyFont="1" applyBorder="1"/>
    <xf numFmtId="0" fontId="12" fillId="0" borderId="0" xfId="0" applyFont="1" applyAlignment="1">
      <alignment vertical="center"/>
    </xf>
    <xf numFmtId="165" fontId="3" fillId="0" borderId="0" xfId="13" applyFont="1" applyFill="1" applyBorder="1" applyAlignment="1">
      <alignment vertical="center"/>
    </xf>
    <xf numFmtId="165" fontId="3" fillId="0" borderId="0" xfId="15" applyFont="1" applyFill="1" applyBorder="1" applyAlignment="1">
      <alignment vertical="center"/>
    </xf>
    <xf numFmtId="2" fontId="19" fillId="0" borderId="4" xfId="15" applyNumberFormat="1" applyFont="1" applyFill="1" applyBorder="1" applyAlignment="1">
      <alignment horizontal="center"/>
    </xf>
    <xf numFmtId="0" fontId="19" fillId="0" borderId="4" xfId="0" applyFont="1" applyBorder="1" applyAlignment="1">
      <alignment horizontal="center"/>
    </xf>
    <xf numFmtId="2" fontId="19" fillId="0" borderId="4" xfId="15" applyNumberFormat="1" applyFont="1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Continuous" vertical="center" wrapText="1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4" fontId="1" fillId="0" borderId="4" xfId="0" applyNumberFormat="1" applyFont="1" applyBorder="1"/>
    <xf numFmtId="166" fontId="1" fillId="5" borderId="4" xfId="7" applyFont="1" applyFill="1" applyBorder="1"/>
    <xf numFmtId="0" fontId="1" fillId="5" borderId="4" xfId="0" applyFont="1" applyFill="1" applyBorder="1"/>
    <xf numFmtId="166" fontId="12" fillId="5" borderId="4" xfId="7" applyFont="1" applyFill="1" applyBorder="1"/>
    <xf numFmtId="2" fontId="4" fillId="0" borderId="4" xfId="15" applyNumberFormat="1" applyFont="1" applyFill="1" applyBorder="1" applyAlignment="1">
      <alignment horizontal="right"/>
    </xf>
    <xf numFmtId="49" fontId="4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12" fillId="0" borderId="10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65" fontId="4" fillId="0" borderId="11" xfId="17" applyFont="1" applyBorder="1" applyAlignment="1">
      <alignment horizontal="center" vertical="center" wrapText="1"/>
    </xf>
    <xf numFmtId="165" fontId="4" fillId="0" borderId="8" xfId="17" applyFont="1" applyBorder="1" applyAlignment="1">
      <alignment horizontal="center" vertical="center" wrapText="1"/>
    </xf>
    <xf numFmtId="0" fontId="4" fillId="0" borderId="11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4" fillId="0" borderId="11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</cellXfs>
  <cellStyles count="21">
    <cellStyle name="Moeda" xfId="1" builtinId="4"/>
    <cellStyle name="Moeda 2" xfId="2" xr:uid="{00000000-0005-0000-0000-000001000000}"/>
    <cellStyle name="Moeda 2 2" xfId="3" xr:uid="{00000000-0005-0000-0000-000002000000}"/>
    <cellStyle name="Moeda 3" xfId="4" xr:uid="{00000000-0005-0000-0000-000003000000}"/>
    <cellStyle name="Moeda 3 2" xfId="5" xr:uid="{00000000-0005-0000-0000-000004000000}"/>
    <cellStyle name="Moeda 3 3" xfId="6" xr:uid="{00000000-0005-0000-0000-000005000000}"/>
    <cellStyle name="Moeda_Duplicação Av. Getulio Vargas 4º trecho retificado maio 2011 RETIFICADO" xfId="7" xr:uid="{00000000-0005-0000-0000-000006000000}"/>
    <cellStyle name="Normal" xfId="0" builtinId="0"/>
    <cellStyle name="Normal 2" xfId="8" xr:uid="{00000000-0005-0000-0000-000008000000}"/>
    <cellStyle name="Porcentagem" xfId="9" builtinId="5"/>
    <cellStyle name="Porcentagem 2" xfId="10" xr:uid="{00000000-0005-0000-0000-00000A000000}"/>
    <cellStyle name="Porcentagem 2 2" xfId="11" xr:uid="{00000000-0005-0000-0000-00000B000000}"/>
    <cellStyle name="Porcentagem 3" xfId="12" xr:uid="{00000000-0005-0000-0000-00000C000000}"/>
    <cellStyle name="Vírgula" xfId="13" builtinId="3"/>
    <cellStyle name="Vírgula 2" xfId="14" xr:uid="{00000000-0005-0000-0000-00000E000000}"/>
    <cellStyle name="Vírgula 2 2" xfId="15" xr:uid="{00000000-0005-0000-0000-00000F000000}"/>
    <cellStyle name="Vírgula 3" xfId="16" xr:uid="{00000000-0005-0000-0000-000010000000}"/>
    <cellStyle name="Vírgula 3 2" xfId="17" xr:uid="{00000000-0005-0000-0000-000011000000}"/>
    <cellStyle name="Vírgula 3 3" xfId="18" xr:uid="{00000000-0005-0000-0000-000012000000}"/>
    <cellStyle name="Vírgula 4" xfId="19" xr:uid="{00000000-0005-0000-0000-000013000000}"/>
    <cellStyle name="Vírgula 5" xfId="20" xr:uid="{00000000-0005-0000-0000-00001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19</xdr:row>
      <xdr:rowOff>0</xdr:rowOff>
    </xdr:from>
    <xdr:to>
      <xdr:col>4</xdr:col>
      <xdr:colOff>0</xdr:colOff>
      <xdr:row>19</xdr:row>
      <xdr:rowOff>0</xdr:rowOff>
    </xdr:to>
    <xdr:grpSp>
      <xdr:nvGrpSpPr>
        <xdr:cNvPr id="124450" name="Group 324">
          <a:extLst>
            <a:ext uri="{FF2B5EF4-FFF2-40B4-BE49-F238E27FC236}">
              <a16:creationId xmlns:a16="http://schemas.microsoft.com/office/drawing/2014/main" id="{895994F1-205F-4CF7-991F-C3353D684760}"/>
            </a:ext>
          </a:extLst>
        </xdr:cNvPr>
        <xdr:cNvGrpSpPr>
          <a:grpSpLocks/>
        </xdr:cNvGrpSpPr>
      </xdr:nvGrpSpPr>
      <xdr:grpSpPr bwMode="auto">
        <a:xfrm>
          <a:off x="6581775" y="3429000"/>
          <a:ext cx="0" cy="0"/>
          <a:chOff x="454" y="139"/>
          <a:chExt cx="519" cy="0"/>
        </a:xfrm>
      </xdr:grpSpPr>
      <xdr:sp macro="" textlink="">
        <xdr:nvSpPr>
          <xdr:cNvPr id="124611" name="Line 325">
            <a:extLst>
              <a:ext uri="{FF2B5EF4-FFF2-40B4-BE49-F238E27FC236}">
                <a16:creationId xmlns:a16="http://schemas.microsoft.com/office/drawing/2014/main" id="{6A7B742F-55A9-4148-AB84-006517781EE2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12" name="Line 326">
            <a:extLst>
              <a:ext uri="{FF2B5EF4-FFF2-40B4-BE49-F238E27FC236}">
                <a16:creationId xmlns:a16="http://schemas.microsoft.com/office/drawing/2014/main" id="{372430D0-2AA9-4C78-AA1E-57E3D09260DA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13" name="Line 327">
            <a:extLst>
              <a:ext uri="{FF2B5EF4-FFF2-40B4-BE49-F238E27FC236}">
                <a16:creationId xmlns:a16="http://schemas.microsoft.com/office/drawing/2014/main" id="{AF06319E-A6AB-451B-B4DF-C8EE0684DC99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14" name="Line 328">
            <a:extLst>
              <a:ext uri="{FF2B5EF4-FFF2-40B4-BE49-F238E27FC236}">
                <a16:creationId xmlns:a16="http://schemas.microsoft.com/office/drawing/2014/main" id="{58E4A12E-77E4-4990-BBED-F57C18369CD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17</xdr:row>
      <xdr:rowOff>85725</xdr:rowOff>
    </xdr:from>
    <xdr:to>
      <xdr:col>4</xdr:col>
      <xdr:colOff>0</xdr:colOff>
      <xdr:row>17</xdr:row>
      <xdr:rowOff>114300</xdr:rowOff>
    </xdr:to>
    <xdr:grpSp>
      <xdr:nvGrpSpPr>
        <xdr:cNvPr id="124451" name="Group 334">
          <a:extLst>
            <a:ext uri="{FF2B5EF4-FFF2-40B4-BE49-F238E27FC236}">
              <a16:creationId xmlns:a16="http://schemas.microsoft.com/office/drawing/2014/main" id="{C7B31548-D706-4270-A7E8-8039ACE2AB5E}"/>
            </a:ext>
          </a:extLst>
        </xdr:cNvPr>
        <xdr:cNvGrpSpPr>
          <a:grpSpLocks/>
        </xdr:cNvGrpSpPr>
      </xdr:nvGrpSpPr>
      <xdr:grpSpPr bwMode="auto">
        <a:xfrm>
          <a:off x="6581775" y="3152775"/>
          <a:ext cx="0" cy="28575"/>
          <a:chOff x="454" y="139"/>
          <a:chExt cx="519" cy="0"/>
        </a:xfrm>
      </xdr:grpSpPr>
      <xdr:sp macro="" textlink="">
        <xdr:nvSpPr>
          <xdr:cNvPr id="124607" name="Line 335">
            <a:extLst>
              <a:ext uri="{FF2B5EF4-FFF2-40B4-BE49-F238E27FC236}">
                <a16:creationId xmlns:a16="http://schemas.microsoft.com/office/drawing/2014/main" id="{5E64AE56-784E-4585-9C5F-FC187CEA43B3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08" name="Line 336">
            <a:extLst>
              <a:ext uri="{FF2B5EF4-FFF2-40B4-BE49-F238E27FC236}">
                <a16:creationId xmlns:a16="http://schemas.microsoft.com/office/drawing/2014/main" id="{EFD3832E-89E6-4083-8DD5-34744E1E1B0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09" name="Line 337">
            <a:extLst>
              <a:ext uri="{FF2B5EF4-FFF2-40B4-BE49-F238E27FC236}">
                <a16:creationId xmlns:a16="http://schemas.microsoft.com/office/drawing/2014/main" id="{2B90D5D3-D953-4FF1-A20E-E5BCAFDADBC6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10" name="Line 338">
            <a:extLst>
              <a:ext uri="{FF2B5EF4-FFF2-40B4-BE49-F238E27FC236}">
                <a16:creationId xmlns:a16="http://schemas.microsoft.com/office/drawing/2014/main" id="{EF7DF159-E249-4BE8-A841-C16F515B9907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11</xdr:row>
      <xdr:rowOff>104775</xdr:rowOff>
    </xdr:from>
    <xdr:to>
      <xdr:col>4</xdr:col>
      <xdr:colOff>0</xdr:colOff>
      <xdr:row>11</xdr:row>
      <xdr:rowOff>152400</xdr:rowOff>
    </xdr:to>
    <xdr:grpSp>
      <xdr:nvGrpSpPr>
        <xdr:cNvPr id="124452" name="Group 339">
          <a:extLst>
            <a:ext uri="{FF2B5EF4-FFF2-40B4-BE49-F238E27FC236}">
              <a16:creationId xmlns:a16="http://schemas.microsoft.com/office/drawing/2014/main" id="{8F097DE5-5C6A-4418-BFF9-DCC0E63D0A97}"/>
            </a:ext>
          </a:extLst>
        </xdr:cNvPr>
        <xdr:cNvGrpSpPr>
          <a:grpSpLocks/>
        </xdr:cNvGrpSpPr>
      </xdr:nvGrpSpPr>
      <xdr:grpSpPr bwMode="auto">
        <a:xfrm flipV="1">
          <a:off x="6581775" y="2085975"/>
          <a:ext cx="0" cy="47625"/>
          <a:chOff x="454" y="139"/>
          <a:chExt cx="519" cy="0"/>
        </a:xfrm>
      </xdr:grpSpPr>
      <xdr:sp macro="" textlink="">
        <xdr:nvSpPr>
          <xdr:cNvPr id="124603" name="Line 340">
            <a:extLst>
              <a:ext uri="{FF2B5EF4-FFF2-40B4-BE49-F238E27FC236}">
                <a16:creationId xmlns:a16="http://schemas.microsoft.com/office/drawing/2014/main" id="{AEDB45F2-5461-426B-96E2-FD29728976BF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04" name="Line 341">
            <a:extLst>
              <a:ext uri="{FF2B5EF4-FFF2-40B4-BE49-F238E27FC236}">
                <a16:creationId xmlns:a16="http://schemas.microsoft.com/office/drawing/2014/main" id="{64D9F974-B4B3-4011-9883-9F5AF862AA3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05" name="Line 342">
            <a:extLst>
              <a:ext uri="{FF2B5EF4-FFF2-40B4-BE49-F238E27FC236}">
                <a16:creationId xmlns:a16="http://schemas.microsoft.com/office/drawing/2014/main" id="{2342592C-E4A9-4E9C-9111-A123C4B8ED42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06" name="Line 343">
            <a:extLst>
              <a:ext uri="{FF2B5EF4-FFF2-40B4-BE49-F238E27FC236}">
                <a16:creationId xmlns:a16="http://schemas.microsoft.com/office/drawing/2014/main" id="{B91B1ECC-9346-4C65-A95B-3518E67BA1A5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11</xdr:row>
      <xdr:rowOff>104775</xdr:rowOff>
    </xdr:from>
    <xdr:to>
      <xdr:col>4</xdr:col>
      <xdr:colOff>0</xdr:colOff>
      <xdr:row>11</xdr:row>
      <xdr:rowOff>152400</xdr:rowOff>
    </xdr:to>
    <xdr:grpSp>
      <xdr:nvGrpSpPr>
        <xdr:cNvPr id="124453" name="Group 344">
          <a:extLst>
            <a:ext uri="{FF2B5EF4-FFF2-40B4-BE49-F238E27FC236}">
              <a16:creationId xmlns:a16="http://schemas.microsoft.com/office/drawing/2014/main" id="{4C91A8D2-545E-4414-BDDC-AD0FC667A5E9}"/>
            </a:ext>
          </a:extLst>
        </xdr:cNvPr>
        <xdr:cNvGrpSpPr>
          <a:grpSpLocks/>
        </xdr:cNvGrpSpPr>
      </xdr:nvGrpSpPr>
      <xdr:grpSpPr bwMode="auto">
        <a:xfrm flipV="1">
          <a:off x="6581775" y="2085975"/>
          <a:ext cx="0" cy="47625"/>
          <a:chOff x="454" y="139"/>
          <a:chExt cx="519" cy="0"/>
        </a:xfrm>
      </xdr:grpSpPr>
      <xdr:sp macro="" textlink="">
        <xdr:nvSpPr>
          <xdr:cNvPr id="124599" name="Line 345">
            <a:extLst>
              <a:ext uri="{FF2B5EF4-FFF2-40B4-BE49-F238E27FC236}">
                <a16:creationId xmlns:a16="http://schemas.microsoft.com/office/drawing/2014/main" id="{0CFA7D34-7BEE-4118-B324-24598E016C86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00" name="Line 346">
            <a:extLst>
              <a:ext uri="{FF2B5EF4-FFF2-40B4-BE49-F238E27FC236}">
                <a16:creationId xmlns:a16="http://schemas.microsoft.com/office/drawing/2014/main" id="{32BB2459-2DB5-4DD3-9F1F-6EB694F99EE5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01" name="Line 347">
            <a:extLst>
              <a:ext uri="{FF2B5EF4-FFF2-40B4-BE49-F238E27FC236}">
                <a16:creationId xmlns:a16="http://schemas.microsoft.com/office/drawing/2014/main" id="{E9C04D6F-F0CE-41C2-9436-8F3E5986AF97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602" name="Line 348">
            <a:extLst>
              <a:ext uri="{FF2B5EF4-FFF2-40B4-BE49-F238E27FC236}">
                <a16:creationId xmlns:a16="http://schemas.microsoft.com/office/drawing/2014/main" id="{170C4944-257C-4D21-A9AC-3D74F56D0DC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19</xdr:row>
      <xdr:rowOff>0</xdr:rowOff>
    </xdr:from>
    <xdr:to>
      <xdr:col>10</xdr:col>
      <xdr:colOff>0</xdr:colOff>
      <xdr:row>19</xdr:row>
      <xdr:rowOff>0</xdr:rowOff>
    </xdr:to>
    <xdr:grpSp>
      <xdr:nvGrpSpPr>
        <xdr:cNvPr id="124454" name="Group 396">
          <a:extLst>
            <a:ext uri="{FF2B5EF4-FFF2-40B4-BE49-F238E27FC236}">
              <a16:creationId xmlns:a16="http://schemas.microsoft.com/office/drawing/2014/main" id="{0955917A-F2A5-4083-9E7E-82CC64F32E59}"/>
            </a:ext>
          </a:extLst>
        </xdr:cNvPr>
        <xdr:cNvGrpSpPr>
          <a:grpSpLocks/>
        </xdr:cNvGrpSpPr>
      </xdr:nvGrpSpPr>
      <xdr:grpSpPr bwMode="auto">
        <a:xfrm>
          <a:off x="14354175" y="3429000"/>
          <a:ext cx="0" cy="0"/>
          <a:chOff x="454" y="139"/>
          <a:chExt cx="519" cy="0"/>
        </a:xfrm>
      </xdr:grpSpPr>
      <xdr:sp macro="" textlink="">
        <xdr:nvSpPr>
          <xdr:cNvPr id="124595" name="Line 397">
            <a:extLst>
              <a:ext uri="{FF2B5EF4-FFF2-40B4-BE49-F238E27FC236}">
                <a16:creationId xmlns:a16="http://schemas.microsoft.com/office/drawing/2014/main" id="{25128BDC-6BB3-4041-87FF-56756C4A3B7A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96" name="Line 398">
            <a:extLst>
              <a:ext uri="{FF2B5EF4-FFF2-40B4-BE49-F238E27FC236}">
                <a16:creationId xmlns:a16="http://schemas.microsoft.com/office/drawing/2014/main" id="{E34AC0BA-A248-4956-B850-D321B162F2E7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97" name="Line 399">
            <a:extLst>
              <a:ext uri="{FF2B5EF4-FFF2-40B4-BE49-F238E27FC236}">
                <a16:creationId xmlns:a16="http://schemas.microsoft.com/office/drawing/2014/main" id="{47EA397E-AF8B-4471-9F87-68CFB37B2D1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98" name="Line 400">
            <a:extLst>
              <a:ext uri="{FF2B5EF4-FFF2-40B4-BE49-F238E27FC236}">
                <a16:creationId xmlns:a16="http://schemas.microsoft.com/office/drawing/2014/main" id="{638A5CDE-9D32-4505-BEC7-51FD40CF695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17</xdr:row>
      <xdr:rowOff>85725</xdr:rowOff>
    </xdr:from>
    <xdr:to>
      <xdr:col>10</xdr:col>
      <xdr:colOff>0</xdr:colOff>
      <xdr:row>17</xdr:row>
      <xdr:rowOff>114300</xdr:rowOff>
    </xdr:to>
    <xdr:grpSp>
      <xdr:nvGrpSpPr>
        <xdr:cNvPr id="124455" name="Group 406">
          <a:extLst>
            <a:ext uri="{FF2B5EF4-FFF2-40B4-BE49-F238E27FC236}">
              <a16:creationId xmlns:a16="http://schemas.microsoft.com/office/drawing/2014/main" id="{D08490C0-AE6B-48E1-833F-3FFEE0E58248}"/>
            </a:ext>
          </a:extLst>
        </xdr:cNvPr>
        <xdr:cNvGrpSpPr>
          <a:grpSpLocks/>
        </xdr:cNvGrpSpPr>
      </xdr:nvGrpSpPr>
      <xdr:grpSpPr bwMode="auto">
        <a:xfrm>
          <a:off x="14354175" y="3152775"/>
          <a:ext cx="0" cy="28575"/>
          <a:chOff x="454" y="139"/>
          <a:chExt cx="519" cy="0"/>
        </a:xfrm>
      </xdr:grpSpPr>
      <xdr:sp macro="" textlink="">
        <xdr:nvSpPr>
          <xdr:cNvPr id="124591" name="Line 407">
            <a:extLst>
              <a:ext uri="{FF2B5EF4-FFF2-40B4-BE49-F238E27FC236}">
                <a16:creationId xmlns:a16="http://schemas.microsoft.com/office/drawing/2014/main" id="{0B61D713-743E-4A86-ACDD-DDB2BB6F0A13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92" name="Line 408">
            <a:extLst>
              <a:ext uri="{FF2B5EF4-FFF2-40B4-BE49-F238E27FC236}">
                <a16:creationId xmlns:a16="http://schemas.microsoft.com/office/drawing/2014/main" id="{4B5A6451-BF63-4A2D-8351-50B73FFAC77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93" name="Line 409">
            <a:extLst>
              <a:ext uri="{FF2B5EF4-FFF2-40B4-BE49-F238E27FC236}">
                <a16:creationId xmlns:a16="http://schemas.microsoft.com/office/drawing/2014/main" id="{7C0F8AFE-ACBB-4093-9415-70EEB70217B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94" name="Line 410">
            <a:extLst>
              <a:ext uri="{FF2B5EF4-FFF2-40B4-BE49-F238E27FC236}">
                <a16:creationId xmlns:a16="http://schemas.microsoft.com/office/drawing/2014/main" id="{B5C8B2E3-1A74-4C68-BDBE-1BFC941225CE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20</xdr:row>
      <xdr:rowOff>85725</xdr:rowOff>
    </xdr:from>
    <xdr:to>
      <xdr:col>4</xdr:col>
      <xdr:colOff>0</xdr:colOff>
      <xdr:row>20</xdr:row>
      <xdr:rowOff>114300</xdr:rowOff>
    </xdr:to>
    <xdr:grpSp>
      <xdr:nvGrpSpPr>
        <xdr:cNvPr id="124456" name="Group 430">
          <a:extLst>
            <a:ext uri="{FF2B5EF4-FFF2-40B4-BE49-F238E27FC236}">
              <a16:creationId xmlns:a16="http://schemas.microsoft.com/office/drawing/2014/main" id="{7ED45CE4-DAF6-47AE-AE93-A3DF6B5CDF41}"/>
            </a:ext>
          </a:extLst>
        </xdr:cNvPr>
        <xdr:cNvGrpSpPr>
          <a:grpSpLocks/>
        </xdr:cNvGrpSpPr>
      </xdr:nvGrpSpPr>
      <xdr:grpSpPr bwMode="auto">
        <a:xfrm>
          <a:off x="6581775" y="3695700"/>
          <a:ext cx="0" cy="28575"/>
          <a:chOff x="454" y="139"/>
          <a:chExt cx="519" cy="0"/>
        </a:xfrm>
      </xdr:grpSpPr>
      <xdr:sp macro="" textlink="">
        <xdr:nvSpPr>
          <xdr:cNvPr id="124587" name="Line 431">
            <a:extLst>
              <a:ext uri="{FF2B5EF4-FFF2-40B4-BE49-F238E27FC236}">
                <a16:creationId xmlns:a16="http://schemas.microsoft.com/office/drawing/2014/main" id="{1DB44163-CBA6-4881-A9BC-E501B7453785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88" name="Line 432">
            <a:extLst>
              <a:ext uri="{FF2B5EF4-FFF2-40B4-BE49-F238E27FC236}">
                <a16:creationId xmlns:a16="http://schemas.microsoft.com/office/drawing/2014/main" id="{A1C6F936-8303-4B57-B2ED-2402B0BBB9D5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89" name="Line 433">
            <a:extLst>
              <a:ext uri="{FF2B5EF4-FFF2-40B4-BE49-F238E27FC236}">
                <a16:creationId xmlns:a16="http://schemas.microsoft.com/office/drawing/2014/main" id="{99C9BB42-AD7D-48A6-8C6C-69CD155EAEA4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90" name="Line 434">
            <a:extLst>
              <a:ext uri="{FF2B5EF4-FFF2-40B4-BE49-F238E27FC236}">
                <a16:creationId xmlns:a16="http://schemas.microsoft.com/office/drawing/2014/main" id="{7057A53D-FDCF-491D-BC67-ECB04B2A38F0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20</xdr:row>
      <xdr:rowOff>85725</xdr:rowOff>
    </xdr:from>
    <xdr:to>
      <xdr:col>10</xdr:col>
      <xdr:colOff>0</xdr:colOff>
      <xdr:row>20</xdr:row>
      <xdr:rowOff>114300</xdr:rowOff>
    </xdr:to>
    <xdr:grpSp>
      <xdr:nvGrpSpPr>
        <xdr:cNvPr id="124457" name="Group 440">
          <a:extLst>
            <a:ext uri="{FF2B5EF4-FFF2-40B4-BE49-F238E27FC236}">
              <a16:creationId xmlns:a16="http://schemas.microsoft.com/office/drawing/2014/main" id="{40BE9038-7198-4B1E-88E9-AAFA2A474F5C}"/>
            </a:ext>
          </a:extLst>
        </xdr:cNvPr>
        <xdr:cNvGrpSpPr>
          <a:grpSpLocks/>
        </xdr:cNvGrpSpPr>
      </xdr:nvGrpSpPr>
      <xdr:grpSpPr bwMode="auto">
        <a:xfrm>
          <a:off x="14354175" y="3695700"/>
          <a:ext cx="0" cy="28575"/>
          <a:chOff x="454" y="139"/>
          <a:chExt cx="519" cy="0"/>
        </a:xfrm>
      </xdr:grpSpPr>
      <xdr:sp macro="" textlink="">
        <xdr:nvSpPr>
          <xdr:cNvPr id="124583" name="Line 441">
            <a:extLst>
              <a:ext uri="{FF2B5EF4-FFF2-40B4-BE49-F238E27FC236}">
                <a16:creationId xmlns:a16="http://schemas.microsoft.com/office/drawing/2014/main" id="{50ED508A-A0F9-4D2B-BE35-BC819ADDBC56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84" name="Line 442">
            <a:extLst>
              <a:ext uri="{FF2B5EF4-FFF2-40B4-BE49-F238E27FC236}">
                <a16:creationId xmlns:a16="http://schemas.microsoft.com/office/drawing/2014/main" id="{FA425C0E-3813-4988-8D23-97483075135A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85" name="Line 443">
            <a:extLst>
              <a:ext uri="{FF2B5EF4-FFF2-40B4-BE49-F238E27FC236}">
                <a16:creationId xmlns:a16="http://schemas.microsoft.com/office/drawing/2014/main" id="{8B15051B-B418-450D-84B9-73010CAA0AF8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86" name="Line 444">
            <a:extLst>
              <a:ext uri="{FF2B5EF4-FFF2-40B4-BE49-F238E27FC236}">
                <a16:creationId xmlns:a16="http://schemas.microsoft.com/office/drawing/2014/main" id="{41FC2680-17E6-48D0-B5B8-0109FD2B403D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11</xdr:row>
      <xdr:rowOff>104775</xdr:rowOff>
    </xdr:from>
    <xdr:to>
      <xdr:col>10</xdr:col>
      <xdr:colOff>0</xdr:colOff>
      <xdr:row>11</xdr:row>
      <xdr:rowOff>152400</xdr:rowOff>
    </xdr:to>
    <xdr:grpSp>
      <xdr:nvGrpSpPr>
        <xdr:cNvPr id="124458" name="Group 455">
          <a:extLst>
            <a:ext uri="{FF2B5EF4-FFF2-40B4-BE49-F238E27FC236}">
              <a16:creationId xmlns:a16="http://schemas.microsoft.com/office/drawing/2014/main" id="{5B563767-DFD1-42EF-8B5C-1ABF2306CAB0}"/>
            </a:ext>
          </a:extLst>
        </xdr:cNvPr>
        <xdr:cNvGrpSpPr>
          <a:grpSpLocks/>
        </xdr:cNvGrpSpPr>
      </xdr:nvGrpSpPr>
      <xdr:grpSpPr bwMode="auto">
        <a:xfrm flipV="1">
          <a:off x="14354175" y="2085975"/>
          <a:ext cx="0" cy="47625"/>
          <a:chOff x="454" y="139"/>
          <a:chExt cx="519" cy="0"/>
        </a:xfrm>
      </xdr:grpSpPr>
      <xdr:sp macro="" textlink="">
        <xdr:nvSpPr>
          <xdr:cNvPr id="124579" name="Line 456">
            <a:extLst>
              <a:ext uri="{FF2B5EF4-FFF2-40B4-BE49-F238E27FC236}">
                <a16:creationId xmlns:a16="http://schemas.microsoft.com/office/drawing/2014/main" id="{86B87423-58DF-488D-83F0-61EF6F79928F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80" name="Line 457">
            <a:extLst>
              <a:ext uri="{FF2B5EF4-FFF2-40B4-BE49-F238E27FC236}">
                <a16:creationId xmlns:a16="http://schemas.microsoft.com/office/drawing/2014/main" id="{239F7B53-1544-4174-BFFF-04E8211CFE90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81" name="Line 458">
            <a:extLst>
              <a:ext uri="{FF2B5EF4-FFF2-40B4-BE49-F238E27FC236}">
                <a16:creationId xmlns:a16="http://schemas.microsoft.com/office/drawing/2014/main" id="{D3E660B3-B9AE-4121-A1C0-E6982FEA85AF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82" name="Line 459">
            <a:extLst>
              <a:ext uri="{FF2B5EF4-FFF2-40B4-BE49-F238E27FC236}">
                <a16:creationId xmlns:a16="http://schemas.microsoft.com/office/drawing/2014/main" id="{80872DC4-EE7B-4748-8899-753F49054A3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19</xdr:row>
      <xdr:rowOff>0</xdr:rowOff>
    </xdr:from>
    <xdr:to>
      <xdr:col>10</xdr:col>
      <xdr:colOff>0</xdr:colOff>
      <xdr:row>19</xdr:row>
      <xdr:rowOff>0</xdr:rowOff>
    </xdr:to>
    <xdr:grpSp>
      <xdr:nvGrpSpPr>
        <xdr:cNvPr id="124459" name="Group 460">
          <a:extLst>
            <a:ext uri="{FF2B5EF4-FFF2-40B4-BE49-F238E27FC236}">
              <a16:creationId xmlns:a16="http://schemas.microsoft.com/office/drawing/2014/main" id="{89E93B84-B327-4694-A20E-8102761E4A51}"/>
            </a:ext>
          </a:extLst>
        </xdr:cNvPr>
        <xdr:cNvGrpSpPr>
          <a:grpSpLocks/>
        </xdr:cNvGrpSpPr>
      </xdr:nvGrpSpPr>
      <xdr:grpSpPr bwMode="auto">
        <a:xfrm>
          <a:off x="14354175" y="3429000"/>
          <a:ext cx="0" cy="0"/>
          <a:chOff x="454" y="139"/>
          <a:chExt cx="519" cy="0"/>
        </a:xfrm>
      </xdr:grpSpPr>
      <xdr:sp macro="" textlink="">
        <xdr:nvSpPr>
          <xdr:cNvPr id="124575" name="Line 461">
            <a:extLst>
              <a:ext uri="{FF2B5EF4-FFF2-40B4-BE49-F238E27FC236}">
                <a16:creationId xmlns:a16="http://schemas.microsoft.com/office/drawing/2014/main" id="{C6A640FE-7A25-413A-91B3-C2F14570A50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76" name="Line 462">
            <a:extLst>
              <a:ext uri="{FF2B5EF4-FFF2-40B4-BE49-F238E27FC236}">
                <a16:creationId xmlns:a16="http://schemas.microsoft.com/office/drawing/2014/main" id="{9D86E93D-3CAC-4D1E-BE3C-4CEF39A22EF0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77" name="Line 463">
            <a:extLst>
              <a:ext uri="{FF2B5EF4-FFF2-40B4-BE49-F238E27FC236}">
                <a16:creationId xmlns:a16="http://schemas.microsoft.com/office/drawing/2014/main" id="{5328276C-8BD0-4A70-9D48-6E58E6F66C02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78" name="Line 464">
            <a:extLst>
              <a:ext uri="{FF2B5EF4-FFF2-40B4-BE49-F238E27FC236}">
                <a16:creationId xmlns:a16="http://schemas.microsoft.com/office/drawing/2014/main" id="{629C6918-15E0-4378-808B-E47FA2B212D0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17</xdr:row>
      <xdr:rowOff>57150</xdr:rowOff>
    </xdr:from>
    <xdr:to>
      <xdr:col>10</xdr:col>
      <xdr:colOff>0</xdr:colOff>
      <xdr:row>17</xdr:row>
      <xdr:rowOff>85725</xdr:rowOff>
    </xdr:to>
    <xdr:grpSp>
      <xdr:nvGrpSpPr>
        <xdr:cNvPr id="124460" name="Group 465">
          <a:extLst>
            <a:ext uri="{FF2B5EF4-FFF2-40B4-BE49-F238E27FC236}">
              <a16:creationId xmlns:a16="http://schemas.microsoft.com/office/drawing/2014/main" id="{119631D0-9B85-4DE8-A160-0A2B300DC7C4}"/>
            </a:ext>
          </a:extLst>
        </xdr:cNvPr>
        <xdr:cNvGrpSpPr>
          <a:grpSpLocks/>
        </xdr:cNvGrpSpPr>
      </xdr:nvGrpSpPr>
      <xdr:grpSpPr bwMode="auto">
        <a:xfrm flipV="1">
          <a:off x="14354175" y="3124200"/>
          <a:ext cx="0" cy="28575"/>
          <a:chOff x="454" y="139"/>
          <a:chExt cx="519" cy="0"/>
        </a:xfrm>
      </xdr:grpSpPr>
      <xdr:sp macro="" textlink="">
        <xdr:nvSpPr>
          <xdr:cNvPr id="124571" name="Line 466">
            <a:extLst>
              <a:ext uri="{FF2B5EF4-FFF2-40B4-BE49-F238E27FC236}">
                <a16:creationId xmlns:a16="http://schemas.microsoft.com/office/drawing/2014/main" id="{3C6E1094-7FEC-40D6-8221-2866B68D4E90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72" name="Line 467">
            <a:extLst>
              <a:ext uri="{FF2B5EF4-FFF2-40B4-BE49-F238E27FC236}">
                <a16:creationId xmlns:a16="http://schemas.microsoft.com/office/drawing/2014/main" id="{E1EE500F-FA95-4ECC-9F61-CC7A68FE954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73" name="Line 468">
            <a:extLst>
              <a:ext uri="{FF2B5EF4-FFF2-40B4-BE49-F238E27FC236}">
                <a16:creationId xmlns:a16="http://schemas.microsoft.com/office/drawing/2014/main" id="{A018B35C-014E-4438-B3BD-232100BEE29F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74" name="Line 469">
            <a:extLst>
              <a:ext uri="{FF2B5EF4-FFF2-40B4-BE49-F238E27FC236}">
                <a16:creationId xmlns:a16="http://schemas.microsoft.com/office/drawing/2014/main" id="{655D2186-AA42-4551-837B-87FDA4DF625D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17</xdr:row>
      <xdr:rowOff>85725</xdr:rowOff>
    </xdr:from>
    <xdr:to>
      <xdr:col>10</xdr:col>
      <xdr:colOff>0</xdr:colOff>
      <xdr:row>17</xdr:row>
      <xdr:rowOff>114300</xdr:rowOff>
    </xdr:to>
    <xdr:grpSp>
      <xdr:nvGrpSpPr>
        <xdr:cNvPr id="124461" name="Group 470">
          <a:extLst>
            <a:ext uri="{FF2B5EF4-FFF2-40B4-BE49-F238E27FC236}">
              <a16:creationId xmlns:a16="http://schemas.microsoft.com/office/drawing/2014/main" id="{E07EE485-D5CF-4E31-B734-5769BE2EAA7D}"/>
            </a:ext>
          </a:extLst>
        </xdr:cNvPr>
        <xdr:cNvGrpSpPr>
          <a:grpSpLocks/>
        </xdr:cNvGrpSpPr>
      </xdr:nvGrpSpPr>
      <xdr:grpSpPr bwMode="auto">
        <a:xfrm>
          <a:off x="14354175" y="3152775"/>
          <a:ext cx="0" cy="28575"/>
          <a:chOff x="454" y="139"/>
          <a:chExt cx="519" cy="0"/>
        </a:xfrm>
      </xdr:grpSpPr>
      <xdr:sp macro="" textlink="">
        <xdr:nvSpPr>
          <xdr:cNvPr id="124567" name="Line 471">
            <a:extLst>
              <a:ext uri="{FF2B5EF4-FFF2-40B4-BE49-F238E27FC236}">
                <a16:creationId xmlns:a16="http://schemas.microsoft.com/office/drawing/2014/main" id="{7778B66D-0092-42B8-8404-3701E07CEDAA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68" name="Line 472">
            <a:extLst>
              <a:ext uri="{FF2B5EF4-FFF2-40B4-BE49-F238E27FC236}">
                <a16:creationId xmlns:a16="http://schemas.microsoft.com/office/drawing/2014/main" id="{2D7E72A5-8645-42DA-BE90-8B81AB849EE0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69" name="Line 473">
            <a:extLst>
              <a:ext uri="{FF2B5EF4-FFF2-40B4-BE49-F238E27FC236}">
                <a16:creationId xmlns:a16="http://schemas.microsoft.com/office/drawing/2014/main" id="{0870C3E8-099E-4071-9101-7CBD9520D3DF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70" name="Line 474">
            <a:extLst>
              <a:ext uri="{FF2B5EF4-FFF2-40B4-BE49-F238E27FC236}">
                <a16:creationId xmlns:a16="http://schemas.microsoft.com/office/drawing/2014/main" id="{7F183C72-0018-451C-BD12-3E52AC73DB9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85725</xdr:rowOff>
    </xdr:to>
    <xdr:grpSp>
      <xdr:nvGrpSpPr>
        <xdr:cNvPr id="124462" name="Group 490">
          <a:extLst>
            <a:ext uri="{FF2B5EF4-FFF2-40B4-BE49-F238E27FC236}">
              <a16:creationId xmlns:a16="http://schemas.microsoft.com/office/drawing/2014/main" id="{59DCE378-6328-4577-AFD1-A99CD1329C48}"/>
            </a:ext>
          </a:extLst>
        </xdr:cNvPr>
        <xdr:cNvGrpSpPr>
          <a:grpSpLocks/>
        </xdr:cNvGrpSpPr>
      </xdr:nvGrpSpPr>
      <xdr:grpSpPr bwMode="auto">
        <a:xfrm flipV="1">
          <a:off x="14354175" y="3667125"/>
          <a:ext cx="0" cy="28575"/>
          <a:chOff x="454" y="139"/>
          <a:chExt cx="519" cy="0"/>
        </a:xfrm>
      </xdr:grpSpPr>
      <xdr:sp macro="" textlink="">
        <xdr:nvSpPr>
          <xdr:cNvPr id="124563" name="Line 491">
            <a:extLst>
              <a:ext uri="{FF2B5EF4-FFF2-40B4-BE49-F238E27FC236}">
                <a16:creationId xmlns:a16="http://schemas.microsoft.com/office/drawing/2014/main" id="{9479424A-AE83-4F6E-A8D3-FF64AF836DA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64" name="Line 492">
            <a:extLst>
              <a:ext uri="{FF2B5EF4-FFF2-40B4-BE49-F238E27FC236}">
                <a16:creationId xmlns:a16="http://schemas.microsoft.com/office/drawing/2014/main" id="{7DE82EDF-DD4E-4BA8-9ABA-C7A30F327041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65" name="Line 493">
            <a:extLst>
              <a:ext uri="{FF2B5EF4-FFF2-40B4-BE49-F238E27FC236}">
                <a16:creationId xmlns:a16="http://schemas.microsoft.com/office/drawing/2014/main" id="{F32D7923-890D-4128-AA83-27646AD825DE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66" name="Line 494">
            <a:extLst>
              <a:ext uri="{FF2B5EF4-FFF2-40B4-BE49-F238E27FC236}">
                <a16:creationId xmlns:a16="http://schemas.microsoft.com/office/drawing/2014/main" id="{2A16CC51-7F92-423E-9A3F-B92AF9F33220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20</xdr:row>
      <xdr:rowOff>85725</xdr:rowOff>
    </xdr:from>
    <xdr:to>
      <xdr:col>10</xdr:col>
      <xdr:colOff>0</xdr:colOff>
      <xdr:row>20</xdr:row>
      <xdr:rowOff>114300</xdr:rowOff>
    </xdr:to>
    <xdr:grpSp>
      <xdr:nvGrpSpPr>
        <xdr:cNvPr id="124463" name="Group 495">
          <a:extLst>
            <a:ext uri="{FF2B5EF4-FFF2-40B4-BE49-F238E27FC236}">
              <a16:creationId xmlns:a16="http://schemas.microsoft.com/office/drawing/2014/main" id="{0DFCB427-CDC9-47B1-97EE-3C15FE4FC37F}"/>
            </a:ext>
          </a:extLst>
        </xdr:cNvPr>
        <xdr:cNvGrpSpPr>
          <a:grpSpLocks/>
        </xdr:cNvGrpSpPr>
      </xdr:nvGrpSpPr>
      <xdr:grpSpPr bwMode="auto">
        <a:xfrm>
          <a:off x="14354175" y="3695700"/>
          <a:ext cx="0" cy="28575"/>
          <a:chOff x="454" y="139"/>
          <a:chExt cx="519" cy="0"/>
        </a:xfrm>
      </xdr:grpSpPr>
      <xdr:sp macro="" textlink="">
        <xdr:nvSpPr>
          <xdr:cNvPr id="124559" name="Line 496">
            <a:extLst>
              <a:ext uri="{FF2B5EF4-FFF2-40B4-BE49-F238E27FC236}">
                <a16:creationId xmlns:a16="http://schemas.microsoft.com/office/drawing/2014/main" id="{2FCE5DCC-76CD-4387-8D80-AAC5D5EAAA00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60" name="Line 497">
            <a:extLst>
              <a:ext uri="{FF2B5EF4-FFF2-40B4-BE49-F238E27FC236}">
                <a16:creationId xmlns:a16="http://schemas.microsoft.com/office/drawing/2014/main" id="{44A2B39F-D8A1-4870-B10A-810AF5839AF6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61" name="Line 498">
            <a:extLst>
              <a:ext uri="{FF2B5EF4-FFF2-40B4-BE49-F238E27FC236}">
                <a16:creationId xmlns:a16="http://schemas.microsoft.com/office/drawing/2014/main" id="{19DAA997-2819-46A3-A933-40E49C4F658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62" name="Line 499">
            <a:extLst>
              <a:ext uri="{FF2B5EF4-FFF2-40B4-BE49-F238E27FC236}">
                <a16:creationId xmlns:a16="http://schemas.microsoft.com/office/drawing/2014/main" id="{07D71549-C2AC-495F-B0C6-8FD56155A4AE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19</xdr:row>
      <xdr:rowOff>0</xdr:rowOff>
    </xdr:from>
    <xdr:to>
      <xdr:col>2</xdr:col>
      <xdr:colOff>0</xdr:colOff>
      <xdr:row>19</xdr:row>
      <xdr:rowOff>0</xdr:rowOff>
    </xdr:to>
    <xdr:grpSp>
      <xdr:nvGrpSpPr>
        <xdr:cNvPr id="124464" name="Group 505">
          <a:extLst>
            <a:ext uri="{FF2B5EF4-FFF2-40B4-BE49-F238E27FC236}">
              <a16:creationId xmlns:a16="http://schemas.microsoft.com/office/drawing/2014/main" id="{3B85A99C-FA08-44FE-9B11-3FCA1A93B84A}"/>
            </a:ext>
          </a:extLst>
        </xdr:cNvPr>
        <xdr:cNvGrpSpPr>
          <a:grpSpLocks/>
        </xdr:cNvGrpSpPr>
      </xdr:nvGrpSpPr>
      <xdr:grpSpPr bwMode="auto">
        <a:xfrm>
          <a:off x="4086225" y="3429000"/>
          <a:ext cx="0" cy="0"/>
          <a:chOff x="454" y="139"/>
          <a:chExt cx="519" cy="0"/>
        </a:xfrm>
      </xdr:grpSpPr>
      <xdr:sp macro="" textlink="">
        <xdr:nvSpPr>
          <xdr:cNvPr id="124555" name="Line 506">
            <a:extLst>
              <a:ext uri="{FF2B5EF4-FFF2-40B4-BE49-F238E27FC236}">
                <a16:creationId xmlns:a16="http://schemas.microsoft.com/office/drawing/2014/main" id="{15F3D08B-41EB-4189-A359-F3673CF7E372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56" name="Line 507">
            <a:extLst>
              <a:ext uri="{FF2B5EF4-FFF2-40B4-BE49-F238E27FC236}">
                <a16:creationId xmlns:a16="http://schemas.microsoft.com/office/drawing/2014/main" id="{FE6B3E4A-522B-4BB0-BE0A-66DF6564714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57" name="Line 508">
            <a:extLst>
              <a:ext uri="{FF2B5EF4-FFF2-40B4-BE49-F238E27FC236}">
                <a16:creationId xmlns:a16="http://schemas.microsoft.com/office/drawing/2014/main" id="{5829680A-33B5-4E40-A941-0369E114F835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58" name="Line 509">
            <a:extLst>
              <a:ext uri="{FF2B5EF4-FFF2-40B4-BE49-F238E27FC236}">
                <a16:creationId xmlns:a16="http://schemas.microsoft.com/office/drawing/2014/main" id="{3C75ACE1-6F03-4D3D-8B1B-1C61209A4EA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17</xdr:row>
      <xdr:rowOff>85725</xdr:rowOff>
    </xdr:from>
    <xdr:to>
      <xdr:col>2</xdr:col>
      <xdr:colOff>0</xdr:colOff>
      <xdr:row>17</xdr:row>
      <xdr:rowOff>114300</xdr:rowOff>
    </xdr:to>
    <xdr:grpSp>
      <xdr:nvGrpSpPr>
        <xdr:cNvPr id="124465" name="Group 515">
          <a:extLst>
            <a:ext uri="{FF2B5EF4-FFF2-40B4-BE49-F238E27FC236}">
              <a16:creationId xmlns:a16="http://schemas.microsoft.com/office/drawing/2014/main" id="{5769B2FC-D283-4D94-9DBC-82CF92FE6FAA}"/>
            </a:ext>
          </a:extLst>
        </xdr:cNvPr>
        <xdr:cNvGrpSpPr>
          <a:grpSpLocks/>
        </xdr:cNvGrpSpPr>
      </xdr:nvGrpSpPr>
      <xdr:grpSpPr bwMode="auto">
        <a:xfrm>
          <a:off x="4086225" y="3152775"/>
          <a:ext cx="0" cy="28575"/>
          <a:chOff x="454" y="139"/>
          <a:chExt cx="519" cy="0"/>
        </a:xfrm>
      </xdr:grpSpPr>
      <xdr:sp macro="" textlink="">
        <xdr:nvSpPr>
          <xdr:cNvPr id="124551" name="Line 516">
            <a:extLst>
              <a:ext uri="{FF2B5EF4-FFF2-40B4-BE49-F238E27FC236}">
                <a16:creationId xmlns:a16="http://schemas.microsoft.com/office/drawing/2014/main" id="{7EC30FE1-1CAB-492E-9255-0D1AA78A7C6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52" name="Line 517">
            <a:extLst>
              <a:ext uri="{FF2B5EF4-FFF2-40B4-BE49-F238E27FC236}">
                <a16:creationId xmlns:a16="http://schemas.microsoft.com/office/drawing/2014/main" id="{25D3FB29-9598-4D20-A5D4-5017EF1945D0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53" name="Line 518">
            <a:extLst>
              <a:ext uri="{FF2B5EF4-FFF2-40B4-BE49-F238E27FC236}">
                <a16:creationId xmlns:a16="http://schemas.microsoft.com/office/drawing/2014/main" id="{CA746197-66F7-4ABF-8C23-4BE0D9174B35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54" name="Line 519">
            <a:extLst>
              <a:ext uri="{FF2B5EF4-FFF2-40B4-BE49-F238E27FC236}">
                <a16:creationId xmlns:a16="http://schemas.microsoft.com/office/drawing/2014/main" id="{1C99A672-6C73-43A4-AC24-1B57B616E1E9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11</xdr:row>
      <xdr:rowOff>104775</xdr:rowOff>
    </xdr:from>
    <xdr:to>
      <xdr:col>2</xdr:col>
      <xdr:colOff>0</xdr:colOff>
      <xdr:row>11</xdr:row>
      <xdr:rowOff>152400</xdr:rowOff>
    </xdr:to>
    <xdr:grpSp>
      <xdr:nvGrpSpPr>
        <xdr:cNvPr id="124466" name="Group 520">
          <a:extLst>
            <a:ext uri="{FF2B5EF4-FFF2-40B4-BE49-F238E27FC236}">
              <a16:creationId xmlns:a16="http://schemas.microsoft.com/office/drawing/2014/main" id="{A85229CA-6A9C-4DEE-905F-440A808725E5}"/>
            </a:ext>
          </a:extLst>
        </xdr:cNvPr>
        <xdr:cNvGrpSpPr>
          <a:grpSpLocks/>
        </xdr:cNvGrpSpPr>
      </xdr:nvGrpSpPr>
      <xdr:grpSpPr bwMode="auto">
        <a:xfrm flipV="1">
          <a:off x="4086225" y="2085975"/>
          <a:ext cx="0" cy="47625"/>
          <a:chOff x="454" y="139"/>
          <a:chExt cx="519" cy="0"/>
        </a:xfrm>
      </xdr:grpSpPr>
      <xdr:sp macro="" textlink="">
        <xdr:nvSpPr>
          <xdr:cNvPr id="124547" name="Line 521">
            <a:extLst>
              <a:ext uri="{FF2B5EF4-FFF2-40B4-BE49-F238E27FC236}">
                <a16:creationId xmlns:a16="http://schemas.microsoft.com/office/drawing/2014/main" id="{C4A993F2-8AC5-4889-A685-89825B506F38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48" name="Line 522">
            <a:extLst>
              <a:ext uri="{FF2B5EF4-FFF2-40B4-BE49-F238E27FC236}">
                <a16:creationId xmlns:a16="http://schemas.microsoft.com/office/drawing/2014/main" id="{52614F42-DD11-4A02-B646-63538D6F590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49" name="Line 523">
            <a:extLst>
              <a:ext uri="{FF2B5EF4-FFF2-40B4-BE49-F238E27FC236}">
                <a16:creationId xmlns:a16="http://schemas.microsoft.com/office/drawing/2014/main" id="{2FC4B13E-7D09-46EC-B799-C434A3BAF69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50" name="Line 524">
            <a:extLst>
              <a:ext uri="{FF2B5EF4-FFF2-40B4-BE49-F238E27FC236}">
                <a16:creationId xmlns:a16="http://schemas.microsoft.com/office/drawing/2014/main" id="{CDF91DEA-510A-43BE-A759-45411033B9A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11</xdr:row>
      <xdr:rowOff>104775</xdr:rowOff>
    </xdr:from>
    <xdr:to>
      <xdr:col>2</xdr:col>
      <xdr:colOff>0</xdr:colOff>
      <xdr:row>11</xdr:row>
      <xdr:rowOff>152400</xdr:rowOff>
    </xdr:to>
    <xdr:grpSp>
      <xdr:nvGrpSpPr>
        <xdr:cNvPr id="124467" name="Group 525">
          <a:extLst>
            <a:ext uri="{FF2B5EF4-FFF2-40B4-BE49-F238E27FC236}">
              <a16:creationId xmlns:a16="http://schemas.microsoft.com/office/drawing/2014/main" id="{9F99A093-DC24-401D-9551-1DE86C1490C6}"/>
            </a:ext>
          </a:extLst>
        </xdr:cNvPr>
        <xdr:cNvGrpSpPr>
          <a:grpSpLocks/>
        </xdr:cNvGrpSpPr>
      </xdr:nvGrpSpPr>
      <xdr:grpSpPr bwMode="auto">
        <a:xfrm flipV="1">
          <a:off x="4086225" y="2085975"/>
          <a:ext cx="0" cy="47625"/>
          <a:chOff x="454" y="139"/>
          <a:chExt cx="519" cy="0"/>
        </a:xfrm>
      </xdr:grpSpPr>
      <xdr:sp macro="" textlink="">
        <xdr:nvSpPr>
          <xdr:cNvPr id="124543" name="Line 526">
            <a:extLst>
              <a:ext uri="{FF2B5EF4-FFF2-40B4-BE49-F238E27FC236}">
                <a16:creationId xmlns:a16="http://schemas.microsoft.com/office/drawing/2014/main" id="{4AA50569-BF09-4E74-BA71-B398C3B87F8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44" name="Line 527">
            <a:extLst>
              <a:ext uri="{FF2B5EF4-FFF2-40B4-BE49-F238E27FC236}">
                <a16:creationId xmlns:a16="http://schemas.microsoft.com/office/drawing/2014/main" id="{BEA31431-D288-42A9-92E1-94BFA4D05A3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45" name="Line 528">
            <a:extLst>
              <a:ext uri="{FF2B5EF4-FFF2-40B4-BE49-F238E27FC236}">
                <a16:creationId xmlns:a16="http://schemas.microsoft.com/office/drawing/2014/main" id="{3189EE72-6E5E-4422-AE05-28A8CE49A445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46" name="Line 529">
            <a:extLst>
              <a:ext uri="{FF2B5EF4-FFF2-40B4-BE49-F238E27FC236}">
                <a16:creationId xmlns:a16="http://schemas.microsoft.com/office/drawing/2014/main" id="{E9972D34-C9E9-420B-ACE0-9D70A5305AD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19</xdr:row>
      <xdr:rowOff>0</xdr:rowOff>
    </xdr:from>
    <xdr:to>
      <xdr:col>3</xdr:col>
      <xdr:colOff>0</xdr:colOff>
      <xdr:row>19</xdr:row>
      <xdr:rowOff>0</xdr:rowOff>
    </xdr:to>
    <xdr:grpSp>
      <xdr:nvGrpSpPr>
        <xdr:cNvPr id="124468" name="Group 545">
          <a:extLst>
            <a:ext uri="{FF2B5EF4-FFF2-40B4-BE49-F238E27FC236}">
              <a16:creationId xmlns:a16="http://schemas.microsoft.com/office/drawing/2014/main" id="{E651AC7E-2C13-422D-B2FC-07DDA68C49FC}"/>
            </a:ext>
          </a:extLst>
        </xdr:cNvPr>
        <xdr:cNvGrpSpPr>
          <a:grpSpLocks/>
        </xdr:cNvGrpSpPr>
      </xdr:nvGrpSpPr>
      <xdr:grpSpPr bwMode="auto">
        <a:xfrm>
          <a:off x="5334000" y="3429000"/>
          <a:ext cx="0" cy="0"/>
          <a:chOff x="454" y="139"/>
          <a:chExt cx="519" cy="0"/>
        </a:xfrm>
      </xdr:grpSpPr>
      <xdr:sp macro="" textlink="">
        <xdr:nvSpPr>
          <xdr:cNvPr id="124539" name="Line 546">
            <a:extLst>
              <a:ext uri="{FF2B5EF4-FFF2-40B4-BE49-F238E27FC236}">
                <a16:creationId xmlns:a16="http://schemas.microsoft.com/office/drawing/2014/main" id="{E5379054-2CFC-4D60-B135-42698AEBAE94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40" name="Line 547">
            <a:extLst>
              <a:ext uri="{FF2B5EF4-FFF2-40B4-BE49-F238E27FC236}">
                <a16:creationId xmlns:a16="http://schemas.microsoft.com/office/drawing/2014/main" id="{6F5060E6-C77A-48D3-9986-33D3EA57286F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41" name="Line 548">
            <a:extLst>
              <a:ext uri="{FF2B5EF4-FFF2-40B4-BE49-F238E27FC236}">
                <a16:creationId xmlns:a16="http://schemas.microsoft.com/office/drawing/2014/main" id="{67B5F605-FAD0-410C-B118-D60F8788792D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42" name="Line 549">
            <a:extLst>
              <a:ext uri="{FF2B5EF4-FFF2-40B4-BE49-F238E27FC236}">
                <a16:creationId xmlns:a16="http://schemas.microsoft.com/office/drawing/2014/main" id="{6150B166-E4C4-42A0-8634-DACA489C12DA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17</xdr:row>
      <xdr:rowOff>85725</xdr:rowOff>
    </xdr:from>
    <xdr:to>
      <xdr:col>3</xdr:col>
      <xdr:colOff>0</xdr:colOff>
      <xdr:row>17</xdr:row>
      <xdr:rowOff>114300</xdr:rowOff>
    </xdr:to>
    <xdr:grpSp>
      <xdr:nvGrpSpPr>
        <xdr:cNvPr id="124469" name="Group 555">
          <a:extLst>
            <a:ext uri="{FF2B5EF4-FFF2-40B4-BE49-F238E27FC236}">
              <a16:creationId xmlns:a16="http://schemas.microsoft.com/office/drawing/2014/main" id="{297094E0-2B10-4DBD-89B9-DB208A1F92CC}"/>
            </a:ext>
          </a:extLst>
        </xdr:cNvPr>
        <xdr:cNvGrpSpPr>
          <a:grpSpLocks/>
        </xdr:cNvGrpSpPr>
      </xdr:nvGrpSpPr>
      <xdr:grpSpPr bwMode="auto">
        <a:xfrm>
          <a:off x="5334000" y="3152775"/>
          <a:ext cx="0" cy="28575"/>
          <a:chOff x="454" y="139"/>
          <a:chExt cx="519" cy="0"/>
        </a:xfrm>
      </xdr:grpSpPr>
      <xdr:sp macro="" textlink="">
        <xdr:nvSpPr>
          <xdr:cNvPr id="124535" name="Line 556">
            <a:extLst>
              <a:ext uri="{FF2B5EF4-FFF2-40B4-BE49-F238E27FC236}">
                <a16:creationId xmlns:a16="http://schemas.microsoft.com/office/drawing/2014/main" id="{84535339-A931-43A7-A1EC-59647EA64053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36" name="Line 557">
            <a:extLst>
              <a:ext uri="{FF2B5EF4-FFF2-40B4-BE49-F238E27FC236}">
                <a16:creationId xmlns:a16="http://schemas.microsoft.com/office/drawing/2014/main" id="{37DD119E-E291-4A7C-BAB2-AABA3292B32E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37" name="Line 558">
            <a:extLst>
              <a:ext uri="{FF2B5EF4-FFF2-40B4-BE49-F238E27FC236}">
                <a16:creationId xmlns:a16="http://schemas.microsoft.com/office/drawing/2014/main" id="{28EE4B2C-908D-465A-B9DE-0AFF0C8F40B4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38" name="Line 559">
            <a:extLst>
              <a:ext uri="{FF2B5EF4-FFF2-40B4-BE49-F238E27FC236}">
                <a16:creationId xmlns:a16="http://schemas.microsoft.com/office/drawing/2014/main" id="{E9A2BB71-3D95-4180-A6D3-8962EBA112BF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20</xdr:row>
      <xdr:rowOff>85725</xdr:rowOff>
    </xdr:from>
    <xdr:to>
      <xdr:col>2</xdr:col>
      <xdr:colOff>0</xdr:colOff>
      <xdr:row>20</xdr:row>
      <xdr:rowOff>114300</xdr:rowOff>
    </xdr:to>
    <xdr:grpSp>
      <xdr:nvGrpSpPr>
        <xdr:cNvPr id="124470" name="Group 575">
          <a:extLst>
            <a:ext uri="{FF2B5EF4-FFF2-40B4-BE49-F238E27FC236}">
              <a16:creationId xmlns:a16="http://schemas.microsoft.com/office/drawing/2014/main" id="{5D524927-53C4-4F7E-AF9D-C08DCAD4EF97}"/>
            </a:ext>
          </a:extLst>
        </xdr:cNvPr>
        <xdr:cNvGrpSpPr>
          <a:grpSpLocks/>
        </xdr:cNvGrpSpPr>
      </xdr:nvGrpSpPr>
      <xdr:grpSpPr bwMode="auto">
        <a:xfrm>
          <a:off x="4086225" y="3695700"/>
          <a:ext cx="0" cy="28575"/>
          <a:chOff x="454" y="139"/>
          <a:chExt cx="519" cy="0"/>
        </a:xfrm>
      </xdr:grpSpPr>
      <xdr:sp macro="" textlink="">
        <xdr:nvSpPr>
          <xdr:cNvPr id="124531" name="Line 576">
            <a:extLst>
              <a:ext uri="{FF2B5EF4-FFF2-40B4-BE49-F238E27FC236}">
                <a16:creationId xmlns:a16="http://schemas.microsoft.com/office/drawing/2014/main" id="{20F45CF3-D83E-488F-B327-41CF9C49C55D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32" name="Line 577">
            <a:extLst>
              <a:ext uri="{FF2B5EF4-FFF2-40B4-BE49-F238E27FC236}">
                <a16:creationId xmlns:a16="http://schemas.microsoft.com/office/drawing/2014/main" id="{468E79E1-8DCC-4CCA-9E81-5A2CECE80591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33" name="Line 578">
            <a:extLst>
              <a:ext uri="{FF2B5EF4-FFF2-40B4-BE49-F238E27FC236}">
                <a16:creationId xmlns:a16="http://schemas.microsoft.com/office/drawing/2014/main" id="{9B3E7775-5433-4586-A23E-185AAD422C6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34" name="Line 579">
            <a:extLst>
              <a:ext uri="{FF2B5EF4-FFF2-40B4-BE49-F238E27FC236}">
                <a16:creationId xmlns:a16="http://schemas.microsoft.com/office/drawing/2014/main" id="{5DABCFEF-D83E-4DEC-AEEA-8313219E2573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20</xdr:row>
      <xdr:rowOff>85725</xdr:rowOff>
    </xdr:from>
    <xdr:to>
      <xdr:col>3</xdr:col>
      <xdr:colOff>0</xdr:colOff>
      <xdr:row>20</xdr:row>
      <xdr:rowOff>114300</xdr:rowOff>
    </xdr:to>
    <xdr:grpSp>
      <xdr:nvGrpSpPr>
        <xdr:cNvPr id="124471" name="Group 585">
          <a:extLst>
            <a:ext uri="{FF2B5EF4-FFF2-40B4-BE49-F238E27FC236}">
              <a16:creationId xmlns:a16="http://schemas.microsoft.com/office/drawing/2014/main" id="{A5EBF091-2DE7-40DA-B1AF-80453FFA354D}"/>
            </a:ext>
          </a:extLst>
        </xdr:cNvPr>
        <xdr:cNvGrpSpPr>
          <a:grpSpLocks/>
        </xdr:cNvGrpSpPr>
      </xdr:nvGrpSpPr>
      <xdr:grpSpPr bwMode="auto">
        <a:xfrm>
          <a:off x="5334000" y="3695700"/>
          <a:ext cx="0" cy="28575"/>
          <a:chOff x="454" y="139"/>
          <a:chExt cx="519" cy="0"/>
        </a:xfrm>
      </xdr:grpSpPr>
      <xdr:sp macro="" textlink="">
        <xdr:nvSpPr>
          <xdr:cNvPr id="124527" name="Line 586">
            <a:extLst>
              <a:ext uri="{FF2B5EF4-FFF2-40B4-BE49-F238E27FC236}">
                <a16:creationId xmlns:a16="http://schemas.microsoft.com/office/drawing/2014/main" id="{492F4A2F-E314-413A-9F03-63CB55BE5766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28" name="Line 587">
            <a:extLst>
              <a:ext uri="{FF2B5EF4-FFF2-40B4-BE49-F238E27FC236}">
                <a16:creationId xmlns:a16="http://schemas.microsoft.com/office/drawing/2014/main" id="{C9F33065-84DD-443B-8B60-27ECF1304507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29" name="Line 588">
            <a:extLst>
              <a:ext uri="{FF2B5EF4-FFF2-40B4-BE49-F238E27FC236}">
                <a16:creationId xmlns:a16="http://schemas.microsoft.com/office/drawing/2014/main" id="{56ACFF05-F1FC-402C-B328-5B4B43DC4826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30" name="Line 589">
            <a:extLst>
              <a:ext uri="{FF2B5EF4-FFF2-40B4-BE49-F238E27FC236}">
                <a16:creationId xmlns:a16="http://schemas.microsoft.com/office/drawing/2014/main" id="{6FC86938-C9B1-40D5-A492-EC885836EC6E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26</xdr:row>
      <xdr:rowOff>85725</xdr:rowOff>
    </xdr:from>
    <xdr:to>
      <xdr:col>4</xdr:col>
      <xdr:colOff>0</xdr:colOff>
      <xdr:row>26</xdr:row>
      <xdr:rowOff>114300</xdr:rowOff>
    </xdr:to>
    <xdr:grpSp>
      <xdr:nvGrpSpPr>
        <xdr:cNvPr id="124472" name="Group 610">
          <a:extLst>
            <a:ext uri="{FF2B5EF4-FFF2-40B4-BE49-F238E27FC236}">
              <a16:creationId xmlns:a16="http://schemas.microsoft.com/office/drawing/2014/main" id="{C28BC7C6-985C-49C7-9B72-4C337720755D}"/>
            </a:ext>
          </a:extLst>
        </xdr:cNvPr>
        <xdr:cNvGrpSpPr>
          <a:grpSpLocks/>
        </xdr:cNvGrpSpPr>
      </xdr:nvGrpSpPr>
      <xdr:grpSpPr bwMode="auto">
        <a:xfrm>
          <a:off x="6581775" y="4791075"/>
          <a:ext cx="0" cy="28575"/>
          <a:chOff x="454" y="139"/>
          <a:chExt cx="519" cy="0"/>
        </a:xfrm>
      </xdr:grpSpPr>
      <xdr:sp macro="" textlink="">
        <xdr:nvSpPr>
          <xdr:cNvPr id="124523" name="Line 611">
            <a:extLst>
              <a:ext uri="{FF2B5EF4-FFF2-40B4-BE49-F238E27FC236}">
                <a16:creationId xmlns:a16="http://schemas.microsoft.com/office/drawing/2014/main" id="{3B01A04A-AB93-4264-89D8-F72282BF7395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24" name="Line 612">
            <a:extLst>
              <a:ext uri="{FF2B5EF4-FFF2-40B4-BE49-F238E27FC236}">
                <a16:creationId xmlns:a16="http://schemas.microsoft.com/office/drawing/2014/main" id="{8FFCDFE9-F6DA-4215-89DB-5D784CE667EF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25" name="Line 613">
            <a:extLst>
              <a:ext uri="{FF2B5EF4-FFF2-40B4-BE49-F238E27FC236}">
                <a16:creationId xmlns:a16="http://schemas.microsoft.com/office/drawing/2014/main" id="{D0B2520F-732E-4ADB-8A09-FA7EACCB33F8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26" name="Line 614">
            <a:extLst>
              <a:ext uri="{FF2B5EF4-FFF2-40B4-BE49-F238E27FC236}">
                <a16:creationId xmlns:a16="http://schemas.microsoft.com/office/drawing/2014/main" id="{384C0F58-F6AC-4D17-ADF6-4F5D08B4D919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26</xdr:row>
      <xdr:rowOff>85725</xdr:rowOff>
    </xdr:from>
    <xdr:to>
      <xdr:col>10</xdr:col>
      <xdr:colOff>0</xdr:colOff>
      <xdr:row>26</xdr:row>
      <xdr:rowOff>114300</xdr:rowOff>
    </xdr:to>
    <xdr:grpSp>
      <xdr:nvGrpSpPr>
        <xdr:cNvPr id="124473" name="Group 620">
          <a:extLst>
            <a:ext uri="{FF2B5EF4-FFF2-40B4-BE49-F238E27FC236}">
              <a16:creationId xmlns:a16="http://schemas.microsoft.com/office/drawing/2014/main" id="{F2F302AB-4AA0-4AF5-A21C-6E2745581859}"/>
            </a:ext>
          </a:extLst>
        </xdr:cNvPr>
        <xdr:cNvGrpSpPr>
          <a:grpSpLocks/>
        </xdr:cNvGrpSpPr>
      </xdr:nvGrpSpPr>
      <xdr:grpSpPr bwMode="auto">
        <a:xfrm>
          <a:off x="14354175" y="4791075"/>
          <a:ext cx="0" cy="28575"/>
          <a:chOff x="454" y="139"/>
          <a:chExt cx="519" cy="0"/>
        </a:xfrm>
      </xdr:grpSpPr>
      <xdr:sp macro="" textlink="">
        <xdr:nvSpPr>
          <xdr:cNvPr id="124519" name="Line 621">
            <a:extLst>
              <a:ext uri="{FF2B5EF4-FFF2-40B4-BE49-F238E27FC236}">
                <a16:creationId xmlns:a16="http://schemas.microsoft.com/office/drawing/2014/main" id="{F0183CFB-A863-4B4A-A45F-7AD25D979F3A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20" name="Line 622">
            <a:extLst>
              <a:ext uri="{FF2B5EF4-FFF2-40B4-BE49-F238E27FC236}">
                <a16:creationId xmlns:a16="http://schemas.microsoft.com/office/drawing/2014/main" id="{3E086C9E-A12D-4F9E-9A2C-7424C1701E67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21" name="Line 623">
            <a:extLst>
              <a:ext uri="{FF2B5EF4-FFF2-40B4-BE49-F238E27FC236}">
                <a16:creationId xmlns:a16="http://schemas.microsoft.com/office/drawing/2014/main" id="{B74342FE-40E1-40F3-BD53-D6918E5D98F1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22" name="Line 624">
            <a:extLst>
              <a:ext uri="{FF2B5EF4-FFF2-40B4-BE49-F238E27FC236}">
                <a16:creationId xmlns:a16="http://schemas.microsoft.com/office/drawing/2014/main" id="{34382639-3669-417F-925D-32ED1BE7587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85725</xdr:rowOff>
    </xdr:to>
    <xdr:grpSp>
      <xdr:nvGrpSpPr>
        <xdr:cNvPr id="124474" name="Group 630">
          <a:extLst>
            <a:ext uri="{FF2B5EF4-FFF2-40B4-BE49-F238E27FC236}">
              <a16:creationId xmlns:a16="http://schemas.microsoft.com/office/drawing/2014/main" id="{A1CC9BBE-4E55-429E-896E-B0198B474924}"/>
            </a:ext>
          </a:extLst>
        </xdr:cNvPr>
        <xdr:cNvGrpSpPr>
          <a:grpSpLocks/>
        </xdr:cNvGrpSpPr>
      </xdr:nvGrpSpPr>
      <xdr:grpSpPr bwMode="auto">
        <a:xfrm flipV="1">
          <a:off x="14354175" y="4762500"/>
          <a:ext cx="0" cy="28575"/>
          <a:chOff x="454" y="139"/>
          <a:chExt cx="519" cy="0"/>
        </a:xfrm>
      </xdr:grpSpPr>
      <xdr:sp macro="" textlink="">
        <xdr:nvSpPr>
          <xdr:cNvPr id="124515" name="Line 631">
            <a:extLst>
              <a:ext uri="{FF2B5EF4-FFF2-40B4-BE49-F238E27FC236}">
                <a16:creationId xmlns:a16="http://schemas.microsoft.com/office/drawing/2014/main" id="{09DA3917-4FA7-4AFF-8CF1-E8B3574A95A0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16" name="Line 632">
            <a:extLst>
              <a:ext uri="{FF2B5EF4-FFF2-40B4-BE49-F238E27FC236}">
                <a16:creationId xmlns:a16="http://schemas.microsoft.com/office/drawing/2014/main" id="{8C21FD34-8798-4D7A-B9F9-F52CE761F94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17" name="Line 633">
            <a:extLst>
              <a:ext uri="{FF2B5EF4-FFF2-40B4-BE49-F238E27FC236}">
                <a16:creationId xmlns:a16="http://schemas.microsoft.com/office/drawing/2014/main" id="{094B093F-A087-4E40-99F7-96B124BCA2B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18" name="Line 634">
            <a:extLst>
              <a:ext uri="{FF2B5EF4-FFF2-40B4-BE49-F238E27FC236}">
                <a16:creationId xmlns:a16="http://schemas.microsoft.com/office/drawing/2014/main" id="{B37FDF28-A770-4DE4-8041-334A8489209E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26</xdr:row>
      <xdr:rowOff>85725</xdr:rowOff>
    </xdr:from>
    <xdr:to>
      <xdr:col>10</xdr:col>
      <xdr:colOff>0</xdr:colOff>
      <xdr:row>26</xdr:row>
      <xdr:rowOff>114300</xdr:rowOff>
    </xdr:to>
    <xdr:grpSp>
      <xdr:nvGrpSpPr>
        <xdr:cNvPr id="124475" name="Group 635">
          <a:extLst>
            <a:ext uri="{FF2B5EF4-FFF2-40B4-BE49-F238E27FC236}">
              <a16:creationId xmlns:a16="http://schemas.microsoft.com/office/drawing/2014/main" id="{14A4A2CA-4CCB-4230-8BB9-5E7D163AA017}"/>
            </a:ext>
          </a:extLst>
        </xdr:cNvPr>
        <xdr:cNvGrpSpPr>
          <a:grpSpLocks/>
        </xdr:cNvGrpSpPr>
      </xdr:nvGrpSpPr>
      <xdr:grpSpPr bwMode="auto">
        <a:xfrm>
          <a:off x="14354175" y="4791075"/>
          <a:ext cx="0" cy="28575"/>
          <a:chOff x="454" y="139"/>
          <a:chExt cx="519" cy="0"/>
        </a:xfrm>
      </xdr:grpSpPr>
      <xdr:sp macro="" textlink="">
        <xdr:nvSpPr>
          <xdr:cNvPr id="124511" name="Line 636">
            <a:extLst>
              <a:ext uri="{FF2B5EF4-FFF2-40B4-BE49-F238E27FC236}">
                <a16:creationId xmlns:a16="http://schemas.microsoft.com/office/drawing/2014/main" id="{D523FC11-FC39-4726-8D94-60B1D9B52487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12" name="Line 637">
            <a:extLst>
              <a:ext uri="{FF2B5EF4-FFF2-40B4-BE49-F238E27FC236}">
                <a16:creationId xmlns:a16="http://schemas.microsoft.com/office/drawing/2014/main" id="{7B03CA2A-D2A7-45B0-8817-5164784AF4C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13" name="Line 638">
            <a:extLst>
              <a:ext uri="{FF2B5EF4-FFF2-40B4-BE49-F238E27FC236}">
                <a16:creationId xmlns:a16="http://schemas.microsoft.com/office/drawing/2014/main" id="{66D165D2-C212-4509-983A-5CE22516C9D8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14" name="Line 639">
            <a:extLst>
              <a:ext uri="{FF2B5EF4-FFF2-40B4-BE49-F238E27FC236}">
                <a16:creationId xmlns:a16="http://schemas.microsoft.com/office/drawing/2014/main" id="{22803FC4-BD5E-4E6D-A5E8-DDC93718D707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26</xdr:row>
      <xdr:rowOff>85725</xdr:rowOff>
    </xdr:from>
    <xdr:to>
      <xdr:col>2</xdr:col>
      <xdr:colOff>0</xdr:colOff>
      <xdr:row>26</xdr:row>
      <xdr:rowOff>114300</xdr:rowOff>
    </xdr:to>
    <xdr:grpSp>
      <xdr:nvGrpSpPr>
        <xdr:cNvPr id="124476" name="Group 645">
          <a:extLst>
            <a:ext uri="{FF2B5EF4-FFF2-40B4-BE49-F238E27FC236}">
              <a16:creationId xmlns:a16="http://schemas.microsoft.com/office/drawing/2014/main" id="{199D2D2B-6E8E-4B7F-8671-BD5AE8EB7844}"/>
            </a:ext>
          </a:extLst>
        </xdr:cNvPr>
        <xdr:cNvGrpSpPr>
          <a:grpSpLocks/>
        </xdr:cNvGrpSpPr>
      </xdr:nvGrpSpPr>
      <xdr:grpSpPr bwMode="auto">
        <a:xfrm>
          <a:off x="4086225" y="4791075"/>
          <a:ext cx="0" cy="28575"/>
          <a:chOff x="454" y="139"/>
          <a:chExt cx="519" cy="0"/>
        </a:xfrm>
      </xdr:grpSpPr>
      <xdr:sp macro="" textlink="">
        <xdr:nvSpPr>
          <xdr:cNvPr id="124507" name="Line 646">
            <a:extLst>
              <a:ext uri="{FF2B5EF4-FFF2-40B4-BE49-F238E27FC236}">
                <a16:creationId xmlns:a16="http://schemas.microsoft.com/office/drawing/2014/main" id="{1C8176D8-20E8-4A66-9D62-C88A87616B0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08" name="Line 647">
            <a:extLst>
              <a:ext uri="{FF2B5EF4-FFF2-40B4-BE49-F238E27FC236}">
                <a16:creationId xmlns:a16="http://schemas.microsoft.com/office/drawing/2014/main" id="{89A140C8-3F54-46C0-8B39-52F4AECD75CE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09" name="Line 648">
            <a:extLst>
              <a:ext uri="{FF2B5EF4-FFF2-40B4-BE49-F238E27FC236}">
                <a16:creationId xmlns:a16="http://schemas.microsoft.com/office/drawing/2014/main" id="{DAD44294-5FA5-4441-982C-DAE849003564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10" name="Line 649">
            <a:extLst>
              <a:ext uri="{FF2B5EF4-FFF2-40B4-BE49-F238E27FC236}">
                <a16:creationId xmlns:a16="http://schemas.microsoft.com/office/drawing/2014/main" id="{18A3F494-35A3-4D5F-8B7B-BE68EF470B85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26</xdr:row>
      <xdr:rowOff>85725</xdr:rowOff>
    </xdr:from>
    <xdr:to>
      <xdr:col>3</xdr:col>
      <xdr:colOff>0</xdr:colOff>
      <xdr:row>26</xdr:row>
      <xdr:rowOff>114300</xdr:rowOff>
    </xdr:to>
    <xdr:grpSp>
      <xdr:nvGrpSpPr>
        <xdr:cNvPr id="124477" name="Group 655">
          <a:extLst>
            <a:ext uri="{FF2B5EF4-FFF2-40B4-BE49-F238E27FC236}">
              <a16:creationId xmlns:a16="http://schemas.microsoft.com/office/drawing/2014/main" id="{FB0D8796-9F6B-4BC8-A2CB-E5E40BF8F16A}"/>
            </a:ext>
          </a:extLst>
        </xdr:cNvPr>
        <xdr:cNvGrpSpPr>
          <a:grpSpLocks/>
        </xdr:cNvGrpSpPr>
      </xdr:nvGrpSpPr>
      <xdr:grpSpPr bwMode="auto">
        <a:xfrm>
          <a:off x="5334000" y="4791075"/>
          <a:ext cx="0" cy="28575"/>
          <a:chOff x="454" y="139"/>
          <a:chExt cx="519" cy="0"/>
        </a:xfrm>
      </xdr:grpSpPr>
      <xdr:sp macro="" textlink="">
        <xdr:nvSpPr>
          <xdr:cNvPr id="124503" name="Line 656">
            <a:extLst>
              <a:ext uri="{FF2B5EF4-FFF2-40B4-BE49-F238E27FC236}">
                <a16:creationId xmlns:a16="http://schemas.microsoft.com/office/drawing/2014/main" id="{6DF5EF0E-124A-4C75-88AB-22134B9EE592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04" name="Line 657">
            <a:extLst>
              <a:ext uri="{FF2B5EF4-FFF2-40B4-BE49-F238E27FC236}">
                <a16:creationId xmlns:a16="http://schemas.microsoft.com/office/drawing/2014/main" id="{0509CD34-834B-49DC-A544-6F341D49E309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05" name="Line 658">
            <a:extLst>
              <a:ext uri="{FF2B5EF4-FFF2-40B4-BE49-F238E27FC236}">
                <a16:creationId xmlns:a16="http://schemas.microsoft.com/office/drawing/2014/main" id="{BB564D74-D2F1-4D53-901C-8DAD1D6BCFE5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06" name="Line 659">
            <a:extLst>
              <a:ext uri="{FF2B5EF4-FFF2-40B4-BE49-F238E27FC236}">
                <a16:creationId xmlns:a16="http://schemas.microsoft.com/office/drawing/2014/main" id="{1C2576F2-797D-4A96-8DA6-28275409F4C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14</xdr:row>
      <xdr:rowOff>104775</xdr:rowOff>
    </xdr:from>
    <xdr:to>
      <xdr:col>4</xdr:col>
      <xdr:colOff>0</xdr:colOff>
      <xdr:row>14</xdr:row>
      <xdr:rowOff>152400</xdr:rowOff>
    </xdr:to>
    <xdr:grpSp>
      <xdr:nvGrpSpPr>
        <xdr:cNvPr id="124478" name="Group 339">
          <a:extLst>
            <a:ext uri="{FF2B5EF4-FFF2-40B4-BE49-F238E27FC236}">
              <a16:creationId xmlns:a16="http://schemas.microsoft.com/office/drawing/2014/main" id="{9F47EF5C-B811-46DD-A191-EA199A4935DA}"/>
            </a:ext>
          </a:extLst>
        </xdr:cNvPr>
        <xdr:cNvGrpSpPr>
          <a:grpSpLocks/>
        </xdr:cNvGrpSpPr>
      </xdr:nvGrpSpPr>
      <xdr:grpSpPr bwMode="auto">
        <a:xfrm flipV="1">
          <a:off x="6581775" y="2628900"/>
          <a:ext cx="0" cy="47625"/>
          <a:chOff x="454" y="139"/>
          <a:chExt cx="519" cy="0"/>
        </a:xfrm>
      </xdr:grpSpPr>
      <xdr:sp macro="" textlink="">
        <xdr:nvSpPr>
          <xdr:cNvPr id="124499" name="Line 340">
            <a:extLst>
              <a:ext uri="{FF2B5EF4-FFF2-40B4-BE49-F238E27FC236}">
                <a16:creationId xmlns:a16="http://schemas.microsoft.com/office/drawing/2014/main" id="{3FD1EF09-7EEE-4977-B938-200FDB9D1AA4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00" name="Line 341">
            <a:extLst>
              <a:ext uri="{FF2B5EF4-FFF2-40B4-BE49-F238E27FC236}">
                <a16:creationId xmlns:a16="http://schemas.microsoft.com/office/drawing/2014/main" id="{5C7A5E60-963D-45D8-853C-38AF90B6431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01" name="Line 342">
            <a:extLst>
              <a:ext uri="{FF2B5EF4-FFF2-40B4-BE49-F238E27FC236}">
                <a16:creationId xmlns:a16="http://schemas.microsoft.com/office/drawing/2014/main" id="{507E4599-568B-4682-A8B8-8F7B80AFC362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502" name="Line 343">
            <a:extLst>
              <a:ext uri="{FF2B5EF4-FFF2-40B4-BE49-F238E27FC236}">
                <a16:creationId xmlns:a16="http://schemas.microsoft.com/office/drawing/2014/main" id="{21045762-1C25-4ED8-A223-4944A577C6A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14</xdr:row>
      <xdr:rowOff>104775</xdr:rowOff>
    </xdr:from>
    <xdr:to>
      <xdr:col>4</xdr:col>
      <xdr:colOff>0</xdr:colOff>
      <xdr:row>14</xdr:row>
      <xdr:rowOff>152400</xdr:rowOff>
    </xdr:to>
    <xdr:grpSp>
      <xdr:nvGrpSpPr>
        <xdr:cNvPr id="124479" name="Group 344">
          <a:extLst>
            <a:ext uri="{FF2B5EF4-FFF2-40B4-BE49-F238E27FC236}">
              <a16:creationId xmlns:a16="http://schemas.microsoft.com/office/drawing/2014/main" id="{CD7D8C11-8524-49A1-9F63-44DDB0697DA2}"/>
            </a:ext>
          </a:extLst>
        </xdr:cNvPr>
        <xdr:cNvGrpSpPr>
          <a:grpSpLocks/>
        </xdr:cNvGrpSpPr>
      </xdr:nvGrpSpPr>
      <xdr:grpSpPr bwMode="auto">
        <a:xfrm flipV="1">
          <a:off x="6581775" y="2628900"/>
          <a:ext cx="0" cy="47625"/>
          <a:chOff x="454" y="139"/>
          <a:chExt cx="519" cy="0"/>
        </a:xfrm>
      </xdr:grpSpPr>
      <xdr:sp macro="" textlink="">
        <xdr:nvSpPr>
          <xdr:cNvPr id="124495" name="Line 345">
            <a:extLst>
              <a:ext uri="{FF2B5EF4-FFF2-40B4-BE49-F238E27FC236}">
                <a16:creationId xmlns:a16="http://schemas.microsoft.com/office/drawing/2014/main" id="{CE1C13BD-DFEB-42F2-960F-6E2D25E351EF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96" name="Line 346">
            <a:extLst>
              <a:ext uri="{FF2B5EF4-FFF2-40B4-BE49-F238E27FC236}">
                <a16:creationId xmlns:a16="http://schemas.microsoft.com/office/drawing/2014/main" id="{375263BF-EA10-4790-BB90-D58DD64E8282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97" name="Line 347">
            <a:extLst>
              <a:ext uri="{FF2B5EF4-FFF2-40B4-BE49-F238E27FC236}">
                <a16:creationId xmlns:a16="http://schemas.microsoft.com/office/drawing/2014/main" id="{9910CB9F-DC3F-43FA-A0D4-66F180ECDB78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98" name="Line 348">
            <a:extLst>
              <a:ext uri="{FF2B5EF4-FFF2-40B4-BE49-F238E27FC236}">
                <a16:creationId xmlns:a16="http://schemas.microsoft.com/office/drawing/2014/main" id="{55809200-BC44-4824-82BB-0C06C251D44E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14</xdr:row>
      <xdr:rowOff>104775</xdr:rowOff>
    </xdr:from>
    <xdr:to>
      <xdr:col>10</xdr:col>
      <xdr:colOff>0</xdr:colOff>
      <xdr:row>14</xdr:row>
      <xdr:rowOff>152400</xdr:rowOff>
    </xdr:to>
    <xdr:grpSp>
      <xdr:nvGrpSpPr>
        <xdr:cNvPr id="124480" name="Group 455">
          <a:extLst>
            <a:ext uri="{FF2B5EF4-FFF2-40B4-BE49-F238E27FC236}">
              <a16:creationId xmlns:a16="http://schemas.microsoft.com/office/drawing/2014/main" id="{A9998947-4888-469F-887F-405EC60D6ECF}"/>
            </a:ext>
          </a:extLst>
        </xdr:cNvPr>
        <xdr:cNvGrpSpPr>
          <a:grpSpLocks/>
        </xdr:cNvGrpSpPr>
      </xdr:nvGrpSpPr>
      <xdr:grpSpPr bwMode="auto">
        <a:xfrm flipV="1">
          <a:off x="14354175" y="2628900"/>
          <a:ext cx="0" cy="47625"/>
          <a:chOff x="454" y="139"/>
          <a:chExt cx="519" cy="0"/>
        </a:xfrm>
      </xdr:grpSpPr>
      <xdr:sp macro="" textlink="">
        <xdr:nvSpPr>
          <xdr:cNvPr id="124491" name="Line 456">
            <a:extLst>
              <a:ext uri="{FF2B5EF4-FFF2-40B4-BE49-F238E27FC236}">
                <a16:creationId xmlns:a16="http://schemas.microsoft.com/office/drawing/2014/main" id="{6DC74880-8C13-4AFE-89D8-6D9699F63212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92" name="Line 457">
            <a:extLst>
              <a:ext uri="{FF2B5EF4-FFF2-40B4-BE49-F238E27FC236}">
                <a16:creationId xmlns:a16="http://schemas.microsoft.com/office/drawing/2014/main" id="{DBB0651E-5910-4FDA-9975-306D4BE928AE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93" name="Line 458">
            <a:extLst>
              <a:ext uri="{FF2B5EF4-FFF2-40B4-BE49-F238E27FC236}">
                <a16:creationId xmlns:a16="http://schemas.microsoft.com/office/drawing/2014/main" id="{F2F737E1-EA48-471A-A1E6-708E156D2885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94" name="Line 459">
            <a:extLst>
              <a:ext uri="{FF2B5EF4-FFF2-40B4-BE49-F238E27FC236}">
                <a16:creationId xmlns:a16="http://schemas.microsoft.com/office/drawing/2014/main" id="{57EF096D-6613-4879-94A0-8D039D246A1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14</xdr:row>
      <xdr:rowOff>104775</xdr:rowOff>
    </xdr:from>
    <xdr:to>
      <xdr:col>2</xdr:col>
      <xdr:colOff>0</xdr:colOff>
      <xdr:row>14</xdr:row>
      <xdr:rowOff>152400</xdr:rowOff>
    </xdr:to>
    <xdr:grpSp>
      <xdr:nvGrpSpPr>
        <xdr:cNvPr id="124481" name="Group 520">
          <a:extLst>
            <a:ext uri="{FF2B5EF4-FFF2-40B4-BE49-F238E27FC236}">
              <a16:creationId xmlns:a16="http://schemas.microsoft.com/office/drawing/2014/main" id="{DBA9F29C-B0B1-443F-B1DF-50D370F2ED84}"/>
            </a:ext>
          </a:extLst>
        </xdr:cNvPr>
        <xdr:cNvGrpSpPr>
          <a:grpSpLocks/>
        </xdr:cNvGrpSpPr>
      </xdr:nvGrpSpPr>
      <xdr:grpSpPr bwMode="auto">
        <a:xfrm flipV="1">
          <a:off x="4086225" y="2628900"/>
          <a:ext cx="0" cy="47625"/>
          <a:chOff x="454" y="139"/>
          <a:chExt cx="519" cy="0"/>
        </a:xfrm>
      </xdr:grpSpPr>
      <xdr:sp macro="" textlink="">
        <xdr:nvSpPr>
          <xdr:cNvPr id="124487" name="Line 521">
            <a:extLst>
              <a:ext uri="{FF2B5EF4-FFF2-40B4-BE49-F238E27FC236}">
                <a16:creationId xmlns:a16="http://schemas.microsoft.com/office/drawing/2014/main" id="{02E18810-E27A-452E-A431-DB17BA9CE9F4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88" name="Line 522">
            <a:extLst>
              <a:ext uri="{FF2B5EF4-FFF2-40B4-BE49-F238E27FC236}">
                <a16:creationId xmlns:a16="http://schemas.microsoft.com/office/drawing/2014/main" id="{0FB68825-4703-4D63-A611-792F1CC6412E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89" name="Line 523">
            <a:extLst>
              <a:ext uri="{FF2B5EF4-FFF2-40B4-BE49-F238E27FC236}">
                <a16:creationId xmlns:a16="http://schemas.microsoft.com/office/drawing/2014/main" id="{35490149-45FA-47AF-80F8-A5EB6F10CECF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90" name="Line 524">
            <a:extLst>
              <a:ext uri="{FF2B5EF4-FFF2-40B4-BE49-F238E27FC236}">
                <a16:creationId xmlns:a16="http://schemas.microsoft.com/office/drawing/2014/main" id="{1811C906-B043-42AE-AB8A-D2FF52490AE3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14</xdr:row>
      <xdr:rowOff>104775</xdr:rowOff>
    </xdr:from>
    <xdr:to>
      <xdr:col>2</xdr:col>
      <xdr:colOff>0</xdr:colOff>
      <xdr:row>14</xdr:row>
      <xdr:rowOff>152400</xdr:rowOff>
    </xdr:to>
    <xdr:grpSp>
      <xdr:nvGrpSpPr>
        <xdr:cNvPr id="124482" name="Group 525">
          <a:extLst>
            <a:ext uri="{FF2B5EF4-FFF2-40B4-BE49-F238E27FC236}">
              <a16:creationId xmlns:a16="http://schemas.microsoft.com/office/drawing/2014/main" id="{3A939744-5CEA-4926-B273-437876B08EFA}"/>
            </a:ext>
          </a:extLst>
        </xdr:cNvPr>
        <xdr:cNvGrpSpPr>
          <a:grpSpLocks/>
        </xdr:cNvGrpSpPr>
      </xdr:nvGrpSpPr>
      <xdr:grpSpPr bwMode="auto">
        <a:xfrm flipV="1">
          <a:off x="4086225" y="2628900"/>
          <a:ext cx="0" cy="47625"/>
          <a:chOff x="454" y="139"/>
          <a:chExt cx="519" cy="0"/>
        </a:xfrm>
      </xdr:grpSpPr>
      <xdr:sp macro="" textlink="">
        <xdr:nvSpPr>
          <xdr:cNvPr id="124483" name="Line 526">
            <a:extLst>
              <a:ext uri="{FF2B5EF4-FFF2-40B4-BE49-F238E27FC236}">
                <a16:creationId xmlns:a16="http://schemas.microsoft.com/office/drawing/2014/main" id="{62817CE7-6CF9-4A80-B18D-ABB40CE34415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84" name="Line 527">
            <a:extLst>
              <a:ext uri="{FF2B5EF4-FFF2-40B4-BE49-F238E27FC236}">
                <a16:creationId xmlns:a16="http://schemas.microsoft.com/office/drawing/2014/main" id="{558518D8-3B29-451A-A514-AA3A6F2FC51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85" name="Line 528">
            <a:extLst>
              <a:ext uri="{FF2B5EF4-FFF2-40B4-BE49-F238E27FC236}">
                <a16:creationId xmlns:a16="http://schemas.microsoft.com/office/drawing/2014/main" id="{7F036F90-1CC8-4BDD-B2F4-6DFB159C7830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24486" name="Line 529">
            <a:extLst>
              <a:ext uri="{FF2B5EF4-FFF2-40B4-BE49-F238E27FC236}">
                <a16:creationId xmlns:a16="http://schemas.microsoft.com/office/drawing/2014/main" id="{6141ACD1-F3C6-4E3D-A626-A3AE89462D03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32</xdr:row>
      <xdr:rowOff>104775</xdr:rowOff>
    </xdr:from>
    <xdr:to>
      <xdr:col>4</xdr:col>
      <xdr:colOff>0</xdr:colOff>
      <xdr:row>32</xdr:row>
      <xdr:rowOff>152400</xdr:rowOff>
    </xdr:to>
    <xdr:grpSp>
      <xdr:nvGrpSpPr>
        <xdr:cNvPr id="192" name="Group 339">
          <a:extLst>
            <a:ext uri="{FF2B5EF4-FFF2-40B4-BE49-F238E27FC236}">
              <a16:creationId xmlns:a16="http://schemas.microsoft.com/office/drawing/2014/main" id="{D9BB8EDC-57B7-46E4-AAF0-1755D46B699C}"/>
            </a:ext>
          </a:extLst>
        </xdr:cNvPr>
        <xdr:cNvGrpSpPr>
          <a:grpSpLocks/>
        </xdr:cNvGrpSpPr>
      </xdr:nvGrpSpPr>
      <xdr:grpSpPr bwMode="auto">
        <a:xfrm flipV="1">
          <a:off x="6581775" y="5895975"/>
          <a:ext cx="0" cy="47625"/>
          <a:chOff x="454" y="139"/>
          <a:chExt cx="519" cy="0"/>
        </a:xfrm>
      </xdr:grpSpPr>
      <xdr:sp macro="" textlink="">
        <xdr:nvSpPr>
          <xdr:cNvPr id="193" name="Line 340">
            <a:extLst>
              <a:ext uri="{FF2B5EF4-FFF2-40B4-BE49-F238E27FC236}">
                <a16:creationId xmlns:a16="http://schemas.microsoft.com/office/drawing/2014/main" id="{D36687DF-E5DE-40C0-BAA9-CBE8B7A53B73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4" name="Line 341">
            <a:extLst>
              <a:ext uri="{FF2B5EF4-FFF2-40B4-BE49-F238E27FC236}">
                <a16:creationId xmlns:a16="http://schemas.microsoft.com/office/drawing/2014/main" id="{CDDE4ED1-62A8-4A0B-A241-BF2AF142E05C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5" name="Line 342">
            <a:extLst>
              <a:ext uri="{FF2B5EF4-FFF2-40B4-BE49-F238E27FC236}">
                <a16:creationId xmlns:a16="http://schemas.microsoft.com/office/drawing/2014/main" id="{3C1845E0-D5A6-4F9D-81B4-6D6DAC353C6F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6" name="Line 343">
            <a:extLst>
              <a:ext uri="{FF2B5EF4-FFF2-40B4-BE49-F238E27FC236}">
                <a16:creationId xmlns:a16="http://schemas.microsoft.com/office/drawing/2014/main" id="{D60863DC-250D-45DC-BED9-AD838DFFF25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32</xdr:row>
      <xdr:rowOff>104775</xdr:rowOff>
    </xdr:from>
    <xdr:to>
      <xdr:col>4</xdr:col>
      <xdr:colOff>0</xdr:colOff>
      <xdr:row>32</xdr:row>
      <xdr:rowOff>152400</xdr:rowOff>
    </xdr:to>
    <xdr:grpSp>
      <xdr:nvGrpSpPr>
        <xdr:cNvPr id="197" name="Group 344">
          <a:extLst>
            <a:ext uri="{FF2B5EF4-FFF2-40B4-BE49-F238E27FC236}">
              <a16:creationId xmlns:a16="http://schemas.microsoft.com/office/drawing/2014/main" id="{A5259C1F-1823-4499-BB13-77FD073220D3}"/>
            </a:ext>
          </a:extLst>
        </xdr:cNvPr>
        <xdr:cNvGrpSpPr>
          <a:grpSpLocks/>
        </xdr:cNvGrpSpPr>
      </xdr:nvGrpSpPr>
      <xdr:grpSpPr bwMode="auto">
        <a:xfrm flipV="1">
          <a:off x="6581775" y="5895975"/>
          <a:ext cx="0" cy="47625"/>
          <a:chOff x="454" y="139"/>
          <a:chExt cx="519" cy="0"/>
        </a:xfrm>
      </xdr:grpSpPr>
      <xdr:sp macro="" textlink="">
        <xdr:nvSpPr>
          <xdr:cNvPr id="198" name="Line 345">
            <a:extLst>
              <a:ext uri="{FF2B5EF4-FFF2-40B4-BE49-F238E27FC236}">
                <a16:creationId xmlns:a16="http://schemas.microsoft.com/office/drawing/2014/main" id="{DB0B51EC-2FA9-49F1-B945-77476691ECD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99" name="Line 346">
            <a:extLst>
              <a:ext uri="{FF2B5EF4-FFF2-40B4-BE49-F238E27FC236}">
                <a16:creationId xmlns:a16="http://schemas.microsoft.com/office/drawing/2014/main" id="{015A2819-095F-431D-A72F-4EA2706099F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0" name="Line 347">
            <a:extLst>
              <a:ext uri="{FF2B5EF4-FFF2-40B4-BE49-F238E27FC236}">
                <a16:creationId xmlns:a16="http://schemas.microsoft.com/office/drawing/2014/main" id="{9964EC93-FC8A-4F99-9A1F-EDD8F18E13EC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1" name="Line 348">
            <a:extLst>
              <a:ext uri="{FF2B5EF4-FFF2-40B4-BE49-F238E27FC236}">
                <a16:creationId xmlns:a16="http://schemas.microsoft.com/office/drawing/2014/main" id="{4E4262FA-B637-4A6A-BC9B-C5B915DB73DB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32</xdr:row>
      <xdr:rowOff>104775</xdr:rowOff>
    </xdr:from>
    <xdr:to>
      <xdr:col>10</xdr:col>
      <xdr:colOff>0</xdr:colOff>
      <xdr:row>32</xdr:row>
      <xdr:rowOff>152400</xdr:rowOff>
    </xdr:to>
    <xdr:grpSp>
      <xdr:nvGrpSpPr>
        <xdr:cNvPr id="202" name="Group 455">
          <a:extLst>
            <a:ext uri="{FF2B5EF4-FFF2-40B4-BE49-F238E27FC236}">
              <a16:creationId xmlns:a16="http://schemas.microsoft.com/office/drawing/2014/main" id="{FDA2FA7E-BC80-4233-9200-B0FADCE93E64}"/>
            </a:ext>
          </a:extLst>
        </xdr:cNvPr>
        <xdr:cNvGrpSpPr>
          <a:grpSpLocks/>
        </xdr:cNvGrpSpPr>
      </xdr:nvGrpSpPr>
      <xdr:grpSpPr bwMode="auto">
        <a:xfrm flipV="1">
          <a:off x="14354175" y="5895975"/>
          <a:ext cx="0" cy="47625"/>
          <a:chOff x="454" y="139"/>
          <a:chExt cx="519" cy="0"/>
        </a:xfrm>
      </xdr:grpSpPr>
      <xdr:sp macro="" textlink="">
        <xdr:nvSpPr>
          <xdr:cNvPr id="203" name="Line 456">
            <a:extLst>
              <a:ext uri="{FF2B5EF4-FFF2-40B4-BE49-F238E27FC236}">
                <a16:creationId xmlns:a16="http://schemas.microsoft.com/office/drawing/2014/main" id="{DD7E1590-458B-483B-B796-B48EFB7C95D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4" name="Line 457">
            <a:extLst>
              <a:ext uri="{FF2B5EF4-FFF2-40B4-BE49-F238E27FC236}">
                <a16:creationId xmlns:a16="http://schemas.microsoft.com/office/drawing/2014/main" id="{4F913F98-BB24-409E-B097-E30E97504352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5" name="Line 458">
            <a:extLst>
              <a:ext uri="{FF2B5EF4-FFF2-40B4-BE49-F238E27FC236}">
                <a16:creationId xmlns:a16="http://schemas.microsoft.com/office/drawing/2014/main" id="{4BA570F4-E602-4E35-84D9-C967AA35229C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6" name="Line 459">
            <a:extLst>
              <a:ext uri="{FF2B5EF4-FFF2-40B4-BE49-F238E27FC236}">
                <a16:creationId xmlns:a16="http://schemas.microsoft.com/office/drawing/2014/main" id="{6B0F3598-DFC9-451F-ACAA-43817EB4AD5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32</xdr:row>
      <xdr:rowOff>104775</xdr:rowOff>
    </xdr:from>
    <xdr:to>
      <xdr:col>2</xdr:col>
      <xdr:colOff>0</xdr:colOff>
      <xdr:row>32</xdr:row>
      <xdr:rowOff>152400</xdr:rowOff>
    </xdr:to>
    <xdr:grpSp>
      <xdr:nvGrpSpPr>
        <xdr:cNvPr id="207" name="Group 520">
          <a:extLst>
            <a:ext uri="{FF2B5EF4-FFF2-40B4-BE49-F238E27FC236}">
              <a16:creationId xmlns:a16="http://schemas.microsoft.com/office/drawing/2014/main" id="{C8848301-0615-42C8-90E7-7EDC95F5610A}"/>
            </a:ext>
          </a:extLst>
        </xdr:cNvPr>
        <xdr:cNvGrpSpPr>
          <a:grpSpLocks/>
        </xdr:cNvGrpSpPr>
      </xdr:nvGrpSpPr>
      <xdr:grpSpPr bwMode="auto">
        <a:xfrm flipV="1">
          <a:off x="4086225" y="5895975"/>
          <a:ext cx="0" cy="47625"/>
          <a:chOff x="454" y="139"/>
          <a:chExt cx="519" cy="0"/>
        </a:xfrm>
      </xdr:grpSpPr>
      <xdr:sp macro="" textlink="">
        <xdr:nvSpPr>
          <xdr:cNvPr id="208" name="Line 521">
            <a:extLst>
              <a:ext uri="{FF2B5EF4-FFF2-40B4-BE49-F238E27FC236}">
                <a16:creationId xmlns:a16="http://schemas.microsoft.com/office/drawing/2014/main" id="{CEF5BE66-B08D-4D0E-97C4-EFC821A95B12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09" name="Line 522">
            <a:extLst>
              <a:ext uri="{FF2B5EF4-FFF2-40B4-BE49-F238E27FC236}">
                <a16:creationId xmlns:a16="http://schemas.microsoft.com/office/drawing/2014/main" id="{1859CB04-D039-4DDD-98FF-7C93FD7C963A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0" name="Line 523">
            <a:extLst>
              <a:ext uri="{FF2B5EF4-FFF2-40B4-BE49-F238E27FC236}">
                <a16:creationId xmlns:a16="http://schemas.microsoft.com/office/drawing/2014/main" id="{C7DBA691-2562-4313-9D08-50FAFAE09C3D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1" name="Line 524">
            <a:extLst>
              <a:ext uri="{FF2B5EF4-FFF2-40B4-BE49-F238E27FC236}">
                <a16:creationId xmlns:a16="http://schemas.microsoft.com/office/drawing/2014/main" id="{F03E77A7-3029-4697-8A3A-D4899ABEB5A3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32</xdr:row>
      <xdr:rowOff>104775</xdr:rowOff>
    </xdr:from>
    <xdr:to>
      <xdr:col>2</xdr:col>
      <xdr:colOff>0</xdr:colOff>
      <xdr:row>32</xdr:row>
      <xdr:rowOff>152400</xdr:rowOff>
    </xdr:to>
    <xdr:grpSp>
      <xdr:nvGrpSpPr>
        <xdr:cNvPr id="212" name="Group 525">
          <a:extLst>
            <a:ext uri="{FF2B5EF4-FFF2-40B4-BE49-F238E27FC236}">
              <a16:creationId xmlns:a16="http://schemas.microsoft.com/office/drawing/2014/main" id="{EC1EB8A3-29CC-4D67-8C6F-A16D2FA2361D}"/>
            </a:ext>
          </a:extLst>
        </xdr:cNvPr>
        <xdr:cNvGrpSpPr>
          <a:grpSpLocks/>
        </xdr:cNvGrpSpPr>
      </xdr:nvGrpSpPr>
      <xdr:grpSpPr bwMode="auto">
        <a:xfrm flipV="1">
          <a:off x="4086225" y="5895975"/>
          <a:ext cx="0" cy="47625"/>
          <a:chOff x="454" y="139"/>
          <a:chExt cx="519" cy="0"/>
        </a:xfrm>
      </xdr:grpSpPr>
      <xdr:sp macro="" textlink="">
        <xdr:nvSpPr>
          <xdr:cNvPr id="213" name="Line 526">
            <a:extLst>
              <a:ext uri="{FF2B5EF4-FFF2-40B4-BE49-F238E27FC236}">
                <a16:creationId xmlns:a16="http://schemas.microsoft.com/office/drawing/2014/main" id="{215B4344-2885-4712-AAF9-24C89D46D804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4" name="Line 527">
            <a:extLst>
              <a:ext uri="{FF2B5EF4-FFF2-40B4-BE49-F238E27FC236}">
                <a16:creationId xmlns:a16="http://schemas.microsoft.com/office/drawing/2014/main" id="{FE309336-378B-4C8B-AF73-832DC986C351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5" name="Line 528">
            <a:extLst>
              <a:ext uri="{FF2B5EF4-FFF2-40B4-BE49-F238E27FC236}">
                <a16:creationId xmlns:a16="http://schemas.microsoft.com/office/drawing/2014/main" id="{448CF3A3-5C2D-4E09-8EBB-E7848C0A14FF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6" name="Line 529">
            <a:extLst>
              <a:ext uri="{FF2B5EF4-FFF2-40B4-BE49-F238E27FC236}">
                <a16:creationId xmlns:a16="http://schemas.microsoft.com/office/drawing/2014/main" id="{579AFB74-3810-40F8-A537-931086389EEB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35</xdr:row>
      <xdr:rowOff>104775</xdr:rowOff>
    </xdr:from>
    <xdr:to>
      <xdr:col>4</xdr:col>
      <xdr:colOff>0</xdr:colOff>
      <xdr:row>35</xdr:row>
      <xdr:rowOff>152400</xdr:rowOff>
    </xdr:to>
    <xdr:grpSp>
      <xdr:nvGrpSpPr>
        <xdr:cNvPr id="242" name="Group 339">
          <a:extLst>
            <a:ext uri="{FF2B5EF4-FFF2-40B4-BE49-F238E27FC236}">
              <a16:creationId xmlns:a16="http://schemas.microsoft.com/office/drawing/2014/main" id="{D4DC6618-D2B5-4CE8-A7CC-28FD75037941}"/>
            </a:ext>
          </a:extLst>
        </xdr:cNvPr>
        <xdr:cNvGrpSpPr>
          <a:grpSpLocks/>
        </xdr:cNvGrpSpPr>
      </xdr:nvGrpSpPr>
      <xdr:grpSpPr bwMode="auto">
        <a:xfrm flipV="1">
          <a:off x="6581775" y="6438900"/>
          <a:ext cx="0" cy="47625"/>
          <a:chOff x="454" y="139"/>
          <a:chExt cx="519" cy="0"/>
        </a:xfrm>
      </xdr:grpSpPr>
      <xdr:sp macro="" textlink="">
        <xdr:nvSpPr>
          <xdr:cNvPr id="243" name="Line 340">
            <a:extLst>
              <a:ext uri="{FF2B5EF4-FFF2-40B4-BE49-F238E27FC236}">
                <a16:creationId xmlns:a16="http://schemas.microsoft.com/office/drawing/2014/main" id="{EB404E26-1D02-44C1-AD8E-7A5F874C0835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4" name="Line 341">
            <a:extLst>
              <a:ext uri="{FF2B5EF4-FFF2-40B4-BE49-F238E27FC236}">
                <a16:creationId xmlns:a16="http://schemas.microsoft.com/office/drawing/2014/main" id="{909646D8-C25A-4994-8086-1EBC1643B071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5" name="Line 342">
            <a:extLst>
              <a:ext uri="{FF2B5EF4-FFF2-40B4-BE49-F238E27FC236}">
                <a16:creationId xmlns:a16="http://schemas.microsoft.com/office/drawing/2014/main" id="{36831195-ED44-40DD-92FE-04A7040DD446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6" name="Line 343">
            <a:extLst>
              <a:ext uri="{FF2B5EF4-FFF2-40B4-BE49-F238E27FC236}">
                <a16:creationId xmlns:a16="http://schemas.microsoft.com/office/drawing/2014/main" id="{514E8FD5-20AE-4272-8C0A-EA51FE63B30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35</xdr:row>
      <xdr:rowOff>104775</xdr:rowOff>
    </xdr:from>
    <xdr:to>
      <xdr:col>4</xdr:col>
      <xdr:colOff>0</xdr:colOff>
      <xdr:row>35</xdr:row>
      <xdr:rowOff>152400</xdr:rowOff>
    </xdr:to>
    <xdr:grpSp>
      <xdr:nvGrpSpPr>
        <xdr:cNvPr id="247" name="Group 344">
          <a:extLst>
            <a:ext uri="{FF2B5EF4-FFF2-40B4-BE49-F238E27FC236}">
              <a16:creationId xmlns:a16="http://schemas.microsoft.com/office/drawing/2014/main" id="{79714036-771A-4182-A8CC-2C6D7E1C8D07}"/>
            </a:ext>
          </a:extLst>
        </xdr:cNvPr>
        <xdr:cNvGrpSpPr>
          <a:grpSpLocks/>
        </xdr:cNvGrpSpPr>
      </xdr:nvGrpSpPr>
      <xdr:grpSpPr bwMode="auto">
        <a:xfrm flipV="1">
          <a:off x="6581775" y="6438900"/>
          <a:ext cx="0" cy="47625"/>
          <a:chOff x="454" y="139"/>
          <a:chExt cx="519" cy="0"/>
        </a:xfrm>
      </xdr:grpSpPr>
      <xdr:sp macro="" textlink="">
        <xdr:nvSpPr>
          <xdr:cNvPr id="248" name="Line 345">
            <a:extLst>
              <a:ext uri="{FF2B5EF4-FFF2-40B4-BE49-F238E27FC236}">
                <a16:creationId xmlns:a16="http://schemas.microsoft.com/office/drawing/2014/main" id="{5DBE151B-933F-4190-BDC0-C76B3D80C95D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9" name="Line 346">
            <a:extLst>
              <a:ext uri="{FF2B5EF4-FFF2-40B4-BE49-F238E27FC236}">
                <a16:creationId xmlns:a16="http://schemas.microsoft.com/office/drawing/2014/main" id="{B84333E0-DEDF-4275-8DA6-7A97E585931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0" name="Line 347">
            <a:extLst>
              <a:ext uri="{FF2B5EF4-FFF2-40B4-BE49-F238E27FC236}">
                <a16:creationId xmlns:a16="http://schemas.microsoft.com/office/drawing/2014/main" id="{6A3DC0ED-E1F6-4227-8195-EAA4205DBDEE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1" name="Line 348">
            <a:extLst>
              <a:ext uri="{FF2B5EF4-FFF2-40B4-BE49-F238E27FC236}">
                <a16:creationId xmlns:a16="http://schemas.microsoft.com/office/drawing/2014/main" id="{DC15F938-5C8A-4DD5-A402-B0389159A6CB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35</xdr:row>
      <xdr:rowOff>104775</xdr:rowOff>
    </xdr:from>
    <xdr:to>
      <xdr:col>10</xdr:col>
      <xdr:colOff>0</xdr:colOff>
      <xdr:row>35</xdr:row>
      <xdr:rowOff>152400</xdr:rowOff>
    </xdr:to>
    <xdr:grpSp>
      <xdr:nvGrpSpPr>
        <xdr:cNvPr id="252" name="Group 455">
          <a:extLst>
            <a:ext uri="{FF2B5EF4-FFF2-40B4-BE49-F238E27FC236}">
              <a16:creationId xmlns:a16="http://schemas.microsoft.com/office/drawing/2014/main" id="{1F4BA669-9BA2-4857-BB0E-CD9006D99BA2}"/>
            </a:ext>
          </a:extLst>
        </xdr:cNvPr>
        <xdr:cNvGrpSpPr>
          <a:grpSpLocks/>
        </xdr:cNvGrpSpPr>
      </xdr:nvGrpSpPr>
      <xdr:grpSpPr bwMode="auto">
        <a:xfrm flipV="1">
          <a:off x="14354175" y="6438900"/>
          <a:ext cx="0" cy="47625"/>
          <a:chOff x="454" y="139"/>
          <a:chExt cx="519" cy="0"/>
        </a:xfrm>
      </xdr:grpSpPr>
      <xdr:sp macro="" textlink="">
        <xdr:nvSpPr>
          <xdr:cNvPr id="253" name="Line 456">
            <a:extLst>
              <a:ext uri="{FF2B5EF4-FFF2-40B4-BE49-F238E27FC236}">
                <a16:creationId xmlns:a16="http://schemas.microsoft.com/office/drawing/2014/main" id="{C866094D-2268-41FC-B86E-E766EF4CFA7F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4" name="Line 457">
            <a:extLst>
              <a:ext uri="{FF2B5EF4-FFF2-40B4-BE49-F238E27FC236}">
                <a16:creationId xmlns:a16="http://schemas.microsoft.com/office/drawing/2014/main" id="{CCC3AFD1-2026-4755-AC98-CC12D963EE5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5" name="Line 458">
            <a:extLst>
              <a:ext uri="{FF2B5EF4-FFF2-40B4-BE49-F238E27FC236}">
                <a16:creationId xmlns:a16="http://schemas.microsoft.com/office/drawing/2014/main" id="{6D684BBB-DBCB-461A-8756-0F86FC3F1EC0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6" name="Line 459">
            <a:extLst>
              <a:ext uri="{FF2B5EF4-FFF2-40B4-BE49-F238E27FC236}">
                <a16:creationId xmlns:a16="http://schemas.microsoft.com/office/drawing/2014/main" id="{DFE1C8D4-CA44-46A2-8546-9C4F5FBCD28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35</xdr:row>
      <xdr:rowOff>104775</xdr:rowOff>
    </xdr:from>
    <xdr:to>
      <xdr:col>2</xdr:col>
      <xdr:colOff>0</xdr:colOff>
      <xdr:row>35</xdr:row>
      <xdr:rowOff>152400</xdr:rowOff>
    </xdr:to>
    <xdr:grpSp>
      <xdr:nvGrpSpPr>
        <xdr:cNvPr id="257" name="Group 520">
          <a:extLst>
            <a:ext uri="{FF2B5EF4-FFF2-40B4-BE49-F238E27FC236}">
              <a16:creationId xmlns:a16="http://schemas.microsoft.com/office/drawing/2014/main" id="{78A00190-A9B0-4615-91D7-876E8D63AD2F}"/>
            </a:ext>
          </a:extLst>
        </xdr:cNvPr>
        <xdr:cNvGrpSpPr>
          <a:grpSpLocks/>
        </xdr:cNvGrpSpPr>
      </xdr:nvGrpSpPr>
      <xdr:grpSpPr bwMode="auto">
        <a:xfrm flipV="1">
          <a:off x="4086225" y="6438900"/>
          <a:ext cx="0" cy="47625"/>
          <a:chOff x="454" y="139"/>
          <a:chExt cx="519" cy="0"/>
        </a:xfrm>
      </xdr:grpSpPr>
      <xdr:sp macro="" textlink="">
        <xdr:nvSpPr>
          <xdr:cNvPr id="258" name="Line 521">
            <a:extLst>
              <a:ext uri="{FF2B5EF4-FFF2-40B4-BE49-F238E27FC236}">
                <a16:creationId xmlns:a16="http://schemas.microsoft.com/office/drawing/2014/main" id="{9844EBEE-7794-4F03-8123-7BE6B3DAE9BB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9" name="Line 522">
            <a:extLst>
              <a:ext uri="{FF2B5EF4-FFF2-40B4-BE49-F238E27FC236}">
                <a16:creationId xmlns:a16="http://schemas.microsoft.com/office/drawing/2014/main" id="{F9FE6D42-27EB-4D9E-A81B-F7CFA5AAA919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0" name="Line 523">
            <a:extLst>
              <a:ext uri="{FF2B5EF4-FFF2-40B4-BE49-F238E27FC236}">
                <a16:creationId xmlns:a16="http://schemas.microsoft.com/office/drawing/2014/main" id="{4D8299B0-AA21-4B1D-94BA-B53F588658A7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1" name="Line 524">
            <a:extLst>
              <a:ext uri="{FF2B5EF4-FFF2-40B4-BE49-F238E27FC236}">
                <a16:creationId xmlns:a16="http://schemas.microsoft.com/office/drawing/2014/main" id="{10A487E9-FF65-4868-812F-E03235A7D8F9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35</xdr:row>
      <xdr:rowOff>104775</xdr:rowOff>
    </xdr:from>
    <xdr:to>
      <xdr:col>2</xdr:col>
      <xdr:colOff>0</xdr:colOff>
      <xdr:row>35</xdr:row>
      <xdr:rowOff>152400</xdr:rowOff>
    </xdr:to>
    <xdr:grpSp>
      <xdr:nvGrpSpPr>
        <xdr:cNvPr id="262" name="Group 525">
          <a:extLst>
            <a:ext uri="{FF2B5EF4-FFF2-40B4-BE49-F238E27FC236}">
              <a16:creationId xmlns:a16="http://schemas.microsoft.com/office/drawing/2014/main" id="{7B632EA0-DE76-4A88-9547-025418C4F8FD}"/>
            </a:ext>
          </a:extLst>
        </xdr:cNvPr>
        <xdr:cNvGrpSpPr>
          <a:grpSpLocks/>
        </xdr:cNvGrpSpPr>
      </xdr:nvGrpSpPr>
      <xdr:grpSpPr bwMode="auto">
        <a:xfrm flipV="1">
          <a:off x="4086225" y="6438900"/>
          <a:ext cx="0" cy="47625"/>
          <a:chOff x="454" y="139"/>
          <a:chExt cx="519" cy="0"/>
        </a:xfrm>
      </xdr:grpSpPr>
      <xdr:sp macro="" textlink="">
        <xdr:nvSpPr>
          <xdr:cNvPr id="263" name="Line 526">
            <a:extLst>
              <a:ext uri="{FF2B5EF4-FFF2-40B4-BE49-F238E27FC236}">
                <a16:creationId xmlns:a16="http://schemas.microsoft.com/office/drawing/2014/main" id="{48630D0D-2B18-4667-8C6D-0CA6913FD7B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4" name="Line 527">
            <a:extLst>
              <a:ext uri="{FF2B5EF4-FFF2-40B4-BE49-F238E27FC236}">
                <a16:creationId xmlns:a16="http://schemas.microsoft.com/office/drawing/2014/main" id="{ADEC5846-1A1F-4E1E-AC05-2D3889D8090C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5" name="Line 528">
            <a:extLst>
              <a:ext uri="{FF2B5EF4-FFF2-40B4-BE49-F238E27FC236}">
                <a16:creationId xmlns:a16="http://schemas.microsoft.com/office/drawing/2014/main" id="{D32AFEFC-407D-4C7C-9791-92C1BDC0BF5B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6" name="Line 529">
            <a:extLst>
              <a:ext uri="{FF2B5EF4-FFF2-40B4-BE49-F238E27FC236}">
                <a16:creationId xmlns:a16="http://schemas.microsoft.com/office/drawing/2014/main" id="{C3B37515-FC99-4ADB-A51A-B2C31652940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38</xdr:row>
      <xdr:rowOff>104775</xdr:rowOff>
    </xdr:from>
    <xdr:to>
      <xdr:col>4</xdr:col>
      <xdr:colOff>0</xdr:colOff>
      <xdr:row>38</xdr:row>
      <xdr:rowOff>152400</xdr:rowOff>
    </xdr:to>
    <xdr:grpSp>
      <xdr:nvGrpSpPr>
        <xdr:cNvPr id="267" name="Group 339">
          <a:extLst>
            <a:ext uri="{FF2B5EF4-FFF2-40B4-BE49-F238E27FC236}">
              <a16:creationId xmlns:a16="http://schemas.microsoft.com/office/drawing/2014/main" id="{2B919870-A930-4049-8B43-27F4DE0CD0E1}"/>
            </a:ext>
          </a:extLst>
        </xdr:cNvPr>
        <xdr:cNvGrpSpPr>
          <a:grpSpLocks/>
        </xdr:cNvGrpSpPr>
      </xdr:nvGrpSpPr>
      <xdr:grpSpPr bwMode="auto">
        <a:xfrm flipV="1">
          <a:off x="6581775" y="7172325"/>
          <a:ext cx="0" cy="47625"/>
          <a:chOff x="454" y="139"/>
          <a:chExt cx="519" cy="0"/>
        </a:xfrm>
      </xdr:grpSpPr>
      <xdr:sp macro="" textlink="">
        <xdr:nvSpPr>
          <xdr:cNvPr id="268" name="Line 340">
            <a:extLst>
              <a:ext uri="{FF2B5EF4-FFF2-40B4-BE49-F238E27FC236}">
                <a16:creationId xmlns:a16="http://schemas.microsoft.com/office/drawing/2014/main" id="{6920EABE-C4A0-4DB9-B8A3-D763A7590678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69" name="Line 341">
            <a:extLst>
              <a:ext uri="{FF2B5EF4-FFF2-40B4-BE49-F238E27FC236}">
                <a16:creationId xmlns:a16="http://schemas.microsoft.com/office/drawing/2014/main" id="{1A4B92DC-C572-4868-B27A-C17F20EF9B39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0" name="Line 342">
            <a:extLst>
              <a:ext uri="{FF2B5EF4-FFF2-40B4-BE49-F238E27FC236}">
                <a16:creationId xmlns:a16="http://schemas.microsoft.com/office/drawing/2014/main" id="{42251854-431C-4791-888C-810393DFA033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1" name="Line 343">
            <a:extLst>
              <a:ext uri="{FF2B5EF4-FFF2-40B4-BE49-F238E27FC236}">
                <a16:creationId xmlns:a16="http://schemas.microsoft.com/office/drawing/2014/main" id="{BFB622A5-841E-4C64-83FC-CF2FE4EE651F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38</xdr:row>
      <xdr:rowOff>104775</xdr:rowOff>
    </xdr:from>
    <xdr:to>
      <xdr:col>4</xdr:col>
      <xdr:colOff>0</xdr:colOff>
      <xdr:row>38</xdr:row>
      <xdr:rowOff>152400</xdr:rowOff>
    </xdr:to>
    <xdr:grpSp>
      <xdr:nvGrpSpPr>
        <xdr:cNvPr id="272" name="Group 344">
          <a:extLst>
            <a:ext uri="{FF2B5EF4-FFF2-40B4-BE49-F238E27FC236}">
              <a16:creationId xmlns:a16="http://schemas.microsoft.com/office/drawing/2014/main" id="{39C92AB1-66F0-43ED-8AD7-C9E9E8041535}"/>
            </a:ext>
          </a:extLst>
        </xdr:cNvPr>
        <xdr:cNvGrpSpPr>
          <a:grpSpLocks/>
        </xdr:cNvGrpSpPr>
      </xdr:nvGrpSpPr>
      <xdr:grpSpPr bwMode="auto">
        <a:xfrm flipV="1">
          <a:off x="6581775" y="7172325"/>
          <a:ext cx="0" cy="47625"/>
          <a:chOff x="454" y="139"/>
          <a:chExt cx="519" cy="0"/>
        </a:xfrm>
      </xdr:grpSpPr>
      <xdr:sp macro="" textlink="">
        <xdr:nvSpPr>
          <xdr:cNvPr id="273" name="Line 345">
            <a:extLst>
              <a:ext uri="{FF2B5EF4-FFF2-40B4-BE49-F238E27FC236}">
                <a16:creationId xmlns:a16="http://schemas.microsoft.com/office/drawing/2014/main" id="{0EC8B8E6-0C18-48A5-A4BE-43E95EE3DC64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4" name="Line 346">
            <a:extLst>
              <a:ext uri="{FF2B5EF4-FFF2-40B4-BE49-F238E27FC236}">
                <a16:creationId xmlns:a16="http://schemas.microsoft.com/office/drawing/2014/main" id="{662D4678-5074-43CB-B9CA-87C15390A2F9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5" name="Line 347">
            <a:extLst>
              <a:ext uri="{FF2B5EF4-FFF2-40B4-BE49-F238E27FC236}">
                <a16:creationId xmlns:a16="http://schemas.microsoft.com/office/drawing/2014/main" id="{2F57AC18-782B-4893-A4E2-8E9FEF81EEB2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6" name="Line 348">
            <a:extLst>
              <a:ext uri="{FF2B5EF4-FFF2-40B4-BE49-F238E27FC236}">
                <a16:creationId xmlns:a16="http://schemas.microsoft.com/office/drawing/2014/main" id="{3B2CA3A1-A380-4CE9-9BBA-ABF511BD6157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38</xdr:row>
      <xdr:rowOff>104775</xdr:rowOff>
    </xdr:from>
    <xdr:to>
      <xdr:col>2</xdr:col>
      <xdr:colOff>0</xdr:colOff>
      <xdr:row>38</xdr:row>
      <xdr:rowOff>152400</xdr:rowOff>
    </xdr:to>
    <xdr:grpSp>
      <xdr:nvGrpSpPr>
        <xdr:cNvPr id="277" name="Group 520">
          <a:extLst>
            <a:ext uri="{FF2B5EF4-FFF2-40B4-BE49-F238E27FC236}">
              <a16:creationId xmlns:a16="http://schemas.microsoft.com/office/drawing/2014/main" id="{91C8170F-6A60-4BFF-A6BB-4BECE9825235}"/>
            </a:ext>
          </a:extLst>
        </xdr:cNvPr>
        <xdr:cNvGrpSpPr>
          <a:grpSpLocks/>
        </xdr:cNvGrpSpPr>
      </xdr:nvGrpSpPr>
      <xdr:grpSpPr bwMode="auto">
        <a:xfrm flipV="1">
          <a:off x="4086225" y="7172325"/>
          <a:ext cx="0" cy="47625"/>
          <a:chOff x="454" y="139"/>
          <a:chExt cx="519" cy="0"/>
        </a:xfrm>
      </xdr:grpSpPr>
      <xdr:sp macro="" textlink="">
        <xdr:nvSpPr>
          <xdr:cNvPr id="278" name="Line 521">
            <a:extLst>
              <a:ext uri="{FF2B5EF4-FFF2-40B4-BE49-F238E27FC236}">
                <a16:creationId xmlns:a16="http://schemas.microsoft.com/office/drawing/2014/main" id="{A2064B99-927E-4C36-9346-4F95AC097482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79" name="Line 522">
            <a:extLst>
              <a:ext uri="{FF2B5EF4-FFF2-40B4-BE49-F238E27FC236}">
                <a16:creationId xmlns:a16="http://schemas.microsoft.com/office/drawing/2014/main" id="{BD3239D4-C723-44A0-B1AA-9191F4E6955E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0" name="Line 523">
            <a:extLst>
              <a:ext uri="{FF2B5EF4-FFF2-40B4-BE49-F238E27FC236}">
                <a16:creationId xmlns:a16="http://schemas.microsoft.com/office/drawing/2014/main" id="{0921D265-0F93-45EE-9D3E-1F002CDAF271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1" name="Line 524">
            <a:extLst>
              <a:ext uri="{FF2B5EF4-FFF2-40B4-BE49-F238E27FC236}">
                <a16:creationId xmlns:a16="http://schemas.microsoft.com/office/drawing/2014/main" id="{C1CB0D26-870E-4DC1-AC50-5831F47EDB13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38</xdr:row>
      <xdr:rowOff>104775</xdr:rowOff>
    </xdr:from>
    <xdr:to>
      <xdr:col>2</xdr:col>
      <xdr:colOff>0</xdr:colOff>
      <xdr:row>38</xdr:row>
      <xdr:rowOff>152400</xdr:rowOff>
    </xdr:to>
    <xdr:grpSp>
      <xdr:nvGrpSpPr>
        <xdr:cNvPr id="282" name="Group 525">
          <a:extLst>
            <a:ext uri="{FF2B5EF4-FFF2-40B4-BE49-F238E27FC236}">
              <a16:creationId xmlns:a16="http://schemas.microsoft.com/office/drawing/2014/main" id="{13687C32-0D00-4863-B1FE-DE055B7D5A22}"/>
            </a:ext>
          </a:extLst>
        </xdr:cNvPr>
        <xdr:cNvGrpSpPr>
          <a:grpSpLocks/>
        </xdr:cNvGrpSpPr>
      </xdr:nvGrpSpPr>
      <xdr:grpSpPr bwMode="auto">
        <a:xfrm flipV="1">
          <a:off x="4086225" y="7172325"/>
          <a:ext cx="0" cy="47625"/>
          <a:chOff x="454" y="139"/>
          <a:chExt cx="519" cy="0"/>
        </a:xfrm>
      </xdr:grpSpPr>
      <xdr:sp macro="" textlink="">
        <xdr:nvSpPr>
          <xdr:cNvPr id="283" name="Line 526">
            <a:extLst>
              <a:ext uri="{FF2B5EF4-FFF2-40B4-BE49-F238E27FC236}">
                <a16:creationId xmlns:a16="http://schemas.microsoft.com/office/drawing/2014/main" id="{238E3E00-2622-4007-84F6-5906DAFC6D6C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4" name="Line 527">
            <a:extLst>
              <a:ext uri="{FF2B5EF4-FFF2-40B4-BE49-F238E27FC236}">
                <a16:creationId xmlns:a16="http://schemas.microsoft.com/office/drawing/2014/main" id="{3ADA52F5-3119-4908-9A30-3CE3EF36747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5" name="Line 528">
            <a:extLst>
              <a:ext uri="{FF2B5EF4-FFF2-40B4-BE49-F238E27FC236}">
                <a16:creationId xmlns:a16="http://schemas.microsoft.com/office/drawing/2014/main" id="{22ABF6D9-6D70-4B87-8B1D-2F1F95BF1BFB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6" name="Line 529">
            <a:extLst>
              <a:ext uri="{FF2B5EF4-FFF2-40B4-BE49-F238E27FC236}">
                <a16:creationId xmlns:a16="http://schemas.microsoft.com/office/drawing/2014/main" id="{88238CD2-8EC4-45B0-814C-37AA85D9A144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41</xdr:row>
      <xdr:rowOff>85725</xdr:rowOff>
    </xdr:from>
    <xdr:to>
      <xdr:col>4</xdr:col>
      <xdr:colOff>0</xdr:colOff>
      <xdr:row>41</xdr:row>
      <xdr:rowOff>114300</xdr:rowOff>
    </xdr:to>
    <xdr:grpSp>
      <xdr:nvGrpSpPr>
        <xdr:cNvPr id="317" name="Group 430">
          <a:extLst>
            <a:ext uri="{FF2B5EF4-FFF2-40B4-BE49-F238E27FC236}">
              <a16:creationId xmlns:a16="http://schemas.microsoft.com/office/drawing/2014/main" id="{18FDAD7A-F341-4967-8116-4A4EA388267D}"/>
            </a:ext>
          </a:extLst>
        </xdr:cNvPr>
        <xdr:cNvGrpSpPr>
          <a:grpSpLocks/>
        </xdr:cNvGrpSpPr>
      </xdr:nvGrpSpPr>
      <xdr:grpSpPr bwMode="auto">
        <a:xfrm>
          <a:off x="6581775" y="7886700"/>
          <a:ext cx="0" cy="28575"/>
          <a:chOff x="454" y="139"/>
          <a:chExt cx="519" cy="0"/>
        </a:xfrm>
      </xdr:grpSpPr>
      <xdr:sp macro="" textlink="">
        <xdr:nvSpPr>
          <xdr:cNvPr id="318" name="Line 431">
            <a:extLst>
              <a:ext uri="{FF2B5EF4-FFF2-40B4-BE49-F238E27FC236}">
                <a16:creationId xmlns:a16="http://schemas.microsoft.com/office/drawing/2014/main" id="{A5283767-61AB-44E3-8ADE-7D98A1D36733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9" name="Line 432">
            <a:extLst>
              <a:ext uri="{FF2B5EF4-FFF2-40B4-BE49-F238E27FC236}">
                <a16:creationId xmlns:a16="http://schemas.microsoft.com/office/drawing/2014/main" id="{C0001281-4256-463F-A192-69C890B6B4B7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0" name="Line 433">
            <a:extLst>
              <a:ext uri="{FF2B5EF4-FFF2-40B4-BE49-F238E27FC236}">
                <a16:creationId xmlns:a16="http://schemas.microsoft.com/office/drawing/2014/main" id="{19539034-41BC-46F8-BD3E-EA1D121D7626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" name="Line 434">
            <a:extLst>
              <a:ext uri="{FF2B5EF4-FFF2-40B4-BE49-F238E27FC236}">
                <a16:creationId xmlns:a16="http://schemas.microsoft.com/office/drawing/2014/main" id="{5048B2BC-901F-492E-A150-65368860611D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41</xdr:row>
      <xdr:rowOff>85725</xdr:rowOff>
    </xdr:from>
    <xdr:to>
      <xdr:col>10</xdr:col>
      <xdr:colOff>0</xdr:colOff>
      <xdr:row>41</xdr:row>
      <xdr:rowOff>114300</xdr:rowOff>
    </xdr:to>
    <xdr:grpSp>
      <xdr:nvGrpSpPr>
        <xdr:cNvPr id="322" name="Group 440">
          <a:extLst>
            <a:ext uri="{FF2B5EF4-FFF2-40B4-BE49-F238E27FC236}">
              <a16:creationId xmlns:a16="http://schemas.microsoft.com/office/drawing/2014/main" id="{155FC359-7EBC-4D8F-A197-B7CB61460253}"/>
            </a:ext>
          </a:extLst>
        </xdr:cNvPr>
        <xdr:cNvGrpSpPr>
          <a:grpSpLocks/>
        </xdr:cNvGrpSpPr>
      </xdr:nvGrpSpPr>
      <xdr:grpSpPr bwMode="auto">
        <a:xfrm>
          <a:off x="14354175" y="7886700"/>
          <a:ext cx="0" cy="28575"/>
          <a:chOff x="454" y="139"/>
          <a:chExt cx="519" cy="0"/>
        </a:xfrm>
      </xdr:grpSpPr>
      <xdr:sp macro="" textlink="">
        <xdr:nvSpPr>
          <xdr:cNvPr id="323" name="Line 441">
            <a:extLst>
              <a:ext uri="{FF2B5EF4-FFF2-40B4-BE49-F238E27FC236}">
                <a16:creationId xmlns:a16="http://schemas.microsoft.com/office/drawing/2014/main" id="{07AF5B1E-A55A-454E-A5C8-BE6A97505D93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4" name="Line 442">
            <a:extLst>
              <a:ext uri="{FF2B5EF4-FFF2-40B4-BE49-F238E27FC236}">
                <a16:creationId xmlns:a16="http://schemas.microsoft.com/office/drawing/2014/main" id="{45CC2300-F7F8-4B37-A762-969A6CFF4A15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5" name="Line 443">
            <a:extLst>
              <a:ext uri="{FF2B5EF4-FFF2-40B4-BE49-F238E27FC236}">
                <a16:creationId xmlns:a16="http://schemas.microsoft.com/office/drawing/2014/main" id="{CCB3D4E1-FA88-4CD1-9C9D-746C5BDDF52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6" name="Line 444">
            <a:extLst>
              <a:ext uri="{FF2B5EF4-FFF2-40B4-BE49-F238E27FC236}">
                <a16:creationId xmlns:a16="http://schemas.microsoft.com/office/drawing/2014/main" id="{6F245A91-8FA7-40B8-99F3-F7507DD2DF0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41</xdr:row>
      <xdr:rowOff>57150</xdr:rowOff>
    </xdr:from>
    <xdr:to>
      <xdr:col>10</xdr:col>
      <xdr:colOff>0</xdr:colOff>
      <xdr:row>41</xdr:row>
      <xdr:rowOff>85725</xdr:rowOff>
    </xdr:to>
    <xdr:grpSp>
      <xdr:nvGrpSpPr>
        <xdr:cNvPr id="327" name="Group 490">
          <a:extLst>
            <a:ext uri="{FF2B5EF4-FFF2-40B4-BE49-F238E27FC236}">
              <a16:creationId xmlns:a16="http://schemas.microsoft.com/office/drawing/2014/main" id="{AABA2BE2-5FA4-4F0B-B260-18328425F706}"/>
            </a:ext>
          </a:extLst>
        </xdr:cNvPr>
        <xdr:cNvGrpSpPr>
          <a:grpSpLocks/>
        </xdr:cNvGrpSpPr>
      </xdr:nvGrpSpPr>
      <xdr:grpSpPr bwMode="auto">
        <a:xfrm flipV="1">
          <a:off x="14354175" y="7858125"/>
          <a:ext cx="0" cy="28575"/>
          <a:chOff x="454" y="139"/>
          <a:chExt cx="519" cy="0"/>
        </a:xfrm>
      </xdr:grpSpPr>
      <xdr:sp macro="" textlink="">
        <xdr:nvSpPr>
          <xdr:cNvPr id="328" name="Line 491">
            <a:extLst>
              <a:ext uri="{FF2B5EF4-FFF2-40B4-BE49-F238E27FC236}">
                <a16:creationId xmlns:a16="http://schemas.microsoft.com/office/drawing/2014/main" id="{F6391BD0-C68E-4E01-991A-4D3A991A9F69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9" name="Line 492">
            <a:extLst>
              <a:ext uri="{FF2B5EF4-FFF2-40B4-BE49-F238E27FC236}">
                <a16:creationId xmlns:a16="http://schemas.microsoft.com/office/drawing/2014/main" id="{48204B56-8FB2-41CC-B741-8A9A24460892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0" name="Line 493">
            <a:extLst>
              <a:ext uri="{FF2B5EF4-FFF2-40B4-BE49-F238E27FC236}">
                <a16:creationId xmlns:a16="http://schemas.microsoft.com/office/drawing/2014/main" id="{44A22F02-4AA1-461A-80F9-030482D23A8B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1" name="Line 494">
            <a:extLst>
              <a:ext uri="{FF2B5EF4-FFF2-40B4-BE49-F238E27FC236}">
                <a16:creationId xmlns:a16="http://schemas.microsoft.com/office/drawing/2014/main" id="{350B7214-49C3-404A-9888-B803DE928C4B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41</xdr:row>
      <xdr:rowOff>85725</xdr:rowOff>
    </xdr:from>
    <xdr:to>
      <xdr:col>10</xdr:col>
      <xdr:colOff>0</xdr:colOff>
      <xdr:row>41</xdr:row>
      <xdr:rowOff>114300</xdr:rowOff>
    </xdr:to>
    <xdr:grpSp>
      <xdr:nvGrpSpPr>
        <xdr:cNvPr id="332" name="Group 495">
          <a:extLst>
            <a:ext uri="{FF2B5EF4-FFF2-40B4-BE49-F238E27FC236}">
              <a16:creationId xmlns:a16="http://schemas.microsoft.com/office/drawing/2014/main" id="{3B4E5521-1DF1-4863-BA72-07B4C29A4C35}"/>
            </a:ext>
          </a:extLst>
        </xdr:cNvPr>
        <xdr:cNvGrpSpPr>
          <a:grpSpLocks/>
        </xdr:cNvGrpSpPr>
      </xdr:nvGrpSpPr>
      <xdr:grpSpPr bwMode="auto">
        <a:xfrm>
          <a:off x="14354175" y="7886700"/>
          <a:ext cx="0" cy="28575"/>
          <a:chOff x="454" y="139"/>
          <a:chExt cx="519" cy="0"/>
        </a:xfrm>
      </xdr:grpSpPr>
      <xdr:sp macro="" textlink="">
        <xdr:nvSpPr>
          <xdr:cNvPr id="333" name="Line 496">
            <a:extLst>
              <a:ext uri="{FF2B5EF4-FFF2-40B4-BE49-F238E27FC236}">
                <a16:creationId xmlns:a16="http://schemas.microsoft.com/office/drawing/2014/main" id="{5EF312C8-EAC3-4CF6-8105-2C138F8AA310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4" name="Line 497">
            <a:extLst>
              <a:ext uri="{FF2B5EF4-FFF2-40B4-BE49-F238E27FC236}">
                <a16:creationId xmlns:a16="http://schemas.microsoft.com/office/drawing/2014/main" id="{FD06B455-60DC-4CE1-853A-F9C7F3F09D70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5" name="Line 498">
            <a:extLst>
              <a:ext uri="{FF2B5EF4-FFF2-40B4-BE49-F238E27FC236}">
                <a16:creationId xmlns:a16="http://schemas.microsoft.com/office/drawing/2014/main" id="{78EAABC0-65ED-4978-9031-63A4297C0DFE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6" name="Line 499">
            <a:extLst>
              <a:ext uri="{FF2B5EF4-FFF2-40B4-BE49-F238E27FC236}">
                <a16:creationId xmlns:a16="http://schemas.microsoft.com/office/drawing/2014/main" id="{E2602DCE-4CEC-48F6-880D-5B7D12BFB51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41</xdr:row>
      <xdr:rowOff>85725</xdr:rowOff>
    </xdr:from>
    <xdr:to>
      <xdr:col>2</xdr:col>
      <xdr:colOff>0</xdr:colOff>
      <xdr:row>41</xdr:row>
      <xdr:rowOff>114300</xdr:rowOff>
    </xdr:to>
    <xdr:grpSp>
      <xdr:nvGrpSpPr>
        <xdr:cNvPr id="337" name="Group 575">
          <a:extLst>
            <a:ext uri="{FF2B5EF4-FFF2-40B4-BE49-F238E27FC236}">
              <a16:creationId xmlns:a16="http://schemas.microsoft.com/office/drawing/2014/main" id="{9D754125-5378-40E9-A546-BF809CC0D8E0}"/>
            </a:ext>
          </a:extLst>
        </xdr:cNvPr>
        <xdr:cNvGrpSpPr>
          <a:grpSpLocks/>
        </xdr:cNvGrpSpPr>
      </xdr:nvGrpSpPr>
      <xdr:grpSpPr bwMode="auto">
        <a:xfrm>
          <a:off x="4086225" y="7886700"/>
          <a:ext cx="0" cy="28575"/>
          <a:chOff x="454" y="139"/>
          <a:chExt cx="519" cy="0"/>
        </a:xfrm>
      </xdr:grpSpPr>
      <xdr:sp macro="" textlink="">
        <xdr:nvSpPr>
          <xdr:cNvPr id="338" name="Line 576">
            <a:extLst>
              <a:ext uri="{FF2B5EF4-FFF2-40B4-BE49-F238E27FC236}">
                <a16:creationId xmlns:a16="http://schemas.microsoft.com/office/drawing/2014/main" id="{F9917716-BBE9-4E02-B52E-3E54393DD87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39" name="Line 577">
            <a:extLst>
              <a:ext uri="{FF2B5EF4-FFF2-40B4-BE49-F238E27FC236}">
                <a16:creationId xmlns:a16="http://schemas.microsoft.com/office/drawing/2014/main" id="{18CF9ADC-4943-43E3-9B2D-356AFA65C74D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0" name="Line 578">
            <a:extLst>
              <a:ext uri="{FF2B5EF4-FFF2-40B4-BE49-F238E27FC236}">
                <a16:creationId xmlns:a16="http://schemas.microsoft.com/office/drawing/2014/main" id="{43AFEFF2-64C5-4B39-A033-339C2416691F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1" name="Line 579">
            <a:extLst>
              <a:ext uri="{FF2B5EF4-FFF2-40B4-BE49-F238E27FC236}">
                <a16:creationId xmlns:a16="http://schemas.microsoft.com/office/drawing/2014/main" id="{6FD27B4E-53C8-4E9B-BDE3-0B162DACBBCD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41</xdr:row>
      <xdr:rowOff>85725</xdr:rowOff>
    </xdr:from>
    <xdr:to>
      <xdr:col>3</xdr:col>
      <xdr:colOff>0</xdr:colOff>
      <xdr:row>41</xdr:row>
      <xdr:rowOff>114300</xdr:rowOff>
    </xdr:to>
    <xdr:grpSp>
      <xdr:nvGrpSpPr>
        <xdr:cNvPr id="342" name="Group 585">
          <a:extLst>
            <a:ext uri="{FF2B5EF4-FFF2-40B4-BE49-F238E27FC236}">
              <a16:creationId xmlns:a16="http://schemas.microsoft.com/office/drawing/2014/main" id="{3714B834-244B-48BA-8078-BD731E41E495}"/>
            </a:ext>
          </a:extLst>
        </xdr:cNvPr>
        <xdr:cNvGrpSpPr>
          <a:grpSpLocks/>
        </xdr:cNvGrpSpPr>
      </xdr:nvGrpSpPr>
      <xdr:grpSpPr bwMode="auto">
        <a:xfrm>
          <a:off x="5334000" y="7886700"/>
          <a:ext cx="0" cy="28575"/>
          <a:chOff x="454" y="139"/>
          <a:chExt cx="519" cy="0"/>
        </a:xfrm>
      </xdr:grpSpPr>
      <xdr:sp macro="" textlink="">
        <xdr:nvSpPr>
          <xdr:cNvPr id="343" name="Line 586">
            <a:extLst>
              <a:ext uri="{FF2B5EF4-FFF2-40B4-BE49-F238E27FC236}">
                <a16:creationId xmlns:a16="http://schemas.microsoft.com/office/drawing/2014/main" id="{948E7865-9700-4F39-887E-7DF990817C2A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4" name="Line 587">
            <a:extLst>
              <a:ext uri="{FF2B5EF4-FFF2-40B4-BE49-F238E27FC236}">
                <a16:creationId xmlns:a16="http://schemas.microsoft.com/office/drawing/2014/main" id="{5142441C-09E9-4FAB-8465-92A2265E8DE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5" name="Line 588">
            <a:extLst>
              <a:ext uri="{FF2B5EF4-FFF2-40B4-BE49-F238E27FC236}">
                <a16:creationId xmlns:a16="http://schemas.microsoft.com/office/drawing/2014/main" id="{9055D989-4021-41F8-8BF7-D6B93D33265D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6" name="Line 589">
            <a:extLst>
              <a:ext uri="{FF2B5EF4-FFF2-40B4-BE49-F238E27FC236}">
                <a16:creationId xmlns:a16="http://schemas.microsoft.com/office/drawing/2014/main" id="{CCB25328-3547-4844-A46A-E6B40D6629FD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47</xdr:row>
      <xdr:rowOff>85725</xdr:rowOff>
    </xdr:from>
    <xdr:to>
      <xdr:col>4</xdr:col>
      <xdr:colOff>0</xdr:colOff>
      <xdr:row>47</xdr:row>
      <xdr:rowOff>114300</xdr:rowOff>
    </xdr:to>
    <xdr:grpSp>
      <xdr:nvGrpSpPr>
        <xdr:cNvPr id="347" name="Group 610">
          <a:extLst>
            <a:ext uri="{FF2B5EF4-FFF2-40B4-BE49-F238E27FC236}">
              <a16:creationId xmlns:a16="http://schemas.microsoft.com/office/drawing/2014/main" id="{7A765898-D529-4743-AD74-37A5F93756DA}"/>
            </a:ext>
          </a:extLst>
        </xdr:cNvPr>
        <xdr:cNvGrpSpPr>
          <a:grpSpLocks/>
        </xdr:cNvGrpSpPr>
      </xdr:nvGrpSpPr>
      <xdr:grpSpPr bwMode="auto">
        <a:xfrm>
          <a:off x="6581775" y="9353550"/>
          <a:ext cx="0" cy="28575"/>
          <a:chOff x="454" y="139"/>
          <a:chExt cx="519" cy="0"/>
        </a:xfrm>
      </xdr:grpSpPr>
      <xdr:sp macro="" textlink="">
        <xdr:nvSpPr>
          <xdr:cNvPr id="348" name="Line 611">
            <a:extLst>
              <a:ext uri="{FF2B5EF4-FFF2-40B4-BE49-F238E27FC236}">
                <a16:creationId xmlns:a16="http://schemas.microsoft.com/office/drawing/2014/main" id="{C874B699-E2B3-43C3-9E8E-47EB0C0DF04B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9" name="Line 612">
            <a:extLst>
              <a:ext uri="{FF2B5EF4-FFF2-40B4-BE49-F238E27FC236}">
                <a16:creationId xmlns:a16="http://schemas.microsoft.com/office/drawing/2014/main" id="{BE740838-19DD-4F07-A0F2-426AF52068E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0" name="Line 613">
            <a:extLst>
              <a:ext uri="{FF2B5EF4-FFF2-40B4-BE49-F238E27FC236}">
                <a16:creationId xmlns:a16="http://schemas.microsoft.com/office/drawing/2014/main" id="{4C3A1AA4-B568-42DF-BBCA-9596AD6055F0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1" name="Line 614">
            <a:extLst>
              <a:ext uri="{FF2B5EF4-FFF2-40B4-BE49-F238E27FC236}">
                <a16:creationId xmlns:a16="http://schemas.microsoft.com/office/drawing/2014/main" id="{CCE37088-154A-4E57-BE20-595DBB948C8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47</xdr:row>
      <xdr:rowOff>85725</xdr:rowOff>
    </xdr:from>
    <xdr:to>
      <xdr:col>10</xdr:col>
      <xdr:colOff>0</xdr:colOff>
      <xdr:row>47</xdr:row>
      <xdr:rowOff>114300</xdr:rowOff>
    </xdr:to>
    <xdr:grpSp>
      <xdr:nvGrpSpPr>
        <xdr:cNvPr id="352" name="Group 620">
          <a:extLst>
            <a:ext uri="{FF2B5EF4-FFF2-40B4-BE49-F238E27FC236}">
              <a16:creationId xmlns:a16="http://schemas.microsoft.com/office/drawing/2014/main" id="{D4BF9962-EC88-425A-B19F-5298BF8956A8}"/>
            </a:ext>
          </a:extLst>
        </xdr:cNvPr>
        <xdr:cNvGrpSpPr>
          <a:grpSpLocks/>
        </xdr:cNvGrpSpPr>
      </xdr:nvGrpSpPr>
      <xdr:grpSpPr bwMode="auto">
        <a:xfrm>
          <a:off x="14354175" y="9353550"/>
          <a:ext cx="0" cy="28575"/>
          <a:chOff x="454" y="139"/>
          <a:chExt cx="519" cy="0"/>
        </a:xfrm>
      </xdr:grpSpPr>
      <xdr:sp macro="" textlink="">
        <xdr:nvSpPr>
          <xdr:cNvPr id="353" name="Line 621">
            <a:extLst>
              <a:ext uri="{FF2B5EF4-FFF2-40B4-BE49-F238E27FC236}">
                <a16:creationId xmlns:a16="http://schemas.microsoft.com/office/drawing/2014/main" id="{145649F6-2919-4D1E-B927-7BE0023D44E9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4" name="Line 622">
            <a:extLst>
              <a:ext uri="{FF2B5EF4-FFF2-40B4-BE49-F238E27FC236}">
                <a16:creationId xmlns:a16="http://schemas.microsoft.com/office/drawing/2014/main" id="{F4834033-6AC3-4E7C-9B19-6DAA88B6B32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5" name="Line 623">
            <a:extLst>
              <a:ext uri="{FF2B5EF4-FFF2-40B4-BE49-F238E27FC236}">
                <a16:creationId xmlns:a16="http://schemas.microsoft.com/office/drawing/2014/main" id="{1899EB6D-7CD1-4979-9D70-EAC3D4C0D314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6" name="Line 624">
            <a:extLst>
              <a:ext uri="{FF2B5EF4-FFF2-40B4-BE49-F238E27FC236}">
                <a16:creationId xmlns:a16="http://schemas.microsoft.com/office/drawing/2014/main" id="{FF4BC207-E151-4D66-A9BC-16E1A1FDC8B5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47</xdr:row>
      <xdr:rowOff>57150</xdr:rowOff>
    </xdr:from>
    <xdr:to>
      <xdr:col>10</xdr:col>
      <xdr:colOff>0</xdr:colOff>
      <xdr:row>47</xdr:row>
      <xdr:rowOff>85725</xdr:rowOff>
    </xdr:to>
    <xdr:grpSp>
      <xdr:nvGrpSpPr>
        <xdr:cNvPr id="357" name="Group 630">
          <a:extLst>
            <a:ext uri="{FF2B5EF4-FFF2-40B4-BE49-F238E27FC236}">
              <a16:creationId xmlns:a16="http://schemas.microsoft.com/office/drawing/2014/main" id="{244AD454-D65D-49E5-868B-335E45F2A7F1}"/>
            </a:ext>
          </a:extLst>
        </xdr:cNvPr>
        <xdr:cNvGrpSpPr>
          <a:grpSpLocks/>
        </xdr:cNvGrpSpPr>
      </xdr:nvGrpSpPr>
      <xdr:grpSpPr bwMode="auto">
        <a:xfrm flipV="1">
          <a:off x="14354175" y="9324975"/>
          <a:ext cx="0" cy="28575"/>
          <a:chOff x="454" y="139"/>
          <a:chExt cx="519" cy="0"/>
        </a:xfrm>
      </xdr:grpSpPr>
      <xdr:sp macro="" textlink="">
        <xdr:nvSpPr>
          <xdr:cNvPr id="358" name="Line 631">
            <a:extLst>
              <a:ext uri="{FF2B5EF4-FFF2-40B4-BE49-F238E27FC236}">
                <a16:creationId xmlns:a16="http://schemas.microsoft.com/office/drawing/2014/main" id="{251F958C-06D6-4836-8BAB-83A0DA8C6D8A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9" name="Line 632">
            <a:extLst>
              <a:ext uri="{FF2B5EF4-FFF2-40B4-BE49-F238E27FC236}">
                <a16:creationId xmlns:a16="http://schemas.microsoft.com/office/drawing/2014/main" id="{2BD46BF5-86C1-47EB-BBB9-5CB8102868BA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0" name="Line 633">
            <a:extLst>
              <a:ext uri="{FF2B5EF4-FFF2-40B4-BE49-F238E27FC236}">
                <a16:creationId xmlns:a16="http://schemas.microsoft.com/office/drawing/2014/main" id="{DD695866-BD5E-485C-9864-46AF46AFDC21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1" name="Line 634">
            <a:extLst>
              <a:ext uri="{FF2B5EF4-FFF2-40B4-BE49-F238E27FC236}">
                <a16:creationId xmlns:a16="http://schemas.microsoft.com/office/drawing/2014/main" id="{1FCA5A8C-E655-4F54-BD33-B2B914832D65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47</xdr:row>
      <xdr:rowOff>85725</xdr:rowOff>
    </xdr:from>
    <xdr:to>
      <xdr:col>10</xdr:col>
      <xdr:colOff>0</xdr:colOff>
      <xdr:row>47</xdr:row>
      <xdr:rowOff>114300</xdr:rowOff>
    </xdr:to>
    <xdr:grpSp>
      <xdr:nvGrpSpPr>
        <xdr:cNvPr id="362" name="Group 635">
          <a:extLst>
            <a:ext uri="{FF2B5EF4-FFF2-40B4-BE49-F238E27FC236}">
              <a16:creationId xmlns:a16="http://schemas.microsoft.com/office/drawing/2014/main" id="{D9120E9D-D7DC-48AC-8DCA-5A533B91ACC2}"/>
            </a:ext>
          </a:extLst>
        </xdr:cNvPr>
        <xdr:cNvGrpSpPr>
          <a:grpSpLocks/>
        </xdr:cNvGrpSpPr>
      </xdr:nvGrpSpPr>
      <xdr:grpSpPr bwMode="auto">
        <a:xfrm>
          <a:off x="14354175" y="9353550"/>
          <a:ext cx="0" cy="28575"/>
          <a:chOff x="454" y="139"/>
          <a:chExt cx="519" cy="0"/>
        </a:xfrm>
      </xdr:grpSpPr>
      <xdr:sp macro="" textlink="">
        <xdr:nvSpPr>
          <xdr:cNvPr id="363" name="Line 636">
            <a:extLst>
              <a:ext uri="{FF2B5EF4-FFF2-40B4-BE49-F238E27FC236}">
                <a16:creationId xmlns:a16="http://schemas.microsoft.com/office/drawing/2014/main" id="{A226D7DB-2126-402A-8214-78B93BADBBC7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4" name="Line 637">
            <a:extLst>
              <a:ext uri="{FF2B5EF4-FFF2-40B4-BE49-F238E27FC236}">
                <a16:creationId xmlns:a16="http://schemas.microsoft.com/office/drawing/2014/main" id="{AA438CC2-A04D-416D-9AC6-E3739360BA1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5" name="Line 638">
            <a:extLst>
              <a:ext uri="{FF2B5EF4-FFF2-40B4-BE49-F238E27FC236}">
                <a16:creationId xmlns:a16="http://schemas.microsoft.com/office/drawing/2014/main" id="{5205F67E-A39B-4E47-ACA0-B749513E79C3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6" name="Line 639">
            <a:extLst>
              <a:ext uri="{FF2B5EF4-FFF2-40B4-BE49-F238E27FC236}">
                <a16:creationId xmlns:a16="http://schemas.microsoft.com/office/drawing/2014/main" id="{19D976AA-8AB5-4FCC-9770-CCA2DBB3185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47</xdr:row>
      <xdr:rowOff>85725</xdr:rowOff>
    </xdr:from>
    <xdr:to>
      <xdr:col>2</xdr:col>
      <xdr:colOff>0</xdr:colOff>
      <xdr:row>47</xdr:row>
      <xdr:rowOff>114300</xdr:rowOff>
    </xdr:to>
    <xdr:grpSp>
      <xdr:nvGrpSpPr>
        <xdr:cNvPr id="367" name="Group 645">
          <a:extLst>
            <a:ext uri="{FF2B5EF4-FFF2-40B4-BE49-F238E27FC236}">
              <a16:creationId xmlns:a16="http://schemas.microsoft.com/office/drawing/2014/main" id="{317E0045-9ED3-4270-9B29-975CB2A4CF14}"/>
            </a:ext>
          </a:extLst>
        </xdr:cNvPr>
        <xdr:cNvGrpSpPr>
          <a:grpSpLocks/>
        </xdr:cNvGrpSpPr>
      </xdr:nvGrpSpPr>
      <xdr:grpSpPr bwMode="auto">
        <a:xfrm>
          <a:off x="4086225" y="9353550"/>
          <a:ext cx="0" cy="28575"/>
          <a:chOff x="454" y="139"/>
          <a:chExt cx="519" cy="0"/>
        </a:xfrm>
      </xdr:grpSpPr>
      <xdr:sp macro="" textlink="">
        <xdr:nvSpPr>
          <xdr:cNvPr id="368" name="Line 646">
            <a:extLst>
              <a:ext uri="{FF2B5EF4-FFF2-40B4-BE49-F238E27FC236}">
                <a16:creationId xmlns:a16="http://schemas.microsoft.com/office/drawing/2014/main" id="{7234C515-5227-4FC3-8CB8-C58A7F57FC60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69" name="Line 647">
            <a:extLst>
              <a:ext uri="{FF2B5EF4-FFF2-40B4-BE49-F238E27FC236}">
                <a16:creationId xmlns:a16="http://schemas.microsoft.com/office/drawing/2014/main" id="{9E395CF5-AC6C-4A58-93EF-289BFA3E1BD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0" name="Line 648">
            <a:extLst>
              <a:ext uri="{FF2B5EF4-FFF2-40B4-BE49-F238E27FC236}">
                <a16:creationId xmlns:a16="http://schemas.microsoft.com/office/drawing/2014/main" id="{FE456603-246F-40AB-BE8E-A44115344FA3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1" name="Line 649">
            <a:extLst>
              <a:ext uri="{FF2B5EF4-FFF2-40B4-BE49-F238E27FC236}">
                <a16:creationId xmlns:a16="http://schemas.microsoft.com/office/drawing/2014/main" id="{B42A563A-9942-45D7-8709-74B68EEA8F33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47</xdr:row>
      <xdr:rowOff>85725</xdr:rowOff>
    </xdr:from>
    <xdr:to>
      <xdr:col>3</xdr:col>
      <xdr:colOff>0</xdr:colOff>
      <xdr:row>47</xdr:row>
      <xdr:rowOff>114300</xdr:rowOff>
    </xdr:to>
    <xdr:grpSp>
      <xdr:nvGrpSpPr>
        <xdr:cNvPr id="372" name="Group 655">
          <a:extLst>
            <a:ext uri="{FF2B5EF4-FFF2-40B4-BE49-F238E27FC236}">
              <a16:creationId xmlns:a16="http://schemas.microsoft.com/office/drawing/2014/main" id="{48082866-A455-4528-914B-94F196584D8E}"/>
            </a:ext>
          </a:extLst>
        </xdr:cNvPr>
        <xdr:cNvGrpSpPr>
          <a:grpSpLocks/>
        </xdr:cNvGrpSpPr>
      </xdr:nvGrpSpPr>
      <xdr:grpSpPr bwMode="auto">
        <a:xfrm>
          <a:off x="5334000" y="9353550"/>
          <a:ext cx="0" cy="28575"/>
          <a:chOff x="454" y="139"/>
          <a:chExt cx="519" cy="0"/>
        </a:xfrm>
      </xdr:grpSpPr>
      <xdr:sp macro="" textlink="">
        <xdr:nvSpPr>
          <xdr:cNvPr id="373" name="Line 656">
            <a:extLst>
              <a:ext uri="{FF2B5EF4-FFF2-40B4-BE49-F238E27FC236}">
                <a16:creationId xmlns:a16="http://schemas.microsoft.com/office/drawing/2014/main" id="{D457427F-1593-46F6-9DC2-BF59B6DF8067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4" name="Line 657">
            <a:extLst>
              <a:ext uri="{FF2B5EF4-FFF2-40B4-BE49-F238E27FC236}">
                <a16:creationId xmlns:a16="http://schemas.microsoft.com/office/drawing/2014/main" id="{1F8F9C85-0D81-4ECF-8871-845725318A55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5" name="Line 658">
            <a:extLst>
              <a:ext uri="{FF2B5EF4-FFF2-40B4-BE49-F238E27FC236}">
                <a16:creationId xmlns:a16="http://schemas.microsoft.com/office/drawing/2014/main" id="{9F571FA7-506E-412D-955B-B32B4EC16D9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6" name="Line 659">
            <a:extLst>
              <a:ext uri="{FF2B5EF4-FFF2-40B4-BE49-F238E27FC236}">
                <a16:creationId xmlns:a16="http://schemas.microsoft.com/office/drawing/2014/main" id="{AAEEA6EC-3CA8-4B94-B4F9-DA8C9900B81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53</xdr:row>
      <xdr:rowOff>104775</xdr:rowOff>
    </xdr:from>
    <xdr:to>
      <xdr:col>4</xdr:col>
      <xdr:colOff>0</xdr:colOff>
      <xdr:row>53</xdr:row>
      <xdr:rowOff>152400</xdr:rowOff>
    </xdr:to>
    <xdr:grpSp>
      <xdr:nvGrpSpPr>
        <xdr:cNvPr id="377" name="Group 339">
          <a:extLst>
            <a:ext uri="{FF2B5EF4-FFF2-40B4-BE49-F238E27FC236}">
              <a16:creationId xmlns:a16="http://schemas.microsoft.com/office/drawing/2014/main" id="{2B10332E-7EB1-435E-BC89-71206C138E99}"/>
            </a:ext>
          </a:extLst>
        </xdr:cNvPr>
        <xdr:cNvGrpSpPr>
          <a:grpSpLocks/>
        </xdr:cNvGrpSpPr>
      </xdr:nvGrpSpPr>
      <xdr:grpSpPr bwMode="auto">
        <a:xfrm flipV="1">
          <a:off x="6581775" y="10458450"/>
          <a:ext cx="0" cy="47625"/>
          <a:chOff x="454" y="139"/>
          <a:chExt cx="519" cy="0"/>
        </a:xfrm>
      </xdr:grpSpPr>
      <xdr:sp macro="" textlink="">
        <xdr:nvSpPr>
          <xdr:cNvPr id="378" name="Line 340">
            <a:extLst>
              <a:ext uri="{FF2B5EF4-FFF2-40B4-BE49-F238E27FC236}">
                <a16:creationId xmlns:a16="http://schemas.microsoft.com/office/drawing/2014/main" id="{196DA1CD-ED3A-4AD4-BB75-0169944AECF5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79" name="Line 341">
            <a:extLst>
              <a:ext uri="{FF2B5EF4-FFF2-40B4-BE49-F238E27FC236}">
                <a16:creationId xmlns:a16="http://schemas.microsoft.com/office/drawing/2014/main" id="{5E6F4887-EF5C-4E37-B9EB-B63F0AE7D19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0" name="Line 342">
            <a:extLst>
              <a:ext uri="{FF2B5EF4-FFF2-40B4-BE49-F238E27FC236}">
                <a16:creationId xmlns:a16="http://schemas.microsoft.com/office/drawing/2014/main" id="{CF73B2CD-DAEA-4349-8DE5-D712315ED9C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1" name="Line 343">
            <a:extLst>
              <a:ext uri="{FF2B5EF4-FFF2-40B4-BE49-F238E27FC236}">
                <a16:creationId xmlns:a16="http://schemas.microsoft.com/office/drawing/2014/main" id="{585A75ED-6C61-43CA-9EB1-839530AF3334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53</xdr:row>
      <xdr:rowOff>104775</xdr:rowOff>
    </xdr:from>
    <xdr:to>
      <xdr:col>4</xdr:col>
      <xdr:colOff>0</xdr:colOff>
      <xdr:row>53</xdr:row>
      <xdr:rowOff>152400</xdr:rowOff>
    </xdr:to>
    <xdr:grpSp>
      <xdr:nvGrpSpPr>
        <xdr:cNvPr id="382" name="Group 344">
          <a:extLst>
            <a:ext uri="{FF2B5EF4-FFF2-40B4-BE49-F238E27FC236}">
              <a16:creationId xmlns:a16="http://schemas.microsoft.com/office/drawing/2014/main" id="{D1147C0D-DCF1-45DB-9343-095EAC80EE47}"/>
            </a:ext>
          </a:extLst>
        </xdr:cNvPr>
        <xdr:cNvGrpSpPr>
          <a:grpSpLocks/>
        </xdr:cNvGrpSpPr>
      </xdr:nvGrpSpPr>
      <xdr:grpSpPr bwMode="auto">
        <a:xfrm flipV="1">
          <a:off x="6581775" y="10458450"/>
          <a:ext cx="0" cy="47625"/>
          <a:chOff x="454" y="139"/>
          <a:chExt cx="519" cy="0"/>
        </a:xfrm>
      </xdr:grpSpPr>
      <xdr:sp macro="" textlink="">
        <xdr:nvSpPr>
          <xdr:cNvPr id="383" name="Line 345">
            <a:extLst>
              <a:ext uri="{FF2B5EF4-FFF2-40B4-BE49-F238E27FC236}">
                <a16:creationId xmlns:a16="http://schemas.microsoft.com/office/drawing/2014/main" id="{20BBFFF5-2E0D-408F-AFFD-46E72C6733EC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4" name="Line 346">
            <a:extLst>
              <a:ext uri="{FF2B5EF4-FFF2-40B4-BE49-F238E27FC236}">
                <a16:creationId xmlns:a16="http://schemas.microsoft.com/office/drawing/2014/main" id="{0D2D875E-21DC-4706-A875-16421D6A0257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5" name="Line 347">
            <a:extLst>
              <a:ext uri="{FF2B5EF4-FFF2-40B4-BE49-F238E27FC236}">
                <a16:creationId xmlns:a16="http://schemas.microsoft.com/office/drawing/2014/main" id="{A2A464BB-8B89-48FD-A56F-2D04601B6950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6" name="Line 348">
            <a:extLst>
              <a:ext uri="{FF2B5EF4-FFF2-40B4-BE49-F238E27FC236}">
                <a16:creationId xmlns:a16="http://schemas.microsoft.com/office/drawing/2014/main" id="{F63A7F65-6E08-45C0-9137-319AE9C4F78F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53</xdr:row>
      <xdr:rowOff>104775</xdr:rowOff>
    </xdr:from>
    <xdr:to>
      <xdr:col>10</xdr:col>
      <xdr:colOff>0</xdr:colOff>
      <xdr:row>53</xdr:row>
      <xdr:rowOff>152400</xdr:rowOff>
    </xdr:to>
    <xdr:grpSp>
      <xdr:nvGrpSpPr>
        <xdr:cNvPr id="387" name="Group 455">
          <a:extLst>
            <a:ext uri="{FF2B5EF4-FFF2-40B4-BE49-F238E27FC236}">
              <a16:creationId xmlns:a16="http://schemas.microsoft.com/office/drawing/2014/main" id="{AFD76064-941C-437F-9680-F5FAABF9CF26}"/>
            </a:ext>
          </a:extLst>
        </xdr:cNvPr>
        <xdr:cNvGrpSpPr>
          <a:grpSpLocks/>
        </xdr:cNvGrpSpPr>
      </xdr:nvGrpSpPr>
      <xdr:grpSpPr bwMode="auto">
        <a:xfrm flipV="1">
          <a:off x="14354175" y="10458450"/>
          <a:ext cx="0" cy="47625"/>
          <a:chOff x="454" y="139"/>
          <a:chExt cx="519" cy="0"/>
        </a:xfrm>
      </xdr:grpSpPr>
      <xdr:sp macro="" textlink="">
        <xdr:nvSpPr>
          <xdr:cNvPr id="388" name="Line 456">
            <a:extLst>
              <a:ext uri="{FF2B5EF4-FFF2-40B4-BE49-F238E27FC236}">
                <a16:creationId xmlns:a16="http://schemas.microsoft.com/office/drawing/2014/main" id="{AC7ED8AC-1B9D-4ED0-9899-044B12528C0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89" name="Line 457">
            <a:extLst>
              <a:ext uri="{FF2B5EF4-FFF2-40B4-BE49-F238E27FC236}">
                <a16:creationId xmlns:a16="http://schemas.microsoft.com/office/drawing/2014/main" id="{4652079C-4650-41A6-83DD-F3395A4D65D5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0" name="Line 458">
            <a:extLst>
              <a:ext uri="{FF2B5EF4-FFF2-40B4-BE49-F238E27FC236}">
                <a16:creationId xmlns:a16="http://schemas.microsoft.com/office/drawing/2014/main" id="{161A287D-9F78-455A-93FE-FA0B77808AE4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1" name="Line 459">
            <a:extLst>
              <a:ext uri="{FF2B5EF4-FFF2-40B4-BE49-F238E27FC236}">
                <a16:creationId xmlns:a16="http://schemas.microsoft.com/office/drawing/2014/main" id="{F83AE727-5C90-4EF7-BB7F-92676032492E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53</xdr:row>
      <xdr:rowOff>104775</xdr:rowOff>
    </xdr:from>
    <xdr:to>
      <xdr:col>2</xdr:col>
      <xdr:colOff>0</xdr:colOff>
      <xdr:row>53</xdr:row>
      <xdr:rowOff>152400</xdr:rowOff>
    </xdr:to>
    <xdr:grpSp>
      <xdr:nvGrpSpPr>
        <xdr:cNvPr id="392" name="Group 520">
          <a:extLst>
            <a:ext uri="{FF2B5EF4-FFF2-40B4-BE49-F238E27FC236}">
              <a16:creationId xmlns:a16="http://schemas.microsoft.com/office/drawing/2014/main" id="{0FC80FC4-990C-483F-931D-ADE291B4AC8D}"/>
            </a:ext>
          </a:extLst>
        </xdr:cNvPr>
        <xdr:cNvGrpSpPr>
          <a:grpSpLocks/>
        </xdr:cNvGrpSpPr>
      </xdr:nvGrpSpPr>
      <xdr:grpSpPr bwMode="auto">
        <a:xfrm flipV="1">
          <a:off x="4086225" y="10458450"/>
          <a:ext cx="0" cy="47625"/>
          <a:chOff x="454" y="139"/>
          <a:chExt cx="519" cy="0"/>
        </a:xfrm>
      </xdr:grpSpPr>
      <xdr:sp macro="" textlink="">
        <xdr:nvSpPr>
          <xdr:cNvPr id="393" name="Line 521">
            <a:extLst>
              <a:ext uri="{FF2B5EF4-FFF2-40B4-BE49-F238E27FC236}">
                <a16:creationId xmlns:a16="http://schemas.microsoft.com/office/drawing/2014/main" id="{0E359CF8-39BC-45DF-A75A-C39111D7C236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4" name="Line 522">
            <a:extLst>
              <a:ext uri="{FF2B5EF4-FFF2-40B4-BE49-F238E27FC236}">
                <a16:creationId xmlns:a16="http://schemas.microsoft.com/office/drawing/2014/main" id="{BBFD5C1A-0E67-4E6C-A55E-18A0E6A63C72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5" name="Line 523">
            <a:extLst>
              <a:ext uri="{FF2B5EF4-FFF2-40B4-BE49-F238E27FC236}">
                <a16:creationId xmlns:a16="http://schemas.microsoft.com/office/drawing/2014/main" id="{950BC2A6-54DF-48E8-BDCE-657A005AADE7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6" name="Line 524">
            <a:extLst>
              <a:ext uri="{FF2B5EF4-FFF2-40B4-BE49-F238E27FC236}">
                <a16:creationId xmlns:a16="http://schemas.microsoft.com/office/drawing/2014/main" id="{F5D909D2-6389-474E-A4DA-3F0DBBB4881B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53</xdr:row>
      <xdr:rowOff>104775</xdr:rowOff>
    </xdr:from>
    <xdr:to>
      <xdr:col>2</xdr:col>
      <xdr:colOff>0</xdr:colOff>
      <xdr:row>53</xdr:row>
      <xdr:rowOff>152400</xdr:rowOff>
    </xdr:to>
    <xdr:grpSp>
      <xdr:nvGrpSpPr>
        <xdr:cNvPr id="397" name="Group 525">
          <a:extLst>
            <a:ext uri="{FF2B5EF4-FFF2-40B4-BE49-F238E27FC236}">
              <a16:creationId xmlns:a16="http://schemas.microsoft.com/office/drawing/2014/main" id="{C3BA7609-5092-49B4-85C7-468A5932673D}"/>
            </a:ext>
          </a:extLst>
        </xdr:cNvPr>
        <xdr:cNvGrpSpPr>
          <a:grpSpLocks/>
        </xdr:cNvGrpSpPr>
      </xdr:nvGrpSpPr>
      <xdr:grpSpPr bwMode="auto">
        <a:xfrm flipV="1">
          <a:off x="4086225" y="10458450"/>
          <a:ext cx="0" cy="47625"/>
          <a:chOff x="454" y="139"/>
          <a:chExt cx="519" cy="0"/>
        </a:xfrm>
      </xdr:grpSpPr>
      <xdr:sp macro="" textlink="">
        <xdr:nvSpPr>
          <xdr:cNvPr id="398" name="Line 526">
            <a:extLst>
              <a:ext uri="{FF2B5EF4-FFF2-40B4-BE49-F238E27FC236}">
                <a16:creationId xmlns:a16="http://schemas.microsoft.com/office/drawing/2014/main" id="{43B0D0F8-F6E6-41FB-A4BD-C081F82F10B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99" name="Line 527">
            <a:extLst>
              <a:ext uri="{FF2B5EF4-FFF2-40B4-BE49-F238E27FC236}">
                <a16:creationId xmlns:a16="http://schemas.microsoft.com/office/drawing/2014/main" id="{8D835795-78F3-419D-8585-E44DAD022066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0" name="Line 528">
            <a:extLst>
              <a:ext uri="{FF2B5EF4-FFF2-40B4-BE49-F238E27FC236}">
                <a16:creationId xmlns:a16="http://schemas.microsoft.com/office/drawing/2014/main" id="{F6DADFF5-6612-4533-837F-274A8C6BC824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01" name="Line 529">
            <a:extLst>
              <a:ext uri="{FF2B5EF4-FFF2-40B4-BE49-F238E27FC236}">
                <a16:creationId xmlns:a16="http://schemas.microsoft.com/office/drawing/2014/main" id="{E1B78848-6340-4F43-A7DD-2BA116E8B6C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56</xdr:row>
      <xdr:rowOff>104775</xdr:rowOff>
    </xdr:from>
    <xdr:to>
      <xdr:col>4</xdr:col>
      <xdr:colOff>0</xdr:colOff>
      <xdr:row>56</xdr:row>
      <xdr:rowOff>152400</xdr:rowOff>
    </xdr:to>
    <xdr:grpSp>
      <xdr:nvGrpSpPr>
        <xdr:cNvPr id="427" name="Group 339">
          <a:extLst>
            <a:ext uri="{FF2B5EF4-FFF2-40B4-BE49-F238E27FC236}">
              <a16:creationId xmlns:a16="http://schemas.microsoft.com/office/drawing/2014/main" id="{CC006A5B-5AC2-4145-BD79-8A886C256ABC}"/>
            </a:ext>
          </a:extLst>
        </xdr:cNvPr>
        <xdr:cNvGrpSpPr>
          <a:grpSpLocks/>
        </xdr:cNvGrpSpPr>
      </xdr:nvGrpSpPr>
      <xdr:grpSpPr bwMode="auto">
        <a:xfrm flipV="1">
          <a:off x="6581775" y="11001375"/>
          <a:ext cx="0" cy="47625"/>
          <a:chOff x="454" y="139"/>
          <a:chExt cx="519" cy="0"/>
        </a:xfrm>
      </xdr:grpSpPr>
      <xdr:sp macro="" textlink="">
        <xdr:nvSpPr>
          <xdr:cNvPr id="428" name="Line 340">
            <a:extLst>
              <a:ext uri="{FF2B5EF4-FFF2-40B4-BE49-F238E27FC236}">
                <a16:creationId xmlns:a16="http://schemas.microsoft.com/office/drawing/2014/main" id="{819665D6-73A4-4764-8DB4-A85B1B1F1CA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9" name="Line 341">
            <a:extLst>
              <a:ext uri="{FF2B5EF4-FFF2-40B4-BE49-F238E27FC236}">
                <a16:creationId xmlns:a16="http://schemas.microsoft.com/office/drawing/2014/main" id="{118006F5-BDEF-47EB-BE7A-B890DD7BD41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0" name="Line 342">
            <a:extLst>
              <a:ext uri="{FF2B5EF4-FFF2-40B4-BE49-F238E27FC236}">
                <a16:creationId xmlns:a16="http://schemas.microsoft.com/office/drawing/2014/main" id="{A4CB28DF-A1CE-4910-B199-C7404265A843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1" name="Line 343">
            <a:extLst>
              <a:ext uri="{FF2B5EF4-FFF2-40B4-BE49-F238E27FC236}">
                <a16:creationId xmlns:a16="http://schemas.microsoft.com/office/drawing/2014/main" id="{B9222DED-E401-4B81-922F-8843DEE8FC2B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56</xdr:row>
      <xdr:rowOff>104775</xdr:rowOff>
    </xdr:from>
    <xdr:to>
      <xdr:col>4</xdr:col>
      <xdr:colOff>0</xdr:colOff>
      <xdr:row>56</xdr:row>
      <xdr:rowOff>152400</xdr:rowOff>
    </xdr:to>
    <xdr:grpSp>
      <xdr:nvGrpSpPr>
        <xdr:cNvPr id="432" name="Group 344">
          <a:extLst>
            <a:ext uri="{FF2B5EF4-FFF2-40B4-BE49-F238E27FC236}">
              <a16:creationId xmlns:a16="http://schemas.microsoft.com/office/drawing/2014/main" id="{8C8C87D0-D861-49ED-BF85-D3AFCEEFDBE6}"/>
            </a:ext>
          </a:extLst>
        </xdr:cNvPr>
        <xdr:cNvGrpSpPr>
          <a:grpSpLocks/>
        </xdr:cNvGrpSpPr>
      </xdr:nvGrpSpPr>
      <xdr:grpSpPr bwMode="auto">
        <a:xfrm flipV="1">
          <a:off x="6581775" y="11001375"/>
          <a:ext cx="0" cy="47625"/>
          <a:chOff x="454" y="139"/>
          <a:chExt cx="519" cy="0"/>
        </a:xfrm>
      </xdr:grpSpPr>
      <xdr:sp macro="" textlink="">
        <xdr:nvSpPr>
          <xdr:cNvPr id="433" name="Line 345">
            <a:extLst>
              <a:ext uri="{FF2B5EF4-FFF2-40B4-BE49-F238E27FC236}">
                <a16:creationId xmlns:a16="http://schemas.microsoft.com/office/drawing/2014/main" id="{F5CD7756-E0DB-4EC6-813D-D1C04A69790F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4" name="Line 346">
            <a:extLst>
              <a:ext uri="{FF2B5EF4-FFF2-40B4-BE49-F238E27FC236}">
                <a16:creationId xmlns:a16="http://schemas.microsoft.com/office/drawing/2014/main" id="{482DB3BE-34D0-44B7-A20C-A4346926318A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5" name="Line 347">
            <a:extLst>
              <a:ext uri="{FF2B5EF4-FFF2-40B4-BE49-F238E27FC236}">
                <a16:creationId xmlns:a16="http://schemas.microsoft.com/office/drawing/2014/main" id="{F2878FD5-3459-4007-BAB1-BABA69B04F56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6" name="Line 348">
            <a:extLst>
              <a:ext uri="{FF2B5EF4-FFF2-40B4-BE49-F238E27FC236}">
                <a16:creationId xmlns:a16="http://schemas.microsoft.com/office/drawing/2014/main" id="{C6918B0B-7B80-4529-A086-4FE97DB507DD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56</xdr:row>
      <xdr:rowOff>104775</xdr:rowOff>
    </xdr:from>
    <xdr:to>
      <xdr:col>10</xdr:col>
      <xdr:colOff>0</xdr:colOff>
      <xdr:row>56</xdr:row>
      <xdr:rowOff>152400</xdr:rowOff>
    </xdr:to>
    <xdr:grpSp>
      <xdr:nvGrpSpPr>
        <xdr:cNvPr id="437" name="Group 455">
          <a:extLst>
            <a:ext uri="{FF2B5EF4-FFF2-40B4-BE49-F238E27FC236}">
              <a16:creationId xmlns:a16="http://schemas.microsoft.com/office/drawing/2014/main" id="{4A68CD84-BABA-42D3-8CDA-EE8E9ED12B5B}"/>
            </a:ext>
          </a:extLst>
        </xdr:cNvPr>
        <xdr:cNvGrpSpPr>
          <a:grpSpLocks/>
        </xdr:cNvGrpSpPr>
      </xdr:nvGrpSpPr>
      <xdr:grpSpPr bwMode="auto">
        <a:xfrm flipV="1">
          <a:off x="14354175" y="11001375"/>
          <a:ext cx="0" cy="47625"/>
          <a:chOff x="454" y="139"/>
          <a:chExt cx="519" cy="0"/>
        </a:xfrm>
      </xdr:grpSpPr>
      <xdr:sp macro="" textlink="">
        <xdr:nvSpPr>
          <xdr:cNvPr id="438" name="Line 456">
            <a:extLst>
              <a:ext uri="{FF2B5EF4-FFF2-40B4-BE49-F238E27FC236}">
                <a16:creationId xmlns:a16="http://schemas.microsoft.com/office/drawing/2014/main" id="{43CE96A3-74D5-4EEC-ACAE-429282150B3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39" name="Line 457">
            <a:extLst>
              <a:ext uri="{FF2B5EF4-FFF2-40B4-BE49-F238E27FC236}">
                <a16:creationId xmlns:a16="http://schemas.microsoft.com/office/drawing/2014/main" id="{D6F06E67-F1FD-4095-A1E1-A3958B95D7E1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0" name="Line 458">
            <a:extLst>
              <a:ext uri="{FF2B5EF4-FFF2-40B4-BE49-F238E27FC236}">
                <a16:creationId xmlns:a16="http://schemas.microsoft.com/office/drawing/2014/main" id="{7D19327F-6897-43FC-BF3D-E3D9A591FBF1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1" name="Line 459">
            <a:extLst>
              <a:ext uri="{FF2B5EF4-FFF2-40B4-BE49-F238E27FC236}">
                <a16:creationId xmlns:a16="http://schemas.microsoft.com/office/drawing/2014/main" id="{F7D2B3DF-EFF5-4B06-B1A8-05B502C8DC2B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56</xdr:row>
      <xdr:rowOff>104775</xdr:rowOff>
    </xdr:from>
    <xdr:to>
      <xdr:col>2</xdr:col>
      <xdr:colOff>0</xdr:colOff>
      <xdr:row>56</xdr:row>
      <xdr:rowOff>152400</xdr:rowOff>
    </xdr:to>
    <xdr:grpSp>
      <xdr:nvGrpSpPr>
        <xdr:cNvPr id="442" name="Group 520">
          <a:extLst>
            <a:ext uri="{FF2B5EF4-FFF2-40B4-BE49-F238E27FC236}">
              <a16:creationId xmlns:a16="http://schemas.microsoft.com/office/drawing/2014/main" id="{A4103EC4-E020-453C-AE23-CA3D574981E9}"/>
            </a:ext>
          </a:extLst>
        </xdr:cNvPr>
        <xdr:cNvGrpSpPr>
          <a:grpSpLocks/>
        </xdr:cNvGrpSpPr>
      </xdr:nvGrpSpPr>
      <xdr:grpSpPr bwMode="auto">
        <a:xfrm flipV="1">
          <a:off x="4086225" y="11001375"/>
          <a:ext cx="0" cy="47625"/>
          <a:chOff x="454" y="139"/>
          <a:chExt cx="519" cy="0"/>
        </a:xfrm>
      </xdr:grpSpPr>
      <xdr:sp macro="" textlink="">
        <xdr:nvSpPr>
          <xdr:cNvPr id="443" name="Line 521">
            <a:extLst>
              <a:ext uri="{FF2B5EF4-FFF2-40B4-BE49-F238E27FC236}">
                <a16:creationId xmlns:a16="http://schemas.microsoft.com/office/drawing/2014/main" id="{A16F42E4-48FF-489C-A492-B52798931AD4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4" name="Line 522">
            <a:extLst>
              <a:ext uri="{FF2B5EF4-FFF2-40B4-BE49-F238E27FC236}">
                <a16:creationId xmlns:a16="http://schemas.microsoft.com/office/drawing/2014/main" id="{83363F58-1245-4D0B-BFBC-52286F09783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5" name="Line 523">
            <a:extLst>
              <a:ext uri="{FF2B5EF4-FFF2-40B4-BE49-F238E27FC236}">
                <a16:creationId xmlns:a16="http://schemas.microsoft.com/office/drawing/2014/main" id="{144160E1-698C-4759-835A-980943D2D7A3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6" name="Line 524">
            <a:extLst>
              <a:ext uri="{FF2B5EF4-FFF2-40B4-BE49-F238E27FC236}">
                <a16:creationId xmlns:a16="http://schemas.microsoft.com/office/drawing/2014/main" id="{BE92BF74-EFEA-465E-8AF9-A8816A1A99ED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56</xdr:row>
      <xdr:rowOff>104775</xdr:rowOff>
    </xdr:from>
    <xdr:to>
      <xdr:col>2</xdr:col>
      <xdr:colOff>0</xdr:colOff>
      <xdr:row>56</xdr:row>
      <xdr:rowOff>152400</xdr:rowOff>
    </xdr:to>
    <xdr:grpSp>
      <xdr:nvGrpSpPr>
        <xdr:cNvPr id="447" name="Group 525">
          <a:extLst>
            <a:ext uri="{FF2B5EF4-FFF2-40B4-BE49-F238E27FC236}">
              <a16:creationId xmlns:a16="http://schemas.microsoft.com/office/drawing/2014/main" id="{4E9E8E69-79EF-4C46-A0EF-249BFB1A52B5}"/>
            </a:ext>
          </a:extLst>
        </xdr:cNvPr>
        <xdr:cNvGrpSpPr>
          <a:grpSpLocks/>
        </xdr:cNvGrpSpPr>
      </xdr:nvGrpSpPr>
      <xdr:grpSpPr bwMode="auto">
        <a:xfrm flipV="1">
          <a:off x="4086225" y="11001375"/>
          <a:ext cx="0" cy="47625"/>
          <a:chOff x="454" y="139"/>
          <a:chExt cx="519" cy="0"/>
        </a:xfrm>
      </xdr:grpSpPr>
      <xdr:sp macro="" textlink="">
        <xdr:nvSpPr>
          <xdr:cNvPr id="448" name="Line 526">
            <a:extLst>
              <a:ext uri="{FF2B5EF4-FFF2-40B4-BE49-F238E27FC236}">
                <a16:creationId xmlns:a16="http://schemas.microsoft.com/office/drawing/2014/main" id="{7603FAC1-5491-48E6-8176-C8BE07D3A28F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9" name="Line 527">
            <a:extLst>
              <a:ext uri="{FF2B5EF4-FFF2-40B4-BE49-F238E27FC236}">
                <a16:creationId xmlns:a16="http://schemas.microsoft.com/office/drawing/2014/main" id="{BE9583DE-9FBE-4027-9174-4D91A3BE5A4A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0" name="Line 528">
            <a:extLst>
              <a:ext uri="{FF2B5EF4-FFF2-40B4-BE49-F238E27FC236}">
                <a16:creationId xmlns:a16="http://schemas.microsoft.com/office/drawing/2014/main" id="{53476650-7FA8-427B-A439-4F6B9336A8B9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1" name="Line 529">
            <a:extLst>
              <a:ext uri="{FF2B5EF4-FFF2-40B4-BE49-F238E27FC236}">
                <a16:creationId xmlns:a16="http://schemas.microsoft.com/office/drawing/2014/main" id="{B16AE3DF-8F04-4C2D-BF9B-5E47D7ADAFF5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59</xdr:row>
      <xdr:rowOff>104775</xdr:rowOff>
    </xdr:from>
    <xdr:to>
      <xdr:col>4</xdr:col>
      <xdr:colOff>0</xdr:colOff>
      <xdr:row>59</xdr:row>
      <xdr:rowOff>152400</xdr:rowOff>
    </xdr:to>
    <xdr:grpSp>
      <xdr:nvGrpSpPr>
        <xdr:cNvPr id="452" name="Group 339">
          <a:extLst>
            <a:ext uri="{FF2B5EF4-FFF2-40B4-BE49-F238E27FC236}">
              <a16:creationId xmlns:a16="http://schemas.microsoft.com/office/drawing/2014/main" id="{530147A5-C8EF-49DC-9DFC-022C8688FB78}"/>
            </a:ext>
          </a:extLst>
        </xdr:cNvPr>
        <xdr:cNvGrpSpPr>
          <a:grpSpLocks/>
        </xdr:cNvGrpSpPr>
      </xdr:nvGrpSpPr>
      <xdr:grpSpPr bwMode="auto">
        <a:xfrm flipV="1">
          <a:off x="6581775" y="11544300"/>
          <a:ext cx="0" cy="47625"/>
          <a:chOff x="454" y="139"/>
          <a:chExt cx="519" cy="0"/>
        </a:xfrm>
      </xdr:grpSpPr>
      <xdr:sp macro="" textlink="">
        <xdr:nvSpPr>
          <xdr:cNvPr id="453" name="Line 340">
            <a:extLst>
              <a:ext uri="{FF2B5EF4-FFF2-40B4-BE49-F238E27FC236}">
                <a16:creationId xmlns:a16="http://schemas.microsoft.com/office/drawing/2014/main" id="{A5BAB819-B1C5-4E58-980C-1CE5870AF818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4" name="Line 341">
            <a:extLst>
              <a:ext uri="{FF2B5EF4-FFF2-40B4-BE49-F238E27FC236}">
                <a16:creationId xmlns:a16="http://schemas.microsoft.com/office/drawing/2014/main" id="{BB31D193-4234-4A0B-B767-452184454AD9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5" name="Line 342">
            <a:extLst>
              <a:ext uri="{FF2B5EF4-FFF2-40B4-BE49-F238E27FC236}">
                <a16:creationId xmlns:a16="http://schemas.microsoft.com/office/drawing/2014/main" id="{A7A6E4CA-0924-4B15-A231-7EBF35C836F5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6" name="Line 343">
            <a:extLst>
              <a:ext uri="{FF2B5EF4-FFF2-40B4-BE49-F238E27FC236}">
                <a16:creationId xmlns:a16="http://schemas.microsoft.com/office/drawing/2014/main" id="{98D6F238-C413-41C1-A666-93E83EFA255A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59</xdr:row>
      <xdr:rowOff>104775</xdr:rowOff>
    </xdr:from>
    <xdr:to>
      <xdr:col>4</xdr:col>
      <xdr:colOff>0</xdr:colOff>
      <xdr:row>59</xdr:row>
      <xdr:rowOff>152400</xdr:rowOff>
    </xdr:to>
    <xdr:grpSp>
      <xdr:nvGrpSpPr>
        <xdr:cNvPr id="457" name="Group 344">
          <a:extLst>
            <a:ext uri="{FF2B5EF4-FFF2-40B4-BE49-F238E27FC236}">
              <a16:creationId xmlns:a16="http://schemas.microsoft.com/office/drawing/2014/main" id="{E9AA2681-482D-4DD1-BE0C-A50624DF2CB0}"/>
            </a:ext>
          </a:extLst>
        </xdr:cNvPr>
        <xdr:cNvGrpSpPr>
          <a:grpSpLocks/>
        </xdr:cNvGrpSpPr>
      </xdr:nvGrpSpPr>
      <xdr:grpSpPr bwMode="auto">
        <a:xfrm flipV="1">
          <a:off x="6581775" y="11544300"/>
          <a:ext cx="0" cy="47625"/>
          <a:chOff x="454" y="139"/>
          <a:chExt cx="519" cy="0"/>
        </a:xfrm>
      </xdr:grpSpPr>
      <xdr:sp macro="" textlink="">
        <xdr:nvSpPr>
          <xdr:cNvPr id="458" name="Line 345">
            <a:extLst>
              <a:ext uri="{FF2B5EF4-FFF2-40B4-BE49-F238E27FC236}">
                <a16:creationId xmlns:a16="http://schemas.microsoft.com/office/drawing/2014/main" id="{F8752107-D339-4191-8FD0-F4DA18CB2615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9" name="Line 346">
            <a:extLst>
              <a:ext uri="{FF2B5EF4-FFF2-40B4-BE49-F238E27FC236}">
                <a16:creationId xmlns:a16="http://schemas.microsoft.com/office/drawing/2014/main" id="{C6EB175C-0101-4A10-8D4B-47058C7D7380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0" name="Line 347">
            <a:extLst>
              <a:ext uri="{FF2B5EF4-FFF2-40B4-BE49-F238E27FC236}">
                <a16:creationId xmlns:a16="http://schemas.microsoft.com/office/drawing/2014/main" id="{86FA435B-2E8F-48B6-96C7-7DE18F17C97C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1" name="Line 348">
            <a:extLst>
              <a:ext uri="{FF2B5EF4-FFF2-40B4-BE49-F238E27FC236}">
                <a16:creationId xmlns:a16="http://schemas.microsoft.com/office/drawing/2014/main" id="{C5F517A8-460E-4128-A18D-A5987E795DD5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59</xdr:row>
      <xdr:rowOff>104775</xdr:rowOff>
    </xdr:from>
    <xdr:to>
      <xdr:col>2</xdr:col>
      <xdr:colOff>0</xdr:colOff>
      <xdr:row>59</xdr:row>
      <xdr:rowOff>152400</xdr:rowOff>
    </xdr:to>
    <xdr:grpSp>
      <xdr:nvGrpSpPr>
        <xdr:cNvPr id="462" name="Group 520">
          <a:extLst>
            <a:ext uri="{FF2B5EF4-FFF2-40B4-BE49-F238E27FC236}">
              <a16:creationId xmlns:a16="http://schemas.microsoft.com/office/drawing/2014/main" id="{EC41CF43-12CE-440C-BB9D-A055056CAAC8}"/>
            </a:ext>
          </a:extLst>
        </xdr:cNvPr>
        <xdr:cNvGrpSpPr>
          <a:grpSpLocks/>
        </xdr:cNvGrpSpPr>
      </xdr:nvGrpSpPr>
      <xdr:grpSpPr bwMode="auto">
        <a:xfrm flipV="1">
          <a:off x="4086225" y="11544300"/>
          <a:ext cx="0" cy="47625"/>
          <a:chOff x="454" y="139"/>
          <a:chExt cx="519" cy="0"/>
        </a:xfrm>
      </xdr:grpSpPr>
      <xdr:sp macro="" textlink="">
        <xdr:nvSpPr>
          <xdr:cNvPr id="463" name="Line 521">
            <a:extLst>
              <a:ext uri="{FF2B5EF4-FFF2-40B4-BE49-F238E27FC236}">
                <a16:creationId xmlns:a16="http://schemas.microsoft.com/office/drawing/2014/main" id="{9FC707EF-FF3E-4CF7-90B8-1CB15C4B654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4" name="Line 522">
            <a:extLst>
              <a:ext uri="{FF2B5EF4-FFF2-40B4-BE49-F238E27FC236}">
                <a16:creationId xmlns:a16="http://schemas.microsoft.com/office/drawing/2014/main" id="{1F1D9E55-A647-490A-AE87-867150CB662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5" name="Line 523">
            <a:extLst>
              <a:ext uri="{FF2B5EF4-FFF2-40B4-BE49-F238E27FC236}">
                <a16:creationId xmlns:a16="http://schemas.microsoft.com/office/drawing/2014/main" id="{4D044DCA-9E67-4AC8-B807-BA0F3A2109B3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6" name="Line 524">
            <a:extLst>
              <a:ext uri="{FF2B5EF4-FFF2-40B4-BE49-F238E27FC236}">
                <a16:creationId xmlns:a16="http://schemas.microsoft.com/office/drawing/2014/main" id="{33C2F11A-566A-42E8-953F-5C8E73DF0E8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59</xdr:row>
      <xdr:rowOff>104775</xdr:rowOff>
    </xdr:from>
    <xdr:to>
      <xdr:col>2</xdr:col>
      <xdr:colOff>0</xdr:colOff>
      <xdr:row>59</xdr:row>
      <xdr:rowOff>152400</xdr:rowOff>
    </xdr:to>
    <xdr:grpSp>
      <xdr:nvGrpSpPr>
        <xdr:cNvPr id="467" name="Group 525">
          <a:extLst>
            <a:ext uri="{FF2B5EF4-FFF2-40B4-BE49-F238E27FC236}">
              <a16:creationId xmlns:a16="http://schemas.microsoft.com/office/drawing/2014/main" id="{C93089EA-D4B9-467A-B46D-6EDCFB6ADFC3}"/>
            </a:ext>
          </a:extLst>
        </xdr:cNvPr>
        <xdr:cNvGrpSpPr>
          <a:grpSpLocks/>
        </xdr:cNvGrpSpPr>
      </xdr:nvGrpSpPr>
      <xdr:grpSpPr bwMode="auto">
        <a:xfrm flipV="1">
          <a:off x="4086225" y="11544300"/>
          <a:ext cx="0" cy="47625"/>
          <a:chOff x="454" y="139"/>
          <a:chExt cx="519" cy="0"/>
        </a:xfrm>
      </xdr:grpSpPr>
      <xdr:sp macro="" textlink="">
        <xdr:nvSpPr>
          <xdr:cNvPr id="468" name="Line 526">
            <a:extLst>
              <a:ext uri="{FF2B5EF4-FFF2-40B4-BE49-F238E27FC236}">
                <a16:creationId xmlns:a16="http://schemas.microsoft.com/office/drawing/2014/main" id="{C98BB4C0-5002-43B7-9B1F-A3B726DB320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69" name="Line 527">
            <a:extLst>
              <a:ext uri="{FF2B5EF4-FFF2-40B4-BE49-F238E27FC236}">
                <a16:creationId xmlns:a16="http://schemas.microsoft.com/office/drawing/2014/main" id="{A5AE70EF-D0AA-49BC-87B7-E28F1B077ADA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0" name="Line 528">
            <a:extLst>
              <a:ext uri="{FF2B5EF4-FFF2-40B4-BE49-F238E27FC236}">
                <a16:creationId xmlns:a16="http://schemas.microsoft.com/office/drawing/2014/main" id="{0A8BAA1B-DA78-4073-B026-10D130CF7212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1" name="Line 529">
            <a:extLst>
              <a:ext uri="{FF2B5EF4-FFF2-40B4-BE49-F238E27FC236}">
                <a16:creationId xmlns:a16="http://schemas.microsoft.com/office/drawing/2014/main" id="{306C362D-EB7F-495F-97F6-475D51782DFC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62</xdr:row>
      <xdr:rowOff>85725</xdr:rowOff>
    </xdr:from>
    <xdr:to>
      <xdr:col>4</xdr:col>
      <xdr:colOff>0</xdr:colOff>
      <xdr:row>62</xdr:row>
      <xdr:rowOff>114300</xdr:rowOff>
    </xdr:to>
    <xdr:grpSp>
      <xdr:nvGrpSpPr>
        <xdr:cNvPr id="502" name="Group 430">
          <a:extLst>
            <a:ext uri="{FF2B5EF4-FFF2-40B4-BE49-F238E27FC236}">
              <a16:creationId xmlns:a16="http://schemas.microsoft.com/office/drawing/2014/main" id="{DCDD8865-A5D1-4DEE-A956-EA0F5C62A330}"/>
            </a:ext>
          </a:extLst>
        </xdr:cNvPr>
        <xdr:cNvGrpSpPr>
          <a:grpSpLocks/>
        </xdr:cNvGrpSpPr>
      </xdr:nvGrpSpPr>
      <xdr:grpSpPr bwMode="auto">
        <a:xfrm>
          <a:off x="6581775" y="12068175"/>
          <a:ext cx="0" cy="28575"/>
          <a:chOff x="454" y="139"/>
          <a:chExt cx="519" cy="0"/>
        </a:xfrm>
      </xdr:grpSpPr>
      <xdr:sp macro="" textlink="">
        <xdr:nvSpPr>
          <xdr:cNvPr id="503" name="Line 431">
            <a:extLst>
              <a:ext uri="{FF2B5EF4-FFF2-40B4-BE49-F238E27FC236}">
                <a16:creationId xmlns:a16="http://schemas.microsoft.com/office/drawing/2014/main" id="{EF0FC0B8-8267-4F32-8D8D-D14AD6EF944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04" name="Line 432">
            <a:extLst>
              <a:ext uri="{FF2B5EF4-FFF2-40B4-BE49-F238E27FC236}">
                <a16:creationId xmlns:a16="http://schemas.microsoft.com/office/drawing/2014/main" id="{C21FDBFC-F80C-4C92-8203-ABF80ACF99FE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05" name="Line 433">
            <a:extLst>
              <a:ext uri="{FF2B5EF4-FFF2-40B4-BE49-F238E27FC236}">
                <a16:creationId xmlns:a16="http://schemas.microsoft.com/office/drawing/2014/main" id="{24CA23A5-AF90-41F9-95CA-389E29AA9A70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06" name="Line 434">
            <a:extLst>
              <a:ext uri="{FF2B5EF4-FFF2-40B4-BE49-F238E27FC236}">
                <a16:creationId xmlns:a16="http://schemas.microsoft.com/office/drawing/2014/main" id="{123E649F-7EF6-4ED5-A151-478EDE5E123C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62</xdr:row>
      <xdr:rowOff>85725</xdr:rowOff>
    </xdr:from>
    <xdr:to>
      <xdr:col>10</xdr:col>
      <xdr:colOff>0</xdr:colOff>
      <xdr:row>62</xdr:row>
      <xdr:rowOff>114300</xdr:rowOff>
    </xdr:to>
    <xdr:grpSp>
      <xdr:nvGrpSpPr>
        <xdr:cNvPr id="507" name="Group 440">
          <a:extLst>
            <a:ext uri="{FF2B5EF4-FFF2-40B4-BE49-F238E27FC236}">
              <a16:creationId xmlns:a16="http://schemas.microsoft.com/office/drawing/2014/main" id="{85A8B0AB-5C12-459B-B986-6B57E5A1AF00}"/>
            </a:ext>
          </a:extLst>
        </xdr:cNvPr>
        <xdr:cNvGrpSpPr>
          <a:grpSpLocks/>
        </xdr:cNvGrpSpPr>
      </xdr:nvGrpSpPr>
      <xdr:grpSpPr bwMode="auto">
        <a:xfrm>
          <a:off x="14354175" y="12068175"/>
          <a:ext cx="0" cy="28575"/>
          <a:chOff x="454" y="139"/>
          <a:chExt cx="519" cy="0"/>
        </a:xfrm>
      </xdr:grpSpPr>
      <xdr:sp macro="" textlink="">
        <xdr:nvSpPr>
          <xdr:cNvPr id="508" name="Line 441">
            <a:extLst>
              <a:ext uri="{FF2B5EF4-FFF2-40B4-BE49-F238E27FC236}">
                <a16:creationId xmlns:a16="http://schemas.microsoft.com/office/drawing/2014/main" id="{A3394E38-F4A3-4C3C-BF33-F024A58C88F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09" name="Line 442">
            <a:extLst>
              <a:ext uri="{FF2B5EF4-FFF2-40B4-BE49-F238E27FC236}">
                <a16:creationId xmlns:a16="http://schemas.microsoft.com/office/drawing/2014/main" id="{06F508DE-7D28-4046-86C8-316F74EC4BF6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0" name="Line 443">
            <a:extLst>
              <a:ext uri="{FF2B5EF4-FFF2-40B4-BE49-F238E27FC236}">
                <a16:creationId xmlns:a16="http://schemas.microsoft.com/office/drawing/2014/main" id="{E95B1871-642B-4A8F-BD37-A7E7AB413B34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1" name="Line 444">
            <a:extLst>
              <a:ext uri="{FF2B5EF4-FFF2-40B4-BE49-F238E27FC236}">
                <a16:creationId xmlns:a16="http://schemas.microsoft.com/office/drawing/2014/main" id="{82136D21-7186-4844-A33C-B2C4F952DD3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62</xdr:row>
      <xdr:rowOff>57150</xdr:rowOff>
    </xdr:from>
    <xdr:to>
      <xdr:col>10</xdr:col>
      <xdr:colOff>0</xdr:colOff>
      <xdr:row>62</xdr:row>
      <xdr:rowOff>85725</xdr:rowOff>
    </xdr:to>
    <xdr:grpSp>
      <xdr:nvGrpSpPr>
        <xdr:cNvPr id="512" name="Group 490">
          <a:extLst>
            <a:ext uri="{FF2B5EF4-FFF2-40B4-BE49-F238E27FC236}">
              <a16:creationId xmlns:a16="http://schemas.microsoft.com/office/drawing/2014/main" id="{E2B76210-54B5-48BC-91AB-ACE23384A83A}"/>
            </a:ext>
          </a:extLst>
        </xdr:cNvPr>
        <xdr:cNvGrpSpPr>
          <a:grpSpLocks/>
        </xdr:cNvGrpSpPr>
      </xdr:nvGrpSpPr>
      <xdr:grpSpPr bwMode="auto">
        <a:xfrm flipV="1">
          <a:off x="14354175" y="12039600"/>
          <a:ext cx="0" cy="28575"/>
          <a:chOff x="454" y="139"/>
          <a:chExt cx="519" cy="0"/>
        </a:xfrm>
      </xdr:grpSpPr>
      <xdr:sp macro="" textlink="">
        <xdr:nvSpPr>
          <xdr:cNvPr id="513" name="Line 491">
            <a:extLst>
              <a:ext uri="{FF2B5EF4-FFF2-40B4-BE49-F238E27FC236}">
                <a16:creationId xmlns:a16="http://schemas.microsoft.com/office/drawing/2014/main" id="{07A7E101-430B-42C5-A1EB-2604D3DEE872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4" name="Line 492">
            <a:extLst>
              <a:ext uri="{FF2B5EF4-FFF2-40B4-BE49-F238E27FC236}">
                <a16:creationId xmlns:a16="http://schemas.microsoft.com/office/drawing/2014/main" id="{8AE42E4C-EB5B-4CF0-9B50-40EB8A3F71C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5" name="Line 493">
            <a:extLst>
              <a:ext uri="{FF2B5EF4-FFF2-40B4-BE49-F238E27FC236}">
                <a16:creationId xmlns:a16="http://schemas.microsoft.com/office/drawing/2014/main" id="{FA4E6BC9-D00E-402B-80A0-167979D331C6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6" name="Line 494">
            <a:extLst>
              <a:ext uri="{FF2B5EF4-FFF2-40B4-BE49-F238E27FC236}">
                <a16:creationId xmlns:a16="http://schemas.microsoft.com/office/drawing/2014/main" id="{19337D97-AA27-4405-B16F-E4EE3B0ACFB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62</xdr:row>
      <xdr:rowOff>85725</xdr:rowOff>
    </xdr:from>
    <xdr:to>
      <xdr:col>10</xdr:col>
      <xdr:colOff>0</xdr:colOff>
      <xdr:row>62</xdr:row>
      <xdr:rowOff>114300</xdr:rowOff>
    </xdr:to>
    <xdr:grpSp>
      <xdr:nvGrpSpPr>
        <xdr:cNvPr id="517" name="Group 495">
          <a:extLst>
            <a:ext uri="{FF2B5EF4-FFF2-40B4-BE49-F238E27FC236}">
              <a16:creationId xmlns:a16="http://schemas.microsoft.com/office/drawing/2014/main" id="{586E09B6-67AA-48C1-A132-1ADC14BBCCF8}"/>
            </a:ext>
          </a:extLst>
        </xdr:cNvPr>
        <xdr:cNvGrpSpPr>
          <a:grpSpLocks/>
        </xdr:cNvGrpSpPr>
      </xdr:nvGrpSpPr>
      <xdr:grpSpPr bwMode="auto">
        <a:xfrm>
          <a:off x="14354175" y="12068175"/>
          <a:ext cx="0" cy="28575"/>
          <a:chOff x="454" y="139"/>
          <a:chExt cx="519" cy="0"/>
        </a:xfrm>
      </xdr:grpSpPr>
      <xdr:sp macro="" textlink="">
        <xdr:nvSpPr>
          <xdr:cNvPr id="518" name="Line 496">
            <a:extLst>
              <a:ext uri="{FF2B5EF4-FFF2-40B4-BE49-F238E27FC236}">
                <a16:creationId xmlns:a16="http://schemas.microsoft.com/office/drawing/2014/main" id="{00D84142-7EAE-4C0A-96E8-8F0651953CAA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19" name="Line 497">
            <a:extLst>
              <a:ext uri="{FF2B5EF4-FFF2-40B4-BE49-F238E27FC236}">
                <a16:creationId xmlns:a16="http://schemas.microsoft.com/office/drawing/2014/main" id="{C42B9351-1179-43EC-A331-DDCB486AD1D5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0" name="Line 498">
            <a:extLst>
              <a:ext uri="{FF2B5EF4-FFF2-40B4-BE49-F238E27FC236}">
                <a16:creationId xmlns:a16="http://schemas.microsoft.com/office/drawing/2014/main" id="{77CC3B81-BCFF-4173-AA39-AF516B5529C6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1" name="Line 499">
            <a:extLst>
              <a:ext uri="{FF2B5EF4-FFF2-40B4-BE49-F238E27FC236}">
                <a16:creationId xmlns:a16="http://schemas.microsoft.com/office/drawing/2014/main" id="{39CF10B9-474B-4321-8C34-6CCA7DB41B6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62</xdr:row>
      <xdr:rowOff>85725</xdr:rowOff>
    </xdr:from>
    <xdr:to>
      <xdr:col>2</xdr:col>
      <xdr:colOff>0</xdr:colOff>
      <xdr:row>62</xdr:row>
      <xdr:rowOff>114300</xdr:rowOff>
    </xdr:to>
    <xdr:grpSp>
      <xdr:nvGrpSpPr>
        <xdr:cNvPr id="522" name="Group 575">
          <a:extLst>
            <a:ext uri="{FF2B5EF4-FFF2-40B4-BE49-F238E27FC236}">
              <a16:creationId xmlns:a16="http://schemas.microsoft.com/office/drawing/2014/main" id="{40824BA9-084A-496D-B4F0-11A77F80074A}"/>
            </a:ext>
          </a:extLst>
        </xdr:cNvPr>
        <xdr:cNvGrpSpPr>
          <a:grpSpLocks/>
        </xdr:cNvGrpSpPr>
      </xdr:nvGrpSpPr>
      <xdr:grpSpPr bwMode="auto">
        <a:xfrm>
          <a:off x="4086225" y="12068175"/>
          <a:ext cx="0" cy="28575"/>
          <a:chOff x="454" y="139"/>
          <a:chExt cx="519" cy="0"/>
        </a:xfrm>
      </xdr:grpSpPr>
      <xdr:sp macro="" textlink="">
        <xdr:nvSpPr>
          <xdr:cNvPr id="523" name="Line 576">
            <a:extLst>
              <a:ext uri="{FF2B5EF4-FFF2-40B4-BE49-F238E27FC236}">
                <a16:creationId xmlns:a16="http://schemas.microsoft.com/office/drawing/2014/main" id="{08D70251-B549-42BA-ADD8-5BD72C8C5348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4" name="Line 577">
            <a:extLst>
              <a:ext uri="{FF2B5EF4-FFF2-40B4-BE49-F238E27FC236}">
                <a16:creationId xmlns:a16="http://schemas.microsoft.com/office/drawing/2014/main" id="{A5DE8F1F-8856-4503-A007-0A60688E2E89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5" name="Line 578">
            <a:extLst>
              <a:ext uri="{FF2B5EF4-FFF2-40B4-BE49-F238E27FC236}">
                <a16:creationId xmlns:a16="http://schemas.microsoft.com/office/drawing/2014/main" id="{F8CCBF93-B004-43DC-8B9F-F11EB96B1D9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6" name="Line 579">
            <a:extLst>
              <a:ext uri="{FF2B5EF4-FFF2-40B4-BE49-F238E27FC236}">
                <a16:creationId xmlns:a16="http://schemas.microsoft.com/office/drawing/2014/main" id="{2AC1E8C8-AD58-48D6-8041-19E5B97853DA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62</xdr:row>
      <xdr:rowOff>85725</xdr:rowOff>
    </xdr:from>
    <xdr:to>
      <xdr:col>3</xdr:col>
      <xdr:colOff>0</xdr:colOff>
      <xdr:row>62</xdr:row>
      <xdr:rowOff>114300</xdr:rowOff>
    </xdr:to>
    <xdr:grpSp>
      <xdr:nvGrpSpPr>
        <xdr:cNvPr id="527" name="Group 585">
          <a:extLst>
            <a:ext uri="{FF2B5EF4-FFF2-40B4-BE49-F238E27FC236}">
              <a16:creationId xmlns:a16="http://schemas.microsoft.com/office/drawing/2014/main" id="{4D0B0DB1-1779-4BA6-B234-09A5280BE72C}"/>
            </a:ext>
          </a:extLst>
        </xdr:cNvPr>
        <xdr:cNvGrpSpPr>
          <a:grpSpLocks/>
        </xdr:cNvGrpSpPr>
      </xdr:nvGrpSpPr>
      <xdr:grpSpPr bwMode="auto">
        <a:xfrm>
          <a:off x="5334000" y="12068175"/>
          <a:ext cx="0" cy="28575"/>
          <a:chOff x="454" y="139"/>
          <a:chExt cx="519" cy="0"/>
        </a:xfrm>
      </xdr:grpSpPr>
      <xdr:sp macro="" textlink="">
        <xdr:nvSpPr>
          <xdr:cNvPr id="528" name="Line 586">
            <a:extLst>
              <a:ext uri="{FF2B5EF4-FFF2-40B4-BE49-F238E27FC236}">
                <a16:creationId xmlns:a16="http://schemas.microsoft.com/office/drawing/2014/main" id="{02CE9E2E-6B6F-456E-A4BE-67D1DECB7CF2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9" name="Line 587">
            <a:extLst>
              <a:ext uri="{FF2B5EF4-FFF2-40B4-BE49-F238E27FC236}">
                <a16:creationId xmlns:a16="http://schemas.microsoft.com/office/drawing/2014/main" id="{88B4BD78-8B67-4D7B-9BD9-C99D09EAD176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0" name="Line 588">
            <a:extLst>
              <a:ext uri="{FF2B5EF4-FFF2-40B4-BE49-F238E27FC236}">
                <a16:creationId xmlns:a16="http://schemas.microsoft.com/office/drawing/2014/main" id="{10289758-5B4D-467E-A9F2-D0072C9AE1B7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31" name="Line 589">
            <a:extLst>
              <a:ext uri="{FF2B5EF4-FFF2-40B4-BE49-F238E27FC236}">
                <a16:creationId xmlns:a16="http://schemas.microsoft.com/office/drawing/2014/main" id="{90E06CE6-55C5-4F01-A930-36269E853A2D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68</xdr:row>
      <xdr:rowOff>85725</xdr:rowOff>
    </xdr:from>
    <xdr:to>
      <xdr:col>4</xdr:col>
      <xdr:colOff>0</xdr:colOff>
      <xdr:row>68</xdr:row>
      <xdr:rowOff>114300</xdr:rowOff>
    </xdr:to>
    <xdr:grpSp>
      <xdr:nvGrpSpPr>
        <xdr:cNvPr id="562" name="Group 610">
          <a:extLst>
            <a:ext uri="{FF2B5EF4-FFF2-40B4-BE49-F238E27FC236}">
              <a16:creationId xmlns:a16="http://schemas.microsoft.com/office/drawing/2014/main" id="{E4D2FAA9-6A07-40B4-9287-C685EAA10E70}"/>
            </a:ext>
          </a:extLst>
        </xdr:cNvPr>
        <xdr:cNvGrpSpPr>
          <a:grpSpLocks/>
        </xdr:cNvGrpSpPr>
      </xdr:nvGrpSpPr>
      <xdr:grpSpPr bwMode="auto">
        <a:xfrm>
          <a:off x="6581775" y="13154025"/>
          <a:ext cx="0" cy="28575"/>
          <a:chOff x="454" y="139"/>
          <a:chExt cx="519" cy="0"/>
        </a:xfrm>
      </xdr:grpSpPr>
      <xdr:sp macro="" textlink="">
        <xdr:nvSpPr>
          <xdr:cNvPr id="563" name="Line 611">
            <a:extLst>
              <a:ext uri="{FF2B5EF4-FFF2-40B4-BE49-F238E27FC236}">
                <a16:creationId xmlns:a16="http://schemas.microsoft.com/office/drawing/2014/main" id="{A77D0A20-B6EB-46AD-9167-EE26755DC3D5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4" name="Line 612">
            <a:extLst>
              <a:ext uri="{FF2B5EF4-FFF2-40B4-BE49-F238E27FC236}">
                <a16:creationId xmlns:a16="http://schemas.microsoft.com/office/drawing/2014/main" id="{F8D99676-6D50-406F-B761-A7B18342E844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5" name="Line 613">
            <a:extLst>
              <a:ext uri="{FF2B5EF4-FFF2-40B4-BE49-F238E27FC236}">
                <a16:creationId xmlns:a16="http://schemas.microsoft.com/office/drawing/2014/main" id="{106E7937-35DC-4828-A278-4B2ECD2CEA73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6" name="Line 614">
            <a:extLst>
              <a:ext uri="{FF2B5EF4-FFF2-40B4-BE49-F238E27FC236}">
                <a16:creationId xmlns:a16="http://schemas.microsoft.com/office/drawing/2014/main" id="{DD0B797C-0E79-47E3-AD84-DB2D208D70C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68</xdr:row>
      <xdr:rowOff>85725</xdr:rowOff>
    </xdr:from>
    <xdr:to>
      <xdr:col>10</xdr:col>
      <xdr:colOff>0</xdr:colOff>
      <xdr:row>68</xdr:row>
      <xdr:rowOff>114300</xdr:rowOff>
    </xdr:to>
    <xdr:grpSp>
      <xdr:nvGrpSpPr>
        <xdr:cNvPr id="567" name="Group 620">
          <a:extLst>
            <a:ext uri="{FF2B5EF4-FFF2-40B4-BE49-F238E27FC236}">
              <a16:creationId xmlns:a16="http://schemas.microsoft.com/office/drawing/2014/main" id="{F42BB38F-AB06-4730-886A-B85B17D596E5}"/>
            </a:ext>
          </a:extLst>
        </xdr:cNvPr>
        <xdr:cNvGrpSpPr>
          <a:grpSpLocks/>
        </xdr:cNvGrpSpPr>
      </xdr:nvGrpSpPr>
      <xdr:grpSpPr bwMode="auto">
        <a:xfrm>
          <a:off x="14354175" y="13154025"/>
          <a:ext cx="0" cy="28575"/>
          <a:chOff x="454" y="139"/>
          <a:chExt cx="519" cy="0"/>
        </a:xfrm>
      </xdr:grpSpPr>
      <xdr:sp macro="" textlink="">
        <xdr:nvSpPr>
          <xdr:cNvPr id="568" name="Line 621">
            <a:extLst>
              <a:ext uri="{FF2B5EF4-FFF2-40B4-BE49-F238E27FC236}">
                <a16:creationId xmlns:a16="http://schemas.microsoft.com/office/drawing/2014/main" id="{139F88AC-98C0-483C-9E7E-30CBC522C8E9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9" name="Line 622">
            <a:extLst>
              <a:ext uri="{FF2B5EF4-FFF2-40B4-BE49-F238E27FC236}">
                <a16:creationId xmlns:a16="http://schemas.microsoft.com/office/drawing/2014/main" id="{3B6A07D6-E4B1-4FC6-9428-F2316B4B195D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0" name="Line 623">
            <a:extLst>
              <a:ext uri="{FF2B5EF4-FFF2-40B4-BE49-F238E27FC236}">
                <a16:creationId xmlns:a16="http://schemas.microsoft.com/office/drawing/2014/main" id="{717499EE-B3D5-4A52-BDA7-3C93CB003EE8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1" name="Line 624">
            <a:extLst>
              <a:ext uri="{FF2B5EF4-FFF2-40B4-BE49-F238E27FC236}">
                <a16:creationId xmlns:a16="http://schemas.microsoft.com/office/drawing/2014/main" id="{0803953F-0393-4FF3-941F-4B81027309DF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68</xdr:row>
      <xdr:rowOff>57150</xdr:rowOff>
    </xdr:from>
    <xdr:to>
      <xdr:col>10</xdr:col>
      <xdr:colOff>0</xdr:colOff>
      <xdr:row>68</xdr:row>
      <xdr:rowOff>85725</xdr:rowOff>
    </xdr:to>
    <xdr:grpSp>
      <xdr:nvGrpSpPr>
        <xdr:cNvPr id="572" name="Group 630">
          <a:extLst>
            <a:ext uri="{FF2B5EF4-FFF2-40B4-BE49-F238E27FC236}">
              <a16:creationId xmlns:a16="http://schemas.microsoft.com/office/drawing/2014/main" id="{7CDCDDB2-75E5-4CB7-BCE6-74E133459271}"/>
            </a:ext>
          </a:extLst>
        </xdr:cNvPr>
        <xdr:cNvGrpSpPr>
          <a:grpSpLocks/>
        </xdr:cNvGrpSpPr>
      </xdr:nvGrpSpPr>
      <xdr:grpSpPr bwMode="auto">
        <a:xfrm flipV="1">
          <a:off x="14354175" y="13125450"/>
          <a:ext cx="0" cy="28575"/>
          <a:chOff x="454" y="139"/>
          <a:chExt cx="519" cy="0"/>
        </a:xfrm>
      </xdr:grpSpPr>
      <xdr:sp macro="" textlink="">
        <xdr:nvSpPr>
          <xdr:cNvPr id="573" name="Line 631">
            <a:extLst>
              <a:ext uri="{FF2B5EF4-FFF2-40B4-BE49-F238E27FC236}">
                <a16:creationId xmlns:a16="http://schemas.microsoft.com/office/drawing/2014/main" id="{ED85811C-3D7F-4C1B-8736-850193974B08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4" name="Line 632">
            <a:extLst>
              <a:ext uri="{FF2B5EF4-FFF2-40B4-BE49-F238E27FC236}">
                <a16:creationId xmlns:a16="http://schemas.microsoft.com/office/drawing/2014/main" id="{C917F0CA-C361-48D8-B558-A8B4FC3D59A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5" name="Line 633">
            <a:extLst>
              <a:ext uri="{FF2B5EF4-FFF2-40B4-BE49-F238E27FC236}">
                <a16:creationId xmlns:a16="http://schemas.microsoft.com/office/drawing/2014/main" id="{CB06142E-1CCD-4F66-93EE-07763A829B89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6" name="Line 634">
            <a:extLst>
              <a:ext uri="{FF2B5EF4-FFF2-40B4-BE49-F238E27FC236}">
                <a16:creationId xmlns:a16="http://schemas.microsoft.com/office/drawing/2014/main" id="{93F981D1-549A-49E4-B416-81B62E493D35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68</xdr:row>
      <xdr:rowOff>85725</xdr:rowOff>
    </xdr:from>
    <xdr:to>
      <xdr:col>10</xdr:col>
      <xdr:colOff>0</xdr:colOff>
      <xdr:row>68</xdr:row>
      <xdr:rowOff>114300</xdr:rowOff>
    </xdr:to>
    <xdr:grpSp>
      <xdr:nvGrpSpPr>
        <xdr:cNvPr id="577" name="Group 635">
          <a:extLst>
            <a:ext uri="{FF2B5EF4-FFF2-40B4-BE49-F238E27FC236}">
              <a16:creationId xmlns:a16="http://schemas.microsoft.com/office/drawing/2014/main" id="{CE26E6D8-5B19-4718-81B9-428BE77AE102}"/>
            </a:ext>
          </a:extLst>
        </xdr:cNvPr>
        <xdr:cNvGrpSpPr>
          <a:grpSpLocks/>
        </xdr:cNvGrpSpPr>
      </xdr:nvGrpSpPr>
      <xdr:grpSpPr bwMode="auto">
        <a:xfrm>
          <a:off x="14354175" y="13154025"/>
          <a:ext cx="0" cy="28575"/>
          <a:chOff x="454" y="139"/>
          <a:chExt cx="519" cy="0"/>
        </a:xfrm>
      </xdr:grpSpPr>
      <xdr:sp macro="" textlink="">
        <xdr:nvSpPr>
          <xdr:cNvPr id="578" name="Line 636">
            <a:extLst>
              <a:ext uri="{FF2B5EF4-FFF2-40B4-BE49-F238E27FC236}">
                <a16:creationId xmlns:a16="http://schemas.microsoft.com/office/drawing/2014/main" id="{BB46A3B5-6BCD-4687-A2D1-81AEA66D3363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9" name="Line 637">
            <a:extLst>
              <a:ext uri="{FF2B5EF4-FFF2-40B4-BE49-F238E27FC236}">
                <a16:creationId xmlns:a16="http://schemas.microsoft.com/office/drawing/2014/main" id="{318E6E57-848C-4084-98C8-1235061DEA0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0" name="Line 638">
            <a:extLst>
              <a:ext uri="{FF2B5EF4-FFF2-40B4-BE49-F238E27FC236}">
                <a16:creationId xmlns:a16="http://schemas.microsoft.com/office/drawing/2014/main" id="{F54E335F-2B46-4917-8F26-E5264EA4219E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1" name="Line 639">
            <a:extLst>
              <a:ext uri="{FF2B5EF4-FFF2-40B4-BE49-F238E27FC236}">
                <a16:creationId xmlns:a16="http://schemas.microsoft.com/office/drawing/2014/main" id="{4FCA0383-F83B-4BEA-B463-F8BC8AEE3B6E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68</xdr:row>
      <xdr:rowOff>85725</xdr:rowOff>
    </xdr:from>
    <xdr:to>
      <xdr:col>2</xdr:col>
      <xdr:colOff>0</xdr:colOff>
      <xdr:row>68</xdr:row>
      <xdr:rowOff>114300</xdr:rowOff>
    </xdr:to>
    <xdr:grpSp>
      <xdr:nvGrpSpPr>
        <xdr:cNvPr id="582" name="Group 645">
          <a:extLst>
            <a:ext uri="{FF2B5EF4-FFF2-40B4-BE49-F238E27FC236}">
              <a16:creationId xmlns:a16="http://schemas.microsoft.com/office/drawing/2014/main" id="{9BB98B42-2D91-4676-889D-4D7F6E2BC4E8}"/>
            </a:ext>
          </a:extLst>
        </xdr:cNvPr>
        <xdr:cNvGrpSpPr>
          <a:grpSpLocks/>
        </xdr:cNvGrpSpPr>
      </xdr:nvGrpSpPr>
      <xdr:grpSpPr bwMode="auto">
        <a:xfrm>
          <a:off x="4086225" y="13154025"/>
          <a:ext cx="0" cy="28575"/>
          <a:chOff x="454" y="139"/>
          <a:chExt cx="519" cy="0"/>
        </a:xfrm>
      </xdr:grpSpPr>
      <xdr:sp macro="" textlink="">
        <xdr:nvSpPr>
          <xdr:cNvPr id="583" name="Line 646">
            <a:extLst>
              <a:ext uri="{FF2B5EF4-FFF2-40B4-BE49-F238E27FC236}">
                <a16:creationId xmlns:a16="http://schemas.microsoft.com/office/drawing/2014/main" id="{5F71B919-BE55-40C8-B653-25FAFF7A8FB0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4" name="Line 647">
            <a:extLst>
              <a:ext uri="{FF2B5EF4-FFF2-40B4-BE49-F238E27FC236}">
                <a16:creationId xmlns:a16="http://schemas.microsoft.com/office/drawing/2014/main" id="{9DD70095-5D33-44C0-9510-AB5C205574A4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5" name="Line 648">
            <a:extLst>
              <a:ext uri="{FF2B5EF4-FFF2-40B4-BE49-F238E27FC236}">
                <a16:creationId xmlns:a16="http://schemas.microsoft.com/office/drawing/2014/main" id="{B6A79EAC-84BE-4819-86BF-B3BE44140E75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6" name="Line 649">
            <a:extLst>
              <a:ext uri="{FF2B5EF4-FFF2-40B4-BE49-F238E27FC236}">
                <a16:creationId xmlns:a16="http://schemas.microsoft.com/office/drawing/2014/main" id="{851E14C8-366E-4CB1-85B5-3572D447D3FE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68</xdr:row>
      <xdr:rowOff>85725</xdr:rowOff>
    </xdr:from>
    <xdr:to>
      <xdr:col>3</xdr:col>
      <xdr:colOff>0</xdr:colOff>
      <xdr:row>68</xdr:row>
      <xdr:rowOff>114300</xdr:rowOff>
    </xdr:to>
    <xdr:grpSp>
      <xdr:nvGrpSpPr>
        <xdr:cNvPr id="587" name="Group 655">
          <a:extLst>
            <a:ext uri="{FF2B5EF4-FFF2-40B4-BE49-F238E27FC236}">
              <a16:creationId xmlns:a16="http://schemas.microsoft.com/office/drawing/2014/main" id="{A14FD683-48B5-49D4-BA98-225D55910D4A}"/>
            </a:ext>
          </a:extLst>
        </xdr:cNvPr>
        <xdr:cNvGrpSpPr>
          <a:grpSpLocks/>
        </xdr:cNvGrpSpPr>
      </xdr:nvGrpSpPr>
      <xdr:grpSpPr bwMode="auto">
        <a:xfrm>
          <a:off x="5334000" y="13154025"/>
          <a:ext cx="0" cy="28575"/>
          <a:chOff x="454" y="139"/>
          <a:chExt cx="519" cy="0"/>
        </a:xfrm>
      </xdr:grpSpPr>
      <xdr:sp macro="" textlink="">
        <xdr:nvSpPr>
          <xdr:cNvPr id="588" name="Line 656">
            <a:extLst>
              <a:ext uri="{FF2B5EF4-FFF2-40B4-BE49-F238E27FC236}">
                <a16:creationId xmlns:a16="http://schemas.microsoft.com/office/drawing/2014/main" id="{7EEE14C6-7B1D-4020-9AC2-09101ED657E8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89" name="Line 657">
            <a:extLst>
              <a:ext uri="{FF2B5EF4-FFF2-40B4-BE49-F238E27FC236}">
                <a16:creationId xmlns:a16="http://schemas.microsoft.com/office/drawing/2014/main" id="{66A8EECC-AA6D-4DB4-87BC-0C4D46CBCEB3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0" name="Line 658">
            <a:extLst>
              <a:ext uri="{FF2B5EF4-FFF2-40B4-BE49-F238E27FC236}">
                <a16:creationId xmlns:a16="http://schemas.microsoft.com/office/drawing/2014/main" id="{5187F3A1-8F95-4B44-BFA1-4DF9EF802225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91" name="Line 659">
            <a:extLst>
              <a:ext uri="{FF2B5EF4-FFF2-40B4-BE49-F238E27FC236}">
                <a16:creationId xmlns:a16="http://schemas.microsoft.com/office/drawing/2014/main" id="{1FFB1451-7F5C-404C-8D18-E8574389A9B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74</xdr:row>
      <xdr:rowOff>104775</xdr:rowOff>
    </xdr:from>
    <xdr:to>
      <xdr:col>4</xdr:col>
      <xdr:colOff>0</xdr:colOff>
      <xdr:row>74</xdr:row>
      <xdr:rowOff>152400</xdr:rowOff>
    </xdr:to>
    <xdr:grpSp>
      <xdr:nvGrpSpPr>
        <xdr:cNvPr id="617" name="Group 339">
          <a:extLst>
            <a:ext uri="{FF2B5EF4-FFF2-40B4-BE49-F238E27FC236}">
              <a16:creationId xmlns:a16="http://schemas.microsoft.com/office/drawing/2014/main" id="{DC3BD41E-3C75-407C-813B-E304E8F0CB08}"/>
            </a:ext>
          </a:extLst>
        </xdr:cNvPr>
        <xdr:cNvGrpSpPr>
          <a:grpSpLocks/>
        </xdr:cNvGrpSpPr>
      </xdr:nvGrpSpPr>
      <xdr:grpSpPr bwMode="auto">
        <a:xfrm flipV="1">
          <a:off x="6581775" y="14258925"/>
          <a:ext cx="0" cy="47625"/>
          <a:chOff x="454" y="139"/>
          <a:chExt cx="519" cy="0"/>
        </a:xfrm>
      </xdr:grpSpPr>
      <xdr:sp macro="" textlink="">
        <xdr:nvSpPr>
          <xdr:cNvPr id="618" name="Line 340">
            <a:extLst>
              <a:ext uri="{FF2B5EF4-FFF2-40B4-BE49-F238E27FC236}">
                <a16:creationId xmlns:a16="http://schemas.microsoft.com/office/drawing/2014/main" id="{30F07EB6-146D-42BD-AA5E-15FD2DC4EA9A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19" name="Line 341">
            <a:extLst>
              <a:ext uri="{FF2B5EF4-FFF2-40B4-BE49-F238E27FC236}">
                <a16:creationId xmlns:a16="http://schemas.microsoft.com/office/drawing/2014/main" id="{C5810102-C6ED-4AC2-A897-CC1A72DAE2E6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20" name="Line 342">
            <a:extLst>
              <a:ext uri="{FF2B5EF4-FFF2-40B4-BE49-F238E27FC236}">
                <a16:creationId xmlns:a16="http://schemas.microsoft.com/office/drawing/2014/main" id="{977C399D-2CB8-4C1E-BA96-68752471D493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21" name="Line 343">
            <a:extLst>
              <a:ext uri="{FF2B5EF4-FFF2-40B4-BE49-F238E27FC236}">
                <a16:creationId xmlns:a16="http://schemas.microsoft.com/office/drawing/2014/main" id="{F21F195A-1615-41D9-B748-4A3FA656C2E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74</xdr:row>
      <xdr:rowOff>104775</xdr:rowOff>
    </xdr:from>
    <xdr:to>
      <xdr:col>4</xdr:col>
      <xdr:colOff>0</xdr:colOff>
      <xdr:row>74</xdr:row>
      <xdr:rowOff>152400</xdr:rowOff>
    </xdr:to>
    <xdr:grpSp>
      <xdr:nvGrpSpPr>
        <xdr:cNvPr id="622" name="Group 344">
          <a:extLst>
            <a:ext uri="{FF2B5EF4-FFF2-40B4-BE49-F238E27FC236}">
              <a16:creationId xmlns:a16="http://schemas.microsoft.com/office/drawing/2014/main" id="{69A09C61-1515-49A2-B42C-03C7E11190F6}"/>
            </a:ext>
          </a:extLst>
        </xdr:cNvPr>
        <xdr:cNvGrpSpPr>
          <a:grpSpLocks/>
        </xdr:cNvGrpSpPr>
      </xdr:nvGrpSpPr>
      <xdr:grpSpPr bwMode="auto">
        <a:xfrm flipV="1">
          <a:off x="6581775" y="14258925"/>
          <a:ext cx="0" cy="47625"/>
          <a:chOff x="454" y="139"/>
          <a:chExt cx="519" cy="0"/>
        </a:xfrm>
      </xdr:grpSpPr>
      <xdr:sp macro="" textlink="">
        <xdr:nvSpPr>
          <xdr:cNvPr id="623" name="Line 345">
            <a:extLst>
              <a:ext uri="{FF2B5EF4-FFF2-40B4-BE49-F238E27FC236}">
                <a16:creationId xmlns:a16="http://schemas.microsoft.com/office/drawing/2014/main" id="{417DEBB2-D757-4CCD-A632-A97A797FD880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24" name="Line 346">
            <a:extLst>
              <a:ext uri="{FF2B5EF4-FFF2-40B4-BE49-F238E27FC236}">
                <a16:creationId xmlns:a16="http://schemas.microsoft.com/office/drawing/2014/main" id="{E9DA2B03-32D2-4D65-BC3F-BE4341F141B4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25" name="Line 347">
            <a:extLst>
              <a:ext uri="{FF2B5EF4-FFF2-40B4-BE49-F238E27FC236}">
                <a16:creationId xmlns:a16="http://schemas.microsoft.com/office/drawing/2014/main" id="{B47C12EA-9A0C-40F5-8AEB-6EAEA1D4E8C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26" name="Line 348">
            <a:extLst>
              <a:ext uri="{FF2B5EF4-FFF2-40B4-BE49-F238E27FC236}">
                <a16:creationId xmlns:a16="http://schemas.microsoft.com/office/drawing/2014/main" id="{E01EF6D8-C9C4-454C-A512-17BCF22C199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74</xdr:row>
      <xdr:rowOff>104775</xdr:rowOff>
    </xdr:from>
    <xdr:to>
      <xdr:col>10</xdr:col>
      <xdr:colOff>0</xdr:colOff>
      <xdr:row>74</xdr:row>
      <xdr:rowOff>152400</xdr:rowOff>
    </xdr:to>
    <xdr:grpSp>
      <xdr:nvGrpSpPr>
        <xdr:cNvPr id="627" name="Group 455">
          <a:extLst>
            <a:ext uri="{FF2B5EF4-FFF2-40B4-BE49-F238E27FC236}">
              <a16:creationId xmlns:a16="http://schemas.microsoft.com/office/drawing/2014/main" id="{07F5DF55-5F07-4221-ADC3-D9C2BF4A2389}"/>
            </a:ext>
          </a:extLst>
        </xdr:cNvPr>
        <xdr:cNvGrpSpPr>
          <a:grpSpLocks/>
        </xdr:cNvGrpSpPr>
      </xdr:nvGrpSpPr>
      <xdr:grpSpPr bwMode="auto">
        <a:xfrm flipV="1">
          <a:off x="14354175" y="14258925"/>
          <a:ext cx="0" cy="47625"/>
          <a:chOff x="454" y="139"/>
          <a:chExt cx="519" cy="0"/>
        </a:xfrm>
      </xdr:grpSpPr>
      <xdr:sp macro="" textlink="">
        <xdr:nvSpPr>
          <xdr:cNvPr id="628" name="Line 456">
            <a:extLst>
              <a:ext uri="{FF2B5EF4-FFF2-40B4-BE49-F238E27FC236}">
                <a16:creationId xmlns:a16="http://schemas.microsoft.com/office/drawing/2014/main" id="{ED143A38-8A00-40C4-8E62-E31762004999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29" name="Line 457">
            <a:extLst>
              <a:ext uri="{FF2B5EF4-FFF2-40B4-BE49-F238E27FC236}">
                <a16:creationId xmlns:a16="http://schemas.microsoft.com/office/drawing/2014/main" id="{38A041F6-C387-4C20-BBC1-1AADAF61C6F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30" name="Line 458">
            <a:extLst>
              <a:ext uri="{FF2B5EF4-FFF2-40B4-BE49-F238E27FC236}">
                <a16:creationId xmlns:a16="http://schemas.microsoft.com/office/drawing/2014/main" id="{56EA9367-A8F1-4DBF-8F9B-3FC1B5E4A5ED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31" name="Line 459">
            <a:extLst>
              <a:ext uri="{FF2B5EF4-FFF2-40B4-BE49-F238E27FC236}">
                <a16:creationId xmlns:a16="http://schemas.microsoft.com/office/drawing/2014/main" id="{97FF0853-60A7-4971-B8EE-AA494B049C04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74</xdr:row>
      <xdr:rowOff>104775</xdr:rowOff>
    </xdr:from>
    <xdr:to>
      <xdr:col>2</xdr:col>
      <xdr:colOff>0</xdr:colOff>
      <xdr:row>74</xdr:row>
      <xdr:rowOff>152400</xdr:rowOff>
    </xdr:to>
    <xdr:grpSp>
      <xdr:nvGrpSpPr>
        <xdr:cNvPr id="632" name="Group 520">
          <a:extLst>
            <a:ext uri="{FF2B5EF4-FFF2-40B4-BE49-F238E27FC236}">
              <a16:creationId xmlns:a16="http://schemas.microsoft.com/office/drawing/2014/main" id="{DC896E5E-8511-4549-A66A-6B6EB76AC768}"/>
            </a:ext>
          </a:extLst>
        </xdr:cNvPr>
        <xdr:cNvGrpSpPr>
          <a:grpSpLocks/>
        </xdr:cNvGrpSpPr>
      </xdr:nvGrpSpPr>
      <xdr:grpSpPr bwMode="auto">
        <a:xfrm flipV="1">
          <a:off x="4086225" y="14258925"/>
          <a:ext cx="0" cy="47625"/>
          <a:chOff x="454" y="139"/>
          <a:chExt cx="519" cy="0"/>
        </a:xfrm>
      </xdr:grpSpPr>
      <xdr:sp macro="" textlink="">
        <xdr:nvSpPr>
          <xdr:cNvPr id="633" name="Line 521">
            <a:extLst>
              <a:ext uri="{FF2B5EF4-FFF2-40B4-BE49-F238E27FC236}">
                <a16:creationId xmlns:a16="http://schemas.microsoft.com/office/drawing/2014/main" id="{E23FE9C9-5AF7-4877-80D1-F0DB433B460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34" name="Line 522">
            <a:extLst>
              <a:ext uri="{FF2B5EF4-FFF2-40B4-BE49-F238E27FC236}">
                <a16:creationId xmlns:a16="http://schemas.microsoft.com/office/drawing/2014/main" id="{E376C12C-B664-4570-BD00-8CADE718E0D4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35" name="Line 523">
            <a:extLst>
              <a:ext uri="{FF2B5EF4-FFF2-40B4-BE49-F238E27FC236}">
                <a16:creationId xmlns:a16="http://schemas.microsoft.com/office/drawing/2014/main" id="{A28D8117-0B0C-4CB8-8B2F-68A67518B24E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36" name="Line 524">
            <a:extLst>
              <a:ext uri="{FF2B5EF4-FFF2-40B4-BE49-F238E27FC236}">
                <a16:creationId xmlns:a16="http://schemas.microsoft.com/office/drawing/2014/main" id="{71246F11-7920-4140-9B33-08441FFBBE5F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74</xdr:row>
      <xdr:rowOff>104775</xdr:rowOff>
    </xdr:from>
    <xdr:to>
      <xdr:col>2</xdr:col>
      <xdr:colOff>0</xdr:colOff>
      <xdr:row>74</xdr:row>
      <xdr:rowOff>152400</xdr:rowOff>
    </xdr:to>
    <xdr:grpSp>
      <xdr:nvGrpSpPr>
        <xdr:cNvPr id="637" name="Group 525">
          <a:extLst>
            <a:ext uri="{FF2B5EF4-FFF2-40B4-BE49-F238E27FC236}">
              <a16:creationId xmlns:a16="http://schemas.microsoft.com/office/drawing/2014/main" id="{18B82585-24FD-4B9A-8982-F996C86CA876}"/>
            </a:ext>
          </a:extLst>
        </xdr:cNvPr>
        <xdr:cNvGrpSpPr>
          <a:grpSpLocks/>
        </xdr:cNvGrpSpPr>
      </xdr:nvGrpSpPr>
      <xdr:grpSpPr bwMode="auto">
        <a:xfrm flipV="1">
          <a:off x="4086225" y="14258925"/>
          <a:ext cx="0" cy="47625"/>
          <a:chOff x="454" y="139"/>
          <a:chExt cx="519" cy="0"/>
        </a:xfrm>
      </xdr:grpSpPr>
      <xdr:sp macro="" textlink="">
        <xdr:nvSpPr>
          <xdr:cNvPr id="638" name="Line 526">
            <a:extLst>
              <a:ext uri="{FF2B5EF4-FFF2-40B4-BE49-F238E27FC236}">
                <a16:creationId xmlns:a16="http://schemas.microsoft.com/office/drawing/2014/main" id="{22988EC0-231C-4587-8C79-839BB480783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39" name="Line 527">
            <a:extLst>
              <a:ext uri="{FF2B5EF4-FFF2-40B4-BE49-F238E27FC236}">
                <a16:creationId xmlns:a16="http://schemas.microsoft.com/office/drawing/2014/main" id="{35E72C66-F12C-4188-AE00-E6C778C9959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0" name="Line 528">
            <a:extLst>
              <a:ext uri="{FF2B5EF4-FFF2-40B4-BE49-F238E27FC236}">
                <a16:creationId xmlns:a16="http://schemas.microsoft.com/office/drawing/2014/main" id="{0E6A9D64-B721-4A7A-A0FA-3BFC70A48B86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1" name="Line 529">
            <a:extLst>
              <a:ext uri="{FF2B5EF4-FFF2-40B4-BE49-F238E27FC236}">
                <a16:creationId xmlns:a16="http://schemas.microsoft.com/office/drawing/2014/main" id="{35BBD71F-F246-4912-9248-DE21B081165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77</xdr:row>
      <xdr:rowOff>104775</xdr:rowOff>
    </xdr:from>
    <xdr:to>
      <xdr:col>4</xdr:col>
      <xdr:colOff>0</xdr:colOff>
      <xdr:row>77</xdr:row>
      <xdr:rowOff>152400</xdr:rowOff>
    </xdr:to>
    <xdr:grpSp>
      <xdr:nvGrpSpPr>
        <xdr:cNvPr id="642" name="Group 339">
          <a:extLst>
            <a:ext uri="{FF2B5EF4-FFF2-40B4-BE49-F238E27FC236}">
              <a16:creationId xmlns:a16="http://schemas.microsoft.com/office/drawing/2014/main" id="{6A570931-EF7F-4176-B519-C11B5F66E1B4}"/>
            </a:ext>
          </a:extLst>
        </xdr:cNvPr>
        <xdr:cNvGrpSpPr>
          <a:grpSpLocks/>
        </xdr:cNvGrpSpPr>
      </xdr:nvGrpSpPr>
      <xdr:grpSpPr bwMode="auto">
        <a:xfrm flipV="1">
          <a:off x="6581775" y="14801850"/>
          <a:ext cx="0" cy="47625"/>
          <a:chOff x="454" y="139"/>
          <a:chExt cx="519" cy="0"/>
        </a:xfrm>
      </xdr:grpSpPr>
      <xdr:sp macro="" textlink="">
        <xdr:nvSpPr>
          <xdr:cNvPr id="643" name="Line 340">
            <a:extLst>
              <a:ext uri="{FF2B5EF4-FFF2-40B4-BE49-F238E27FC236}">
                <a16:creationId xmlns:a16="http://schemas.microsoft.com/office/drawing/2014/main" id="{741CBDBF-F8DF-44CD-B26F-231AECF2AC3D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4" name="Line 341">
            <a:extLst>
              <a:ext uri="{FF2B5EF4-FFF2-40B4-BE49-F238E27FC236}">
                <a16:creationId xmlns:a16="http://schemas.microsoft.com/office/drawing/2014/main" id="{CA8C1432-A637-43B3-8BA4-841B10C82115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5" name="Line 342">
            <a:extLst>
              <a:ext uri="{FF2B5EF4-FFF2-40B4-BE49-F238E27FC236}">
                <a16:creationId xmlns:a16="http://schemas.microsoft.com/office/drawing/2014/main" id="{7E943058-ED60-4C0F-B198-DC605401F01A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6" name="Line 343">
            <a:extLst>
              <a:ext uri="{FF2B5EF4-FFF2-40B4-BE49-F238E27FC236}">
                <a16:creationId xmlns:a16="http://schemas.microsoft.com/office/drawing/2014/main" id="{593478C2-506B-4278-9807-A81B774663CE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77</xdr:row>
      <xdr:rowOff>104775</xdr:rowOff>
    </xdr:from>
    <xdr:to>
      <xdr:col>4</xdr:col>
      <xdr:colOff>0</xdr:colOff>
      <xdr:row>77</xdr:row>
      <xdr:rowOff>152400</xdr:rowOff>
    </xdr:to>
    <xdr:grpSp>
      <xdr:nvGrpSpPr>
        <xdr:cNvPr id="647" name="Group 344">
          <a:extLst>
            <a:ext uri="{FF2B5EF4-FFF2-40B4-BE49-F238E27FC236}">
              <a16:creationId xmlns:a16="http://schemas.microsoft.com/office/drawing/2014/main" id="{F40B0A2F-39D6-45E2-8EE7-175E979A9567}"/>
            </a:ext>
          </a:extLst>
        </xdr:cNvPr>
        <xdr:cNvGrpSpPr>
          <a:grpSpLocks/>
        </xdr:cNvGrpSpPr>
      </xdr:nvGrpSpPr>
      <xdr:grpSpPr bwMode="auto">
        <a:xfrm flipV="1">
          <a:off x="6581775" y="14801850"/>
          <a:ext cx="0" cy="47625"/>
          <a:chOff x="454" y="139"/>
          <a:chExt cx="519" cy="0"/>
        </a:xfrm>
      </xdr:grpSpPr>
      <xdr:sp macro="" textlink="">
        <xdr:nvSpPr>
          <xdr:cNvPr id="648" name="Line 345">
            <a:extLst>
              <a:ext uri="{FF2B5EF4-FFF2-40B4-BE49-F238E27FC236}">
                <a16:creationId xmlns:a16="http://schemas.microsoft.com/office/drawing/2014/main" id="{BB3E9766-82A3-44FE-BCE0-BAD84C2D770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49" name="Line 346">
            <a:extLst>
              <a:ext uri="{FF2B5EF4-FFF2-40B4-BE49-F238E27FC236}">
                <a16:creationId xmlns:a16="http://schemas.microsoft.com/office/drawing/2014/main" id="{8859BB80-0456-42BE-AC4F-A47AE021569F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50" name="Line 347">
            <a:extLst>
              <a:ext uri="{FF2B5EF4-FFF2-40B4-BE49-F238E27FC236}">
                <a16:creationId xmlns:a16="http://schemas.microsoft.com/office/drawing/2014/main" id="{419C4922-E7CB-4170-9E9C-365E4886FDE3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51" name="Line 348">
            <a:extLst>
              <a:ext uri="{FF2B5EF4-FFF2-40B4-BE49-F238E27FC236}">
                <a16:creationId xmlns:a16="http://schemas.microsoft.com/office/drawing/2014/main" id="{D821A75E-A532-4408-A91B-EA0B4BA5E1C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77</xdr:row>
      <xdr:rowOff>104775</xdr:rowOff>
    </xdr:from>
    <xdr:to>
      <xdr:col>10</xdr:col>
      <xdr:colOff>0</xdr:colOff>
      <xdr:row>77</xdr:row>
      <xdr:rowOff>152400</xdr:rowOff>
    </xdr:to>
    <xdr:grpSp>
      <xdr:nvGrpSpPr>
        <xdr:cNvPr id="652" name="Group 455">
          <a:extLst>
            <a:ext uri="{FF2B5EF4-FFF2-40B4-BE49-F238E27FC236}">
              <a16:creationId xmlns:a16="http://schemas.microsoft.com/office/drawing/2014/main" id="{47F7C1DB-C3D0-4791-B360-373BA32A9B07}"/>
            </a:ext>
          </a:extLst>
        </xdr:cNvPr>
        <xdr:cNvGrpSpPr>
          <a:grpSpLocks/>
        </xdr:cNvGrpSpPr>
      </xdr:nvGrpSpPr>
      <xdr:grpSpPr bwMode="auto">
        <a:xfrm flipV="1">
          <a:off x="14354175" y="14801850"/>
          <a:ext cx="0" cy="47625"/>
          <a:chOff x="454" y="139"/>
          <a:chExt cx="519" cy="0"/>
        </a:xfrm>
      </xdr:grpSpPr>
      <xdr:sp macro="" textlink="">
        <xdr:nvSpPr>
          <xdr:cNvPr id="653" name="Line 456">
            <a:extLst>
              <a:ext uri="{FF2B5EF4-FFF2-40B4-BE49-F238E27FC236}">
                <a16:creationId xmlns:a16="http://schemas.microsoft.com/office/drawing/2014/main" id="{D4828C6B-C76B-41C6-902C-015065145E3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54" name="Line 457">
            <a:extLst>
              <a:ext uri="{FF2B5EF4-FFF2-40B4-BE49-F238E27FC236}">
                <a16:creationId xmlns:a16="http://schemas.microsoft.com/office/drawing/2014/main" id="{3694ADB3-5236-4590-A2CA-2529191895CC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55" name="Line 458">
            <a:extLst>
              <a:ext uri="{FF2B5EF4-FFF2-40B4-BE49-F238E27FC236}">
                <a16:creationId xmlns:a16="http://schemas.microsoft.com/office/drawing/2014/main" id="{797ED2F7-2A42-41DC-ACB0-EFBC062F3AB9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56" name="Line 459">
            <a:extLst>
              <a:ext uri="{FF2B5EF4-FFF2-40B4-BE49-F238E27FC236}">
                <a16:creationId xmlns:a16="http://schemas.microsoft.com/office/drawing/2014/main" id="{87EACEB6-6EBF-432D-824C-F6ED78A08B0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77</xdr:row>
      <xdr:rowOff>104775</xdr:rowOff>
    </xdr:from>
    <xdr:to>
      <xdr:col>2</xdr:col>
      <xdr:colOff>0</xdr:colOff>
      <xdr:row>77</xdr:row>
      <xdr:rowOff>152400</xdr:rowOff>
    </xdr:to>
    <xdr:grpSp>
      <xdr:nvGrpSpPr>
        <xdr:cNvPr id="657" name="Group 520">
          <a:extLst>
            <a:ext uri="{FF2B5EF4-FFF2-40B4-BE49-F238E27FC236}">
              <a16:creationId xmlns:a16="http://schemas.microsoft.com/office/drawing/2014/main" id="{C626305F-703A-4601-9B2A-2B085588127E}"/>
            </a:ext>
          </a:extLst>
        </xdr:cNvPr>
        <xdr:cNvGrpSpPr>
          <a:grpSpLocks/>
        </xdr:cNvGrpSpPr>
      </xdr:nvGrpSpPr>
      <xdr:grpSpPr bwMode="auto">
        <a:xfrm flipV="1">
          <a:off x="4086225" y="14801850"/>
          <a:ext cx="0" cy="47625"/>
          <a:chOff x="454" y="139"/>
          <a:chExt cx="519" cy="0"/>
        </a:xfrm>
      </xdr:grpSpPr>
      <xdr:sp macro="" textlink="">
        <xdr:nvSpPr>
          <xdr:cNvPr id="658" name="Line 521">
            <a:extLst>
              <a:ext uri="{FF2B5EF4-FFF2-40B4-BE49-F238E27FC236}">
                <a16:creationId xmlns:a16="http://schemas.microsoft.com/office/drawing/2014/main" id="{02D15778-69C7-4F22-B948-EEDC1747516F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59" name="Line 522">
            <a:extLst>
              <a:ext uri="{FF2B5EF4-FFF2-40B4-BE49-F238E27FC236}">
                <a16:creationId xmlns:a16="http://schemas.microsoft.com/office/drawing/2014/main" id="{FC4A5F5A-2A0A-4992-BA21-9CD4FDCBF1C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0" name="Line 523">
            <a:extLst>
              <a:ext uri="{FF2B5EF4-FFF2-40B4-BE49-F238E27FC236}">
                <a16:creationId xmlns:a16="http://schemas.microsoft.com/office/drawing/2014/main" id="{B6C66E6E-7580-41CB-B576-07CBF3BDA0E4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1" name="Line 524">
            <a:extLst>
              <a:ext uri="{FF2B5EF4-FFF2-40B4-BE49-F238E27FC236}">
                <a16:creationId xmlns:a16="http://schemas.microsoft.com/office/drawing/2014/main" id="{DB83955E-D93C-4382-B90F-E5FBA4C89C20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77</xdr:row>
      <xdr:rowOff>104775</xdr:rowOff>
    </xdr:from>
    <xdr:to>
      <xdr:col>2</xdr:col>
      <xdr:colOff>0</xdr:colOff>
      <xdr:row>77</xdr:row>
      <xdr:rowOff>152400</xdr:rowOff>
    </xdr:to>
    <xdr:grpSp>
      <xdr:nvGrpSpPr>
        <xdr:cNvPr id="662" name="Group 525">
          <a:extLst>
            <a:ext uri="{FF2B5EF4-FFF2-40B4-BE49-F238E27FC236}">
              <a16:creationId xmlns:a16="http://schemas.microsoft.com/office/drawing/2014/main" id="{2F359210-C5B6-4183-AB18-AD5F2AC57CBE}"/>
            </a:ext>
          </a:extLst>
        </xdr:cNvPr>
        <xdr:cNvGrpSpPr>
          <a:grpSpLocks/>
        </xdr:cNvGrpSpPr>
      </xdr:nvGrpSpPr>
      <xdr:grpSpPr bwMode="auto">
        <a:xfrm flipV="1">
          <a:off x="4086225" y="14801850"/>
          <a:ext cx="0" cy="47625"/>
          <a:chOff x="454" y="139"/>
          <a:chExt cx="519" cy="0"/>
        </a:xfrm>
      </xdr:grpSpPr>
      <xdr:sp macro="" textlink="">
        <xdr:nvSpPr>
          <xdr:cNvPr id="663" name="Line 526">
            <a:extLst>
              <a:ext uri="{FF2B5EF4-FFF2-40B4-BE49-F238E27FC236}">
                <a16:creationId xmlns:a16="http://schemas.microsoft.com/office/drawing/2014/main" id="{88897741-B530-4DEC-9A3B-8BA781DECCAC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4" name="Line 527">
            <a:extLst>
              <a:ext uri="{FF2B5EF4-FFF2-40B4-BE49-F238E27FC236}">
                <a16:creationId xmlns:a16="http://schemas.microsoft.com/office/drawing/2014/main" id="{6FC90895-9BC4-4FD4-9CAC-7654AF8C56E5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5" name="Line 528">
            <a:extLst>
              <a:ext uri="{FF2B5EF4-FFF2-40B4-BE49-F238E27FC236}">
                <a16:creationId xmlns:a16="http://schemas.microsoft.com/office/drawing/2014/main" id="{46094487-18E2-44E9-8B38-0A9511F94538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6" name="Line 529">
            <a:extLst>
              <a:ext uri="{FF2B5EF4-FFF2-40B4-BE49-F238E27FC236}">
                <a16:creationId xmlns:a16="http://schemas.microsoft.com/office/drawing/2014/main" id="{4EBF0131-64B6-4A91-92DE-9B598B5477F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80</xdr:row>
      <xdr:rowOff>104775</xdr:rowOff>
    </xdr:from>
    <xdr:to>
      <xdr:col>4</xdr:col>
      <xdr:colOff>0</xdr:colOff>
      <xdr:row>80</xdr:row>
      <xdr:rowOff>152400</xdr:rowOff>
    </xdr:to>
    <xdr:grpSp>
      <xdr:nvGrpSpPr>
        <xdr:cNvPr id="667" name="Group 339">
          <a:extLst>
            <a:ext uri="{FF2B5EF4-FFF2-40B4-BE49-F238E27FC236}">
              <a16:creationId xmlns:a16="http://schemas.microsoft.com/office/drawing/2014/main" id="{802C17F4-2919-470C-9475-7F4759231F03}"/>
            </a:ext>
          </a:extLst>
        </xdr:cNvPr>
        <xdr:cNvGrpSpPr>
          <a:grpSpLocks/>
        </xdr:cNvGrpSpPr>
      </xdr:nvGrpSpPr>
      <xdr:grpSpPr bwMode="auto">
        <a:xfrm flipV="1">
          <a:off x="6581775" y="15525750"/>
          <a:ext cx="0" cy="47625"/>
          <a:chOff x="454" y="139"/>
          <a:chExt cx="519" cy="0"/>
        </a:xfrm>
      </xdr:grpSpPr>
      <xdr:sp macro="" textlink="">
        <xdr:nvSpPr>
          <xdr:cNvPr id="668" name="Line 340">
            <a:extLst>
              <a:ext uri="{FF2B5EF4-FFF2-40B4-BE49-F238E27FC236}">
                <a16:creationId xmlns:a16="http://schemas.microsoft.com/office/drawing/2014/main" id="{511F2934-7081-41AA-A304-7D1F633A730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69" name="Line 341">
            <a:extLst>
              <a:ext uri="{FF2B5EF4-FFF2-40B4-BE49-F238E27FC236}">
                <a16:creationId xmlns:a16="http://schemas.microsoft.com/office/drawing/2014/main" id="{92916DA6-C933-4797-9D28-B53757C6D4B0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0" name="Line 342">
            <a:extLst>
              <a:ext uri="{FF2B5EF4-FFF2-40B4-BE49-F238E27FC236}">
                <a16:creationId xmlns:a16="http://schemas.microsoft.com/office/drawing/2014/main" id="{8E36B8F1-71D5-4320-A98B-9918F0F50380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1" name="Line 343">
            <a:extLst>
              <a:ext uri="{FF2B5EF4-FFF2-40B4-BE49-F238E27FC236}">
                <a16:creationId xmlns:a16="http://schemas.microsoft.com/office/drawing/2014/main" id="{82EB4A04-B830-4D79-91E1-CD139D8CD7B8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80</xdr:row>
      <xdr:rowOff>104775</xdr:rowOff>
    </xdr:from>
    <xdr:to>
      <xdr:col>4</xdr:col>
      <xdr:colOff>0</xdr:colOff>
      <xdr:row>80</xdr:row>
      <xdr:rowOff>152400</xdr:rowOff>
    </xdr:to>
    <xdr:grpSp>
      <xdr:nvGrpSpPr>
        <xdr:cNvPr id="672" name="Group 344">
          <a:extLst>
            <a:ext uri="{FF2B5EF4-FFF2-40B4-BE49-F238E27FC236}">
              <a16:creationId xmlns:a16="http://schemas.microsoft.com/office/drawing/2014/main" id="{668736F3-C224-4A59-BEE8-2957D9996842}"/>
            </a:ext>
          </a:extLst>
        </xdr:cNvPr>
        <xdr:cNvGrpSpPr>
          <a:grpSpLocks/>
        </xdr:cNvGrpSpPr>
      </xdr:nvGrpSpPr>
      <xdr:grpSpPr bwMode="auto">
        <a:xfrm flipV="1">
          <a:off x="6581775" y="15525750"/>
          <a:ext cx="0" cy="47625"/>
          <a:chOff x="454" y="139"/>
          <a:chExt cx="519" cy="0"/>
        </a:xfrm>
      </xdr:grpSpPr>
      <xdr:sp macro="" textlink="">
        <xdr:nvSpPr>
          <xdr:cNvPr id="673" name="Line 345">
            <a:extLst>
              <a:ext uri="{FF2B5EF4-FFF2-40B4-BE49-F238E27FC236}">
                <a16:creationId xmlns:a16="http://schemas.microsoft.com/office/drawing/2014/main" id="{B30416E6-0CB1-4D3D-8C43-106AC6165483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4" name="Line 346">
            <a:extLst>
              <a:ext uri="{FF2B5EF4-FFF2-40B4-BE49-F238E27FC236}">
                <a16:creationId xmlns:a16="http://schemas.microsoft.com/office/drawing/2014/main" id="{18D2E168-D032-481E-BF56-FE9E2C29C854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5" name="Line 347">
            <a:extLst>
              <a:ext uri="{FF2B5EF4-FFF2-40B4-BE49-F238E27FC236}">
                <a16:creationId xmlns:a16="http://schemas.microsoft.com/office/drawing/2014/main" id="{65D9341D-DF5D-45C7-B62B-599B29438B18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6" name="Line 348">
            <a:extLst>
              <a:ext uri="{FF2B5EF4-FFF2-40B4-BE49-F238E27FC236}">
                <a16:creationId xmlns:a16="http://schemas.microsoft.com/office/drawing/2014/main" id="{7488D43C-5AF3-4BD6-A721-4F57F5588B45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80</xdr:row>
      <xdr:rowOff>104775</xdr:rowOff>
    </xdr:from>
    <xdr:to>
      <xdr:col>2</xdr:col>
      <xdr:colOff>0</xdr:colOff>
      <xdr:row>80</xdr:row>
      <xdr:rowOff>152400</xdr:rowOff>
    </xdr:to>
    <xdr:grpSp>
      <xdr:nvGrpSpPr>
        <xdr:cNvPr id="677" name="Group 520">
          <a:extLst>
            <a:ext uri="{FF2B5EF4-FFF2-40B4-BE49-F238E27FC236}">
              <a16:creationId xmlns:a16="http://schemas.microsoft.com/office/drawing/2014/main" id="{60AD7E1E-B561-40B7-9439-295F7CC1AC0D}"/>
            </a:ext>
          </a:extLst>
        </xdr:cNvPr>
        <xdr:cNvGrpSpPr>
          <a:grpSpLocks/>
        </xdr:cNvGrpSpPr>
      </xdr:nvGrpSpPr>
      <xdr:grpSpPr bwMode="auto">
        <a:xfrm flipV="1">
          <a:off x="4086225" y="15525750"/>
          <a:ext cx="0" cy="47625"/>
          <a:chOff x="454" y="139"/>
          <a:chExt cx="519" cy="0"/>
        </a:xfrm>
      </xdr:grpSpPr>
      <xdr:sp macro="" textlink="">
        <xdr:nvSpPr>
          <xdr:cNvPr id="678" name="Line 521">
            <a:extLst>
              <a:ext uri="{FF2B5EF4-FFF2-40B4-BE49-F238E27FC236}">
                <a16:creationId xmlns:a16="http://schemas.microsoft.com/office/drawing/2014/main" id="{F715EA45-FC89-4DF6-B2E0-56E1466BF731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9" name="Line 522">
            <a:extLst>
              <a:ext uri="{FF2B5EF4-FFF2-40B4-BE49-F238E27FC236}">
                <a16:creationId xmlns:a16="http://schemas.microsoft.com/office/drawing/2014/main" id="{AE8E5BC2-2F3E-41F9-9240-CBB898DEA5CC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0" name="Line 523">
            <a:extLst>
              <a:ext uri="{FF2B5EF4-FFF2-40B4-BE49-F238E27FC236}">
                <a16:creationId xmlns:a16="http://schemas.microsoft.com/office/drawing/2014/main" id="{A0B8F456-E8BF-4254-A05D-E2F12E49F2F0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1" name="Line 524">
            <a:extLst>
              <a:ext uri="{FF2B5EF4-FFF2-40B4-BE49-F238E27FC236}">
                <a16:creationId xmlns:a16="http://schemas.microsoft.com/office/drawing/2014/main" id="{F5F93922-BFA1-44AB-939F-6E53945E85B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80</xdr:row>
      <xdr:rowOff>104775</xdr:rowOff>
    </xdr:from>
    <xdr:to>
      <xdr:col>2</xdr:col>
      <xdr:colOff>0</xdr:colOff>
      <xdr:row>80</xdr:row>
      <xdr:rowOff>152400</xdr:rowOff>
    </xdr:to>
    <xdr:grpSp>
      <xdr:nvGrpSpPr>
        <xdr:cNvPr id="682" name="Group 525">
          <a:extLst>
            <a:ext uri="{FF2B5EF4-FFF2-40B4-BE49-F238E27FC236}">
              <a16:creationId xmlns:a16="http://schemas.microsoft.com/office/drawing/2014/main" id="{0113B992-F546-4EF9-927C-4C47C9DF050C}"/>
            </a:ext>
          </a:extLst>
        </xdr:cNvPr>
        <xdr:cNvGrpSpPr>
          <a:grpSpLocks/>
        </xdr:cNvGrpSpPr>
      </xdr:nvGrpSpPr>
      <xdr:grpSpPr bwMode="auto">
        <a:xfrm flipV="1">
          <a:off x="4086225" y="15525750"/>
          <a:ext cx="0" cy="47625"/>
          <a:chOff x="454" y="139"/>
          <a:chExt cx="519" cy="0"/>
        </a:xfrm>
      </xdr:grpSpPr>
      <xdr:sp macro="" textlink="">
        <xdr:nvSpPr>
          <xdr:cNvPr id="683" name="Line 526">
            <a:extLst>
              <a:ext uri="{FF2B5EF4-FFF2-40B4-BE49-F238E27FC236}">
                <a16:creationId xmlns:a16="http://schemas.microsoft.com/office/drawing/2014/main" id="{5F5BDEC7-B91E-4D5D-8F30-ECCA8775CDE9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4" name="Line 527">
            <a:extLst>
              <a:ext uri="{FF2B5EF4-FFF2-40B4-BE49-F238E27FC236}">
                <a16:creationId xmlns:a16="http://schemas.microsoft.com/office/drawing/2014/main" id="{F40CA38F-7828-43AF-8174-0E12BF0D3800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5" name="Line 528">
            <a:extLst>
              <a:ext uri="{FF2B5EF4-FFF2-40B4-BE49-F238E27FC236}">
                <a16:creationId xmlns:a16="http://schemas.microsoft.com/office/drawing/2014/main" id="{19C0B7FC-4DBD-48DF-9E0E-69F1306371E4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6" name="Line 529">
            <a:extLst>
              <a:ext uri="{FF2B5EF4-FFF2-40B4-BE49-F238E27FC236}">
                <a16:creationId xmlns:a16="http://schemas.microsoft.com/office/drawing/2014/main" id="{186AFD91-EA15-4F1E-A6F7-A655B51DBB9D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83</xdr:row>
      <xdr:rowOff>85725</xdr:rowOff>
    </xdr:from>
    <xdr:to>
      <xdr:col>4</xdr:col>
      <xdr:colOff>0</xdr:colOff>
      <xdr:row>83</xdr:row>
      <xdr:rowOff>114300</xdr:rowOff>
    </xdr:to>
    <xdr:grpSp>
      <xdr:nvGrpSpPr>
        <xdr:cNvPr id="687" name="Group 430">
          <a:extLst>
            <a:ext uri="{FF2B5EF4-FFF2-40B4-BE49-F238E27FC236}">
              <a16:creationId xmlns:a16="http://schemas.microsoft.com/office/drawing/2014/main" id="{27E4ACCC-B9A0-440C-9757-B2D19D729DA3}"/>
            </a:ext>
          </a:extLst>
        </xdr:cNvPr>
        <xdr:cNvGrpSpPr>
          <a:grpSpLocks/>
        </xdr:cNvGrpSpPr>
      </xdr:nvGrpSpPr>
      <xdr:grpSpPr bwMode="auto">
        <a:xfrm>
          <a:off x="6581775" y="16230600"/>
          <a:ext cx="0" cy="28575"/>
          <a:chOff x="454" y="139"/>
          <a:chExt cx="519" cy="0"/>
        </a:xfrm>
      </xdr:grpSpPr>
      <xdr:sp macro="" textlink="">
        <xdr:nvSpPr>
          <xdr:cNvPr id="688" name="Line 431">
            <a:extLst>
              <a:ext uri="{FF2B5EF4-FFF2-40B4-BE49-F238E27FC236}">
                <a16:creationId xmlns:a16="http://schemas.microsoft.com/office/drawing/2014/main" id="{168065F5-F231-4861-B7B9-62CFC93109DC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89" name="Line 432">
            <a:extLst>
              <a:ext uri="{FF2B5EF4-FFF2-40B4-BE49-F238E27FC236}">
                <a16:creationId xmlns:a16="http://schemas.microsoft.com/office/drawing/2014/main" id="{177200F2-B2E2-4C5C-A59C-1F3EF618A17A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0" name="Line 433">
            <a:extLst>
              <a:ext uri="{FF2B5EF4-FFF2-40B4-BE49-F238E27FC236}">
                <a16:creationId xmlns:a16="http://schemas.microsoft.com/office/drawing/2014/main" id="{FEFCAFD7-64FA-477C-B276-7755494A473E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1" name="Line 434">
            <a:extLst>
              <a:ext uri="{FF2B5EF4-FFF2-40B4-BE49-F238E27FC236}">
                <a16:creationId xmlns:a16="http://schemas.microsoft.com/office/drawing/2014/main" id="{DC3ADE4D-3E17-41B6-A0DC-6619F3F1EA70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83</xdr:row>
      <xdr:rowOff>85725</xdr:rowOff>
    </xdr:from>
    <xdr:to>
      <xdr:col>10</xdr:col>
      <xdr:colOff>0</xdr:colOff>
      <xdr:row>83</xdr:row>
      <xdr:rowOff>114300</xdr:rowOff>
    </xdr:to>
    <xdr:grpSp>
      <xdr:nvGrpSpPr>
        <xdr:cNvPr id="692" name="Group 440">
          <a:extLst>
            <a:ext uri="{FF2B5EF4-FFF2-40B4-BE49-F238E27FC236}">
              <a16:creationId xmlns:a16="http://schemas.microsoft.com/office/drawing/2014/main" id="{2B09309B-795F-4A14-8AD7-9D1521536A4C}"/>
            </a:ext>
          </a:extLst>
        </xdr:cNvPr>
        <xdr:cNvGrpSpPr>
          <a:grpSpLocks/>
        </xdr:cNvGrpSpPr>
      </xdr:nvGrpSpPr>
      <xdr:grpSpPr bwMode="auto">
        <a:xfrm>
          <a:off x="14354175" y="16230600"/>
          <a:ext cx="0" cy="28575"/>
          <a:chOff x="454" y="139"/>
          <a:chExt cx="519" cy="0"/>
        </a:xfrm>
      </xdr:grpSpPr>
      <xdr:sp macro="" textlink="">
        <xdr:nvSpPr>
          <xdr:cNvPr id="693" name="Line 441">
            <a:extLst>
              <a:ext uri="{FF2B5EF4-FFF2-40B4-BE49-F238E27FC236}">
                <a16:creationId xmlns:a16="http://schemas.microsoft.com/office/drawing/2014/main" id="{05A7D24E-1933-4C40-827F-71F9DD761726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4" name="Line 442">
            <a:extLst>
              <a:ext uri="{FF2B5EF4-FFF2-40B4-BE49-F238E27FC236}">
                <a16:creationId xmlns:a16="http://schemas.microsoft.com/office/drawing/2014/main" id="{DDED16A7-A753-43C7-86B8-E65C161C92CD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5" name="Line 443">
            <a:extLst>
              <a:ext uri="{FF2B5EF4-FFF2-40B4-BE49-F238E27FC236}">
                <a16:creationId xmlns:a16="http://schemas.microsoft.com/office/drawing/2014/main" id="{CA4DE274-C46A-4E28-B6B8-B1935A85470C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6" name="Line 444">
            <a:extLst>
              <a:ext uri="{FF2B5EF4-FFF2-40B4-BE49-F238E27FC236}">
                <a16:creationId xmlns:a16="http://schemas.microsoft.com/office/drawing/2014/main" id="{9FD641EE-8E25-47F6-ACEE-C67B3DB5155F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83</xdr:row>
      <xdr:rowOff>57150</xdr:rowOff>
    </xdr:from>
    <xdr:to>
      <xdr:col>10</xdr:col>
      <xdr:colOff>0</xdr:colOff>
      <xdr:row>83</xdr:row>
      <xdr:rowOff>85725</xdr:rowOff>
    </xdr:to>
    <xdr:grpSp>
      <xdr:nvGrpSpPr>
        <xdr:cNvPr id="697" name="Group 490">
          <a:extLst>
            <a:ext uri="{FF2B5EF4-FFF2-40B4-BE49-F238E27FC236}">
              <a16:creationId xmlns:a16="http://schemas.microsoft.com/office/drawing/2014/main" id="{91CFD02A-B01F-4CBC-841E-16BD30CFAAA6}"/>
            </a:ext>
          </a:extLst>
        </xdr:cNvPr>
        <xdr:cNvGrpSpPr>
          <a:grpSpLocks/>
        </xdr:cNvGrpSpPr>
      </xdr:nvGrpSpPr>
      <xdr:grpSpPr bwMode="auto">
        <a:xfrm flipV="1">
          <a:off x="14354175" y="16202025"/>
          <a:ext cx="0" cy="28575"/>
          <a:chOff x="454" y="139"/>
          <a:chExt cx="519" cy="0"/>
        </a:xfrm>
      </xdr:grpSpPr>
      <xdr:sp macro="" textlink="">
        <xdr:nvSpPr>
          <xdr:cNvPr id="698" name="Line 491">
            <a:extLst>
              <a:ext uri="{FF2B5EF4-FFF2-40B4-BE49-F238E27FC236}">
                <a16:creationId xmlns:a16="http://schemas.microsoft.com/office/drawing/2014/main" id="{8E3F0048-B7A8-4C96-87B7-31F84C201396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99" name="Line 492">
            <a:extLst>
              <a:ext uri="{FF2B5EF4-FFF2-40B4-BE49-F238E27FC236}">
                <a16:creationId xmlns:a16="http://schemas.microsoft.com/office/drawing/2014/main" id="{BDE8A339-6B34-4B3A-A8BE-70EE36A23EC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0" name="Line 493">
            <a:extLst>
              <a:ext uri="{FF2B5EF4-FFF2-40B4-BE49-F238E27FC236}">
                <a16:creationId xmlns:a16="http://schemas.microsoft.com/office/drawing/2014/main" id="{A46B875F-8C34-4B31-A2A1-7618751096E7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1" name="Line 494">
            <a:extLst>
              <a:ext uri="{FF2B5EF4-FFF2-40B4-BE49-F238E27FC236}">
                <a16:creationId xmlns:a16="http://schemas.microsoft.com/office/drawing/2014/main" id="{4A25FD72-F82C-4592-A41D-BD503E0F7711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83</xdr:row>
      <xdr:rowOff>85725</xdr:rowOff>
    </xdr:from>
    <xdr:to>
      <xdr:col>10</xdr:col>
      <xdr:colOff>0</xdr:colOff>
      <xdr:row>83</xdr:row>
      <xdr:rowOff>114300</xdr:rowOff>
    </xdr:to>
    <xdr:grpSp>
      <xdr:nvGrpSpPr>
        <xdr:cNvPr id="702" name="Group 495">
          <a:extLst>
            <a:ext uri="{FF2B5EF4-FFF2-40B4-BE49-F238E27FC236}">
              <a16:creationId xmlns:a16="http://schemas.microsoft.com/office/drawing/2014/main" id="{F27527E0-CCCF-41C1-817A-9C6005F96059}"/>
            </a:ext>
          </a:extLst>
        </xdr:cNvPr>
        <xdr:cNvGrpSpPr>
          <a:grpSpLocks/>
        </xdr:cNvGrpSpPr>
      </xdr:nvGrpSpPr>
      <xdr:grpSpPr bwMode="auto">
        <a:xfrm>
          <a:off x="14354175" y="16230600"/>
          <a:ext cx="0" cy="28575"/>
          <a:chOff x="454" y="139"/>
          <a:chExt cx="519" cy="0"/>
        </a:xfrm>
      </xdr:grpSpPr>
      <xdr:sp macro="" textlink="">
        <xdr:nvSpPr>
          <xdr:cNvPr id="703" name="Line 496">
            <a:extLst>
              <a:ext uri="{FF2B5EF4-FFF2-40B4-BE49-F238E27FC236}">
                <a16:creationId xmlns:a16="http://schemas.microsoft.com/office/drawing/2014/main" id="{FA531D83-3844-404D-9C62-76859DF2BB0C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4" name="Line 497">
            <a:extLst>
              <a:ext uri="{FF2B5EF4-FFF2-40B4-BE49-F238E27FC236}">
                <a16:creationId xmlns:a16="http://schemas.microsoft.com/office/drawing/2014/main" id="{2C49142C-F177-4214-A3F1-AFE7B7ED370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5" name="Line 498">
            <a:extLst>
              <a:ext uri="{FF2B5EF4-FFF2-40B4-BE49-F238E27FC236}">
                <a16:creationId xmlns:a16="http://schemas.microsoft.com/office/drawing/2014/main" id="{BE7689B0-2AB0-4952-9939-32147B65B837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6" name="Line 499">
            <a:extLst>
              <a:ext uri="{FF2B5EF4-FFF2-40B4-BE49-F238E27FC236}">
                <a16:creationId xmlns:a16="http://schemas.microsoft.com/office/drawing/2014/main" id="{22D600CA-9AA1-4A95-9D19-70486D61AC4B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83</xdr:row>
      <xdr:rowOff>85725</xdr:rowOff>
    </xdr:from>
    <xdr:to>
      <xdr:col>2</xdr:col>
      <xdr:colOff>0</xdr:colOff>
      <xdr:row>83</xdr:row>
      <xdr:rowOff>114300</xdr:rowOff>
    </xdr:to>
    <xdr:grpSp>
      <xdr:nvGrpSpPr>
        <xdr:cNvPr id="707" name="Group 575">
          <a:extLst>
            <a:ext uri="{FF2B5EF4-FFF2-40B4-BE49-F238E27FC236}">
              <a16:creationId xmlns:a16="http://schemas.microsoft.com/office/drawing/2014/main" id="{FC80F99B-101F-41DE-A5B2-5C1D54076CC3}"/>
            </a:ext>
          </a:extLst>
        </xdr:cNvPr>
        <xdr:cNvGrpSpPr>
          <a:grpSpLocks/>
        </xdr:cNvGrpSpPr>
      </xdr:nvGrpSpPr>
      <xdr:grpSpPr bwMode="auto">
        <a:xfrm>
          <a:off x="4086225" y="16230600"/>
          <a:ext cx="0" cy="28575"/>
          <a:chOff x="454" y="139"/>
          <a:chExt cx="519" cy="0"/>
        </a:xfrm>
      </xdr:grpSpPr>
      <xdr:sp macro="" textlink="">
        <xdr:nvSpPr>
          <xdr:cNvPr id="708" name="Line 576">
            <a:extLst>
              <a:ext uri="{FF2B5EF4-FFF2-40B4-BE49-F238E27FC236}">
                <a16:creationId xmlns:a16="http://schemas.microsoft.com/office/drawing/2014/main" id="{1280715B-FA17-46BC-BADD-C58EFA011D84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9" name="Line 577">
            <a:extLst>
              <a:ext uri="{FF2B5EF4-FFF2-40B4-BE49-F238E27FC236}">
                <a16:creationId xmlns:a16="http://schemas.microsoft.com/office/drawing/2014/main" id="{00EA9F1D-B121-4D75-95AF-AE7860592B00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0" name="Line 578">
            <a:extLst>
              <a:ext uri="{FF2B5EF4-FFF2-40B4-BE49-F238E27FC236}">
                <a16:creationId xmlns:a16="http://schemas.microsoft.com/office/drawing/2014/main" id="{A8EB4E83-5E69-4B9D-9832-0A212643A6C9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1" name="Line 579">
            <a:extLst>
              <a:ext uri="{FF2B5EF4-FFF2-40B4-BE49-F238E27FC236}">
                <a16:creationId xmlns:a16="http://schemas.microsoft.com/office/drawing/2014/main" id="{D48EB859-01E8-4D8C-BD34-D4F1E8EC446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83</xdr:row>
      <xdr:rowOff>85725</xdr:rowOff>
    </xdr:from>
    <xdr:to>
      <xdr:col>3</xdr:col>
      <xdr:colOff>0</xdr:colOff>
      <xdr:row>83</xdr:row>
      <xdr:rowOff>114300</xdr:rowOff>
    </xdr:to>
    <xdr:grpSp>
      <xdr:nvGrpSpPr>
        <xdr:cNvPr id="712" name="Group 585">
          <a:extLst>
            <a:ext uri="{FF2B5EF4-FFF2-40B4-BE49-F238E27FC236}">
              <a16:creationId xmlns:a16="http://schemas.microsoft.com/office/drawing/2014/main" id="{7D4DB7F6-07A4-4347-A263-F5ECA0BE0247}"/>
            </a:ext>
          </a:extLst>
        </xdr:cNvPr>
        <xdr:cNvGrpSpPr>
          <a:grpSpLocks/>
        </xdr:cNvGrpSpPr>
      </xdr:nvGrpSpPr>
      <xdr:grpSpPr bwMode="auto">
        <a:xfrm>
          <a:off x="5334000" y="16230600"/>
          <a:ext cx="0" cy="28575"/>
          <a:chOff x="454" y="139"/>
          <a:chExt cx="519" cy="0"/>
        </a:xfrm>
      </xdr:grpSpPr>
      <xdr:sp macro="" textlink="">
        <xdr:nvSpPr>
          <xdr:cNvPr id="713" name="Line 586">
            <a:extLst>
              <a:ext uri="{FF2B5EF4-FFF2-40B4-BE49-F238E27FC236}">
                <a16:creationId xmlns:a16="http://schemas.microsoft.com/office/drawing/2014/main" id="{29857E2B-C320-4137-B641-119DF73642FB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4" name="Line 587">
            <a:extLst>
              <a:ext uri="{FF2B5EF4-FFF2-40B4-BE49-F238E27FC236}">
                <a16:creationId xmlns:a16="http://schemas.microsoft.com/office/drawing/2014/main" id="{93C66A69-03C9-42DF-B0AA-17D59C22AFDC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5" name="Line 588">
            <a:extLst>
              <a:ext uri="{FF2B5EF4-FFF2-40B4-BE49-F238E27FC236}">
                <a16:creationId xmlns:a16="http://schemas.microsoft.com/office/drawing/2014/main" id="{F607CC5B-C932-458F-B0E4-CFC1489A821F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6" name="Line 589">
            <a:extLst>
              <a:ext uri="{FF2B5EF4-FFF2-40B4-BE49-F238E27FC236}">
                <a16:creationId xmlns:a16="http://schemas.microsoft.com/office/drawing/2014/main" id="{776EBE98-63CC-4030-B774-472A532BED63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4</xdr:col>
      <xdr:colOff>0</xdr:colOff>
      <xdr:row>89</xdr:row>
      <xdr:rowOff>85725</xdr:rowOff>
    </xdr:from>
    <xdr:to>
      <xdr:col>4</xdr:col>
      <xdr:colOff>0</xdr:colOff>
      <xdr:row>89</xdr:row>
      <xdr:rowOff>114300</xdr:rowOff>
    </xdr:to>
    <xdr:grpSp>
      <xdr:nvGrpSpPr>
        <xdr:cNvPr id="717" name="Group 610">
          <a:extLst>
            <a:ext uri="{FF2B5EF4-FFF2-40B4-BE49-F238E27FC236}">
              <a16:creationId xmlns:a16="http://schemas.microsoft.com/office/drawing/2014/main" id="{6FB9683F-2EBD-4356-A1C7-C8AC6D5E601D}"/>
            </a:ext>
          </a:extLst>
        </xdr:cNvPr>
        <xdr:cNvGrpSpPr>
          <a:grpSpLocks/>
        </xdr:cNvGrpSpPr>
      </xdr:nvGrpSpPr>
      <xdr:grpSpPr bwMode="auto">
        <a:xfrm>
          <a:off x="6581775" y="17316450"/>
          <a:ext cx="0" cy="28575"/>
          <a:chOff x="454" y="139"/>
          <a:chExt cx="519" cy="0"/>
        </a:xfrm>
      </xdr:grpSpPr>
      <xdr:sp macro="" textlink="">
        <xdr:nvSpPr>
          <xdr:cNvPr id="718" name="Line 611">
            <a:extLst>
              <a:ext uri="{FF2B5EF4-FFF2-40B4-BE49-F238E27FC236}">
                <a16:creationId xmlns:a16="http://schemas.microsoft.com/office/drawing/2014/main" id="{18387B23-455A-4234-A82C-29956374D1F9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19" name="Line 612">
            <a:extLst>
              <a:ext uri="{FF2B5EF4-FFF2-40B4-BE49-F238E27FC236}">
                <a16:creationId xmlns:a16="http://schemas.microsoft.com/office/drawing/2014/main" id="{2602184A-F9BF-43B9-BA30-61D92177EA86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0" name="Line 613">
            <a:extLst>
              <a:ext uri="{FF2B5EF4-FFF2-40B4-BE49-F238E27FC236}">
                <a16:creationId xmlns:a16="http://schemas.microsoft.com/office/drawing/2014/main" id="{81EF8091-8A70-4B60-966C-181C941D8699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1" name="Line 614">
            <a:extLst>
              <a:ext uri="{FF2B5EF4-FFF2-40B4-BE49-F238E27FC236}">
                <a16:creationId xmlns:a16="http://schemas.microsoft.com/office/drawing/2014/main" id="{CFB62B9C-0FED-4605-82DE-4E0CB14711F0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89</xdr:row>
      <xdr:rowOff>85725</xdr:rowOff>
    </xdr:from>
    <xdr:to>
      <xdr:col>10</xdr:col>
      <xdr:colOff>0</xdr:colOff>
      <xdr:row>89</xdr:row>
      <xdr:rowOff>114300</xdr:rowOff>
    </xdr:to>
    <xdr:grpSp>
      <xdr:nvGrpSpPr>
        <xdr:cNvPr id="722" name="Group 620">
          <a:extLst>
            <a:ext uri="{FF2B5EF4-FFF2-40B4-BE49-F238E27FC236}">
              <a16:creationId xmlns:a16="http://schemas.microsoft.com/office/drawing/2014/main" id="{F258DD29-C1F7-42A4-922F-31DE0E2D4A4F}"/>
            </a:ext>
          </a:extLst>
        </xdr:cNvPr>
        <xdr:cNvGrpSpPr>
          <a:grpSpLocks/>
        </xdr:cNvGrpSpPr>
      </xdr:nvGrpSpPr>
      <xdr:grpSpPr bwMode="auto">
        <a:xfrm>
          <a:off x="14354175" y="17316450"/>
          <a:ext cx="0" cy="28575"/>
          <a:chOff x="454" y="139"/>
          <a:chExt cx="519" cy="0"/>
        </a:xfrm>
      </xdr:grpSpPr>
      <xdr:sp macro="" textlink="">
        <xdr:nvSpPr>
          <xdr:cNvPr id="723" name="Line 621">
            <a:extLst>
              <a:ext uri="{FF2B5EF4-FFF2-40B4-BE49-F238E27FC236}">
                <a16:creationId xmlns:a16="http://schemas.microsoft.com/office/drawing/2014/main" id="{CFF7152D-E281-4A8D-8F11-26D1E9CBB2AA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4" name="Line 622">
            <a:extLst>
              <a:ext uri="{FF2B5EF4-FFF2-40B4-BE49-F238E27FC236}">
                <a16:creationId xmlns:a16="http://schemas.microsoft.com/office/drawing/2014/main" id="{AE321B40-9473-49C4-A679-F00FCEF9B058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5" name="Line 623">
            <a:extLst>
              <a:ext uri="{FF2B5EF4-FFF2-40B4-BE49-F238E27FC236}">
                <a16:creationId xmlns:a16="http://schemas.microsoft.com/office/drawing/2014/main" id="{519E9F38-3E1C-43B3-9A6B-E5B59253A53B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6" name="Line 624">
            <a:extLst>
              <a:ext uri="{FF2B5EF4-FFF2-40B4-BE49-F238E27FC236}">
                <a16:creationId xmlns:a16="http://schemas.microsoft.com/office/drawing/2014/main" id="{7BB95906-7BFE-430A-B637-945EEDAB9FB6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89</xdr:row>
      <xdr:rowOff>57150</xdr:rowOff>
    </xdr:from>
    <xdr:to>
      <xdr:col>10</xdr:col>
      <xdr:colOff>0</xdr:colOff>
      <xdr:row>89</xdr:row>
      <xdr:rowOff>85725</xdr:rowOff>
    </xdr:to>
    <xdr:grpSp>
      <xdr:nvGrpSpPr>
        <xdr:cNvPr id="727" name="Group 630">
          <a:extLst>
            <a:ext uri="{FF2B5EF4-FFF2-40B4-BE49-F238E27FC236}">
              <a16:creationId xmlns:a16="http://schemas.microsoft.com/office/drawing/2014/main" id="{7D2A94C2-1702-42A6-AFD7-0FDB41ED0C15}"/>
            </a:ext>
          </a:extLst>
        </xdr:cNvPr>
        <xdr:cNvGrpSpPr>
          <a:grpSpLocks/>
        </xdr:cNvGrpSpPr>
      </xdr:nvGrpSpPr>
      <xdr:grpSpPr bwMode="auto">
        <a:xfrm flipV="1">
          <a:off x="14354175" y="17287875"/>
          <a:ext cx="0" cy="28575"/>
          <a:chOff x="454" y="139"/>
          <a:chExt cx="519" cy="0"/>
        </a:xfrm>
      </xdr:grpSpPr>
      <xdr:sp macro="" textlink="">
        <xdr:nvSpPr>
          <xdr:cNvPr id="728" name="Line 631">
            <a:extLst>
              <a:ext uri="{FF2B5EF4-FFF2-40B4-BE49-F238E27FC236}">
                <a16:creationId xmlns:a16="http://schemas.microsoft.com/office/drawing/2014/main" id="{5C8A25B9-C530-40C1-95EE-777800AE9787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29" name="Line 632">
            <a:extLst>
              <a:ext uri="{FF2B5EF4-FFF2-40B4-BE49-F238E27FC236}">
                <a16:creationId xmlns:a16="http://schemas.microsoft.com/office/drawing/2014/main" id="{06AFCD45-EF5B-4CD2-890F-090782F41F19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0" name="Line 633">
            <a:extLst>
              <a:ext uri="{FF2B5EF4-FFF2-40B4-BE49-F238E27FC236}">
                <a16:creationId xmlns:a16="http://schemas.microsoft.com/office/drawing/2014/main" id="{276CC127-F430-4C83-9494-3EA6E7CFA895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1" name="Line 634">
            <a:extLst>
              <a:ext uri="{FF2B5EF4-FFF2-40B4-BE49-F238E27FC236}">
                <a16:creationId xmlns:a16="http://schemas.microsoft.com/office/drawing/2014/main" id="{75F15A6F-FE82-473A-BA65-4B4D1A5C7C94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10</xdr:col>
      <xdr:colOff>0</xdr:colOff>
      <xdr:row>89</xdr:row>
      <xdr:rowOff>85725</xdr:rowOff>
    </xdr:from>
    <xdr:to>
      <xdr:col>10</xdr:col>
      <xdr:colOff>0</xdr:colOff>
      <xdr:row>89</xdr:row>
      <xdr:rowOff>114300</xdr:rowOff>
    </xdr:to>
    <xdr:grpSp>
      <xdr:nvGrpSpPr>
        <xdr:cNvPr id="732" name="Group 635">
          <a:extLst>
            <a:ext uri="{FF2B5EF4-FFF2-40B4-BE49-F238E27FC236}">
              <a16:creationId xmlns:a16="http://schemas.microsoft.com/office/drawing/2014/main" id="{3BB2F6A0-A0FB-4293-83BE-032BE1527358}"/>
            </a:ext>
          </a:extLst>
        </xdr:cNvPr>
        <xdr:cNvGrpSpPr>
          <a:grpSpLocks/>
        </xdr:cNvGrpSpPr>
      </xdr:nvGrpSpPr>
      <xdr:grpSpPr bwMode="auto">
        <a:xfrm>
          <a:off x="14354175" y="17316450"/>
          <a:ext cx="0" cy="28575"/>
          <a:chOff x="454" y="139"/>
          <a:chExt cx="519" cy="0"/>
        </a:xfrm>
      </xdr:grpSpPr>
      <xdr:sp macro="" textlink="">
        <xdr:nvSpPr>
          <xdr:cNvPr id="733" name="Line 636">
            <a:extLst>
              <a:ext uri="{FF2B5EF4-FFF2-40B4-BE49-F238E27FC236}">
                <a16:creationId xmlns:a16="http://schemas.microsoft.com/office/drawing/2014/main" id="{F5248F67-8CE4-49B1-982D-2E1D14244B36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4" name="Line 637">
            <a:extLst>
              <a:ext uri="{FF2B5EF4-FFF2-40B4-BE49-F238E27FC236}">
                <a16:creationId xmlns:a16="http://schemas.microsoft.com/office/drawing/2014/main" id="{ABE7846D-A690-4301-91A0-367B1D3F76AB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5" name="Line 638">
            <a:extLst>
              <a:ext uri="{FF2B5EF4-FFF2-40B4-BE49-F238E27FC236}">
                <a16:creationId xmlns:a16="http://schemas.microsoft.com/office/drawing/2014/main" id="{A87EB9A6-8CC9-4DB8-844F-2FDEE9FF7E97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6" name="Line 639">
            <a:extLst>
              <a:ext uri="{FF2B5EF4-FFF2-40B4-BE49-F238E27FC236}">
                <a16:creationId xmlns:a16="http://schemas.microsoft.com/office/drawing/2014/main" id="{7EB7ED67-E97F-468D-8975-20DF3510F7F2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89</xdr:row>
      <xdr:rowOff>85725</xdr:rowOff>
    </xdr:from>
    <xdr:to>
      <xdr:col>2</xdr:col>
      <xdr:colOff>0</xdr:colOff>
      <xdr:row>89</xdr:row>
      <xdr:rowOff>114300</xdr:rowOff>
    </xdr:to>
    <xdr:grpSp>
      <xdr:nvGrpSpPr>
        <xdr:cNvPr id="737" name="Group 645">
          <a:extLst>
            <a:ext uri="{FF2B5EF4-FFF2-40B4-BE49-F238E27FC236}">
              <a16:creationId xmlns:a16="http://schemas.microsoft.com/office/drawing/2014/main" id="{6D02658D-12F3-4ABE-B0DB-65535B3F7A09}"/>
            </a:ext>
          </a:extLst>
        </xdr:cNvPr>
        <xdr:cNvGrpSpPr>
          <a:grpSpLocks/>
        </xdr:cNvGrpSpPr>
      </xdr:nvGrpSpPr>
      <xdr:grpSpPr bwMode="auto">
        <a:xfrm>
          <a:off x="4086225" y="17316450"/>
          <a:ext cx="0" cy="28575"/>
          <a:chOff x="454" y="139"/>
          <a:chExt cx="519" cy="0"/>
        </a:xfrm>
      </xdr:grpSpPr>
      <xdr:sp macro="" textlink="">
        <xdr:nvSpPr>
          <xdr:cNvPr id="738" name="Line 646">
            <a:extLst>
              <a:ext uri="{FF2B5EF4-FFF2-40B4-BE49-F238E27FC236}">
                <a16:creationId xmlns:a16="http://schemas.microsoft.com/office/drawing/2014/main" id="{0FB26AB8-3C72-449C-A705-EB4F92A65DAE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39" name="Line 647">
            <a:extLst>
              <a:ext uri="{FF2B5EF4-FFF2-40B4-BE49-F238E27FC236}">
                <a16:creationId xmlns:a16="http://schemas.microsoft.com/office/drawing/2014/main" id="{08CB440A-C299-4728-8527-AFEC41C77C47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0" name="Line 648">
            <a:extLst>
              <a:ext uri="{FF2B5EF4-FFF2-40B4-BE49-F238E27FC236}">
                <a16:creationId xmlns:a16="http://schemas.microsoft.com/office/drawing/2014/main" id="{C63D0388-6BEC-4A1D-918D-B3F401E2A350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1" name="Line 649">
            <a:extLst>
              <a:ext uri="{FF2B5EF4-FFF2-40B4-BE49-F238E27FC236}">
                <a16:creationId xmlns:a16="http://schemas.microsoft.com/office/drawing/2014/main" id="{84C326AD-24FF-4B23-9574-5CB338B738A7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89</xdr:row>
      <xdr:rowOff>85725</xdr:rowOff>
    </xdr:from>
    <xdr:to>
      <xdr:col>3</xdr:col>
      <xdr:colOff>0</xdr:colOff>
      <xdr:row>89</xdr:row>
      <xdr:rowOff>114300</xdr:rowOff>
    </xdr:to>
    <xdr:grpSp>
      <xdr:nvGrpSpPr>
        <xdr:cNvPr id="742" name="Group 655">
          <a:extLst>
            <a:ext uri="{FF2B5EF4-FFF2-40B4-BE49-F238E27FC236}">
              <a16:creationId xmlns:a16="http://schemas.microsoft.com/office/drawing/2014/main" id="{1BEFE334-261C-4614-AABA-B12852BE9F3E}"/>
            </a:ext>
          </a:extLst>
        </xdr:cNvPr>
        <xdr:cNvGrpSpPr>
          <a:grpSpLocks/>
        </xdr:cNvGrpSpPr>
      </xdr:nvGrpSpPr>
      <xdr:grpSpPr bwMode="auto">
        <a:xfrm>
          <a:off x="5334000" y="17316450"/>
          <a:ext cx="0" cy="28575"/>
          <a:chOff x="454" y="139"/>
          <a:chExt cx="519" cy="0"/>
        </a:xfrm>
      </xdr:grpSpPr>
      <xdr:sp macro="" textlink="">
        <xdr:nvSpPr>
          <xdr:cNvPr id="743" name="Line 656">
            <a:extLst>
              <a:ext uri="{FF2B5EF4-FFF2-40B4-BE49-F238E27FC236}">
                <a16:creationId xmlns:a16="http://schemas.microsoft.com/office/drawing/2014/main" id="{817ABF29-0FF6-4E2B-AAA8-3CB7D0D52FED}"/>
              </a:ext>
            </a:extLst>
          </xdr:cNvPr>
          <xdr:cNvSpPr>
            <a:spLocks noChangeShapeType="1"/>
          </xdr:cNvSpPr>
        </xdr:nvSpPr>
        <xdr:spPr bwMode="auto">
          <a:xfrm>
            <a:off x="454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4" name="Line 657">
            <a:extLst>
              <a:ext uri="{FF2B5EF4-FFF2-40B4-BE49-F238E27FC236}">
                <a16:creationId xmlns:a16="http://schemas.microsoft.com/office/drawing/2014/main" id="{7E7CFDF7-7B29-4C9A-8F0D-37BA146C0A22}"/>
              </a:ext>
            </a:extLst>
          </xdr:cNvPr>
          <xdr:cNvSpPr>
            <a:spLocks noChangeShapeType="1"/>
          </xdr:cNvSpPr>
        </xdr:nvSpPr>
        <xdr:spPr bwMode="auto">
          <a:xfrm>
            <a:off x="603" y="139"/>
            <a:ext cx="148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5" name="Line 658">
            <a:extLst>
              <a:ext uri="{FF2B5EF4-FFF2-40B4-BE49-F238E27FC236}">
                <a16:creationId xmlns:a16="http://schemas.microsoft.com/office/drawing/2014/main" id="{00886138-2C5A-48D5-B60B-B08111C996DF}"/>
              </a:ext>
            </a:extLst>
          </xdr:cNvPr>
          <xdr:cNvSpPr>
            <a:spLocks noChangeShapeType="1"/>
          </xdr:cNvSpPr>
        </xdr:nvSpPr>
        <xdr:spPr bwMode="auto">
          <a:xfrm>
            <a:off x="751" y="139"/>
            <a:ext cx="149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46" name="Line 659">
            <a:extLst>
              <a:ext uri="{FF2B5EF4-FFF2-40B4-BE49-F238E27FC236}">
                <a16:creationId xmlns:a16="http://schemas.microsoft.com/office/drawing/2014/main" id="{E136B286-6975-449A-9AEB-486D457218D5}"/>
              </a:ext>
            </a:extLst>
          </xdr:cNvPr>
          <xdr:cNvSpPr>
            <a:spLocks noChangeShapeType="1"/>
          </xdr:cNvSpPr>
        </xdr:nvSpPr>
        <xdr:spPr bwMode="auto">
          <a:xfrm>
            <a:off x="900" y="139"/>
            <a:ext cx="73" cy="0"/>
          </a:xfrm>
          <a:prstGeom prst="line">
            <a:avLst/>
          </a:prstGeom>
          <a:noFill/>
          <a:ln w="107950">
            <a:solidFill>
              <a:srgbClr xmlns:mc="http://schemas.openxmlformats.org/markup-compatibility/2006" xmlns:a14="http://schemas.microsoft.com/office/drawing/2010/main" val="969696" mc:Ignorable="a14" a14:legacySpreadsheetColorIndex="55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NAUS,%20FRANCELINO,%20FEIJ&#211;,%20VISTA%20ALEGRE/MANAUS/MANAU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MANAUS,%20FRANCELINO,%20FEIJ&#211;,%20VISTA%20ALEGRE/FRANCELINO/FRANCELINO%20SANTOS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MANAUS,%20FRANCELINO,%20FEIJ&#211;,%20VISTA%20ALEGRE/FEIJ&#211;/FEIJ&#211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MANAUS,%20FRANCELINO,%20FEIJ&#211;,%20VISTA%20ALEGRE/VISTA%20ALEGRE/VISTA%20ALEGRE/VISTA%20ALEGRE%20AGOSTO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  <sheetName val="Memoria de calculo"/>
      <sheetName val="Resumo"/>
      <sheetName val="Cronograma"/>
    </sheetNames>
    <sheetDataSet>
      <sheetData sheetId="0">
        <row r="9">
          <cell r="H9">
            <v>2244.27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  <sheetName val="Memoria de calculo"/>
      <sheetName val="Planilha1"/>
      <sheetName val="Planilha2"/>
    </sheetNames>
    <sheetDataSet>
      <sheetData sheetId="0">
        <row r="9">
          <cell r="H9">
            <v>3366.4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  <sheetName val="Memoria de calculo"/>
      <sheetName val="Cronograma"/>
      <sheetName val="Resumo"/>
    </sheetNames>
    <sheetDataSet>
      <sheetData sheetId="0">
        <row r="10">
          <cell r="H10">
            <v>3366.4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çamentária"/>
      <sheetName val="Memoria de calculo"/>
      <sheetName val="RESUMO"/>
    </sheetNames>
    <sheetDataSet>
      <sheetData sheetId="0">
        <row r="10">
          <cell r="H10">
            <v>5610.66</v>
          </cell>
        </row>
      </sheetData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2"/>
  <sheetViews>
    <sheetView zoomScale="80" zoomScaleNormal="80" zoomScaleSheetLayoutView="75" workbookViewId="0">
      <selection activeCell="J12" sqref="J12"/>
    </sheetView>
  </sheetViews>
  <sheetFormatPr defaultRowHeight="12.75" x14ac:dyDescent="0.2"/>
  <cols>
    <col min="1" max="1" width="7.28515625" style="1" customWidth="1"/>
    <col min="2" max="2" width="90.7109375" style="2" customWidth="1"/>
    <col min="3" max="3" width="8.140625" style="2" bestFit="1" customWidth="1"/>
    <col min="4" max="4" width="12.7109375" style="2" bestFit="1" customWidth="1"/>
    <col min="5" max="5" width="73.7109375" style="2" customWidth="1"/>
    <col min="6" max="6" width="12.42578125" style="2" customWidth="1"/>
    <col min="7" max="7" width="18.140625" style="2" customWidth="1"/>
    <col min="8" max="16384" width="9.140625" style="2"/>
  </cols>
  <sheetData>
    <row r="1" spans="1:8" ht="18" customHeight="1" x14ac:dyDescent="0.2">
      <c r="A1" s="270" t="s">
        <v>316</v>
      </c>
      <c r="B1" s="270"/>
      <c r="C1" s="270"/>
      <c r="D1" s="270"/>
      <c r="E1" s="270"/>
    </row>
    <row r="2" spans="1:8" ht="18" customHeight="1" x14ac:dyDescent="0.2">
      <c r="A2" s="270"/>
      <c r="B2" s="270"/>
      <c r="C2" s="270"/>
      <c r="D2" s="270"/>
      <c r="E2" s="270"/>
    </row>
    <row r="3" spans="1:8" ht="15" customHeight="1" x14ac:dyDescent="0.2">
      <c r="A3" s="270"/>
      <c r="B3" s="270"/>
      <c r="C3" s="270"/>
      <c r="D3" s="270"/>
      <c r="E3" s="270"/>
    </row>
    <row r="4" spans="1:8" ht="18" customHeight="1" x14ac:dyDescent="0.2">
      <c r="A4" s="270"/>
      <c r="B4" s="270"/>
      <c r="C4" s="270"/>
      <c r="D4" s="270"/>
      <c r="E4" s="270"/>
    </row>
    <row r="5" spans="1:8" ht="15" customHeight="1" x14ac:dyDescent="0.2">
      <c r="A5" s="270"/>
      <c r="B5" s="270"/>
      <c r="C5" s="270"/>
      <c r="D5" s="270"/>
      <c r="E5" s="270"/>
    </row>
    <row r="6" spans="1:8" s="3" customFormat="1" ht="28.5" customHeight="1" x14ac:dyDescent="0.2">
      <c r="A6" s="49" t="s">
        <v>5</v>
      </c>
      <c r="B6" s="50" t="s">
        <v>6</v>
      </c>
      <c r="C6" s="50" t="s">
        <v>7</v>
      </c>
      <c r="D6" s="18" t="s">
        <v>9</v>
      </c>
      <c r="E6" s="78" t="s">
        <v>35</v>
      </c>
    </row>
    <row r="7" spans="1:8" ht="28.5" customHeight="1" x14ac:dyDescent="0.2">
      <c r="A7" s="27">
        <v>1</v>
      </c>
      <c r="B7" s="98" t="s">
        <v>62</v>
      </c>
      <c r="C7" s="52"/>
      <c r="D7" s="79"/>
      <c r="E7" s="80"/>
    </row>
    <row r="8" spans="1:8" ht="28.5" customHeight="1" x14ac:dyDescent="0.2">
      <c r="A8" s="18" t="s">
        <v>2</v>
      </c>
      <c r="B8" s="25" t="s">
        <v>121</v>
      </c>
      <c r="C8" s="18" t="s">
        <v>31</v>
      </c>
      <c r="D8" s="247">
        <v>1</v>
      </c>
      <c r="E8" s="72" t="s">
        <v>340</v>
      </c>
      <c r="F8" s="14"/>
      <c r="G8" s="241"/>
      <c r="H8" s="14"/>
    </row>
    <row r="9" spans="1:8" ht="28.5" customHeight="1" x14ac:dyDescent="0.2">
      <c r="A9" s="18"/>
      <c r="B9" s="21"/>
      <c r="C9" s="18"/>
      <c r="D9" s="23"/>
      <c r="E9" s="81"/>
      <c r="F9" s="14"/>
      <c r="G9" s="14"/>
      <c r="H9" s="14"/>
    </row>
    <row r="10" spans="1:8" ht="28.5" customHeight="1" x14ac:dyDescent="0.2">
      <c r="A10" s="252">
        <v>2</v>
      </c>
      <c r="B10" s="51" t="s">
        <v>433</v>
      </c>
      <c r="C10" s="101"/>
      <c r="D10" s="102"/>
      <c r="E10" s="103"/>
      <c r="F10" s="14"/>
      <c r="G10" s="14"/>
      <c r="H10" s="14"/>
    </row>
    <row r="11" spans="1:8" ht="28.5" customHeight="1" x14ac:dyDescent="0.2">
      <c r="A11" s="109" t="s">
        <v>23</v>
      </c>
      <c r="B11" s="25" t="s">
        <v>69</v>
      </c>
      <c r="C11" s="18" t="s">
        <v>1</v>
      </c>
      <c r="D11" s="247">
        <v>4.5</v>
      </c>
      <c r="E11" s="72" t="s">
        <v>341</v>
      </c>
      <c r="F11" s="14"/>
      <c r="G11" s="241"/>
      <c r="H11" s="14"/>
    </row>
    <row r="12" spans="1:8" ht="28.5" customHeight="1" x14ac:dyDescent="0.2">
      <c r="A12" s="134" t="s">
        <v>70</v>
      </c>
      <c r="B12" s="25" t="s">
        <v>71</v>
      </c>
      <c r="C12" s="18" t="s">
        <v>478</v>
      </c>
      <c r="D12" s="247">
        <v>2</v>
      </c>
      <c r="E12" s="72" t="s">
        <v>479</v>
      </c>
      <c r="F12" s="14"/>
      <c r="G12" s="241"/>
      <c r="H12" s="14"/>
    </row>
    <row r="13" spans="1:8" ht="28.5" customHeight="1" x14ac:dyDescent="0.2">
      <c r="A13" s="134" t="s">
        <v>91</v>
      </c>
      <c r="B13" s="25" t="s">
        <v>315</v>
      </c>
      <c r="C13" s="18" t="s">
        <v>1</v>
      </c>
      <c r="D13" s="247">
        <v>517.82000000000005</v>
      </c>
      <c r="E13" s="244" t="s">
        <v>342</v>
      </c>
      <c r="F13" s="245"/>
      <c r="G13" s="241"/>
      <c r="H13" s="14"/>
    </row>
    <row r="14" spans="1:8" s="5" customFormat="1" ht="28.5" customHeight="1" x14ac:dyDescent="0.2">
      <c r="A14" s="18"/>
      <c r="B14" s="82"/>
      <c r="C14" s="18"/>
      <c r="D14" s="83"/>
      <c r="E14" s="81"/>
    </row>
    <row r="15" spans="1:8" ht="28.5" customHeight="1" x14ac:dyDescent="0.2">
      <c r="A15" s="54">
        <v>3</v>
      </c>
      <c r="B15" s="56" t="s">
        <v>434</v>
      </c>
      <c r="C15" s="29"/>
      <c r="D15" s="140"/>
      <c r="E15" s="80"/>
      <c r="G15" s="242"/>
    </row>
    <row r="16" spans="1:8" s="3" customFormat="1" ht="28.5" customHeight="1" x14ac:dyDescent="0.2">
      <c r="A16" s="33" t="s">
        <v>26</v>
      </c>
      <c r="B16" s="25" t="s">
        <v>120</v>
      </c>
      <c r="C16" s="18" t="s">
        <v>3</v>
      </c>
      <c r="D16" s="247">
        <v>125.7</v>
      </c>
      <c r="E16" s="72" t="s">
        <v>343</v>
      </c>
      <c r="F16" s="16"/>
      <c r="G16" s="242"/>
      <c r="H16" s="16"/>
    </row>
    <row r="17" spans="1:8" s="4" customFormat="1" ht="28.5" customHeight="1" x14ac:dyDescent="0.2">
      <c r="A17" s="33" t="s">
        <v>28</v>
      </c>
      <c r="B17" s="58" t="s">
        <v>94</v>
      </c>
      <c r="C17" s="18" t="s">
        <v>41</v>
      </c>
      <c r="D17" s="247">
        <v>251.4</v>
      </c>
      <c r="E17" s="72" t="s">
        <v>344</v>
      </c>
      <c r="F17" s="16"/>
      <c r="G17" s="242"/>
      <c r="H17" s="16"/>
    </row>
    <row r="18" spans="1:8" s="4" customFormat="1" ht="28.5" customHeight="1" x14ac:dyDescent="0.2">
      <c r="A18" s="33" t="s">
        <v>29</v>
      </c>
      <c r="B18" s="25" t="s">
        <v>123</v>
      </c>
      <c r="C18" s="18" t="s">
        <v>3</v>
      </c>
      <c r="D18" s="247">
        <v>125.7</v>
      </c>
      <c r="E18" s="72" t="s">
        <v>343</v>
      </c>
      <c r="F18" s="16"/>
      <c r="G18" s="242"/>
      <c r="H18" s="16"/>
    </row>
    <row r="19" spans="1:8" s="4" customFormat="1" ht="28.5" customHeight="1" x14ac:dyDescent="0.2">
      <c r="A19" s="61" t="s">
        <v>97</v>
      </c>
      <c r="B19" s="60" t="s">
        <v>4</v>
      </c>
      <c r="C19" s="18" t="s">
        <v>1</v>
      </c>
      <c r="D19" s="247">
        <v>373.3</v>
      </c>
      <c r="E19" s="72" t="s">
        <v>61</v>
      </c>
      <c r="F19" s="16"/>
      <c r="G19" s="242"/>
      <c r="H19" s="16"/>
    </row>
    <row r="20" spans="1:8" s="4" customFormat="1" ht="28.5" customHeight="1" x14ac:dyDescent="0.2">
      <c r="A20" s="61"/>
      <c r="B20" s="21"/>
      <c r="C20" s="18"/>
      <c r="D20" s="39"/>
      <c r="E20" s="85"/>
      <c r="F20" s="16"/>
      <c r="G20" s="14"/>
      <c r="H20" s="16"/>
    </row>
    <row r="21" spans="1:8" s="4" customFormat="1" ht="28.5" customHeight="1" x14ac:dyDescent="0.2">
      <c r="A21" s="28">
        <v>4</v>
      </c>
      <c r="B21" s="56" t="s">
        <v>435</v>
      </c>
      <c r="C21" s="84"/>
      <c r="D21" s="79"/>
      <c r="E21" s="80"/>
      <c r="F21" s="16"/>
      <c r="G21" s="14"/>
      <c r="H21" s="16"/>
    </row>
    <row r="22" spans="1:8" s="4" customFormat="1" ht="28.5" customHeight="1" x14ac:dyDescent="0.2">
      <c r="A22" s="33" t="s">
        <v>13</v>
      </c>
      <c r="B22" s="21" t="s">
        <v>68</v>
      </c>
      <c r="C22" s="18" t="s">
        <v>3</v>
      </c>
      <c r="D22" s="23">
        <v>74.66</v>
      </c>
      <c r="E22" s="72" t="s">
        <v>345</v>
      </c>
      <c r="F22" s="16"/>
      <c r="G22" s="242"/>
      <c r="H22" s="16"/>
    </row>
    <row r="23" spans="1:8" s="4" customFormat="1" ht="28.5" customHeight="1" x14ac:dyDescent="0.2">
      <c r="A23" s="33" t="s">
        <v>14</v>
      </c>
      <c r="B23" s="58" t="s">
        <v>134</v>
      </c>
      <c r="C23" s="18" t="s">
        <v>41</v>
      </c>
      <c r="D23" s="23">
        <v>1343.8799999999999</v>
      </c>
      <c r="E23" s="72" t="s">
        <v>346</v>
      </c>
      <c r="F23" s="16"/>
      <c r="G23" s="242"/>
      <c r="H23" s="16"/>
    </row>
    <row r="24" spans="1:8" customFormat="1" ht="28.5" customHeight="1" x14ac:dyDescent="0.25">
      <c r="A24" s="33" t="s">
        <v>24</v>
      </c>
      <c r="B24" s="21" t="s">
        <v>15</v>
      </c>
      <c r="C24" s="18" t="s">
        <v>0</v>
      </c>
      <c r="D24" s="23">
        <v>112</v>
      </c>
      <c r="E24" s="72" t="s">
        <v>347</v>
      </c>
      <c r="F24" s="17"/>
      <c r="G24" s="242"/>
      <c r="H24" s="17"/>
    </row>
    <row r="25" spans="1:8" s="3" customFormat="1" ht="28.5" customHeight="1" x14ac:dyDescent="0.2">
      <c r="A25" s="33"/>
      <c r="B25" s="21"/>
      <c r="C25" s="18"/>
      <c r="D25" s="39"/>
      <c r="E25" s="85"/>
      <c r="F25" s="16"/>
      <c r="G25" s="14"/>
      <c r="H25" s="16"/>
    </row>
    <row r="26" spans="1:8" ht="28.5" customHeight="1" x14ac:dyDescent="0.2">
      <c r="A26" s="27">
        <v>5</v>
      </c>
      <c r="B26" s="28" t="s">
        <v>436</v>
      </c>
      <c r="C26" s="52"/>
      <c r="D26" s="86"/>
      <c r="E26" s="87"/>
      <c r="F26" s="16"/>
      <c r="G26" s="14"/>
      <c r="H26" s="16"/>
    </row>
    <row r="27" spans="1:8" ht="28.5" customHeight="1" x14ac:dyDescent="0.2">
      <c r="A27" s="33" t="s">
        <v>18</v>
      </c>
      <c r="B27" s="25" t="s">
        <v>481</v>
      </c>
      <c r="C27" s="18" t="s">
        <v>1</v>
      </c>
      <c r="D27" s="23">
        <v>373.3</v>
      </c>
      <c r="E27" s="72" t="s">
        <v>348</v>
      </c>
      <c r="F27" s="16"/>
      <c r="G27" s="243"/>
      <c r="H27" s="16"/>
    </row>
    <row r="28" spans="1:8" ht="28.5" customHeight="1" x14ac:dyDescent="0.2">
      <c r="A28" s="33" t="s">
        <v>20</v>
      </c>
      <c r="B28" s="58" t="s">
        <v>125</v>
      </c>
      <c r="C28" s="18" t="s">
        <v>41</v>
      </c>
      <c r="D28" s="23">
        <v>376.28</v>
      </c>
      <c r="E28" s="146" t="s">
        <v>349</v>
      </c>
      <c r="F28" s="16"/>
      <c r="G28" s="243"/>
      <c r="H28" s="16"/>
    </row>
    <row r="29" spans="1:8" ht="28.5" customHeight="1" x14ac:dyDescent="0.2">
      <c r="A29" s="33" t="s">
        <v>63</v>
      </c>
      <c r="B29" s="58" t="s">
        <v>126</v>
      </c>
      <c r="C29" s="18" t="s">
        <v>41</v>
      </c>
      <c r="D29" s="23">
        <v>57.11</v>
      </c>
      <c r="E29" s="146" t="s">
        <v>350</v>
      </c>
      <c r="F29" s="16"/>
      <c r="G29" s="243"/>
      <c r="H29" s="16"/>
    </row>
    <row r="30" spans="1:8" ht="28.5" customHeight="1" x14ac:dyDescent="0.2">
      <c r="A30" s="33"/>
      <c r="B30" s="88"/>
      <c r="C30" s="89"/>
      <c r="D30" s="64"/>
      <c r="E30" s="81"/>
      <c r="F30" s="16"/>
      <c r="G30" s="16"/>
      <c r="H30" s="16"/>
    </row>
    <row r="31" spans="1:8" ht="28.5" customHeight="1" x14ac:dyDescent="0.2">
      <c r="A31" s="27">
        <v>6</v>
      </c>
      <c r="B31" s="28" t="s">
        <v>437</v>
      </c>
      <c r="C31" s="29"/>
      <c r="D31" s="90"/>
      <c r="E31" s="91"/>
      <c r="F31" s="16"/>
      <c r="G31" s="16"/>
      <c r="H31" s="16"/>
    </row>
    <row r="32" spans="1:8" s="5" customFormat="1" ht="28.5" customHeight="1" x14ac:dyDescent="0.2">
      <c r="A32" s="33" t="s">
        <v>33</v>
      </c>
      <c r="B32" s="21" t="s">
        <v>27</v>
      </c>
      <c r="C32" s="18" t="s">
        <v>3</v>
      </c>
      <c r="D32" s="23">
        <v>94.95</v>
      </c>
      <c r="E32" s="248" t="s">
        <v>351</v>
      </c>
      <c r="F32" s="16"/>
      <c r="G32" s="16"/>
      <c r="H32" s="16"/>
    </row>
    <row r="33" spans="1:8" ht="28.5" customHeight="1" x14ac:dyDescent="0.2">
      <c r="A33" s="33" t="s">
        <v>34</v>
      </c>
      <c r="B33" s="25" t="s">
        <v>76</v>
      </c>
      <c r="C33" s="18" t="s">
        <v>0</v>
      </c>
      <c r="D33" s="23">
        <v>79</v>
      </c>
      <c r="E33" s="249" t="s">
        <v>352</v>
      </c>
      <c r="F33" s="16"/>
      <c r="G33" s="16"/>
      <c r="H33" s="16"/>
    </row>
    <row r="34" spans="1:8" ht="28.5" customHeight="1" x14ac:dyDescent="0.2">
      <c r="A34" s="33" t="s">
        <v>102</v>
      </c>
      <c r="B34" s="25" t="s">
        <v>74</v>
      </c>
      <c r="C34" s="18" t="s">
        <v>0</v>
      </c>
      <c r="D34" s="23">
        <v>79</v>
      </c>
      <c r="E34" s="249" t="s">
        <v>352</v>
      </c>
      <c r="F34" s="16"/>
      <c r="G34" s="16"/>
      <c r="H34" s="16"/>
    </row>
    <row r="35" spans="1:8" ht="28.5" customHeight="1" x14ac:dyDescent="0.2">
      <c r="A35" s="33" t="s">
        <v>137</v>
      </c>
      <c r="B35" s="21" t="s">
        <v>30</v>
      </c>
      <c r="C35" s="18" t="s">
        <v>3</v>
      </c>
      <c r="D35" s="23">
        <v>80.66</v>
      </c>
      <c r="E35" s="146" t="s">
        <v>424</v>
      </c>
      <c r="F35" s="16"/>
      <c r="G35" s="16"/>
      <c r="H35" s="16"/>
    </row>
    <row r="36" spans="1:8" ht="28.5" customHeight="1" x14ac:dyDescent="0.2">
      <c r="A36" s="33" t="s">
        <v>138</v>
      </c>
      <c r="B36" s="25" t="s">
        <v>96</v>
      </c>
      <c r="C36" s="18" t="s">
        <v>3</v>
      </c>
      <c r="D36" s="23">
        <v>14.29</v>
      </c>
      <c r="E36" s="250" t="s">
        <v>353</v>
      </c>
      <c r="F36" s="16"/>
      <c r="G36" s="16"/>
      <c r="H36" s="16"/>
    </row>
    <row r="37" spans="1:8" ht="28.5" customHeight="1" x14ac:dyDescent="0.2">
      <c r="A37" s="33" t="s">
        <v>139</v>
      </c>
      <c r="B37" s="21" t="s">
        <v>82</v>
      </c>
      <c r="C37" s="18" t="s">
        <v>41</v>
      </c>
      <c r="D37" s="23">
        <v>28.58</v>
      </c>
      <c r="E37" s="250" t="s">
        <v>354</v>
      </c>
      <c r="F37" s="16"/>
      <c r="G37" s="16"/>
      <c r="H37" s="16"/>
    </row>
    <row r="38" spans="1:8" ht="28.5" customHeight="1" x14ac:dyDescent="0.2">
      <c r="A38" s="33" t="s">
        <v>140</v>
      </c>
      <c r="B38" s="25" t="s">
        <v>482</v>
      </c>
      <c r="C38" s="18" t="s">
        <v>31</v>
      </c>
      <c r="D38" s="23">
        <v>4</v>
      </c>
      <c r="E38" s="250" t="s">
        <v>355</v>
      </c>
      <c r="F38" s="16"/>
      <c r="G38" s="16"/>
      <c r="H38" s="16"/>
    </row>
    <row r="39" spans="1:8" ht="28.5" customHeight="1" x14ac:dyDescent="0.2">
      <c r="A39" s="33" t="s">
        <v>141</v>
      </c>
      <c r="B39" s="25" t="s">
        <v>32</v>
      </c>
      <c r="C39" s="18" t="s">
        <v>31</v>
      </c>
      <c r="D39" s="23">
        <v>4</v>
      </c>
      <c r="E39" s="146" t="s">
        <v>356</v>
      </c>
      <c r="F39" s="16"/>
      <c r="G39" s="16"/>
      <c r="H39" s="16"/>
    </row>
    <row r="40" spans="1:8" ht="28.5" customHeight="1" x14ac:dyDescent="0.2">
      <c r="A40" s="40"/>
      <c r="B40" s="58"/>
      <c r="C40" s="18"/>
      <c r="D40" s="92"/>
      <c r="E40" s="81"/>
      <c r="F40" s="16"/>
      <c r="G40" s="16"/>
      <c r="H40" s="16"/>
    </row>
    <row r="41" spans="1:8" ht="28.5" customHeight="1" x14ac:dyDescent="0.2">
      <c r="A41" s="27">
        <v>7</v>
      </c>
      <c r="B41" s="28" t="s">
        <v>438</v>
      </c>
      <c r="C41" s="29"/>
      <c r="D41" s="30"/>
      <c r="E41" s="93"/>
    </row>
    <row r="42" spans="1:8" ht="28.5" customHeight="1" x14ac:dyDescent="0.2">
      <c r="A42" s="33" t="s">
        <v>64</v>
      </c>
      <c r="B42" s="25" t="s">
        <v>80</v>
      </c>
      <c r="C42" s="18" t="s">
        <v>0</v>
      </c>
      <c r="D42" s="23">
        <v>18</v>
      </c>
      <c r="E42" s="251" t="s">
        <v>357</v>
      </c>
      <c r="G42" s="235"/>
    </row>
    <row r="43" spans="1:8" ht="28.5" customHeight="1" x14ac:dyDescent="0.2">
      <c r="A43" s="33" t="s">
        <v>65</v>
      </c>
      <c r="B43" s="25" t="s">
        <v>78</v>
      </c>
      <c r="C43" s="18" t="s">
        <v>1</v>
      </c>
      <c r="D43" s="23">
        <v>10.8</v>
      </c>
      <c r="E43" s="251" t="s">
        <v>357</v>
      </c>
      <c r="G43" s="235"/>
    </row>
    <row r="44" spans="1:8" ht="28.5" customHeight="1" x14ac:dyDescent="0.2">
      <c r="A44" s="33" t="s">
        <v>66</v>
      </c>
      <c r="B44" s="25" t="s">
        <v>129</v>
      </c>
      <c r="C44" s="18" t="s">
        <v>1</v>
      </c>
      <c r="D44" s="23">
        <v>0.6</v>
      </c>
      <c r="E44" s="250" t="s">
        <v>358</v>
      </c>
      <c r="G44" s="235"/>
    </row>
    <row r="45" spans="1:8" ht="28.5" customHeight="1" x14ac:dyDescent="0.2">
      <c r="A45" s="18" t="s">
        <v>413</v>
      </c>
      <c r="B45" s="142" t="s">
        <v>415</v>
      </c>
      <c r="C45" s="18" t="s">
        <v>1</v>
      </c>
      <c r="D45" s="231">
        <v>0.4</v>
      </c>
      <c r="E45" s="250" t="s">
        <v>418</v>
      </c>
      <c r="G45" s="235"/>
    </row>
    <row r="46" spans="1:8" ht="28.5" customHeight="1" x14ac:dyDescent="0.2">
      <c r="A46" s="72"/>
      <c r="B46" s="72"/>
      <c r="C46" s="72"/>
      <c r="D46" s="21"/>
      <c r="E46" s="21"/>
    </row>
    <row r="47" spans="1:8" ht="28.5" customHeight="1" x14ac:dyDescent="0.2">
      <c r="A47" s="27">
        <v>8</v>
      </c>
      <c r="B47" s="28" t="s">
        <v>439</v>
      </c>
      <c r="C47" s="29"/>
      <c r="D47" s="30"/>
      <c r="E47" s="93"/>
    </row>
    <row r="48" spans="1:8" ht="28.5" customHeight="1" x14ac:dyDescent="0.2">
      <c r="A48" s="72" t="s">
        <v>103</v>
      </c>
      <c r="B48" s="142" t="s">
        <v>127</v>
      </c>
      <c r="C48" s="18" t="s">
        <v>3</v>
      </c>
      <c r="D48" s="23">
        <v>8.7899999999999991</v>
      </c>
      <c r="E48" s="249" t="s">
        <v>359</v>
      </c>
      <c r="G48" s="95"/>
    </row>
    <row r="49" spans="1:8" ht="28.5" customHeight="1" x14ac:dyDescent="0.2">
      <c r="A49" s="72" t="s">
        <v>104</v>
      </c>
      <c r="B49" s="25" t="s">
        <v>463</v>
      </c>
      <c r="C49" s="18" t="s">
        <v>3</v>
      </c>
      <c r="D49" s="23">
        <v>4.33</v>
      </c>
      <c r="E49" s="249" t="s">
        <v>360</v>
      </c>
      <c r="G49" s="95"/>
    </row>
    <row r="50" spans="1:8" ht="28.5" customHeight="1" x14ac:dyDescent="0.2">
      <c r="A50" s="72" t="s">
        <v>105</v>
      </c>
      <c r="B50" s="142" t="s">
        <v>128</v>
      </c>
      <c r="C50" s="18" t="s">
        <v>41</v>
      </c>
      <c r="D50" s="23">
        <v>78.040000000000006</v>
      </c>
      <c r="E50" s="249" t="s">
        <v>361</v>
      </c>
      <c r="G50" s="95"/>
    </row>
    <row r="51" spans="1:8" ht="28.5" customHeight="1" x14ac:dyDescent="0.2">
      <c r="A51" s="72" t="s">
        <v>119</v>
      </c>
      <c r="B51" s="25" t="s">
        <v>483</v>
      </c>
      <c r="C51" s="18" t="s">
        <v>17</v>
      </c>
      <c r="D51" s="23">
        <v>2</v>
      </c>
      <c r="E51" s="250" t="s">
        <v>362</v>
      </c>
      <c r="G51" s="95"/>
    </row>
    <row r="52" spans="1:8" ht="28.5" customHeight="1" x14ac:dyDescent="0.2">
      <c r="A52" s="72" t="s">
        <v>142</v>
      </c>
      <c r="B52" s="21" t="s">
        <v>484</v>
      </c>
      <c r="C52" s="18" t="s">
        <v>1</v>
      </c>
      <c r="D52" s="23">
        <v>4.24</v>
      </c>
      <c r="E52" s="239" t="s">
        <v>363</v>
      </c>
      <c r="G52" s="95"/>
    </row>
    <row r="53" spans="1:8" ht="28.5" customHeight="1" x14ac:dyDescent="0.2">
      <c r="A53" s="72" t="s">
        <v>143</v>
      </c>
      <c r="B53" s="21" t="s">
        <v>485</v>
      </c>
      <c r="C53" s="18" t="s">
        <v>1</v>
      </c>
      <c r="D53" s="23">
        <v>33.6</v>
      </c>
      <c r="E53" s="248" t="s">
        <v>364</v>
      </c>
      <c r="G53" s="95"/>
    </row>
    <row r="54" spans="1:8" ht="28.5" customHeight="1" x14ac:dyDescent="0.2">
      <c r="A54" s="21"/>
      <c r="B54" s="21"/>
      <c r="C54" s="21"/>
      <c r="D54" s="21"/>
      <c r="E54" s="21"/>
      <c r="F54" s="16"/>
      <c r="G54" s="16"/>
      <c r="H54" s="16"/>
    </row>
    <row r="55" spans="1:8" ht="28.5" customHeight="1" x14ac:dyDescent="0.2">
      <c r="A55" s="28">
        <v>9</v>
      </c>
      <c r="B55" s="51" t="s">
        <v>440</v>
      </c>
      <c r="C55" s="29"/>
      <c r="D55" s="140"/>
      <c r="E55" s="93"/>
      <c r="F55" s="16"/>
      <c r="G55" s="16"/>
      <c r="H55" s="16"/>
    </row>
    <row r="56" spans="1:8" ht="28.5" customHeight="1" x14ac:dyDescent="0.2">
      <c r="A56" s="18" t="s">
        <v>106</v>
      </c>
      <c r="B56" s="25" t="s">
        <v>69</v>
      </c>
      <c r="C56" s="18" t="s">
        <v>1</v>
      </c>
      <c r="D56" s="23">
        <v>4.5</v>
      </c>
      <c r="E56" s="72" t="s">
        <v>341</v>
      </c>
      <c r="F56" s="16"/>
      <c r="G56" s="242"/>
      <c r="H56" s="16"/>
    </row>
    <row r="57" spans="1:8" ht="28.5" customHeight="1" x14ac:dyDescent="0.2">
      <c r="A57" s="18" t="s">
        <v>107</v>
      </c>
      <c r="B57" s="25" t="s">
        <v>71</v>
      </c>
      <c r="C57" s="18" t="s">
        <v>31</v>
      </c>
      <c r="D57" s="23">
        <v>3</v>
      </c>
      <c r="E57" s="72" t="s">
        <v>186</v>
      </c>
      <c r="F57" s="16"/>
      <c r="G57" s="242"/>
      <c r="H57" s="16"/>
    </row>
    <row r="58" spans="1:8" ht="28.5" customHeight="1" x14ac:dyDescent="0.2">
      <c r="A58" s="18" t="s">
        <v>108</v>
      </c>
      <c r="B58" s="25" t="s">
        <v>315</v>
      </c>
      <c r="C58" s="18" t="s">
        <v>1</v>
      </c>
      <c r="D58" s="23">
        <v>1488.8</v>
      </c>
      <c r="E58" s="236" t="s">
        <v>342</v>
      </c>
      <c r="G58" s="242"/>
    </row>
    <row r="59" spans="1:8" ht="28.5" customHeight="1" x14ac:dyDescent="0.2">
      <c r="A59" s="18"/>
      <c r="B59" s="21"/>
      <c r="C59" s="21"/>
      <c r="D59" s="21"/>
      <c r="E59" s="21"/>
    </row>
    <row r="60" spans="1:8" ht="28.5" customHeight="1" x14ac:dyDescent="0.2">
      <c r="A60" s="28">
        <v>10</v>
      </c>
      <c r="B60" s="56" t="s">
        <v>441</v>
      </c>
      <c r="C60" s="29"/>
      <c r="D60" s="140"/>
      <c r="E60" s="93"/>
    </row>
    <row r="61" spans="1:8" ht="28.5" customHeight="1" x14ac:dyDescent="0.2">
      <c r="A61" s="18" t="s">
        <v>109</v>
      </c>
      <c r="B61" s="25" t="s">
        <v>120</v>
      </c>
      <c r="C61" s="18" t="s">
        <v>3</v>
      </c>
      <c r="D61" s="231">
        <v>471.6</v>
      </c>
      <c r="E61" s="72" t="s">
        <v>365</v>
      </c>
      <c r="G61" s="242"/>
    </row>
    <row r="62" spans="1:8" ht="28.5" customHeight="1" x14ac:dyDescent="0.2">
      <c r="A62" s="18" t="s">
        <v>110</v>
      </c>
      <c r="B62" s="58" t="s">
        <v>133</v>
      </c>
      <c r="C62" s="18" t="s">
        <v>41</v>
      </c>
      <c r="D62" s="231">
        <v>1002.15</v>
      </c>
      <c r="E62" s="72" t="s">
        <v>366</v>
      </c>
      <c r="G62" s="242"/>
    </row>
    <row r="63" spans="1:8" ht="28.5" customHeight="1" x14ac:dyDescent="0.2">
      <c r="A63" s="18" t="s">
        <v>111</v>
      </c>
      <c r="B63" s="25" t="s">
        <v>123</v>
      </c>
      <c r="C63" s="18" t="s">
        <v>3</v>
      </c>
      <c r="D63" s="231">
        <v>471.6</v>
      </c>
      <c r="E63" s="72" t="s">
        <v>365</v>
      </c>
      <c r="G63" s="242"/>
    </row>
    <row r="64" spans="1:8" ht="28.5" customHeight="1" x14ac:dyDescent="0.2">
      <c r="A64" s="18" t="s">
        <v>112</v>
      </c>
      <c r="B64" s="60" t="s">
        <v>4</v>
      </c>
      <c r="C64" s="18" t="s">
        <v>1</v>
      </c>
      <c r="D64" s="231">
        <v>1051.82</v>
      </c>
      <c r="E64" s="72" t="s">
        <v>61</v>
      </c>
      <c r="G64" s="242"/>
    </row>
    <row r="65" spans="1:7" ht="28.5" customHeight="1" x14ac:dyDescent="0.2">
      <c r="A65" s="18"/>
      <c r="B65" s="21"/>
      <c r="C65" s="21"/>
      <c r="D65" s="21"/>
      <c r="E65" s="21"/>
    </row>
    <row r="66" spans="1:7" ht="28.5" customHeight="1" x14ac:dyDescent="0.2">
      <c r="A66" s="27">
        <v>11</v>
      </c>
      <c r="B66" s="28" t="s">
        <v>442</v>
      </c>
      <c r="C66" s="29"/>
      <c r="D66" s="90"/>
      <c r="E66" s="91"/>
    </row>
    <row r="67" spans="1:7" ht="28.5" customHeight="1" x14ac:dyDescent="0.2">
      <c r="A67" s="33" t="s">
        <v>113</v>
      </c>
      <c r="B67" s="21" t="s">
        <v>68</v>
      </c>
      <c r="C67" s="18" t="s">
        <v>3</v>
      </c>
      <c r="D67" s="23">
        <v>210.36</v>
      </c>
      <c r="E67" s="72" t="s">
        <v>367</v>
      </c>
    </row>
    <row r="68" spans="1:7" ht="28.5" customHeight="1" x14ac:dyDescent="0.2">
      <c r="A68" s="33" t="s">
        <v>114</v>
      </c>
      <c r="B68" s="58" t="s">
        <v>135</v>
      </c>
      <c r="C68" s="18" t="s">
        <v>41</v>
      </c>
      <c r="D68" s="23">
        <v>3744.4</v>
      </c>
      <c r="E68" s="72" t="s">
        <v>368</v>
      </c>
    </row>
    <row r="69" spans="1:7" ht="28.5" customHeight="1" x14ac:dyDescent="0.2">
      <c r="A69" s="33" t="s">
        <v>115</v>
      </c>
      <c r="B69" s="25" t="s">
        <v>408</v>
      </c>
      <c r="C69" s="18" t="s">
        <v>3</v>
      </c>
      <c r="D69" s="23">
        <v>117.6</v>
      </c>
      <c r="E69" s="72" t="s">
        <v>369</v>
      </c>
    </row>
    <row r="70" spans="1:7" ht="28.5" customHeight="1" x14ac:dyDescent="0.2">
      <c r="A70" s="33" t="s">
        <v>144</v>
      </c>
      <c r="B70" s="25" t="s">
        <v>136</v>
      </c>
      <c r="C70" s="18" t="s">
        <v>41</v>
      </c>
      <c r="D70" s="23">
        <v>2093.2800000000002</v>
      </c>
      <c r="E70" s="72" t="s">
        <v>370</v>
      </c>
    </row>
    <row r="71" spans="1:7" ht="28.5" customHeight="1" x14ac:dyDescent="0.2">
      <c r="A71" s="33" t="s">
        <v>145</v>
      </c>
      <c r="B71" s="25" t="s">
        <v>193</v>
      </c>
      <c r="C71" s="18" t="s">
        <v>3</v>
      </c>
      <c r="D71" s="23">
        <v>11.76</v>
      </c>
      <c r="E71" s="72" t="s">
        <v>419</v>
      </c>
    </row>
    <row r="72" spans="1:7" ht="28.5" customHeight="1" x14ac:dyDescent="0.2">
      <c r="A72" s="33" t="s">
        <v>410</v>
      </c>
      <c r="B72" s="25" t="s">
        <v>411</v>
      </c>
      <c r="C72" s="18" t="s">
        <v>41</v>
      </c>
      <c r="D72" s="23">
        <v>209.32</v>
      </c>
      <c r="E72" s="72" t="s">
        <v>420</v>
      </c>
    </row>
    <row r="73" spans="1:7" ht="28.5" customHeight="1" x14ac:dyDescent="0.2">
      <c r="A73" s="33" t="s">
        <v>409</v>
      </c>
      <c r="B73" s="21" t="s">
        <v>15</v>
      </c>
      <c r="C73" s="18" t="s">
        <v>0</v>
      </c>
      <c r="D73" s="23">
        <v>306.89999999999998</v>
      </c>
      <c r="E73" s="72" t="s">
        <v>371</v>
      </c>
    </row>
    <row r="74" spans="1:7" ht="28.5" customHeight="1" x14ac:dyDescent="0.2">
      <c r="A74" s="40"/>
      <c r="B74" s="58"/>
      <c r="C74" s="18"/>
      <c r="D74" s="92"/>
      <c r="E74" s="81"/>
    </row>
    <row r="75" spans="1:7" ht="28.5" customHeight="1" x14ac:dyDescent="0.2">
      <c r="A75" s="27">
        <v>12</v>
      </c>
      <c r="B75" s="28" t="s">
        <v>443</v>
      </c>
      <c r="C75" s="29"/>
      <c r="D75" s="30"/>
      <c r="E75" s="93"/>
    </row>
    <row r="76" spans="1:7" ht="28.5" customHeight="1" x14ac:dyDescent="0.2">
      <c r="A76" s="33" t="s">
        <v>116</v>
      </c>
      <c r="B76" s="25" t="s">
        <v>481</v>
      </c>
      <c r="C76" s="18" t="s">
        <v>1</v>
      </c>
      <c r="D76" s="23">
        <v>1051.82</v>
      </c>
      <c r="E76" s="72" t="s">
        <v>61</v>
      </c>
      <c r="G76" s="235"/>
    </row>
    <row r="77" spans="1:7" ht="28.5" customHeight="1" x14ac:dyDescent="0.2">
      <c r="A77" s="33" t="s">
        <v>117</v>
      </c>
      <c r="B77" s="58" t="s">
        <v>146</v>
      </c>
      <c r="C77" s="18" t="s">
        <v>41</v>
      </c>
      <c r="D77" s="23">
        <v>1048.45</v>
      </c>
      <c r="E77" s="146" t="s">
        <v>372</v>
      </c>
      <c r="G77" s="235"/>
    </row>
    <row r="78" spans="1:7" ht="28.5" customHeight="1" x14ac:dyDescent="0.2">
      <c r="A78" s="18" t="s">
        <v>118</v>
      </c>
      <c r="B78" s="58" t="s">
        <v>147</v>
      </c>
      <c r="C78" s="18" t="s">
        <v>41</v>
      </c>
      <c r="D78" s="23">
        <v>159.13999999999999</v>
      </c>
      <c r="E78" s="146" t="s">
        <v>373</v>
      </c>
      <c r="G78" s="235"/>
    </row>
    <row r="79" spans="1:7" ht="28.5" customHeight="1" x14ac:dyDescent="0.2">
      <c r="A79" s="18"/>
      <c r="B79" s="58"/>
      <c r="C79" s="22"/>
      <c r="D79" s="119"/>
      <c r="E79" s="147"/>
      <c r="G79" s="235"/>
    </row>
    <row r="80" spans="1:7" ht="28.5" customHeight="1" x14ac:dyDescent="0.2">
      <c r="A80" s="27">
        <v>13</v>
      </c>
      <c r="B80" s="28" t="s">
        <v>444</v>
      </c>
      <c r="C80" s="29"/>
      <c r="D80" s="30"/>
      <c r="E80" s="93"/>
      <c r="G80" s="235"/>
    </row>
    <row r="81" spans="1:7" ht="28.5" customHeight="1" x14ac:dyDescent="0.2">
      <c r="A81" s="18" t="s">
        <v>149</v>
      </c>
      <c r="B81" s="21" t="s">
        <v>27</v>
      </c>
      <c r="C81" s="18" t="s">
        <v>3</v>
      </c>
      <c r="D81" s="23">
        <v>132.59</v>
      </c>
      <c r="E81" s="248" t="s">
        <v>351</v>
      </c>
      <c r="G81" s="235"/>
    </row>
    <row r="82" spans="1:7" ht="28.5" customHeight="1" x14ac:dyDescent="0.2">
      <c r="A82" s="18" t="s">
        <v>150</v>
      </c>
      <c r="B82" s="25" t="s">
        <v>76</v>
      </c>
      <c r="C82" s="18" t="s">
        <v>0</v>
      </c>
      <c r="D82" s="23">
        <v>76</v>
      </c>
      <c r="E82" s="249" t="s">
        <v>374</v>
      </c>
      <c r="G82" s="235"/>
    </row>
    <row r="83" spans="1:7" ht="28.5" customHeight="1" x14ac:dyDescent="0.2">
      <c r="A83" s="18" t="s">
        <v>151</v>
      </c>
      <c r="B83" s="25" t="s">
        <v>74</v>
      </c>
      <c r="C83" s="18" t="s">
        <v>0</v>
      </c>
      <c r="D83" s="23">
        <v>76</v>
      </c>
      <c r="E83" s="249" t="s">
        <v>374</v>
      </c>
      <c r="G83" s="235"/>
    </row>
    <row r="84" spans="1:7" ht="28.5" customHeight="1" x14ac:dyDescent="0.2">
      <c r="A84" s="18" t="s">
        <v>203</v>
      </c>
      <c r="B84" s="25" t="s">
        <v>156</v>
      </c>
      <c r="C84" s="18" t="s">
        <v>0</v>
      </c>
      <c r="D84" s="23">
        <v>10</v>
      </c>
      <c r="E84" s="249" t="s">
        <v>375</v>
      </c>
      <c r="G84" s="235"/>
    </row>
    <row r="85" spans="1:7" ht="28.5" customHeight="1" x14ac:dyDescent="0.2">
      <c r="A85" s="18" t="s">
        <v>204</v>
      </c>
      <c r="B85" s="25" t="s">
        <v>157</v>
      </c>
      <c r="C85" s="18" t="s">
        <v>0</v>
      </c>
      <c r="D85" s="23">
        <v>25</v>
      </c>
      <c r="E85" s="249" t="s">
        <v>376</v>
      </c>
      <c r="G85" s="235"/>
    </row>
    <row r="86" spans="1:7" ht="28.5" customHeight="1" x14ac:dyDescent="0.2">
      <c r="A86" s="18" t="s">
        <v>205</v>
      </c>
      <c r="B86" s="25" t="s">
        <v>158</v>
      </c>
      <c r="C86" s="18" t="s">
        <v>0</v>
      </c>
      <c r="D86" s="23">
        <v>25</v>
      </c>
      <c r="E86" s="249" t="s">
        <v>376</v>
      </c>
      <c r="G86" s="235"/>
    </row>
    <row r="87" spans="1:7" ht="28.5" customHeight="1" x14ac:dyDescent="0.2">
      <c r="A87" s="18" t="s">
        <v>206</v>
      </c>
      <c r="B87" s="25" t="s">
        <v>159</v>
      </c>
      <c r="C87" s="18" t="s">
        <v>0</v>
      </c>
      <c r="D87" s="23">
        <v>2</v>
      </c>
      <c r="E87" s="249" t="s">
        <v>377</v>
      </c>
      <c r="G87" s="235"/>
    </row>
    <row r="88" spans="1:7" ht="28.5" customHeight="1" x14ac:dyDescent="0.2">
      <c r="A88" s="18" t="s">
        <v>207</v>
      </c>
      <c r="B88" s="21" t="s">
        <v>30</v>
      </c>
      <c r="C88" s="18" t="s">
        <v>3</v>
      </c>
      <c r="D88" s="23">
        <v>103.94</v>
      </c>
      <c r="E88" s="146" t="s">
        <v>378</v>
      </c>
      <c r="G88" s="235"/>
    </row>
    <row r="89" spans="1:7" ht="28.5" customHeight="1" x14ac:dyDescent="0.2">
      <c r="A89" s="18" t="s">
        <v>208</v>
      </c>
      <c r="B89" s="25" t="s">
        <v>96</v>
      </c>
      <c r="C89" s="18" t="s">
        <v>3</v>
      </c>
      <c r="D89" s="23">
        <v>28.65</v>
      </c>
      <c r="E89" s="238" t="s">
        <v>379</v>
      </c>
      <c r="G89" s="235"/>
    </row>
    <row r="90" spans="1:7" ht="28.5" customHeight="1" x14ac:dyDescent="0.2">
      <c r="A90" s="18" t="s">
        <v>209</v>
      </c>
      <c r="B90" s="21" t="s">
        <v>148</v>
      </c>
      <c r="C90" s="18" t="s">
        <v>41</v>
      </c>
      <c r="D90" s="23">
        <v>60.88</v>
      </c>
      <c r="E90" s="238" t="s">
        <v>380</v>
      </c>
      <c r="G90" s="235"/>
    </row>
    <row r="91" spans="1:7" ht="28.5" customHeight="1" x14ac:dyDescent="0.2">
      <c r="A91" s="18" t="s">
        <v>210</v>
      </c>
      <c r="B91" s="25" t="s">
        <v>482</v>
      </c>
      <c r="C91" s="18" t="s">
        <v>31</v>
      </c>
      <c r="D91" s="23">
        <v>5</v>
      </c>
      <c r="E91" s="250" t="s">
        <v>474</v>
      </c>
      <c r="G91" s="235"/>
    </row>
    <row r="92" spans="1:7" ht="28.5" customHeight="1" x14ac:dyDescent="0.2">
      <c r="A92" s="18" t="s">
        <v>211</v>
      </c>
      <c r="B92" s="25" t="s">
        <v>472</v>
      </c>
      <c r="C92" s="18" t="s">
        <v>31</v>
      </c>
      <c r="D92" s="23">
        <v>1</v>
      </c>
      <c r="E92" s="250" t="s">
        <v>473</v>
      </c>
      <c r="G92" s="235"/>
    </row>
    <row r="93" spans="1:7" ht="28.5" customHeight="1" x14ac:dyDescent="0.2">
      <c r="A93" s="18" t="s">
        <v>469</v>
      </c>
      <c r="B93" s="25" t="s">
        <v>32</v>
      </c>
      <c r="C93" s="18" t="s">
        <v>31</v>
      </c>
      <c r="D93" s="23">
        <v>8</v>
      </c>
      <c r="E93" s="146" t="s">
        <v>381</v>
      </c>
      <c r="G93" s="235"/>
    </row>
    <row r="94" spans="1:7" ht="28.5" customHeight="1" x14ac:dyDescent="0.2">
      <c r="A94" s="18"/>
      <c r="B94" s="58"/>
      <c r="C94" s="22"/>
      <c r="D94" s="119"/>
      <c r="E94" s="147"/>
      <c r="G94" s="235"/>
    </row>
    <row r="95" spans="1:7" ht="28.5" customHeight="1" x14ac:dyDescent="0.2">
      <c r="A95" s="27">
        <v>14</v>
      </c>
      <c r="B95" s="28" t="s">
        <v>445</v>
      </c>
      <c r="C95" s="29"/>
      <c r="D95" s="37"/>
      <c r="E95" s="31"/>
      <c r="G95" s="235"/>
    </row>
    <row r="96" spans="1:7" ht="28.5" customHeight="1" x14ac:dyDescent="0.2">
      <c r="A96" s="18" t="s">
        <v>160</v>
      </c>
      <c r="B96" s="25" t="s">
        <v>80</v>
      </c>
      <c r="C96" s="18" t="s">
        <v>0</v>
      </c>
      <c r="D96" s="23">
        <v>50</v>
      </c>
      <c r="E96" s="72" t="s">
        <v>61</v>
      </c>
      <c r="G96" s="235"/>
    </row>
    <row r="97" spans="1:7" ht="28.5" customHeight="1" x14ac:dyDescent="0.2">
      <c r="A97" s="18" t="s">
        <v>161</v>
      </c>
      <c r="B97" s="25" t="s">
        <v>78</v>
      </c>
      <c r="C97" s="18" t="s">
        <v>1</v>
      </c>
      <c r="D97" s="23">
        <v>10.8</v>
      </c>
      <c r="E97" s="72" t="s">
        <v>61</v>
      </c>
      <c r="G97" s="235"/>
    </row>
    <row r="98" spans="1:7" ht="28.5" customHeight="1" x14ac:dyDescent="0.2">
      <c r="A98" s="18" t="s">
        <v>162</v>
      </c>
      <c r="B98" s="21" t="s">
        <v>45</v>
      </c>
      <c r="C98" s="18" t="s">
        <v>1</v>
      </c>
      <c r="D98" s="23">
        <v>0.6</v>
      </c>
      <c r="E98" s="250" t="s">
        <v>358</v>
      </c>
      <c r="G98" s="235"/>
    </row>
    <row r="99" spans="1:7" ht="28.5" customHeight="1" x14ac:dyDescent="0.2">
      <c r="A99" s="18" t="s">
        <v>414</v>
      </c>
      <c r="B99" s="142" t="s">
        <v>415</v>
      </c>
      <c r="C99" s="18" t="s">
        <v>1</v>
      </c>
      <c r="D99" s="23">
        <v>0.4</v>
      </c>
      <c r="E99" s="250" t="s">
        <v>418</v>
      </c>
      <c r="G99" s="235"/>
    </row>
    <row r="100" spans="1:7" ht="28.5" customHeight="1" x14ac:dyDescent="0.2">
      <c r="A100" s="18"/>
      <c r="B100" s="58"/>
      <c r="C100" s="22"/>
      <c r="D100" s="119"/>
      <c r="E100" s="147"/>
      <c r="G100" s="235"/>
    </row>
    <row r="101" spans="1:7" ht="28.5" customHeight="1" x14ac:dyDescent="0.2">
      <c r="A101" s="27">
        <v>15</v>
      </c>
      <c r="B101" s="28" t="s">
        <v>446</v>
      </c>
      <c r="C101" s="29"/>
      <c r="D101" s="30"/>
      <c r="E101" s="76"/>
      <c r="G101" s="235"/>
    </row>
    <row r="102" spans="1:7" ht="28.5" customHeight="1" x14ac:dyDescent="0.2">
      <c r="A102" s="18" t="s">
        <v>163</v>
      </c>
      <c r="B102" s="142" t="s">
        <v>127</v>
      </c>
      <c r="C102" s="18" t="s">
        <v>3</v>
      </c>
      <c r="D102" s="23">
        <v>26.51</v>
      </c>
      <c r="E102" s="249" t="s">
        <v>382</v>
      </c>
      <c r="G102" s="235"/>
    </row>
    <row r="103" spans="1:7" ht="28.5" customHeight="1" x14ac:dyDescent="0.2">
      <c r="A103" s="18" t="s">
        <v>164</v>
      </c>
      <c r="B103" s="25" t="s">
        <v>463</v>
      </c>
      <c r="C103" s="18" t="s">
        <v>3</v>
      </c>
      <c r="D103" s="23">
        <v>13.1</v>
      </c>
      <c r="E103" s="249" t="s">
        <v>383</v>
      </c>
      <c r="G103" s="235"/>
    </row>
    <row r="104" spans="1:7" ht="28.5" customHeight="1" x14ac:dyDescent="0.2">
      <c r="A104" s="18" t="s">
        <v>165</v>
      </c>
      <c r="B104" s="142" t="s">
        <v>152</v>
      </c>
      <c r="C104" s="18" t="s">
        <v>41</v>
      </c>
      <c r="D104" s="23">
        <v>233.34</v>
      </c>
      <c r="E104" s="249" t="s">
        <v>384</v>
      </c>
      <c r="G104" s="235"/>
    </row>
    <row r="105" spans="1:7" ht="28.5" customHeight="1" x14ac:dyDescent="0.2">
      <c r="A105" s="18" t="s">
        <v>212</v>
      </c>
      <c r="B105" s="25" t="s">
        <v>483</v>
      </c>
      <c r="C105" s="18" t="s">
        <v>17</v>
      </c>
      <c r="D105" s="23">
        <v>2</v>
      </c>
      <c r="E105" s="250" t="s">
        <v>362</v>
      </c>
      <c r="G105" s="235"/>
    </row>
    <row r="106" spans="1:7" ht="28.5" customHeight="1" x14ac:dyDescent="0.2">
      <c r="A106" s="18" t="s">
        <v>213</v>
      </c>
      <c r="B106" s="21" t="s">
        <v>484</v>
      </c>
      <c r="C106" s="18" t="s">
        <v>1</v>
      </c>
      <c r="D106" s="23">
        <v>4.6399999999999997</v>
      </c>
      <c r="E106" s="239" t="s">
        <v>385</v>
      </c>
      <c r="G106" s="235"/>
    </row>
    <row r="107" spans="1:7" ht="28.5" customHeight="1" x14ac:dyDescent="0.2">
      <c r="A107" s="18" t="s">
        <v>214</v>
      </c>
      <c r="B107" s="21" t="s">
        <v>485</v>
      </c>
      <c r="C107" s="18" t="s">
        <v>1</v>
      </c>
      <c r="D107" s="23">
        <v>111.9</v>
      </c>
      <c r="E107" s="248" t="s">
        <v>386</v>
      </c>
      <c r="G107" s="235"/>
    </row>
    <row r="108" spans="1:7" ht="28.5" customHeight="1" x14ac:dyDescent="0.2">
      <c r="A108" s="18"/>
      <c r="B108" s="58"/>
      <c r="C108" s="22"/>
      <c r="D108" s="119"/>
      <c r="E108" s="147"/>
      <c r="G108" s="235"/>
    </row>
    <row r="109" spans="1:7" ht="28.5" customHeight="1" x14ac:dyDescent="0.25">
      <c r="A109" s="27">
        <v>16</v>
      </c>
      <c r="B109" s="51" t="s">
        <v>447</v>
      </c>
      <c r="C109" s="99"/>
      <c r="D109" s="99"/>
      <c r="E109" s="110"/>
      <c r="G109" s="235"/>
    </row>
    <row r="110" spans="1:7" ht="28.5" customHeight="1" x14ac:dyDescent="0.2">
      <c r="A110" s="18" t="s">
        <v>166</v>
      </c>
      <c r="B110" s="25" t="s">
        <v>69</v>
      </c>
      <c r="C110" s="18" t="s">
        <v>1</v>
      </c>
      <c r="D110" s="23">
        <v>4.5</v>
      </c>
      <c r="E110" s="72" t="s">
        <v>341</v>
      </c>
      <c r="G110" s="235"/>
    </row>
    <row r="111" spans="1:7" ht="28.5" customHeight="1" x14ac:dyDescent="0.2">
      <c r="A111" s="18" t="s">
        <v>167</v>
      </c>
      <c r="B111" s="25" t="s">
        <v>71</v>
      </c>
      <c r="C111" s="18" t="s">
        <v>31</v>
      </c>
      <c r="D111" s="23">
        <v>3</v>
      </c>
      <c r="E111" s="72" t="s">
        <v>186</v>
      </c>
      <c r="G111" s="235"/>
    </row>
    <row r="112" spans="1:7" ht="28.5" customHeight="1" x14ac:dyDescent="0.2">
      <c r="A112" s="18" t="s">
        <v>168</v>
      </c>
      <c r="B112" s="25" t="s">
        <v>315</v>
      </c>
      <c r="C112" s="18" t="s">
        <v>1</v>
      </c>
      <c r="D112" s="23">
        <v>2019.49</v>
      </c>
      <c r="E112" s="236" t="s">
        <v>342</v>
      </c>
      <c r="G112" s="235"/>
    </row>
    <row r="113" spans="1:7" ht="28.5" customHeight="1" x14ac:dyDescent="0.2">
      <c r="A113" s="18"/>
      <c r="B113" s="58"/>
      <c r="C113" s="22"/>
      <c r="D113" s="119"/>
      <c r="E113" s="147"/>
      <c r="G113" s="235"/>
    </row>
    <row r="114" spans="1:7" ht="28.5" customHeight="1" x14ac:dyDescent="0.2">
      <c r="A114" s="27">
        <v>17</v>
      </c>
      <c r="B114" s="56" t="s">
        <v>448</v>
      </c>
      <c r="C114" s="29"/>
      <c r="D114" s="140"/>
      <c r="E114" s="52"/>
      <c r="F114" s="246"/>
      <c r="G114" s="235"/>
    </row>
    <row r="115" spans="1:7" ht="28.5" customHeight="1" x14ac:dyDescent="0.2">
      <c r="A115" s="18" t="s">
        <v>169</v>
      </c>
      <c r="B115" s="25" t="s">
        <v>120</v>
      </c>
      <c r="C115" s="18" t="s">
        <v>3</v>
      </c>
      <c r="D115" s="23">
        <v>454.77</v>
      </c>
      <c r="E115" s="72" t="s">
        <v>387</v>
      </c>
      <c r="G115" s="235"/>
    </row>
    <row r="116" spans="1:7" ht="28.5" customHeight="1" x14ac:dyDescent="0.2">
      <c r="A116" s="18" t="s">
        <v>170</v>
      </c>
      <c r="B116" s="58" t="s">
        <v>179</v>
      </c>
      <c r="C116" s="18" t="s">
        <v>41</v>
      </c>
      <c r="D116" s="23">
        <v>739</v>
      </c>
      <c r="E116" s="72" t="s">
        <v>388</v>
      </c>
      <c r="G116" s="235"/>
    </row>
    <row r="117" spans="1:7" ht="28.5" customHeight="1" x14ac:dyDescent="0.2">
      <c r="A117" s="18" t="s">
        <v>171</v>
      </c>
      <c r="B117" s="25" t="s">
        <v>123</v>
      </c>
      <c r="C117" s="18" t="s">
        <v>3</v>
      </c>
      <c r="D117" s="23">
        <v>454.77</v>
      </c>
      <c r="E117" s="72" t="s">
        <v>387</v>
      </c>
      <c r="G117" s="235"/>
    </row>
    <row r="118" spans="1:7" ht="28.5" customHeight="1" x14ac:dyDescent="0.2">
      <c r="A118" s="18" t="s">
        <v>172</v>
      </c>
      <c r="B118" s="60" t="s">
        <v>4</v>
      </c>
      <c r="C118" s="18" t="s">
        <v>1</v>
      </c>
      <c r="D118" s="23">
        <v>1352.27</v>
      </c>
      <c r="E118" s="72" t="s">
        <v>61</v>
      </c>
      <c r="G118" s="235"/>
    </row>
    <row r="119" spans="1:7" ht="28.5" customHeight="1" x14ac:dyDescent="0.2">
      <c r="A119" s="18"/>
      <c r="B119" s="58"/>
      <c r="C119" s="22"/>
      <c r="D119" s="119"/>
      <c r="E119" s="147"/>
      <c r="G119" s="235"/>
    </row>
    <row r="120" spans="1:7" ht="28.5" customHeight="1" x14ac:dyDescent="0.2">
      <c r="A120" s="27">
        <v>18</v>
      </c>
      <c r="B120" s="56" t="s">
        <v>449</v>
      </c>
      <c r="C120" s="57"/>
      <c r="D120" s="140"/>
      <c r="E120" s="29"/>
      <c r="G120" s="235"/>
    </row>
    <row r="121" spans="1:7" ht="28.5" customHeight="1" x14ac:dyDescent="0.2">
      <c r="A121" s="18" t="s">
        <v>173</v>
      </c>
      <c r="B121" s="21" t="s">
        <v>68</v>
      </c>
      <c r="C121" s="18" t="s">
        <v>3</v>
      </c>
      <c r="D121" s="23">
        <v>270.45</v>
      </c>
      <c r="E121" s="72" t="s">
        <v>389</v>
      </c>
      <c r="G121" s="235"/>
    </row>
    <row r="122" spans="1:7" ht="28.5" customHeight="1" x14ac:dyDescent="0.2">
      <c r="A122" s="18" t="s">
        <v>174</v>
      </c>
      <c r="B122" s="58" t="s">
        <v>180</v>
      </c>
      <c r="C122" s="18" t="s">
        <v>41</v>
      </c>
      <c r="D122" s="23">
        <v>5652.4</v>
      </c>
      <c r="E122" s="72" t="s">
        <v>390</v>
      </c>
      <c r="G122" s="235"/>
    </row>
    <row r="123" spans="1:7" ht="28.5" customHeight="1" x14ac:dyDescent="0.2">
      <c r="A123" s="18" t="s">
        <v>175</v>
      </c>
      <c r="B123" s="21" t="s">
        <v>15</v>
      </c>
      <c r="C123" s="18" t="s">
        <v>0</v>
      </c>
      <c r="D123" s="23">
        <v>379</v>
      </c>
      <c r="E123" s="72" t="s">
        <v>391</v>
      </c>
      <c r="G123" s="235"/>
    </row>
    <row r="124" spans="1:7" ht="28.5" customHeight="1" x14ac:dyDescent="0.2">
      <c r="A124" s="18"/>
      <c r="B124" s="58"/>
      <c r="C124" s="22"/>
      <c r="D124" s="119"/>
      <c r="E124" s="147"/>
      <c r="G124" s="235"/>
    </row>
    <row r="125" spans="1:7" ht="28.5" customHeight="1" x14ac:dyDescent="0.2">
      <c r="A125" s="27">
        <v>19</v>
      </c>
      <c r="B125" s="28" t="s">
        <v>450</v>
      </c>
      <c r="C125" s="29"/>
      <c r="D125" s="45"/>
      <c r="E125" s="29"/>
      <c r="G125" s="235"/>
    </row>
    <row r="126" spans="1:7" ht="28.5" customHeight="1" x14ac:dyDescent="0.2">
      <c r="A126" s="18" t="s">
        <v>176</v>
      </c>
      <c r="B126" s="25" t="s">
        <v>481</v>
      </c>
      <c r="C126" s="18" t="s">
        <v>1</v>
      </c>
      <c r="D126" s="231">
        <v>1352.27</v>
      </c>
      <c r="E126" s="72" t="s">
        <v>348</v>
      </c>
      <c r="G126" s="235"/>
    </row>
    <row r="127" spans="1:7" ht="28.5" customHeight="1" x14ac:dyDescent="0.2">
      <c r="A127" s="18" t="s">
        <v>177</v>
      </c>
      <c r="B127" s="58" t="s">
        <v>181</v>
      </c>
      <c r="C127" s="18" t="s">
        <v>41</v>
      </c>
      <c r="D127" s="231">
        <v>1582.69</v>
      </c>
      <c r="E127" s="146" t="s">
        <v>392</v>
      </c>
      <c r="G127" s="235"/>
    </row>
    <row r="128" spans="1:7" ht="28.5" customHeight="1" x14ac:dyDescent="0.2">
      <c r="A128" s="18" t="s">
        <v>178</v>
      </c>
      <c r="B128" s="58" t="s">
        <v>182</v>
      </c>
      <c r="C128" s="18" t="s">
        <v>41</v>
      </c>
      <c r="D128" s="231">
        <v>240.23</v>
      </c>
      <c r="E128" s="146" t="s">
        <v>393</v>
      </c>
      <c r="G128" s="235"/>
    </row>
    <row r="129" spans="1:7" ht="28.5" customHeight="1" x14ac:dyDescent="0.2">
      <c r="A129" s="18"/>
      <c r="B129" s="58"/>
      <c r="C129" s="22"/>
      <c r="D129" s="119"/>
      <c r="E129" s="147"/>
      <c r="G129" s="235"/>
    </row>
    <row r="130" spans="1:7" ht="28.5" customHeight="1" x14ac:dyDescent="0.2">
      <c r="A130" s="27">
        <v>20</v>
      </c>
      <c r="B130" s="28" t="s">
        <v>451</v>
      </c>
      <c r="C130" s="29"/>
      <c r="D130" s="37"/>
      <c r="E130" s="44"/>
      <c r="G130" s="235"/>
    </row>
    <row r="131" spans="1:7" ht="28.5" customHeight="1" x14ac:dyDescent="0.2">
      <c r="A131" s="18" t="s">
        <v>215</v>
      </c>
      <c r="B131" s="21" t="s">
        <v>27</v>
      </c>
      <c r="C131" s="18" t="s">
        <v>3</v>
      </c>
      <c r="D131" s="23">
        <v>49.92</v>
      </c>
      <c r="E131" s="248" t="s">
        <v>351</v>
      </c>
      <c r="G131" s="235"/>
    </row>
    <row r="132" spans="1:7" ht="28.5" customHeight="1" x14ac:dyDescent="0.2">
      <c r="A132" s="18" t="s">
        <v>216</v>
      </c>
      <c r="B132" s="25" t="s">
        <v>76</v>
      </c>
      <c r="C132" s="18" t="s">
        <v>0</v>
      </c>
      <c r="D132" s="23">
        <v>25</v>
      </c>
      <c r="E132" s="249" t="s">
        <v>394</v>
      </c>
      <c r="G132" s="235"/>
    </row>
    <row r="133" spans="1:7" ht="28.5" customHeight="1" x14ac:dyDescent="0.2">
      <c r="A133" s="18" t="s">
        <v>217</v>
      </c>
      <c r="B133" s="25" t="s">
        <v>74</v>
      </c>
      <c r="C133" s="18" t="s">
        <v>0</v>
      </c>
      <c r="D133" s="23">
        <v>25</v>
      </c>
      <c r="E133" s="249" t="s">
        <v>394</v>
      </c>
      <c r="G133" s="235"/>
    </row>
    <row r="134" spans="1:7" ht="28.5" customHeight="1" x14ac:dyDescent="0.2">
      <c r="A134" s="18" t="s">
        <v>218</v>
      </c>
      <c r="B134" s="25" t="s">
        <v>185</v>
      </c>
      <c r="C134" s="18" t="s">
        <v>0</v>
      </c>
      <c r="D134" s="23">
        <v>24</v>
      </c>
      <c r="E134" s="249" t="s">
        <v>395</v>
      </c>
      <c r="G134" s="235"/>
    </row>
    <row r="135" spans="1:7" ht="28.5" customHeight="1" x14ac:dyDescent="0.2">
      <c r="A135" s="18" t="s">
        <v>219</v>
      </c>
      <c r="B135" s="21" t="s">
        <v>30</v>
      </c>
      <c r="C135" s="18" t="s">
        <v>3</v>
      </c>
      <c r="D135" s="23">
        <v>41.06</v>
      </c>
      <c r="E135" s="146" t="s">
        <v>396</v>
      </c>
      <c r="G135" s="235"/>
    </row>
    <row r="136" spans="1:7" ht="28.5" customHeight="1" x14ac:dyDescent="0.2">
      <c r="A136" s="18" t="s">
        <v>220</v>
      </c>
      <c r="B136" s="25" t="s">
        <v>96</v>
      </c>
      <c r="C136" s="18" t="s">
        <v>3</v>
      </c>
      <c r="D136" s="23">
        <v>8.86</v>
      </c>
      <c r="E136" s="250" t="s">
        <v>397</v>
      </c>
      <c r="G136" s="235"/>
    </row>
    <row r="137" spans="1:7" ht="28.5" customHeight="1" x14ac:dyDescent="0.2">
      <c r="A137" s="18" t="s">
        <v>221</v>
      </c>
      <c r="B137" s="21" t="s">
        <v>183</v>
      </c>
      <c r="C137" s="18" t="s">
        <v>41</v>
      </c>
      <c r="D137" s="23">
        <v>14.39</v>
      </c>
      <c r="E137" s="250" t="s">
        <v>398</v>
      </c>
      <c r="G137" s="235"/>
    </row>
    <row r="138" spans="1:7" ht="28.5" customHeight="1" x14ac:dyDescent="0.2">
      <c r="A138" s="18" t="s">
        <v>222</v>
      </c>
      <c r="B138" s="25" t="s">
        <v>482</v>
      </c>
      <c r="C138" s="18" t="s">
        <v>31</v>
      </c>
      <c r="D138" s="23">
        <v>3</v>
      </c>
      <c r="E138" s="250" t="s">
        <v>399</v>
      </c>
      <c r="G138" s="235"/>
    </row>
    <row r="139" spans="1:7" ht="28.5" customHeight="1" x14ac:dyDescent="0.2">
      <c r="A139" s="18" t="s">
        <v>223</v>
      </c>
      <c r="B139" s="25" t="s">
        <v>32</v>
      </c>
      <c r="C139" s="18" t="s">
        <v>31</v>
      </c>
      <c r="D139" s="23">
        <v>11</v>
      </c>
      <c r="E139" s="146" t="s">
        <v>400</v>
      </c>
      <c r="G139" s="235"/>
    </row>
    <row r="140" spans="1:7" ht="28.5" customHeight="1" x14ac:dyDescent="0.2">
      <c r="A140" s="18"/>
      <c r="B140" s="58"/>
      <c r="C140" s="22"/>
      <c r="D140" s="119"/>
      <c r="E140" s="147"/>
      <c r="G140" s="235"/>
    </row>
    <row r="141" spans="1:7" ht="28.5" customHeight="1" x14ac:dyDescent="0.2">
      <c r="A141" s="27">
        <v>21</v>
      </c>
      <c r="B141" s="28" t="s">
        <v>452</v>
      </c>
      <c r="C141" s="29"/>
      <c r="D141" s="37"/>
      <c r="E141" s="31"/>
      <c r="G141" s="235"/>
    </row>
    <row r="142" spans="1:7" ht="28.5" customHeight="1" x14ac:dyDescent="0.2">
      <c r="A142" s="18" t="s">
        <v>224</v>
      </c>
      <c r="B142" s="25" t="s">
        <v>80</v>
      </c>
      <c r="C142" s="18" t="s">
        <v>0</v>
      </c>
      <c r="D142" s="23">
        <v>70</v>
      </c>
      <c r="E142" s="251" t="s">
        <v>348</v>
      </c>
      <c r="G142" s="235"/>
    </row>
    <row r="143" spans="1:7" ht="28.5" customHeight="1" x14ac:dyDescent="0.2">
      <c r="A143" s="18" t="s">
        <v>225</v>
      </c>
      <c r="B143" s="25" t="s">
        <v>78</v>
      </c>
      <c r="C143" s="18" t="s">
        <v>1</v>
      </c>
      <c r="D143" s="23">
        <v>21.6</v>
      </c>
      <c r="E143" s="251" t="s">
        <v>348</v>
      </c>
      <c r="G143" s="235"/>
    </row>
    <row r="144" spans="1:7" ht="28.5" customHeight="1" x14ac:dyDescent="0.2">
      <c r="A144" s="18" t="s">
        <v>226</v>
      </c>
      <c r="B144" s="25" t="s">
        <v>129</v>
      </c>
      <c r="C144" s="18" t="s">
        <v>1</v>
      </c>
      <c r="D144" s="23">
        <v>0.9</v>
      </c>
      <c r="E144" s="250" t="s">
        <v>421</v>
      </c>
      <c r="G144" s="235"/>
    </row>
    <row r="145" spans="1:7" ht="28.5" customHeight="1" x14ac:dyDescent="0.2">
      <c r="A145" s="18" t="s">
        <v>416</v>
      </c>
      <c r="B145" s="142" t="s">
        <v>415</v>
      </c>
      <c r="C145" s="18" t="s">
        <v>1</v>
      </c>
      <c r="D145" s="23">
        <v>0.4</v>
      </c>
      <c r="E145" s="250" t="s">
        <v>418</v>
      </c>
      <c r="G145" s="235"/>
    </row>
    <row r="146" spans="1:7" ht="28.5" customHeight="1" x14ac:dyDescent="0.2">
      <c r="A146" s="18"/>
      <c r="B146" s="58"/>
      <c r="C146" s="22"/>
      <c r="D146" s="119"/>
      <c r="E146" s="147"/>
      <c r="G146" s="235"/>
    </row>
    <row r="147" spans="1:7" ht="28.5" customHeight="1" x14ac:dyDescent="0.2">
      <c r="A147" s="27">
        <v>22</v>
      </c>
      <c r="B147" s="28" t="s">
        <v>453</v>
      </c>
      <c r="C147" s="29"/>
      <c r="D147" s="30"/>
      <c r="E147" s="76"/>
      <c r="G147" s="235"/>
    </row>
    <row r="148" spans="1:7" ht="28.5" customHeight="1" x14ac:dyDescent="0.2">
      <c r="A148" s="18" t="s">
        <v>227</v>
      </c>
      <c r="B148" s="142" t="s">
        <v>127</v>
      </c>
      <c r="C148" s="18" t="s">
        <v>3</v>
      </c>
      <c r="D148" s="23">
        <v>41.64</v>
      </c>
      <c r="E148" s="249" t="s">
        <v>402</v>
      </c>
      <c r="G148" s="235"/>
    </row>
    <row r="149" spans="1:7" ht="28.5" customHeight="1" x14ac:dyDescent="0.2">
      <c r="A149" s="18" t="s">
        <v>228</v>
      </c>
      <c r="B149" s="25" t="s">
        <v>463</v>
      </c>
      <c r="C149" s="18" t="s">
        <v>3</v>
      </c>
      <c r="D149" s="23">
        <v>20.010000000000002</v>
      </c>
      <c r="E149" s="249" t="s">
        <v>403</v>
      </c>
      <c r="G149" s="235"/>
    </row>
    <row r="150" spans="1:7" ht="28.5" customHeight="1" x14ac:dyDescent="0.2">
      <c r="A150" s="18" t="s">
        <v>229</v>
      </c>
      <c r="B150" s="142" t="s">
        <v>184</v>
      </c>
      <c r="C150" s="18" t="s">
        <v>41</v>
      </c>
      <c r="D150" s="23">
        <v>418.34</v>
      </c>
      <c r="E150" s="249" t="s">
        <v>404</v>
      </c>
      <c r="G150" s="235"/>
    </row>
    <row r="151" spans="1:7" ht="28.5" customHeight="1" x14ac:dyDescent="0.2">
      <c r="A151" s="18" t="s">
        <v>230</v>
      </c>
      <c r="B151" s="25" t="s">
        <v>483</v>
      </c>
      <c r="C151" s="18" t="s">
        <v>17</v>
      </c>
      <c r="D151" s="23">
        <v>3</v>
      </c>
      <c r="E151" s="250" t="s">
        <v>401</v>
      </c>
      <c r="G151" s="235"/>
    </row>
    <row r="152" spans="1:7" ht="28.5" customHeight="1" x14ac:dyDescent="0.2">
      <c r="A152" s="18" t="s">
        <v>231</v>
      </c>
      <c r="B152" s="21" t="s">
        <v>484</v>
      </c>
      <c r="C152" s="18" t="s">
        <v>1</v>
      </c>
      <c r="D152" s="23">
        <v>8</v>
      </c>
      <c r="E152" s="239" t="s">
        <v>405</v>
      </c>
      <c r="G152" s="235"/>
    </row>
    <row r="153" spans="1:7" ht="28.5" customHeight="1" x14ac:dyDescent="0.2">
      <c r="A153" s="18" t="s">
        <v>232</v>
      </c>
      <c r="B153" s="21" t="s">
        <v>485</v>
      </c>
      <c r="C153" s="18" t="s">
        <v>1</v>
      </c>
      <c r="D153" s="23">
        <v>136.63</v>
      </c>
      <c r="E153" s="248" t="s">
        <v>406</v>
      </c>
      <c r="G153" s="235"/>
    </row>
    <row r="154" spans="1:7" ht="28.5" customHeight="1" x14ac:dyDescent="0.2">
      <c r="A154" s="18" t="s">
        <v>269</v>
      </c>
      <c r="B154" s="21" t="s">
        <v>202</v>
      </c>
      <c r="C154" s="18" t="s">
        <v>3</v>
      </c>
      <c r="D154" s="23">
        <v>8.4600000000000009</v>
      </c>
      <c r="E154" s="240" t="s">
        <v>407</v>
      </c>
      <c r="G154" s="235"/>
    </row>
    <row r="155" spans="1:7" ht="28.5" customHeight="1" x14ac:dyDescent="0.2">
      <c r="A155" s="18"/>
      <c r="B155" s="58"/>
      <c r="C155" s="22"/>
      <c r="D155" s="119"/>
      <c r="E155" s="147"/>
      <c r="G155" s="235"/>
    </row>
    <row r="156" spans="1:7" ht="28.5" customHeight="1" x14ac:dyDescent="0.2">
      <c r="A156" s="27">
        <v>23</v>
      </c>
      <c r="B156" s="28" t="s">
        <v>454</v>
      </c>
      <c r="C156" s="29"/>
      <c r="D156" s="30"/>
      <c r="E156" s="76"/>
      <c r="G156" s="235"/>
    </row>
    <row r="157" spans="1:7" ht="28.5" customHeight="1" x14ac:dyDescent="0.2">
      <c r="A157" s="160" t="s">
        <v>233</v>
      </c>
      <c r="B157" s="142" t="s">
        <v>69</v>
      </c>
      <c r="C157" s="160" t="s">
        <v>1</v>
      </c>
      <c r="D157" s="23">
        <v>4.5</v>
      </c>
      <c r="E157" s="72" t="s">
        <v>430</v>
      </c>
      <c r="G157" s="235"/>
    </row>
    <row r="158" spans="1:7" ht="28.5" customHeight="1" x14ac:dyDescent="0.2">
      <c r="A158" s="160" t="s">
        <v>234</v>
      </c>
      <c r="B158" s="142" t="s">
        <v>71</v>
      </c>
      <c r="C158" s="160" t="s">
        <v>31</v>
      </c>
      <c r="D158" s="23">
        <v>5</v>
      </c>
      <c r="E158" s="72" t="s">
        <v>480</v>
      </c>
      <c r="G158" s="235"/>
    </row>
    <row r="159" spans="1:7" ht="28.5" customHeight="1" x14ac:dyDescent="0.2">
      <c r="A159" s="18" t="s">
        <v>429</v>
      </c>
      <c r="B159" s="25" t="s">
        <v>315</v>
      </c>
      <c r="C159" s="18" t="s">
        <v>1</v>
      </c>
      <c r="D159" s="23">
        <v>8040.14</v>
      </c>
      <c r="E159" s="236" t="s">
        <v>320</v>
      </c>
      <c r="G159" s="235"/>
    </row>
    <row r="160" spans="1:7" ht="28.5" customHeight="1" x14ac:dyDescent="0.2">
      <c r="A160" s="18"/>
      <c r="B160" s="58"/>
      <c r="C160" s="22"/>
      <c r="D160" s="119"/>
      <c r="E160" s="147"/>
      <c r="G160" s="235"/>
    </row>
    <row r="161" spans="1:7" ht="28.5" customHeight="1" x14ac:dyDescent="0.2">
      <c r="A161" s="27">
        <v>24</v>
      </c>
      <c r="B161" s="28" t="s">
        <v>455</v>
      </c>
      <c r="C161" s="29"/>
      <c r="D161" s="30"/>
      <c r="E161" s="76"/>
      <c r="G161" s="235"/>
    </row>
    <row r="162" spans="1:7" ht="28.5" customHeight="1" x14ac:dyDescent="0.2">
      <c r="A162" s="18" t="s">
        <v>248</v>
      </c>
      <c r="B162" s="169" t="s">
        <v>187</v>
      </c>
      <c r="C162" s="18" t="s">
        <v>3</v>
      </c>
      <c r="D162" s="23">
        <v>4792.66</v>
      </c>
      <c r="E162" s="72" t="s">
        <v>321</v>
      </c>
      <c r="G162" s="235"/>
    </row>
    <row r="163" spans="1:7" ht="28.5" customHeight="1" x14ac:dyDescent="0.2">
      <c r="A163" s="18" t="s">
        <v>249</v>
      </c>
      <c r="B163" s="58" t="s">
        <v>272</v>
      </c>
      <c r="C163" s="18" t="s">
        <v>41</v>
      </c>
      <c r="D163" s="23">
        <v>5990.83</v>
      </c>
      <c r="E163" s="72" t="s">
        <v>322</v>
      </c>
      <c r="G163" s="235"/>
    </row>
    <row r="164" spans="1:7" ht="28.5" customHeight="1" x14ac:dyDescent="0.2">
      <c r="A164" s="18" t="s">
        <v>250</v>
      </c>
      <c r="B164" s="25" t="s">
        <v>188</v>
      </c>
      <c r="C164" s="18" t="s">
        <v>3</v>
      </c>
      <c r="D164" s="23">
        <v>4792.66</v>
      </c>
      <c r="E164" s="72" t="s">
        <v>321</v>
      </c>
      <c r="G164" s="235"/>
    </row>
    <row r="165" spans="1:7" ht="28.5" customHeight="1" x14ac:dyDescent="0.2">
      <c r="A165" s="18" t="s">
        <v>251</v>
      </c>
      <c r="B165" s="60" t="s">
        <v>4</v>
      </c>
      <c r="C165" s="18" t="s">
        <v>1</v>
      </c>
      <c r="D165" s="23">
        <v>6565.3</v>
      </c>
      <c r="E165" s="72" t="s">
        <v>61</v>
      </c>
      <c r="G165" s="235"/>
    </row>
    <row r="166" spans="1:7" ht="28.5" customHeight="1" x14ac:dyDescent="0.2">
      <c r="A166" s="112">
        <v>24.5</v>
      </c>
      <c r="B166" s="60" t="s">
        <v>271</v>
      </c>
      <c r="C166" s="18" t="s">
        <v>3</v>
      </c>
      <c r="D166" s="23">
        <v>11.549999999999999</v>
      </c>
      <c r="E166" s="72" t="s">
        <v>323</v>
      </c>
      <c r="G166" s="235"/>
    </row>
    <row r="167" spans="1:7" ht="28.5" customHeight="1" x14ac:dyDescent="0.2">
      <c r="A167" s="18"/>
      <c r="B167" s="58"/>
      <c r="C167" s="22"/>
      <c r="D167" s="119"/>
      <c r="E167" s="147"/>
      <c r="G167" s="235"/>
    </row>
    <row r="168" spans="1:7" ht="28.5" customHeight="1" x14ac:dyDescent="0.2">
      <c r="A168" s="27">
        <v>25</v>
      </c>
      <c r="B168" s="28" t="s">
        <v>456</v>
      </c>
      <c r="C168" s="29"/>
      <c r="D168" s="30"/>
      <c r="E168" s="76"/>
      <c r="G168" s="235"/>
    </row>
    <row r="169" spans="1:7" ht="28.5" customHeight="1" x14ac:dyDescent="0.2">
      <c r="A169" s="18" t="s">
        <v>235</v>
      </c>
      <c r="B169" s="25" t="s">
        <v>191</v>
      </c>
      <c r="C169" s="18" t="s">
        <v>3</v>
      </c>
      <c r="D169" s="23">
        <v>1574.21</v>
      </c>
      <c r="E169" s="72" t="s">
        <v>324</v>
      </c>
      <c r="G169" s="235"/>
    </row>
    <row r="170" spans="1:7" ht="28.5" customHeight="1" x14ac:dyDescent="0.2">
      <c r="A170" s="18" t="s">
        <v>236</v>
      </c>
      <c r="B170" s="25" t="s">
        <v>310</v>
      </c>
      <c r="C170" s="18" t="s">
        <v>41</v>
      </c>
      <c r="D170" s="23">
        <v>36049.4</v>
      </c>
      <c r="E170" s="72" t="s">
        <v>465</v>
      </c>
      <c r="G170" s="255"/>
    </row>
    <row r="171" spans="1:7" ht="28.5" customHeight="1" x14ac:dyDescent="0.2">
      <c r="A171" s="18" t="s">
        <v>237</v>
      </c>
      <c r="B171" s="25" t="s">
        <v>193</v>
      </c>
      <c r="C171" s="18" t="s">
        <v>3</v>
      </c>
      <c r="D171" s="23">
        <v>188.9</v>
      </c>
      <c r="E171" s="72" t="s">
        <v>325</v>
      </c>
      <c r="G171" s="235"/>
    </row>
    <row r="172" spans="1:7" ht="28.5" customHeight="1" x14ac:dyDescent="0.2">
      <c r="A172" s="18" t="s">
        <v>238</v>
      </c>
      <c r="B172" s="25" t="s">
        <v>311</v>
      </c>
      <c r="C172" s="18" t="s">
        <v>41</v>
      </c>
      <c r="D172" s="23">
        <v>4325.8100000000004</v>
      </c>
      <c r="E172" s="72" t="s">
        <v>466</v>
      </c>
      <c r="G172" s="235"/>
    </row>
    <row r="173" spans="1:7" ht="28.5" customHeight="1" x14ac:dyDescent="0.2">
      <c r="A173" s="18" t="s">
        <v>252</v>
      </c>
      <c r="B173" s="25" t="s">
        <v>273</v>
      </c>
      <c r="C173" s="18" t="s">
        <v>3</v>
      </c>
      <c r="D173" s="23">
        <v>1575.67</v>
      </c>
      <c r="E173" s="72" t="s">
        <v>326</v>
      </c>
      <c r="G173" s="235"/>
    </row>
    <row r="174" spans="1:7" ht="28.5" customHeight="1" x14ac:dyDescent="0.2">
      <c r="A174" s="18" t="s">
        <v>253</v>
      </c>
      <c r="B174" s="25" t="s">
        <v>312</v>
      </c>
      <c r="C174" s="18" t="s">
        <v>41</v>
      </c>
      <c r="D174" s="23">
        <v>36082.839999999997</v>
      </c>
      <c r="E174" s="72" t="s">
        <v>467</v>
      </c>
      <c r="G174" s="235"/>
    </row>
    <row r="175" spans="1:7" ht="28.5" customHeight="1" x14ac:dyDescent="0.2">
      <c r="A175" s="18" t="s">
        <v>254</v>
      </c>
      <c r="B175" s="21" t="s">
        <v>15</v>
      </c>
      <c r="C175" s="18" t="s">
        <v>0</v>
      </c>
      <c r="D175" s="23">
        <v>1868.58</v>
      </c>
      <c r="E175" s="72" t="s">
        <v>327</v>
      </c>
      <c r="G175" s="235"/>
    </row>
    <row r="176" spans="1:7" ht="28.5" customHeight="1" x14ac:dyDescent="0.2">
      <c r="A176" s="18"/>
      <c r="B176" s="58"/>
      <c r="C176" s="22"/>
      <c r="D176" s="119"/>
      <c r="E176" s="147"/>
      <c r="G176" s="235"/>
    </row>
    <row r="177" spans="1:7" ht="28.5" customHeight="1" x14ac:dyDescent="0.2">
      <c r="A177" s="27">
        <v>26</v>
      </c>
      <c r="B177" s="28" t="s">
        <v>457</v>
      </c>
      <c r="C177" s="29"/>
      <c r="D177" s="30"/>
      <c r="E177" s="76"/>
      <c r="G177" s="235"/>
    </row>
    <row r="178" spans="1:7" ht="28.5" customHeight="1" x14ac:dyDescent="0.2">
      <c r="A178" s="18" t="s">
        <v>239</v>
      </c>
      <c r="B178" s="21" t="s">
        <v>195</v>
      </c>
      <c r="C178" s="18" t="s">
        <v>1</v>
      </c>
      <c r="D178" s="23">
        <v>6296.84</v>
      </c>
      <c r="E178" s="72" t="s">
        <v>61</v>
      </c>
      <c r="G178" s="235"/>
    </row>
    <row r="179" spans="1:7" ht="28.5" customHeight="1" x14ac:dyDescent="0.2">
      <c r="A179" s="18" t="s">
        <v>240</v>
      </c>
      <c r="B179" s="21" t="s">
        <v>196</v>
      </c>
      <c r="C179" s="18" t="s">
        <v>3</v>
      </c>
      <c r="D179" s="23">
        <v>377.81</v>
      </c>
      <c r="E179" s="72" t="s">
        <v>328</v>
      </c>
      <c r="G179" s="235"/>
    </row>
    <row r="180" spans="1:7" ht="28.5" customHeight="1" x14ac:dyDescent="0.2">
      <c r="A180" s="18" t="s">
        <v>241</v>
      </c>
      <c r="B180" s="21" t="s">
        <v>464</v>
      </c>
      <c r="C180" s="18" t="s">
        <v>317</v>
      </c>
      <c r="D180" s="23">
        <v>6309.42</v>
      </c>
      <c r="E180" s="72" t="s">
        <v>468</v>
      </c>
      <c r="G180" s="255"/>
    </row>
    <row r="181" spans="1:7" ht="28.5" customHeight="1" x14ac:dyDescent="0.2">
      <c r="A181" s="18"/>
      <c r="B181" s="58"/>
      <c r="C181" s="22"/>
      <c r="D181" s="119"/>
      <c r="E181" s="147"/>
      <c r="G181" s="235"/>
    </row>
    <row r="182" spans="1:7" ht="28.5" customHeight="1" x14ac:dyDescent="0.2">
      <c r="A182" s="27">
        <v>27</v>
      </c>
      <c r="B182" s="28" t="s">
        <v>458</v>
      </c>
      <c r="C182" s="29"/>
      <c r="D182" s="170"/>
      <c r="E182" s="44"/>
      <c r="F182" s="246"/>
      <c r="G182" s="235"/>
    </row>
    <row r="183" spans="1:7" ht="28.5" customHeight="1" x14ac:dyDescent="0.2">
      <c r="A183" s="18" t="s">
        <v>255</v>
      </c>
      <c r="B183" s="25" t="s">
        <v>27</v>
      </c>
      <c r="C183" s="18" t="s">
        <v>3</v>
      </c>
      <c r="D183" s="23">
        <v>270.24</v>
      </c>
      <c r="E183" s="72" t="s">
        <v>329</v>
      </c>
      <c r="G183" s="235"/>
    </row>
    <row r="184" spans="1:7" ht="28.5" customHeight="1" x14ac:dyDescent="0.2">
      <c r="A184" s="18" t="s">
        <v>256</v>
      </c>
      <c r="B184" s="25" t="s">
        <v>199</v>
      </c>
      <c r="C184" s="18" t="s">
        <v>0</v>
      </c>
      <c r="D184" s="23">
        <v>251</v>
      </c>
      <c r="E184" s="72" t="s">
        <v>330</v>
      </c>
      <c r="G184" s="235"/>
    </row>
    <row r="185" spans="1:7" ht="28.5" customHeight="1" x14ac:dyDescent="0.2">
      <c r="A185" s="18" t="s">
        <v>257</v>
      </c>
      <c r="B185" s="25" t="s">
        <v>74</v>
      </c>
      <c r="C185" s="18" t="s">
        <v>0</v>
      </c>
      <c r="D185" s="23">
        <v>251</v>
      </c>
      <c r="E185" s="72" t="str">
        <f>E184</f>
        <v>251 m tubo Ø 400mm</v>
      </c>
      <c r="G185" s="235"/>
    </row>
    <row r="186" spans="1:7" ht="28.5" customHeight="1" x14ac:dyDescent="0.2">
      <c r="A186" s="18" t="s">
        <v>258</v>
      </c>
      <c r="B186" s="25" t="s">
        <v>30</v>
      </c>
      <c r="C186" s="18" t="s">
        <v>3</v>
      </c>
      <c r="D186" s="23">
        <v>224.83</v>
      </c>
      <c r="E186" s="72" t="s">
        <v>425</v>
      </c>
      <c r="G186" s="235"/>
    </row>
    <row r="187" spans="1:7" ht="28.5" customHeight="1" x14ac:dyDescent="0.2">
      <c r="A187" s="18" t="s">
        <v>259</v>
      </c>
      <c r="B187" s="25" t="s">
        <v>188</v>
      </c>
      <c r="C187" s="18" t="s">
        <v>3</v>
      </c>
      <c r="D187" s="23">
        <v>45.41</v>
      </c>
      <c r="E187" s="72" t="s">
        <v>331</v>
      </c>
      <c r="G187" s="235"/>
    </row>
    <row r="188" spans="1:7" ht="28.5" customHeight="1" x14ac:dyDescent="0.2">
      <c r="A188" s="18" t="s">
        <v>260</v>
      </c>
      <c r="B188" s="25" t="s">
        <v>305</v>
      </c>
      <c r="C188" s="18" t="s">
        <v>41</v>
      </c>
      <c r="D188" s="23">
        <v>56.76</v>
      </c>
      <c r="E188" s="72" t="s">
        <v>332</v>
      </c>
      <c r="G188" s="235"/>
    </row>
    <row r="189" spans="1:7" ht="28.5" customHeight="1" x14ac:dyDescent="0.2">
      <c r="A189" s="18" t="s">
        <v>261</v>
      </c>
      <c r="B189" s="25" t="s">
        <v>482</v>
      </c>
      <c r="C189" s="18" t="s">
        <v>31</v>
      </c>
      <c r="D189" s="23">
        <v>13</v>
      </c>
      <c r="E189" s="72" t="s">
        <v>333</v>
      </c>
      <c r="G189" s="235"/>
    </row>
    <row r="190" spans="1:7" ht="28.5" customHeight="1" x14ac:dyDescent="0.2">
      <c r="A190" s="18" t="s">
        <v>262</v>
      </c>
      <c r="B190" s="25" t="s">
        <v>32</v>
      </c>
      <c r="C190" s="18" t="s">
        <v>31</v>
      </c>
      <c r="D190" s="23">
        <v>26</v>
      </c>
      <c r="E190" s="72" t="s">
        <v>334</v>
      </c>
      <c r="G190" s="235"/>
    </row>
    <row r="191" spans="1:7" ht="28.5" customHeight="1" x14ac:dyDescent="0.2">
      <c r="A191" s="18"/>
      <c r="B191" s="58"/>
      <c r="C191" s="22"/>
      <c r="D191" s="119"/>
      <c r="E191" s="147"/>
      <c r="G191" s="235"/>
    </row>
    <row r="192" spans="1:7" ht="28.5" customHeight="1" x14ac:dyDescent="0.2">
      <c r="A192" s="27">
        <v>28</v>
      </c>
      <c r="B192" s="28" t="s">
        <v>459</v>
      </c>
      <c r="C192" s="29"/>
      <c r="D192" s="170"/>
      <c r="E192" s="31"/>
      <c r="F192" s="246"/>
      <c r="G192" s="235"/>
    </row>
    <row r="193" spans="1:7" ht="28.5" customHeight="1" x14ac:dyDescent="0.2">
      <c r="A193" s="18" t="s">
        <v>242</v>
      </c>
      <c r="B193" s="169" t="s">
        <v>200</v>
      </c>
      <c r="C193" s="173" t="s">
        <v>0</v>
      </c>
      <c r="D193" s="23">
        <v>260</v>
      </c>
      <c r="E193" s="23" t="s">
        <v>335</v>
      </c>
      <c r="G193" s="235"/>
    </row>
    <row r="194" spans="1:7" ht="28.5" customHeight="1" x14ac:dyDescent="0.2">
      <c r="A194" s="18" t="s">
        <v>243</v>
      </c>
      <c r="B194" s="25" t="s">
        <v>78</v>
      </c>
      <c r="C194" s="173" t="s">
        <v>1</v>
      </c>
      <c r="D194" s="23">
        <v>124.8</v>
      </c>
      <c r="E194" s="23" t="s">
        <v>335</v>
      </c>
      <c r="G194" s="235"/>
    </row>
    <row r="195" spans="1:7" ht="28.5" customHeight="1" x14ac:dyDescent="0.2">
      <c r="A195" s="18" t="s">
        <v>244</v>
      </c>
      <c r="B195" s="25" t="s">
        <v>201</v>
      </c>
      <c r="C195" s="18" t="s">
        <v>1</v>
      </c>
      <c r="D195" s="23">
        <v>1.5</v>
      </c>
      <c r="E195" s="23" t="s">
        <v>336</v>
      </c>
      <c r="G195" s="235"/>
    </row>
    <row r="196" spans="1:7" ht="28.5" customHeight="1" x14ac:dyDescent="0.2">
      <c r="A196" s="18" t="s">
        <v>417</v>
      </c>
      <c r="B196" s="142" t="s">
        <v>415</v>
      </c>
      <c r="C196" s="18" t="s">
        <v>1</v>
      </c>
      <c r="D196" s="23">
        <v>0.8</v>
      </c>
      <c r="E196" s="250" t="s">
        <v>422</v>
      </c>
      <c r="G196" s="235"/>
    </row>
    <row r="197" spans="1:7" ht="28.5" customHeight="1" x14ac:dyDescent="0.2">
      <c r="A197" s="18"/>
      <c r="B197" s="58"/>
      <c r="C197" s="22"/>
      <c r="D197" s="119"/>
      <c r="E197" s="147"/>
      <c r="G197" s="235"/>
    </row>
    <row r="198" spans="1:7" ht="28.5" customHeight="1" x14ac:dyDescent="0.2">
      <c r="A198" s="27">
        <v>29</v>
      </c>
      <c r="B198" s="28" t="s">
        <v>460</v>
      </c>
      <c r="C198" s="29"/>
      <c r="D198" s="170"/>
      <c r="E198" s="31"/>
      <c r="F198" s="246"/>
      <c r="G198" s="235"/>
    </row>
    <row r="199" spans="1:7" ht="28.5" customHeight="1" x14ac:dyDescent="0.2">
      <c r="A199" s="160" t="s">
        <v>245</v>
      </c>
      <c r="B199" s="142" t="s">
        <v>127</v>
      </c>
      <c r="C199" s="160" t="s">
        <v>3</v>
      </c>
      <c r="D199" s="23">
        <v>108.78</v>
      </c>
      <c r="E199" s="23" t="s">
        <v>426</v>
      </c>
      <c r="G199" s="235"/>
    </row>
    <row r="200" spans="1:7" ht="28.5" customHeight="1" x14ac:dyDescent="0.2">
      <c r="A200" s="160" t="s">
        <v>246</v>
      </c>
      <c r="B200" s="25" t="s">
        <v>463</v>
      </c>
      <c r="C200" s="160" t="s">
        <v>3</v>
      </c>
      <c r="D200" s="23">
        <v>41.84</v>
      </c>
      <c r="E200" s="23" t="s">
        <v>427</v>
      </c>
      <c r="G200" s="235"/>
    </row>
    <row r="201" spans="1:7" ht="28.5" customHeight="1" x14ac:dyDescent="0.2">
      <c r="A201" s="160" t="s">
        <v>247</v>
      </c>
      <c r="B201" s="142" t="s">
        <v>313</v>
      </c>
      <c r="C201" s="18" t="s">
        <v>41</v>
      </c>
      <c r="D201" s="23">
        <v>958.14</v>
      </c>
      <c r="E201" s="23" t="s">
        <v>431</v>
      </c>
      <c r="G201" s="256"/>
    </row>
    <row r="202" spans="1:7" ht="28.5" customHeight="1" x14ac:dyDescent="0.2">
      <c r="A202" s="160" t="s">
        <v>263</v>
      </c>
      <c r="B202" s="25" t="s">
        <v>483</v>
      </c>
      <c r="C202" s="18" t="s">
        <v>17</v>
      </c>
      <c r="D202" s="23">
        <v>6</v>
      </c>
      <c r="E202" s="23" t="s">
        <v>337</v>
      </c>
      <c r="G202" s="235"/>
    </row>
    <row r="203" spans="1:7" ht="28.5" customHeight="1" x14ac:dyDescent="0.2">
      <c r="A203" s="160" t="s">
        <v>264</v>
      </c>
      <c r="B203" s="21" t="s">
        <v>484</v>
      </c>
      <c r="C203" s="18" t="s">
        <v>1</v>
      </c>
      <c r="D203" s="23">
        <v>54.4</v>
      </c>
      <c r="E203" s="23" t="s">
        <v>428</v>
      </c>
      <c r="G203" s="235"/>
    </row>
    <row r="204" spans="1:7" ht="28.5" customHeight="1" x14ac:dyDescent="0.2">
      <c r="A204" s="160" t="s">
        <v>265</v>
      </c>
      <c r="B204" s="21" t="s">
        <v>485</v>
      </c>
      <c r="C204" s="18" t="s">
        <v>1</v>
      </c>
      <c r="D204" s="23">
        <v>337</v>
      </c>
      <c r="E204" s="23" t="s">
        <v>338</v>
      </c>
      <c r="G204" s="235"/>
    </row>
    <row r="205" spans="1:7" ht="28.5" customHeight="1" x14ac:dyDescent="0.2">
      <c r="A205" s="160" t="s">
        <v>266</v>
      </c>
      <c r="B205" s="21" t="s">
        <v>202</v>
      </c>
      <c r="C205" s="109" t="s">
        <v>3</v>
      </c>
      <c r="D205" s="23">
        <v>11.82</v>
      </c>
      <c r="E205" s="237" t="s">
        <v>339</v>
      </c>
      <c r="G205" s="235"/>
    </row>
    <row r="206" spans="1:7" ht="28.5" customHeight="1" x14ac:dyDescent="0.2">
      <c r="A206" s="72"/>
      <c r="B206" s="72"/>
      <c r="C206" s="72"/>
      <c r="D206" s="21"/>
      <c r="E206" s="146"/>
    </row>
    <row r="207" spans="1:7" ht="15" customHeight="1" x14ac:dyDescent="0.2">
      <c r="A207" s="271" t="s">
        <v>423</v>
      </c>
      <c r="B207" s="271"/>
      <c r="C207" s="271"/>
      <c r="D207" s="271"/>
      <c r="E207" s="271"/>
      <c r="F207" s="141"/>
      <c r="G207" s="141"/>
    </row>
    <row r="208" spans="1:7" ht="15" customHeight="1" x14ac:dyDescent="0.2">
      <c r="A208" s="271" t="s">
        <v>318</v>
      </c>
      <c r="B208" s="271"/>
      <c r="C208" s="271"/>
      <c r="D208" s="271"/>
      <c r="E208" s="271"/>
      <c r="F208" s="141"/>
      <c r="G208" s="141"/>
    </row>
    <row r="209" spans="1:7" ht="15" customHeight="1" x14ac:dyDescent="0.2">
      <c r="A209" s="271" t="s">
        <v>319</v>
      </c>
      <c r="B209" s="271"/>
      <c r="C209" s="271"/>
      <c r="D209" s="271"/>
      <c r="E209" s="271"/>
      <c r="F209" s="141"/>
      <c r="G209" s="141"/>
    </row>
    <row r="210" spans="1:7" ht="28.5" customHeight="1" x14ac:dyDescent="0.2">
      <c r="A210" s="47"/>
      <c r="B210" s="48"/>
      <c r="C210" s="48"/>
      <c r="D210" s="48"/>
      <c r="E210" s="48"/>
    </row>
    <row r="211" spans="1:7" ht="28.5" customHeight="1" x14ac:dyDescent="0.2">
      <c r="A211" s="47"/>
      <c r="B211" s="48"/>
      <c r="C211" s="48"/>
      <c r="D211" s="48"/>
      <c r="E211" s="48"/>
    </row>
    <row r="212" spans="1:7" ht="28.5" customHeight="1" x14ac:dyDescent="0.2">
      <c r="A212" s="47"/>
      <c r="B212" s="48"/>
      <c r="C212" s="48"/>
      <c r="D212" s="48"/>
      <c r="E212" s="48"/>
    </row>
    <row r="213" spans="1:7" ht="15" x14ac:dyDescent="0.2">
      <c r="A213" s="47"/>
      <c r="B213" s="48"/>
      <c r="C213" s="48"/>
      <c r="D213" s="48"/>
      <c r="E213" s="48"/>
    </row>
    <row r="214" spans="1:7" ht="15" x14ac:dyDescent="0.2">
      <c r="A214" s="47"/>
      <c r="B214" s="48"/>
      <c r="C214" s="48"/>
      <c r="D214" s="48"/>
      <c r="E214" s="48"/>
    </row>
    <row r="215" spans="1:7" ht="15" x14ac:dyDescent="0.2">
      <c r="A215" s="47"/>
      <c r="B215" s="48"/>
      <c r="C215" s="48"/>
      <c r="D215" s="48"/>
      <c r="E215" s="48"/>
    </row>
    <row r="216" spans="1:7" ht="15" x14ac:dyDescent="0.2">
      <c r="A216" s="47"/>
      <c r="B216" s="48"/>
      <c r="C216" s="48"/>
      <c r="D216" s="48"/>
      <c r="E216" s="48"/>
    </row>
    <row r="217" spans="1:7" ht="15" x14ac:dyDescent="0.2">
      <c r="A217" s="47"/>
      <c r="B217" s="48"/>
      <c r="C217" s="48"/>
      <c r="D217" s="48"/>
      <c r="E217" s="48"/>
    </row>
    <row r="218" spans="1:7" ht="15" x14ac:dyDescent="0.2">
      <c r="A218" s="47"/>
      <c r="B218" s="48"/>
      <c r="C218" s="48"/>
      <c r="D218" s="48"/>
      <c r="E218" s="48"/>
    </row>
    <row r="219" spans="1:7" ht="15" x14ac:dyDescent="0.2">
      <c r="A219" s="47"/>
      <c r="B219" s="48"/>
      <c r="C219" s="48"/>
      <c r="D219" s="48"/>
      <c r="E219" s="48"/>
    </row>
    <row r="220" spans="1:7" ht="15" x14ac:dyDescent="0.2">
      <c r="A220" s="47"/>
      <c r="B220" s="48"/>
      <c r="C220" s="48"/>
      <c r="D220" s="48"/>
      <c r="E220" s="48"/>
    </row>
    <row r="221" spans="1:7" ht="15" x14ac:dyDescent="0.2">
      <c r="A221" s="47"/>
      <c r="B221" s="48"/>
      <c r="C221" s="48"/>
      <c r="D221" s="48"/>
      <c r="E221" s="48"/>
    </row>
    <row r="222" spans="1:7" ht="15" x14ac:dyDescent="0.2">
      <c r="A222" s="47"/>
      <c r="B222" s="48"/>
      <c r="C222" s="48"/>
      <c r="D222" s="48"/>
      <c r="E222" s="48"/>
    </row>
    <row r="223" spans="1:7" ht="15" x14ac:dyDescent="0.2">
      <c r="A223" s="47"/>
      <c r="B223" s="48"/>
      <c r="C223" s="48"/>
      <c r="D223" s="48"/>
      <c r="E223" s="48"/>
    </row>
    <row r="224" spans="1:7" ht="15" x14ac:dyDescent="0.2">
      <c r="A224" s="47"/>
      <c r="B224" s="48"/>
      <c r="C224" s="48"/>
      <c r="D224" s="48"/>
      <c r="E224" s="48"/>
    </row>
    <row r="225" spans="1:5" ht="15" x14ac:dyDescent="0.2">
      <c r="A225" s="47"/>
      <c r="B225" s="48"/>
      <c r="C225" s="48"/>
      <c r="D225" s="48"/>
      <c r="E225" s="48"/>
    </row>
    <row r="226" spans="1:5" ht="15" x14ac:dyDescent="0.2">
      <c r="A226" s="47"/>
      <c r="B226" s="48"/>
      <c r="C226" s="48"/>
      <c r="D226" s="48"/>
      <c r="E226" s="48"/>
    </row>
    <row r="227" spans="1:5" ht="15" x14ac:dyDescent="0.2">
      <c r="A227" s="47"/>
      <c r="B227" s="48"/>
      <c r="C227" s="48"/>
      <c r="D227" s="48"/>
      <c r="E227" s="48"/>
    </row>
    <row r="228" spans="1:5" ht="15" x14ac:dyDescent="0.2">
      <c r="A228" s="47"/>
      <c r="B228" s="48"/>
      <c r="C228" s="48"/>
      <c r="D228" s="48"/>
      <c r="E228" s="48"/>
    </row>
    <row r="229" spans="1:5" ht="15" x14ac:dyDescent="0.2">
      <c r="A229" s="47"/>
      <c r="B229" s="48"/>
      <c r="C229" s="48"/>
      <c r="D229" s="48"/>
      <c r="E229" s="48"/>
    </row>
    <row r="230" spans="1:5" ht="15" x14ac:dyDescent="0.2">
      <c r="A230" s="47"/>
      <c r="B230" s="48"/>
      <c r="C230" s="48"/>
      <c r="D230" s="48"/>
      <c r="E230" s="48"/>
    </row>
    <row r="231" spans="1:5" ht="15" x14ac:dyDescent="0.2">
      <c r="A231" s="47"/>
      <c r="B231" s="48"/>
      <c r="C231" s="48"/>
      <c r="D231" s="48"/>
      <c r="E231" s="48"/>
    </row>
    <row r="232" spans="1:5" ht="15" x14ac:dyDescent="0.2">
      <c r="A232" s="47"/>
      <c r="B232" s="48"/>
      <c r="C232" s="48"/>
      <c r="D232" s="48"/>
      <c r="E232" s="48"/>
    </row>
    <row r="233" spans="1:5" ht="15" x14ac:dyDescent="0.2">
      <c r="A233" s="47"/>
      <c r="B233" s="48"/>
      <c r="C233" s="48"/>
      <c r="D233" s="48"/>
      <c r="E233" s="48"/>
    </row>
    <row r="234" spans="1:5" ht="15" x14ac:dyDescent="0.2">
      <c r="A234" s="47"/>
      <c r="B234" s="48"/>
      <c r="C234" s="48"/>
      <c r="D234" s="48"/>
      <c r="E234" s="48"/>
    </row>
    <row r="235" spans="1:5" ht="15" x14ac:dyDescent="0.2">
      <c r="A235" s="47"/>
      <c r="B235" s="48"/>
      <c r="C235" s="48"/>
      <c r="D235" s="48"/>
      <c r="E235" s="48"/>
    </row>
    <row r="236" spans="1:5" ht="15" x14ac:dyDescent="0.2">
      <c r="A236" s="47"/>
      <c r="B236" s="48"/>
      <c r="C236" s="48"/>
      <c r="D236" s="48"/>
      <c r="E236" s="48"/>
    </row>
    <row r="237" spans="1:5" ht="15" x14ac:dyDescent="0.2">
      <c r="A237" s="47"/>
      <c r="B237" s="48"/>
      <c r="C237" s="48"/>
      <c r="D237" s="48"/>
      <c r="E237" s="48"/>
    </row>
    <row r="238" spans="1:5" ht="15" x14ac:dyDescent="0.2">
      <c r="A238" s="47"/>
      <c r="B238" s="48"/>
      <c r="C238" s="48"/>
      <c r="D238" s="48"/>
      <c r="E238" s="48"/>
    </row>
    <row r="239" spans="1:5" ht="15" x14ac:dyDescent="0.2">
      <c r="A239" s="47"/>
      <c r="B239" s="48"/>
      <c r="C239" s="48"/>
      <c r="D239" s="48"/>
      <c r="E239" s="48"/>
    </row>
    <row r="240" spans="1:5" ht="15" x14ac:dyDescent="0.2">
      <c r="A240" s="47"/>
      <c r="B240" s="48"/>
      <c r="C240" s="48"/>
      <c r="D240" s="48"/>
      <c r="E240" s="48"/>
    </row>
    <row r="241" spans="1:5" ht="15" x14ac:dyDescent="0.2">
      <c r="A241" s="47"/>
      <c r="B241" s="48"/>
      <c r="C241" s="48"/>
      <c r="D241" s="48"/>
      <c r="E241" s="48"/>
    </row>
    <row r="242" spans="1:5" ht="15" x14ac:dyDescent="0.2">
      <c r="A242" s="47"/>
      <c r="B242" s="48"/>
      <c r="C242" s="48"/>
      <c r="D242" s="48"/>
      <c r="E242" s="48"/>
    </row>
    <row r="243" spans="1:5" ht="15" x14ac:dyDescent="0.2">
      <c r="A243" s="47"/>
      <c r="B243" s="48"/>
      <c r="C243" s="48"/>
      <c r="D243" s="48"/>
      <c r="E243" s="48"/>
    </row>
    <row r="244" spans="1:5" ht="15" x14ac:dyDescent="0.2">
      <c r="A244" s="47"/>
      <c r="B244" s="48"/>
      <c r="C244" s="48"/>
      <c r="D244" s="48"/>
      <c r="E244" s="48"/>
    </row>
    <row r="245" spans="1:5" ht="15" x14ac:dyDescent="0.2">
      <c r="A245" s="47"/>
      <c r="B245" s="48"/>
      <c r="C245" s="48"/>
      <c r="D245" s="48"/>
      <c r="E245" s="48"/>
    </row>
    <row r="246" spans="1:5" ht="15" x14ac:dyDescent="0.2">
      <c r="A246" s="47"/>
      <c r="B246" s="48"/>
      <c r="C246" s="48"/>
      <c r="D246" s="48"/>
      <c r="E246" s="48"/>
    </row>
    <row r="247" spans="1:5" ht="15" x14ac:dyDescent="0.2">
      <c r="A247" s="47"/>
      <c r="B247" s="48"/>
      <c r="C247" s="48"/>
      <c r="D247" s="48"/>
      <c r="E247" s="48"/>
    </row>
    <row r="248" spans="1:5" ht="15" x14ac:dyDescent="0.2">
      <c r="A248" s="47"/>
      <c r="B248" s="48"/>
      <c r="C248" s="48"/>
      <c r="D248" s="48"/>
      <c r="E248" s="48"/>
    </row>
    <row r="249" spans="1:5" ht="15" x14ac:dyDescent="0.2">
      <c r="A249" s="47"/>
      <c r="B249" s="48"/>
      <c r="C249" s="48"/>
      <c r="D249" s="48"/>
      <c r="E249" s="48"/>
    </row>
    <row r="250" spans="1:5" ht="15" x14ac:dyDescent="0.2">
      <c r="A250" s="47"/>
      <c r="B250" s="48"/>
      <c r="C250" s="48"/>
      <c r="D250" s="48"/>
      <c r="E250" s="48"/>
    </row>
    <row r="251" spans="1:5" ht="15" x14ac:dyDescent="0.2">
      <c r="A251" s="47"/>
      <c r="B251" s="48"/>
      <c r="C251" s="48"/>
      <c r="D251" s="48"/>
      <c r="E251" s="48"/>
    </row>
    <row r="252" spans="1:5" ht="15" x14ac:dyDescent="0.2">
      <c r="A252" s="47"/>
      <c r="B252" s="48"/>
      <c r="C252" s="48"/>
      <c r="D252" s="48"/>
      <c r="E252" s="48"/>
    </row>
    <row r="253" spans="1:5" ht="15" x14ac:dyDescent="0.2">
      <c r="A253" s="47"/>
      <c r="B253" s="48"/>
      <c r="C253" s="48"/>
      <c r="D253" s="48"/>
      <c r="E253" s="48"/>
    </row>
    <row r="254" spans="1:5" ht="15" x14ac:dyDescent="0.2">
      <c r="A254" s="47"/>
      <c r="B254" s="48"/>
      <c r="C254" s="48"/>
      <c r="D254" s="48"/>
      <c r="E254" s="48"/>
    </row>
    <row r="255" spans="1:5" ht="15" x14ac:dyDescent="0.2">
      <c r="A255" s="47"/>
      <c r="B255" s="48"/>
      <c r="C255" s="48"/>
      <c r="D255" s="48"/>
      <c r="E255" s="48"/>
    </row>
    <row r="256" spans="1:5" ht="15" x14ac:dyDescent="0.2">
      <c r="A256" s="47"/>
      <c r="B256" s="48"/>
      <c r="C256" s="48"/>
      <c r="D256" s="48"/>
      <c r="E256" s="48"/>
    </row>
    <row r="257" spans="1:5" ht="15" x14ac:dyDescent="0.2">
      <c r="A257" s="47"/>
      <c r="B257" s="48"/>
      <c r="C257" s="48"/>
      <c r="D257" s="48"/>
      <c r="E257" s="48"/>
    </row>
    <row r="258" spans="1:5" ht="15" x14ac:dyDescent="0.2">
      <c r="A258" s="47"/>
      <c r="B258" s="48"/>
      <c r="C258" s="48"/>
      <c r="D258" s="48"/>
      <c r="E258" s="48"/>
    </row>
    <row r="259" spans="1:5" ht="15" x14ac:dyDescent="0.2">
      <c r="A259" s="47"/>
      <c r="B259" s="48"/>
      <c r="C259" s="48"/>
      <c r="D259" s="48"/>
      <c r="E259" s="48"/>
    </row>
    <row r="260" spans="1:5" ht="15" x14ac:dyDescent="0.2">
      <c r="A260" s="47"/>
      <c r="B260" s="48"/>
      <c r="C260" s="48"/>
      <c r="D260" s="48"/>
      <c r="E260" s="48"/>
    </row>
    <row r="261" spans="1:5" ht="15" x14ac:dyDescent="0.2">
      <c r="A261" s="47"/>
      <c r="B261" s="48"/>
      <c r="C261" s="48"/>
      <c r="D261" s="48"/>
      <c r="E261" s="48"/>
    </row>
    <row r="262" spans="1:5" ht="15" x14ac:dyDescent="0.2">
      <c r="A262" s="47"/>
      <c r="B262" s="48"/>
      <c r="C262" s="48"/>
      <c r="D262" s="48"/>
      <c r="E262" s="48"/>
    </row>
    <row r="263" spans="1:5" ht="15" x14ac:dyDescent="0.2">
      <c r="A263" s="47"/>
      <c r="B263" s="48"/>
      <c r="C263" s="48"/>
      <c r="D263" s="48"/>
      <c r="E263" s="48"/>
    </row>
    <row r="264" spans="1:5" ht="15" x14ac:dyDescent="0.2">
      <c r="A264" s="47"/>
      <c r="B264" s="48"/>
      <c r="C264" s="48"/>
      <c r="D264" s="48"/>
      <c r="E264" s="48"/>
    </row>
    <row r="265" spans="1:5" ht="15" x14ac:dyDescent="0.2">
      <c r="A265" s="47"/>
      <c r="B265" s="48"/>
      <c r="C265" s="48"/>
      <c r="D265" s="48"/>
      <c r="E265" s="48"/>
    </row>
    <row r="266" spans="1:5" ht="15" x14ac:dyDescent="0.2">
      <c r="A266" s="47"/>
      <c r="B266" s="48"/>
      <c r="C266" s="48"/>
      <c r="D266" s="48"/>
      <c r="E266" s="48"/>
    </row>
    <row r="267" spans="1:5" ht="15" x14ac:dyDescent="0.2">
      <c r="A267" s="47"/>
      <c r="B267" s="48"/>
      <c r="C267" s="48"/>
      <c r="D267" s="48"/>
      <c r="E267" s="48"/>
    </row>
    <row r="268" spans="1:5" ht="15" x14ac:dyDescent="0.2">
      <c r="A268" s="47"/>
      <c r="B268" s="48"/>
      <c r="C268" s="48"/>
      <c r="D268" s="48"/>
      <c r="E268" s="48"/>
    </row>
    <row r="269" spans="1:5" ht="15" x14ac:dyDescent="0.2">
      <c r="A269" s="47"/>
      <c r="B269" s="48"/>
      <c r="C269" s="48"/>
      <c r="D269" s="48"/>
      <c r="E269" s="48"/>
    </row>
    <row r="270" spans="1:5" ht="15" x14ac:dyDescent="0.2">
      <c r="A270" s="47"/>
      <c r="B270" s="48"/>
      <c r="C270" s="48"/>
      <c r="D270" s="48"/>
      <c r="E270" s="48"/>
    </row>
    <row r="271" spans="1:5" ht="15" x14ac:dyDescent="0.2">
      <c r="A271" s="47"/>
      <c r="B271" s="48"/>
      <c r="C271" s="48"/>
      <c r="D271" s="48"/>
      <c r="E271" s="48"/>
    </row>
    <row r="272" spans="1:5" ht="15" x14ac:dyDescent="0.2">
      <c r="A272" s="47"/>
      <c r="B272" s="48"/>
      <c r="C272" s="48"/>
      <c r="D272" s="48"/>
      <c r="E272" s="48"/>
    </row>
    <row r="273" spans="1:5" ht="15" x14ac:dyDescent="0.2">
      <c r="A273" s="47"/>
      <c r="B273" s="48"/>
      <c r="C273" s="48"/>
      <c r="D273" s="48"/>
      <c r="E273" s="48"/>
    </row>
    <row r="274" spans="1:5" ht="15" x14ac:dyDescent="0.2">
      <c r="A274" s="47"/>
      <c r="B274" s="48"/>
      <c r="C274" s="48"/>
      <c r="D274" s="48"/>
      <c r="E274" s="48"/>
    </row>
    <row r="275" spans="1:5" ht="15" x14ac:dyDescent="0.2">
      <c r="A275" s="47"/>
      <c r="B275" s="48"/>
      <c r="C275" s="48"/>
      <c r="D275" s="48"/>
      <c r="E275" s="48"/>
    </row>
    <row r="276" spans="1:5" ht="15" x14ac:dyDescent="0.2">
      <c r="A276" s="47"/>
      <c r="B276" s="48"/>
      <c r="C276" s="48"/>
      <c r="D276" s="48"/>
      <c r="E276" s="48"/>
    </row>
    <row r="277" spans="1:5" ht="15" x14ac:dyDescent="0.2">
      <c r="A277" s="47"/>
      <c r="B277" s="48"/>
      <c r="C277" s="48"/>
      <c r="D277" s="48"/>
      <c r="E277" s="48"/>
    </row>
    <row r="278" spans="1:5" ht="15" x14ac:dyDescent="0.2">
      <c r="A278" s="47"/>
      <c r="B278" s="48"/>
      <c r="C278" s="48"/>
      <c r="D278" s="48"/>
      <c r="E278" s="48"/>
    </row>
    <row r="279" spans="1:5" ht="15" x14ac:dyDescent="0.2">
      <c r="A279" s="47"/>
      <c r="B279" s="48"/>
      <c r="C279" s="48"/>
      <c r="D279" s="48"/>
      <c r="E279" s="48"/>
    </row>
    <row r="280" spans="1:5" ht="15" x14ac:dyDescent="0.2">
      <c r="A280" s="47"/>
      <c r="B280" s="48"/>
      <c r="C280" s="48"/>
      <c r="D280" s="48"/>
      <c r="E280" s="48"/>
    </row>
    <row r="281" spans="1:5" ht="15" x14ac:dyDescent="0.2">
      <c r="A281" s="47"/>
      <c r="B281" s="48"/>
      <c r="C281" s="48"/>
      <c r="D281" s="48"/>
      <c r="E281" s="48"/>
    </row>
    <row r="282" spans="1:5" ht="15" x14ac:dyDescent="0.2">
      <c r="A282" s="47"/>
      <c r="B282" s="48"/>
      <c r="C282" s="48"/>
      <c r="D282" s="48"/>
      <c r="E282" s="48"/>
    </row>
    <row r="283" spans="1:5" ht="15" x14ac:dyDescent="0.2">
      <c r="A283" s="47"/>
      <c r="B283" s="48"/>
      <c r="C283" s="48"/>
      <c r="D283" s="48"/>
      <c r="E283" s="48"/>
    </row>
    <row r="284" spans="1:5" ht="15" x14ac:dyDescent="0.2">
      <c r="A284" s="47"/>
      <c r="B284" s="48"/>
      <c r="C284" s="48"/>
      <c r="D284" s="48"/>
      <c r="E284" s="48"/>
    </row>
    <row r="285" spans="1:5" ht="15" x14ac:dyDescent="0.2">
      <c r="A285" s="47"/>
      <c r="B285" s="48"/>
      <c r="C285" s="48"/>
      <c r="D285" s="48"/>
      <c r="E285" s="48"/>
    </row>
    <row r="286" spans="1:5" ht="15" x14ac:dyDescent="0.2">
      <c r="A286" s="47"/>
      <c r="B286" s="48"/>
      <c r="C286" s="48"/>
      <c r="D286" s="48"/>
      <c r="E286" s="48"/>
    </row>
    <row r="287" spans="1:5" ht="15" x14ac:dyDescent="0.2">
      <c r="A287" s="47"/>
      <c r="B287" s="48"/>
      <c r="C287" s="48"/>
      <c r="D287" s="48"/>
      <c r="E287" s="48"/>
    </row>
    <row r="288" spans="1:5" ht="15" x14ac:dyDescent="0.2">
      <c r="A288" s="47"/>
      <c r="B288" s="48"/>
      <c r="C288" s="48"/>
      <c r="D288" s="48"/>
      <c r="E288" s="48"/>
    </row>
    <row r="289" spans="1:5" ht="15" x14ac:dyDescent="0.2">
      <c r="A289" s="47"/>
      <c r="B289" s="48"/>
      <c r="C289" s="48"/>
      <c r="D289" s="48"/>
      <c r="E289" s="48"/>
    </row>
    <row r="290" spans="1:5" ht="15" x14ac:dyDescent="0.2">
      <c r="A290" s="47"/>
      <c r="B290" s="48"/>
      <c r="C290" s="48"/>
      <c r="D290" s="48"/>
      <c r="E290" s="48"/>
    </row>
    <row r="291" spans="1:5" ht="15" x14ac:dyDescent="0.2">
      <c r="A291" s="47"/>
      <c r="B291" s="48"/>
      <c r="C291" s="48"/>
      <c r="D291" s="48"/>
      <c r="E291" s="48"/>
    </row>
    <row r="292" spans="1:5" ht="15" x14ac:dyDescent="0.2">
      <c r="A292" s="47"/>
      <c r="B292" s="48"/>
      <c r="C292" s="48"/>
      <c r="D292" s="48"/>
      <c r="E292" s="48"/>
    </row>
    <row r="293" spans="1:5" ht="15" x14ac:dyDescent="0.2">
      <c r="A293" s="47"/>
      <c r="B293" s="48"/>
      <c r="C293" s="48"/>
      <c r="D293" s="48"/>
      <c r="E293" s="48"/>
    </row>
    <row r="294" spans="1:5" ht="15" x14ac:dyDescent="0.2">
      <c r="A294" s="47"/>
      <c r="B294" s="48"/>
      <c r="C294" s="48"/>
      <c r="D294" s="48"/>
      <c r="E294" s="48"/>
    </row>
    <row r="295" spans="1:5" ht="15" x14ac:dyDescent="0.2">
      <c r="A295" s="47"/>
      <c r="B295" s="48"/>
      <c r="C295" s="48"/>
      <c r="D295" s="48"/>
      <c r="E295" s="48"/>
    </row>
    <row r="296" spans="1:5" ht="15" x14ac:dyDescent="0.2">
      <c r="A296" s="47"/>
      <c r="B296" s="48"/>
      <c r="C296" s="48"/>
      <c r="D296" s="48"/>
      <c r="E296" s="48"/>
    </row>
    <row r="297" spans="1:5" ht="15" x14ac:dyDescent="0.2">
      <c r="A297" s="47"/>
      <c r="B297" s="48"/>
      <c r="C297" s="48"/>
      <c r="D297" s="48"/>
      <c r="E297" s="48"/>
    </row>
    <row r="298" spans="1:5" ht="15" x14ac:dyDescent="0.2">
      <c r="A298" s="47"/>
      <c r="B298" s="48"/>
      <c r="C298" s="48"/>
      <c r="D298" s="48"/>
      <c r="E298" s="48"/>
    </row>
    <row r="299" spans="1:5" ht="15" x14ac:dyDescent="0.2">
      <c r="A299" s="47"/>
      <c r="B299" s="48"/>
      <c r="C299" s="48"/>
      <c r="D299" s="48"/>
      <c r="E299" s="48"/>
    </row>
    <row r="300" spans="1:5" ht="15" x14ac:dyDescent="0.2">
      <c r="A300" s="47"/>
      <c r="B300" s="48"/>
      <c r="C300" s="48"/>
      <c r="D300" s="48"/>
      <c r="E300" s="48"/>
    </row>
    <row r="301" spans="1:5" ht="15" x14ac:dyDescent="0.2">
      <c r="A301" s="47"/>
      <c r="B301" s="48"/>
      <c r="C301" s="48"/>
      <c r="D301" s="48"/>
      <c r="E301" s="48"/>
    </row>
    <row r="302" spans="1:5" ht="15" x14ac:dyDescent="0.2">
      <c r="A302" s="47"/>
      <c r="B302" s="48"/>
      <c r="C302" s="48"/>
      <c r="D302" s="48"/>
      <c r="E302" s="48"/>
    </row>
    <row r="303" spans="1:5" ht="15" x14ac:dyDescent="0.2">
      <c r="A303" s="47"/>
      <c r="B303" s="48"/>
      <c r="C303" s="48"/>
      <c r="D303" s="48"/>
      <c r="E303" s="48"/>
    </row>
    <row r="304" spans="1:5" ht="15" x14ac:dyDescent="0.2">
      <c r="A304" s="47"/>
      <c r="B304" s="48"/>
      <c r="C304" s="48"/>
      <c r="D304" s="48"/>
      <c r="E304" s="48"/>
    </row>
    <row r="305" spans="1:5" ht="15" x14ac:dyDescent="0.2">
      <c r="A305" s="47"/>
      <c r="B305" s="48"/>
      <c r="C305" s="48"/>
      <c r="D305" s="48"/>
      <c r="E305" s="48"/>
    </row>
    <row r="306" spans="1:5" ht="15" x14ac:dyDescent="0.2">
      <c r="A306" s="47"/>
      <c r="B306" s="48"/>
      <c r="C306" s="48"/>
      <c r="D306" s="48"/>
      <c r="E306" s="48"/>
    </row>
    <row r="307" spans="1:5" ht="15" x14ac:dyDescent="0.2">
      <c r="A307" s="47"/>
      <c r="B307" s="48"/>
      <c r="C307" s="48"/>
      <c r="D307" s="48"/>
      <c r="E307" s="48"/>
    </row>
    <row r="308" spans="1:5" ht="15" x14ac:dyDescent="0.2">
      <c r="A308" s="47"/>
      <c r="B308" s="48"/>
      <c r="C308" s="48"/>
      <c r="D308" s="48"/>
      <c r="E308" s="48"/>
    </row>
    <row r="309" spans="1:5" ht="15" x14ac:dyDescent="0.2">
      <c r="A309" s="47"/>
      <c r="B309" s="48"/>
      <c r="C309" s="48"/>
      <c r="D309" s="48"/>
      <c r="E309" s="48"/>
    </row>
    <row r="310" spans="1:5" ht="15" x14ac:dyDescent="0.2">
      <c r="A310" s="47"/>
      <c r="B310" s="48"/>
      <c r="C310" s="48"/>
      <c r="D310" s="48"/>
      <c r="E310" s="48"/>
    </row>
    <row r="311" spans="1:5" ht="15" x14ac:dyDescent="0.2">
      <c r="A311" s="47"/>
      <c r="B311" s="48"/>
      <c r="C311" s="48"/>
      <c r="D311" s="48"/>
      <c r="E311" s="48"/>
    </row>
    <row r="312" spans="1:5" ht="15" x14ac:dyDescent="0.2">
      <c r="A312" s="47"/>
      <c r="B312" s="48"/>
      <c r="C312" s="48"/>
      <c r="D312" s="48"/>
      <c r="E312" s="48"/>
    </row>
    <row r="313" spans="1:5" ht="15" x14ac:dyDescent="0.2">
      <c r="A313" s="47"/>
      <c r="B313" s="48"/>
      <c r="C313" s="48"/>
      <c r="D313" s="48"/>
      <c r="E313" s="48"/>
    </row>
    <row r="314" spans="1:5" ht="15" x14ac:dyDescent="0.2">
      <c r="A314" s="47"/>
      <c r="B314" s="48"/>
      <c r="C314" s="48"/>
      <c r="D314" s="48"/>
      <c r="E314" s="48"/>
    </row>
    <row r="315" spans="1:5" ht="15" x14ac:dyDescent="0.2">
      <c r="A315" s="47"/>
      <c r="B315" s="48"/>
      <c r="C315" s="48"/>
      <c r="D315" s="48"/>
      <c r="E315" s="48"/>
    </row>
    <row r="316" spans="1:5" ht="15" x14ac:dyDescent="0.2">
      <c r="A316" s="47"/>
      <c r="B316" s="48"/>
      <c r="C316" s="48"/>
      <c r="D316" s="48"/>
      <c r="E316" s="48"/>
    </row>
    <row r="317" spans="1:5" ht="15" x14ac:dyDescent="0.2">
      <c r="A317" s="47"/>
      <c r="B317" s="48"/>
      <c r="C317" s="48"/>
      <c r="D317" s="48"/>
      <c r="E317" s="48"/>
    </row>
    <row r="318" spans="1:5" ht="15" x14ac:dyDescent="0.2">
      <c r="A318" s="47"/>
      <c r="B318" s="48"/>
      <c r="C318" s="48"/>
      <c r="D318" s="48"/>
      <c r="E318" s="48"/>
    </row>
    <row r="319" spans="1:5" ht="15" x14ac:dyDescent="0.2">
      <c r="A319" s="47"/>
      <c r="B319" s="48"/>
      <c r="C319" s="48"/>
      <c r="D319" s="48"/>
      <c r="E319" s="48"/>
    </row>
    <row r="320" spans="1:5" ht="15" x14ac:dyDescent="0.2">
      <c r="A320" s="47"/>
      <c r="B320" s="48"/>
      <c r="C320" s="48"/>
      <c r="D320" s="48"/>
      <c r="E320" s="48"/>
    </row>
    <row r="321" spans="1:5" ht="15" x14ac:dyDescent="0.2">
      <c r="A321" s="47"/>
      <c r="B321" s="48"/>
      <c r="C321" s="48"/>
      <c r="D321" s="48"/>
      <c r="E321" s="48"/>
    </row>
    <row r="322" spans="1:5" ht="15" x14ac:dyDescent="0.2">
      <c r="A322" s="47"/>
      <c r="B322" s="48"/>
      <c r="C322" s="48"/>
      <c r="D322" s="48"/>
      <c r="E322" s="48"/>
    </row>
    <row r="323" spans="1:5" ht="15" x14ac:dyDescent="0.2">
      <c r="A323" s="47"/>
      <c r="B323" s="48"/>
      <c r="C323" s="48"/>
      <c r="D323" s="48"/>
      <c r="E323" s="48"/>
    </row>
    <row r="324" spans="1:5" ht="15" x14ac:dyDescent="0.2">
      <c r="A324" s="47"/>
      <c r="B324" s="48"/>
      <c r="C324" s="48"/>
      <c r="D324" s="48"/>
      <c r="E324" s="48"/>
    </row>
    <row r="325" spans="1:5" ht="15" x14ac:dyDescent="0.2">
      <c r="A325" s="47"/>
      <c r="B325" s="48"/>
      <c r="C325" s="48"/>
      <c r="D325" s="48"/>
      <c r="E325" s="48"/>
    </row>
    <row r="326" spans="1:5" ht="15" x14ac:dyDescent="0.2">
      <c r="A326" s="47"/>
      <c r="B326" s="48"/>
      <c r="C326" s="48"/>
      <c r="D326" s="48"/>
      <c r="E326" s="48"/>
    </row>
    <row r="327" spans="1:5" ht="15" x14ac:dyDescent="0.2">
      <c r="A327" s="47"/>
      <c r="B327" s="48"/>
      <c r="C327" s="48"/>
      <c r="D327" s="48"/>
      <c r="E327" s="48"/>
    </row>
    <row r="328" spans="1:5" ht="15" x14ac:dyDescent="0.2">
      <c r="A328" s="47"/>
      <c r="B328" s="48"/>
      <c r="C328" s="48"/>
      <c r="D328" s="48"/>
      <c r="E328" s="48"/>
    </row>
    <row r="329" spans="1:5" ht="15" x14ac:dyDescent="0.2">
      <c r="A329" s="47"/>
      <c r="B329" s="48"/>
      <c r="C329" s="48"/>
      <c r="D329" s="48"/>
      <c r="E329" s="48"/>
    </row>
    <row r="330" spans="1:5" ht="15" x14ac:dyDescent="0.2">
      <c r="A330" s="47"/>
      <c r="B330" s="48"/>
      <c r="C330" s="48"/>
      <c r="D330" s="48"/>
      <c r="E330" s="48"/>
    </row>
    <row r="331" spans="1:5" ht="15" x14ac:dyDescent="0.2">
      <c r="A331" s="47"/>
      <c r="B331" s="48"/>
      <c r="C331" s="48"/>
      <c r="D331" s="48"/>
      <c r="E331" s="48"/>
    </row>
    <row r="332" spans="1:5" ht="15" x14ac:dyDescent="0.2">
      <c r="A332" s="47"/>
      <c r="B332" s="48"/>
      <c r="C332" s="48"/>
      <c r="D332" s="48"/>
      <c r="E332" s="48"/>
    </row>
  </sheetData>
  <mergeCells count="4">
    <mergeCell ref="A1:E5"/>
    <mergeCell ref="A207:E207"/>
    <mergeCell ref="A208:E208"/>
    <mergeCell ref="A209:E209"/>
  </mergeCells>
  <phoneticPr fontId="13" type="noConversion"/>
  <printOptions horizontalCentered="1"/>
  <pageMargins left="0.14000000000000001" right="0.13" top="0.99" bottom="0.15748031496062992" header="0.34" footer="0.19685039370078741"/>
  <pageSetup paperSize="9" scale="46" fitToHeight="0" orientation="portrait" horizontalDpi="300" verticalDpi="300" r:id="rId1"/>
  <headerFooter alignWithMargins="0">
    <oddHeader xml:space="preserve">&amp;C&amp;14Prefeitura Municipal de Alvorada
&amp;10Secretaria Municipal de Obras e Viação
Diretoria Geral Técnica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92"/>
  <sheetViews>
    <sheetView topLeftCell="A19" workbookViewId="0">
      <selection sqref="A1:D33"/>
    </sheetView>
  </sheetViews>
  <sheetFormatPr defaultRowHeight="12.75" x14ac:dyDescent="0.2"/>
  <cols>
    <col min="1" max="1" width="7.28515625" customWidth="1"/>
    <col min="2" max="2" width="68" customWidth="1"/>
    <col min="3" max="3" width="21" customWidth="1"/>
    <col min="4" max="4" width="0.140625" customWidth="1"/>
    <col min="5" max="5" width="50" customWidth="1"/>
  </cols>
  <sheetData>
    <row r="1" spans="1:8" ht="18" customHeight="1" x14ac:dyDescent="0.2">
      <c r="A1" s="272" t="s">
        <v>487</v>
      </c>
      <c r="B1" s="273"/>
      <c r="C1" s="273"/>
      <c r="D1" s="274"/>
    </row>
    <row r="2" spans="1:8" ht="18" customHeight="1" x14ac:dyDescent="0.2">
      <c r="A2" s="275"/>
      <c r="B2" s="276"/>
      <c r="C2" s="276"/>
      <c r="D2" s="277"/>
    </row>
    <row r="3" spans="1:8" ht="18" customHeight="1" x14ac:dyDescent="0.2">
      <c r="A3" s="260" t="s">
        <v>36</v>
      </c>
      <c r="B3" s="261" t="s">
        <v>37</v>
      </c>
      <c r="C3" s="261" t="s">
        <v>38</v>
      </c>
      <c r="D3" s="262"/>
    </row>
    <row r="4" spans="1:8" ht="18" customHeight="1" x14ac:dyDescent="0.2">
      <c r="A4" s="263">
        <v>1</v>
      </c>
      <c r="B4" s="264" t="s">
        <v>62</v>
      </c>
      <c r="C4" s="265">
        <f>GERAL!H7</f>
        <v>14587.73</v>
      </c>
      <c r="D4" s="262"/>
    </row>
    <row r="5" spans="1:8" ht="18" customHeight="1" x14ac:dyDescent="0.2">
      <c r="A5" s="263">
        <v>2</v>
      </c>
      <c r="B5" s="264" t="s">
        <v>488</v>
      </c>
      <c r="C5" s="265">
        <f>GERAL!H10</f>
        <v>3854.29</v>
      </c>
      <c r="D5" s="262"/>
    </row>
    <row r="6" spans="1:8" ht="18" customHeight="1" x14ac:dyDescent="0.2">
      <c r="A6" s="263">
        <v>3</v>
      </c>
      <c r="B6" s="264" t="s">
        <v>434</v>
      </c>
      <c r="C6" s="265">
        <f>GERAL!H15</f>
        <v>3972.99</v>
      </c>
      <c r="D6" s="262"/>
    </row>
    <row r="7" spans="1:8" ht="18" customHeight="1" x14ac:dyDescent="0.2">
      <c r="A7" s="263">
        <v>4</v>
      </c>
      <c r="B7" s="264" t="s">
        <v>435</v>
      </c>
      <c r="C7" s="265">
        <f>GERAL!H21</f>
        <v>23389.79</v>
      </c>
      <c r="D7" s="262"/>
    </row>
    <row r="8" spans="1:8" ht="18" customHeight="1" x14ac:dyDescent="0.2">
      <c r="A8" s="263">
        <v>5</v>
      </c>
      <c r="B8" s="264" t="s">
        <v>436</v>
      </c>
      <c r="C8" s="265">
        <f>GERAL!H26</f>
        <v>35658.230000000003</v>
      </c>
      <c r="D8" s="262"/>
    </row>
    <row r="9" spans="1:8" ht="18" customHeight="1" x14ac:dyDescent="0.25">
      <c r="A9" s="263">
        <v>6</v>
      </c>
      <c r="B9" s="264" t="s">
        <v>489</v>
      </c>
      <c r="C9" s="265">
        <f>GERAL!H31</f>
        <v>29681.17</v>
      </c>
      <c r="D9" s="262"/>
      <c r="F9" s="13"/>
      <c r="G9" s="13"/>
      <c r="H9" s="13"/>
    </row>
    <row r="10" spans="1:8" ht="18" customHeight="1" x14ac:dyDescent="0.25">
      <c r="A10" s="263">
        <v>7</v>
      </c>
      <c r="B10" s="264" t="s">
        <v>438</v>
      </c>
      <c r="C10" s="265">
        <f>GERAL!H41</f>
        <v>1026.23</v>
      </c>
      <c r="D10" s="262"/>
      <c r="F10" s="13"/>
      <c r="G10" s="13"/>
      <c r="H10" s="13"/>
    </row>
    <row r="11" spans="1:8" ht="18" customHeight="1" x14ac:dyDescent="0.25">
      <c r="A11" s="263">
        <v>8</v>
      </c>
      <c r="B11" s="264" t="s">
        <v>439</v>
      </c>
      <c r="C11" s="265">
        <f>GERAL!H47</f>
        <v>14059.33</v>
      </c>
      <c r="D11" s="262"/>
      <c r="F11" s="13"/>
      <c r="G11" s="13"/>
      <c r="H11" s="13"/>
    </row>
    <row r="12" spans="1:8" ht="18" customHeight="1" x14ac:dyDescent="0.25">
      <c r="A12" s="263">
        <v>9</v>
      </c>
      <c r="B12" s="264" t="s">
        <v>490</v>
      </c>
      <c r="C12" s="265">
        <f>GERAL!H55</f>
        <v>5396.54</v>
      </c>
      <c r="D12" s="262"/>
      <c r="F12" s="13"/>
      <c r="G12" s="13"/>
      <c r="H12" s="13"/>
    </row>
    <row r="13" spans="1:8" ht="18" customHeight="1" x14ac:dyDescent="0.25">
      <c r="A13" s="263">
        <v>10</v>
      </c>
      <c r="B13" s="264" t="s">
        <v>441</v>
      </c>
      <c r="C13" s="265">
        <f>GERAL!H60</f>
        <v>14040.43</v>
      </c>
      <c r="D13" s="262"/>
      <c r="F13" s="13"/>
      <c r="G13" s="13"/>
      <c r="H13" s="13"/>
    </row>
    <row r="14" spans="1:8" ht="18" customHeight="1" x14ac:dyDescent="0.25">
      <c r="A14" s="263">
        <v>11</v>
      </c>
      <c r="B14" s="264" t="s">
        <v>442</v>
      </c>
      <c r="C14" s="265">
        <f>GERAL!H66</f>
        <v>87447.87</v>
      </c>
      <c r="D14" s="262"/>
      <c r="F14" s="13"/>
      <c r="G14" s="13"/>
      <c r="H14" s="13"/>
    </row>
    <row r="15" spans="1:8" ht="18" customHeight="1" x14ac:dyDescent="0.25">
      <c r="A15" s="263">
        <v>12</v>
      </c>
      <c r="B15" s="264" t="s">
        <v>443</v>
      </c>
      <c r="C15" s="265">
        <f>GERAL!H75</f>
        <v>100431.9</v>
      </c>
      <c r="D15" s="262"/>
      <c r="F15" s="13"/>
      <c r="G15" s="13"/>
      <c r="H15" s="13"/>
    </row>
    <row r="16" spans="1:8" ht="18" customHeight="1" x14ac:dyDescent="0.25">
      <c r="A16" s="263">
        <v>13</v>
      </c>
      <c r="B16" s="264" t="s">
        <v>491</v>
      </c>
      <c r="C16" s="265">
        <f>GERAL!H80</f>
        <v>50470.95</v>
      </c>
      <c r="D16" s="262"/>
      <c r="F16" s="13"/>
      <c r="G16" s="13"/>
      <c r="H16" s="13"/>
    </row>
    <row r="17" spans="1:8" ht="18" customHeight="1" x14ac:dyDescent="0.25">
      <c r="A17" s="263">
        <v>14</v>
      </c>
      <c r="B17" s="264" t="s">
        <v>445</v>
      </c>
      <c r="C17" s="265">
        <f>GERAL!H95</f>
        <v>1241.27</v>
      </c>
      <c r="D17" s="262"/>
      <c r="F17" s="13"/>
      <c r="G17" s="13"/>
      <c r="H17" s="13"/>
    </row>
    <row r="18" spans="1:8" ht="18" customHeight="1" x14ac:dyDescent="0.25">
      <c r="A18" s="263">
        <v>15</v>
      </c>
      <c r="B18" s="264" t="s">
        <v>446</v>
      </c>
      <c r="C18" s="265">
        <f>GERAL!H101</f>
        <v>40170.36</v>
      </c>
      <c r="D18" s="262"/>
      <c r="F18" s="13"/>
      <c r="G18" s="13"/>
      <c r="H18" s="13"/>
    </row>
    <row r="19" spans="1:8" ht="18" customHeight="1" x14ac:dyDescent="0.25">
      <c r="A19" s="263">
        <v>16</v>
      </c>
      <c r="B19" s="264" t="s">
        <v>492</v>
      </c>
      <c r="C19" s="265">
        <f>GERAL!H109</f>
        <v>5672.49</v>
      </c>
      <c r="D19" s="262"/>
      <c r="F19" s="13"/>
      <c r="G19" s="13"/>
      <c r="H19" s="13"/>
    </row>
    <row r="20" spans="1:8" ht="18" customHeight="1" x14ac:dyDescent="0.25">
      <c r="A20" s="263">
        <v>17</v>
      </c>
      <c r="B20" s="264" t="s">
        <v>448</v>
      </c>
      <c r="C20" s="265">
        <f>GERAL!H114</f>
        <v>13775.42</v>
      </c>
      <c r="D20" s="262"/>
      <c r="F20" s="13"/>
      <c r="G20" s="13"/>
      <c r="H20" s="13"/>
    </row>
    <row r="21" spans="1:8" ht="18" customHeight="1" x14ac:dyDescent="0.25">
      <c r="A21" s="263">
        <v>18</v>
      </c>
      <c r="B21" s="264" t="s">
        <v>449</v>
      </c>
      <c r="C21" s="265">
        <f>GERAL!H120</f>
        <v>85208.52</v>
      </c>
      <c r="D21" s="262"/>
      <c r="F21" s="13"/>
      <c r="G21" s="13"/>
      <c r="H21" s="13"/>
    </row>
    <row r="22" spans="1:8" ht="18" customHeight="1" x14ac:dyDescent="0.25">
      <c r="A22" s="263">
        <v>19</v>
      </c>
      <c r="B22" s="264" t="s">
        <v>450</v>
      </c>
      <c r="C22" s="265">
        <f>GERAL!H125</f>
        <v>129912.26</v>
      </c>
      <c r="D22" s="262"/>
      <c r="F22" s="13"/>
      <c r="G22" s="13"/>
      <c r="H22" s="13"/>
    </row>
    <row r="23" spans="1:8" ht="18" customHeight="1" x14ac:dyDescent="0.25">
      <c r="A23" s="263">
        <v>20</v>
      </c>
      <c r="B23" s="264" t="s">
        <v>493</v>
      </c>
      <c r="C23" s="265">
        <f>GERAL!H130</f>
        <v>32837.269999999997</v>
      </c>
      <c r="D23" s="262"/>
      <c r="F23" s="13"/>
      <c r="G23" s="13"/>
      <c r="H23" s="13"/>
    </row>
    <row r="24" spans="1:8" ht="18" customHeight="1" x14ac:dyDescent="0.25">
      <c r="A24" s="263">
        <v>21</v>
      </c>
      <c r="B24" s="264" t="s">
        <v>452</v>
      </c>
      <c r="C24" s="265">
        <f>GERAL!H141</f>
        <v>1869.51</v>
      </c>
      <c r="D24" s="262"/>
      <c r="F24" s="13"/>
      <c r="G24" s="13"/>
      <c r="H24" s="13"/>
    </row>
    <row r="25" spans="1:8" ht="18" customHeight="1" x14ac:dyDescent="0.25">
      <c r="A25" s="263">
        <v>22</v>
      </c>
      <c r="B25" s="264" t="s">
        <v>453</v>
      </c>
      <c r="C25" s="265">
        <f>GERAL!H147</f>
        <v>61339.199999999997</v>
      </c>
      <c r="D25" s="262"/>
      <c r="F25" s="13"/>
      <c r="G25" s="13"/>
      <c r="H25" s="13"/>
    </row>
    <row r="26" spans="1:8" ht="18" customHeight="1" x14ac:dyDescent="0.25">
      <c r="A26" s="263">
        <v>23</v>
      </c>
      <c r="B26" s="264" t="s">
        <v>454</v>
      </c>
      <c r="C26" s="265">
        <f>GERAL!H156</f>
        <v>10877.91</v>
      </c>
      <c r="D26" s="262"/>
      <c r="F26" s="13"/>
      <c r="G26" s="13"/>
      <c r="H26" s="13"/>
    </row>
    <row r="27" spans="1:8" ht="18" customHeight="1" x14ac:dyDescent="0.25">
      <c r="A27" s="263">
        <v>24</v>
      </c>
      <c r="B27" s="264" t="s">
        <v>455</v>
      </c>
      <c r="C27" s="265">
        <f>GERAL!H161</f>
        <v>118572.66</v>
      </c>
      <c r="D27" s="262"/>
      <c r="F27" s="13"/>
      <c r="G27" s="13"/>
      <c r="H27" s="13"/>
    </row>
    <row r="28" spans="1:8" ht="18" customHeight="1" x14ac:dyDescent="0.25">
      <c r="A28" s="263">
        <v>25</v>
      </c>
      <c r="B28" s="264" t="s">
        <v>456</v>
      </c>
      <c r="C28" s="265">
        <f>GERAL!H168</f>
        <v>813694.93</v>
      </c>
      <c r="D28" s="262"/>
      <c r="F28" s="13"/>
      <c r="G28" s="13"/>
      <c r="H28" s="13"/>
    </row>
    <row r="29" spans="1:8" ht="18" customHeight="1" x14ac:dyDescent="0.25">
      <c r="A29" s="263">
        <v>26</v>
      </c>
      <c r="B29" s="264" t="s">
        <v>495</v>
      </c>
      <c r="C29" s="265">
        <f>GERAL!H177</f>
        <v>985543.37</v>
      </c>
      <c r="D29" s="262"/>
      <c r="F29" s="13"/>
      <c r="G29" s="13"/>
      <c r="H29" s="13"/>
    </row>
    <row r="30" spans="1:8" ht="18" customHeight="1" x14ac:dyDescent="0.25">
      <c r="A30" s="263">
        <v>27</v>
      </c>
      <c r="B30" s="264" t="s">
        <v>494</v>
      </c>
      <c r="C30" s="265">
        <f>GERAL!H182</f>
        <v>112621.2</v>
      </c>
      <c r="D30" s="262"/>
      <c r="F30" s="13"/>
      <c r="G30" s="13"/>
      <c r="H30" s="13"/>
    </row>
    <row r="31" spans="1:8" ht="18" customHeight="1" x14ac:dyDescent="0.25">
      <c r="A31" s="263">
        <v>28</v>
      </c>
      <c r="B31" s="264" t="s">
        <v>459</v>
      </c>
      <c r="C31" s="265">
        <f>GERAL!H192</f>
        <v>6664.65</v>
      </c>
      <c r="D31" s="262"/>
      <c r="F31" s="13"/>
      <c r="G31" s="13"/>
      <c r="H31" s="13"/>
    </row>
    <row r="32" spans="1:8" ht="18" customHeight="1" x14ac:dyDescent="0.2">
      <c r="A32" s="263">
        <v>29</v>
      </c>
      <c r="B32" s="264" t="s">
        <v>460</v>
      </c>
      <c r="C32" s="265">
        <f>GERAL!H198</f>
        <v>155677.84000000003</v>
      </c>
      <c r="D32" s="262"/>
    </row>
    <row r="33" spans="1:8" ht="18" customHeight="1" x14ac:dyDescent="0.25">
      <c r="A33" s="266"/>
      <c r="B33" s="266" t="s">
        <v>39</v>
      </c>
      <c r="C33" s="267">
        <f>SUM(C4:C32)</f>
        <v>2959696.31</v>
      </c>
      <c r="D33" s="262"/>
      <c r="F33" s="15"/>
      <c r="G33" s="13"/>
      <c r="H33" s="15"/>
    </row>
    <row r="34" spans="1:8" ht="24.95" customHeight="1" thickBot="1" x14ac:dyDescent="0.3">
      <c r="A34" s="95"/>
      <c r="B34" s="95"/>
      <c r="C34" s="95"/>
      <c r="D34" s="94"/>
      <c r="F34" s="15"/>
      <c r="G34" s="13"/>
      <c r="H34" s="15"/>
    </row>
    <row r="35" spans="1:8" ht="18" x14ac:dyDescent="0.25">
      <c r="A35" s="95"/>
      <c r="B35" s="95"/>
      <c r="C35" s="95"/>
      <c r="D35" s="95"/>
      <c r="F35" s="15"/>
      <c r="G35" s="13"/>
      <c r="H35" s="15"/>
    </row>
    <row r="36" spans="1:8" ht="18" x14ac:dyDescent="0.25">
      <c r="A36" s="95"/>
      <c r="B36" s="95"/>
      <c r="C36" s="95"/>
      <c r="D36" s="95"/>
      <c r="F36" s="15"/>
      <c r="G36" s="13"/>
      <c r="H36" s="15"/>
    </row>
    <row r="37" spans="1:8" ht="18" x14ac:dyDescent="0.25">
      <c r="A37" s="95"/>
      <c r="B37" s="95"/>
      <c r="C37" s="95"/>
      <c r="D37" s="95"/>
      <c r="F37" s="15"/>
      <c r="G37" s="13"/>
      <c r="H37" s="15"/>
    </row>
    <row r="38" spans="1:8" ht="18" x14ac:dyDescent="0.25">
      <c r="A38" s="95"/>
      <c r="B38" s="95"/>
      <c r="C38" s="95"/>
      <c r="D38" s="95"/>
      <c r="F38" s="15"/>
      <c r="G38" s="13"/>
      <c r="H38" s="15"/>
    </row>
    <row r="39" spans="1:8" ht="18" x14ac:dyDescent="0.25">
      <c r="F39" s="15"/>
      <c r="G39" s="13"/>
      <c r="H39" s="15"/>
    </row>
    <row r="40" spans="1:8" ht="18" x14ac:dyDescent="0.25">
      <c r="F40" s="15"/>
      <c r="G40" s="13"/>
      <c r="H40" s="15"/>
    </row>
    <row r="41" spans="1:8" ht="18" x14ac:dyDescent="0.25">
      <c r="F41" s="15"/>
      <c r="G41" s="13"/>
      <c r="H41" s="15"/>
    </row>
    <row r="42" spans="1:8" ht="18" x14ac:dyDescent="0.25">
      <c r="F42" s="15"/>
      <c r="G42" s="13"/>
      <c r="H42" s="15"/>
    </row>
    <row r="43" spans="1:8" ht="18" x14ac:dyDescent="0.25">
      <c r="F43" s="15"/>
      <c r="G43" s="13"/>
      <c r="H43" s="15"/>
    </row>
    <row r="44" spans="1:8" ht="18" x14ac:dyDescent="0.25">
      <c r="F44" s="15"/>
      <c r="G44" s="13"/>
      <c r="H44" s="15"/>
    </row>
    <row r="45" spans="1:8" ht="27.75" customHeight="1" x14ac:dyDescent="0.25">
      <c r="A45" s="8"/>
      <c r="F45" s="15"/>
      <c r="G45" s="13"/>
      <c r="H45" s="15"/>
    </row>
    <row r="48" spans="1:8" ht="18" x14ac:dyDescent="0.25">
      <c r="F48" s="15"/>
      <c r="G48" s="15"/>
      <c r="H48" s="15"/>
    </row>
    <row r="49" spans="6:8" ht="18" x14ac:dyDescent="0.25">
      <c r="F49" s="15"/>
      <c r="G49" s="15"/>
      <c r="H49" s="15"/>
    </row>
    <row r="50" spans="6:8" ht="18" x14ac:dyDescent="0.25">
      <c r="F50" s="15"/>
      <c r="G50" s="15"/>
      <c r="H50" s="15"/>
    </row>
    <row r="51" spans="6:8" ht="18" x14ac:dyDescent="0.25">
      <c r="F51" s="15"/>
      <c r="G51" s="15"/>
      <c r="H51" s="15"/>
    </row>
    <row r="52" spans="6:8" ht="18" x14ac:dyDescent="0.25">
      <c r="F52" s="15"/>
      <c r="G52" s="15"/>
      <c r="H52" s="15"/>
    </row>
    <row r="53" spans="6:8" ht="18" x14ac:dyDescent="0.25">
      <c r="F53" s="15"/>
      <c r="G53" s="15"/>
      <c r="H53" s="15"/>
    </row>
    <row r="54" spans="6:8" ht="18" x14ac:dyDescent="0.25">
      <c r="F54" s="15"/>
      <c r="G54" s="15"/>
      <c r="H54" s="15"/>
    </row>
    <row r="55" spans="6:8" ht="18" x14ac:dyDescent="0.25">
      <c r="F55" s="15"/>
      <c r="G55" s="15"/>
      <c r="H55" s="15"/>
    </row>
    <row r="56" spans="6:8" ht="18" x14ac:dyDescent="0.25">
      <c r="F56" s="15"/>
      <c r="G56" s="15"/>
      <c r="H56" s="15"/>
    </row>
    <row r="57" spans="6:8" ht="18" x14ac:dyDescent="0.25">
      <c r="F57" s="15"/>
      <c r="G57" s="15"/>
      <c r="H57" s="15"/>
    </row>
    <row r="58" spans="6:8" ht="18" x14ac:dyDescent="0.25">
      <c r="F58" s="15"/>
      <c r="G58" s="15"/>
      <c r="H58" s="15"/>
    </row>
    <row r="59" spans="6:8" ht="18" x14ac:dyDescent="0.25">
      <c r="F59" s="15"/>
      <c r="G59" s="15"/>
      <c r="H59" s="15"/>
    </row>
    <row r="60" spans="6:8" ht="18" x14ac:dyDescent="0.25">
      <c r="F60" s="15"/>
      <c r="G60" s="15"/>
      <c r="H60" s="15"/>
    </row>
    <row r="61" spans="6:8" ht="18" x14ac:dyDescent="0.25">
      <c r="F61" s="15"/>
      <c r="G61" s="15"/>
      <c r="H61" s="15"/>
    </row>
    <row r="62" spans="6:8" ht="18" x14ac:dyDescent="0.25">
      <c r="F62" s="15"/>
      <c r="G62" s="15"/>
      <c r="H62" s="15"/>
    </row>
    <row r="63" spans="6:8" ht="13.5" customHeight="1" x14ac:dyDescent="0.25">
      <c r="F63" s="15"/>
      <c r="G63" s="15"/>
      <c r="H63" s="15"/>
    </row>
    <row r="64" spans="6:8" ht="18" x14ac:dyDescent="0.25">
      <c r="F64" s="15"/>
      <c r="G64" s="15"/>
      <c r="H64" s="15"/>
    </row>
    <row r="65" spans="6:8" ht="18" x14ac:dyDescent="0.25">
      <c r="F65" s="15"/>
      <c r="G65" s="15"/>
      <c r="H65" s="15"/>
    </row>
    <row r="66" spans="6:8" ht="18" x14ac:dyDescent="0.25">
      <c r="F66" s="15"/>
      <c r="G66" s="15"/>
      <c r="H66" s="15"/>
    </row>
    <row r="67" spans="6:8" ht="18" x14ac:dyDescent="0.25">
      <c r="F67" s="15"/>
      <c r="G67" s="15"/>
      <c r="H67" s="15"/>
    </row>
    <row r="81" spans="6:8" ht="18" x14ac:dyDescent="0.25">
      <c r="F81" s="15"/>
      <c r="G81" s="15"/>
      <c r="H81" s="15"/>
    </row>
    <row r="82" spans="6:8" ht="18" x14ac:dyDescent="0.25">
      <c r="F82" s="15"/>
      <c r="G82" s="15"/>
      <c r="H82" s="15"/>
    </row>
    <row r="83" spans="6:8" ht="18" x14ac:dyDescent="0.25">
      <c r="F83" s="15"/>
      <c r="G83" s="15"/>
      <c r="H83" s="15"/>
    </row>
    <row r="84" spans="6:8" ht="18" x14ac:dyDescent="0.25">
      <c r="F84" s="15"/>
      <c r="G84" s="15"/>
      <c r="H84" s="15"/>
    </row>
    <row r="87" spans="6:8" ht="18" x14ac:dyDescent="0.25">
      <c r="F87" s="15"/>
      <c r="G87" s="15"/>
      <c r="H87" s="15"/>
    </row>
    <row r="88" spans="6:8" ht="18" x14ac:dyDescent="0.25">
      <c r="F88" s="15"/>
      <c r="G88" s="15"/>
      <c r="H88" s="15"/>
    </row>
    <row r="89" spans="6:8" ht="18" x14ac:dyDescent="0.25">
      <c r="F89" s="15"/>
      <c r="G89" s="15"/>
      <c r="H89" s="15"/>
    </row>
    <row r="90" spans="6:8" ht="18" x14ac:dyDescent="0.25">
      <c r="F90" s="15"/>
      <c r="G90" s="15"/>
      <c r="H90" s="15"/>
    </row>
    <row r="91" spans="6:8" ht="18" x14ac:dyDescent="0.25">
      <c r="F91" s="15"/>
      <c r="G91" s="15"/>
      <c r="H91" s="15"/>
    </row>
    <row r="92" spans="6:8" ht="18" x14ac:dyDescent="0.25">
      <c r="F92" s="15"/>
      <c r="G92" s="15"/>
      <c r="H92" s="15"/>
    </row>
  </sheetData>
  <mergeCells count="1">
    <mergeCell ref="A1:D2"/>
  </mergeCells>
  <printOptions horizontalCentered="1"/>
  <pageMargins left="0.7" right="0.7" top="0.75" bottom="0.75" header="0.3" footer="0.3"/>
  <pageSetup paperSize="9" scale="92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27"/>
  <sheetViews>
    <sheetView tabSelected="1" view="pageLayout" zoomScale="77" zoomScaleNormal="80" zoomScaleSheetLayoutView="75" zoomScalePageLayoutView="77" workbookViewId="0">
      <selection sqref="A1:D4"/>
    </sheetView>
  </sheetViews>
  <sheetFormatPr defaultRowHeight="12.75" x14ac:dyDescent="0.2"/>
  <cols>
    <col min="1" max="1" width="8.7109375" style="1" customWidth="1"/>
    <col min="2" max="2" width="23" style="1" customWidth="1"/>
    <col min="3" max="3" width="18.85546875" style="1" customWidth="1"/>
    <col min="4" max="4" width="104.7109375" style="2" customWidth="1"/>
    <col min="5" max="5" width="21.42578125" style="2" customWidth="1"/>
    <col min="6" max="6" width="18.85546875" style="2" customWidth="1"/>
    <col min="7" max="7" width="20.28515625" style="2" customWidth="1"/>
    <col min="8" max="8" width="24.42578125" style="2" customWidth="1"/>
    <col min="9" max="9" width="22" style="2" customWidth="1"/>
    <col min="10" max="10" width="11.140625" style="2" customWidth="1"/>
    <col min="11" max="12" width="16.7109375" style="2" customWidth="1"/>
    <col min="13" max="13" width="18.28515625" style="2" customWidth="1"/>
    <col min="14" max="15" width="16.85546875" style="2" customWidth="1"/>
    <col min="16" max="16" width="18.28515625" style="2" customWidth="1"/>
    <col min="17" max="17" width="18.85546875" style="2" customWidth="1"/>
    <col min="18" max="16384" width="9.140625" style="2"/>
  </cols>
  <sheetData>
    <row r="1" spans="1:17" ht="15" x14ac:dyDescent="0.2">
      <c r="A1" s="270" t="s">
        <v>432</v>
      </c>
      <c r="B1" s="270"/>
      <c r="C1" s="270"/>
      <c r="D1" s="270"/>
      <c r="E1" s="21" t="s">
        <v>86</v>
      </c>
      <c r="F1" s="18" t="s">
        <v>122</v>
      </c>
      <c r="G1" s="18" t="s">
        <v>130</v>
      </c>
      <c r="H1" s="18" t="s">
        <v>131</v>
      </c>
      <c r="I1" s="18" t="s">
        <v>132</v>
      </c>
    </row>
    <row r="2" spans="1:17" ht="18" customHeight="1" x14ac:dyDescent="0.2">
      <c r="A2" s="270"/>
      <c r="B2" s="270"/>
      <c r="C2" s="270"/>
      <c r="D2" s="270"/>
      <c r="E2" s="21" t="s">
        <v>25</v>
      </c>
      <c r="F2" s="71">
        <v>53</v>
      </c>
      <c r="G2" s="71">
        <v>150.26</v>
      </c>
      <c r="H2" s="125">
        <v>191</v>
      </c>
      <c r="I2" s="125" t="s">
        <v>267</v>
      </c>
    </row>
    <row r="3" spans="1:17" ht="18" customHeight="1" x14ac:dyDescent="0.2">
      <c r="A3" s="270"/>
      <c r="B3" s="270"/>
      <c r="C3" s="270"/>
      <c r="D3" s="270"/>
      <c r="E3" s="21" t="s">
        <v>11</v>
      </c>
      <c r="F3" s="71">
        <v>7</v>
      </c>
      <c r="G3" s="71">
        <v>7</v>
      </c>
      <c r="H3" s="125">
        <v>7</v>
      </c>
      <c r="I3" s="125" t="s">
        <v>268</v>
      </c>
      <c r="J3" s="117"/>
      <c r="K3" s="21" t="s">
        <v>12</v>
      </c>
      <c r="L3" s="21" t="s">
        <v>12</v>
      </c>
      <c r="M3" s="21" t="s">
        <v>85</v>
      </c>
      <c r="N3" s="21" t="s">
        <v>12</v>
      </c>
      <c r="O3" s="21" t="s">
        <v>12</v>
      </c>
      <c r="P3" s="21" t="s">
        <v>85</v>
      </c>
    </row>
    <row r="4" spans="1:17" ht="33.75" customHeight="1" x14ac:dyDescent="0.2">
      <c r="A4" s="270"/>
      <c r="B4" s="270"/>
      <c r="C4" s="270"/>
      <c r="D4" s="270"/>
      <c r="E4" s="25" t="s">
        <v>308</v>
      </c>
      <c r="F4" s="71">
        <v>373.3</v>
      </c>
      <c r="G4" s="71">
        <v>1051.82</v>
      </c>
      <c r="H4" s="125">
        <v>1352.27</v>
      </c>
      <c r="I4" s="125">
        <v>6296.84</v>
      </c>
      <c r="K4" s="121">
        <v>640</v>
      </c>
      <c r="L4" s="121">
        <v>640</v>
      </c>
      <c r="M4" s="121">
        <f>K4+L4</f>
        <v>1280</v>
      </c>
      <c r="N4" s="121">
        <f>H4/2</f>
        <v>676.13499999999999</v>
      </c>
      <c r="O4" s="121">
        <f>H4/2</f>
        <v>676.13499999999999</v>
      </c>
      <c r="P4" s="121">
        <f>N4+O4</f>
        <v>1352.27</v>
      </c>
    </row>
    <row r="5" spans="1:17" ht="33.75" customHeight="1" x14ac:dyDescent="0.2">
      <c r="A5" s="228"/>
      <c r="B5" s="229"/>
      <c r="C5" s="229"/>
      <c r="D5" s="48"/>
      <c r="E5" s="25" t="s">
        <v>309</v>
      </c>
      <c r="F5" s="230"/>
      <c r="G5" s="230"/>
      <c r="H5" s="125"/>
      <c r="I5" s="231">
        <v>6565.3</v>
      </c>
      <c r="K5" s="121"/>
      <c r="L5" s="121"/>
      <c r="M5" s="121"/>
      <c r="N5" s="121"/>
      <c r="O5" s="121"/>
      <c r="P5" s="121"/>
    </row>
    <row r="6" spans="1:17" s="3" customFormat="1" ht="28.5" customHeight="1" x14ac:dyDescent="0.2">
      <c r="A6" s="89" t="s">
        <v>5</v>
      </c>
      <c r="B6" s="50" t="s">
        <v>16</v>
      </c>
      <c r="C6" s="50" t="s">
        <v>22</v>
      </c>
      <c r="D6" s="50" t="s">
        <v>6</v>
      </c>
      <c r="E6" s="18" t="s">
        <v>7</v>
      </c>
      <c r="F6" s="50" t="s">
        <v>9</v>
      </c>
      <c r="G6" s="50" t="s">
        <v>8</v>
      </c>
      <c r="H6" s="18" t="s">
        <v>10</v>
      </c>
      <c r="I6" s="120" t="s">
        <v>72</v>
      </c>
      <c r="J6" s="2"/>
      <c r="K6" s="120" t="s">
        <v>83</v>
      </c>
      <c r="L6" s="120" t="s">
        <v>84</v>
      </c>
      <c r="M6" s="120" t="s">
        <v>89</v>
      </c>
      <c r="N6" s="120" t="s">
        <v>87</v>
      </c>
      <c r="O6" s="120" t="s">
        <v>88</v>
      </c>
      <c r="P6" s="120" t="s">
        <v>90</v>
      </c>
    </row>
    <row r="7" spans="1:17" ht="28.5" customHeight="1" x14ac:dyDescent="0.25">
      <c r="A7" s="96">
        <v>1</v>
      </c>
      <c r="B7" s="97"/>
      <c r="C7" s="97"/>
      <c r="D7" s="98" t="s">
        <v>62</v>
      </c>
      <c r="E7" s="99"/>
      <c r="F7" s="99"/>
      <c r="G7" s="99"/>
      <c r="H7" s="108">
        <f>TRUNC(SUM(H8:H8),2)</f>
        <v>14587.73</v>
      </c>
      <c r="J7" s="12"/>
      <c r="K7" s="21"/>
      <c r="L7" s="122"/>
      <c r="M7" s="130"/>
      <c r="N7" s="128"/>
      <c r="O7" s="128"/>
      <c r="P7" s="128"/>
      <c r="Q7" s="254">
        <f>TRUNC(SUM(Q8:Q8),2)</f>
        <v>14587.73</v>
      </c>
    </row>
    <row r="8" spans="1:17" ht="38.25" customHeight="1" x14ac:dyDescent="0.2">
      <c r="A8" s="109" t="s">
        <v>2</v>
      </c>
      <c r="B8" s="18" t="s">
        <v>124</v>
      </c>
      <c r="C8" s="20" t="s">
        <v>48</v>
      </c>
      <c r="D8" s="25" t="s">
        <v>121</v>
      </c>
      <c r="E8" s="22" t="s">
        <v>31</v>
      </c>
      <c r="F8" s="116">
        <f>M8+P8</f>
        <v>1</v>
      </c>
      <c r="G8" s="35">
        <f>ROUND(I8*(1+$B$212),2)</f>
        <v>14587.73</v>
      </c>
      <c r="H8" s="34">
        <f>ROUND(F8*G8,2)</f>
        <v>14587.73</v>
      </c>
      <c r="I8" s="116">
        <f>1838.96+2758.44+2758.44+4597.4</f>
        <v>11953.24</v>
      </c>
      <c r="K8" s="124">
        <v>0.24</v>
      </c>
      <c r="L8" s="124">
        <v>0.26</v>
      </c>
      <c r="M8" s="131">
        <f>K8+L8</f>
        <v>0.5</v>
      </c>
      <c r="N8" s="124">
        <v>0.24</v>
      </c>
      <c r="O8" s="124">
        <v>0.26</v>
      </c>
      <c r="P8" s="124">
        <f>N8+O8</f>
        <v>0.5</v>
      </c>
      <c r="Q8" s="11">
        <f>'[1]Planilha orçamentária'!$H$9+'[2]Planilha orçamentária'!$H$9+'[3]Planilha orçamentária'!$H$10+'[4]Planilha orçamentária'!$H$10</f>
        <v>14587.73</v>
      </c>
    </row>
    <row r="9" spans="1:17" ht="28.5" customHeight="1" x14ac:dyDescent="0.2">
      <c r="A9" s="18"/>
      <c r="B9" s="19"/>
      <c r="C9" s="20"/>
      <c r="D9" s="21"/>
      <c r="E9" s="22"/>
      <c r="F9" s="72"/>
      <c r="G9" s="35"/>
      <c r="H9" s="73"/>
      <c r="I9" s="48"/>
      <c r="K9" s="124"/>
      <c r="L9" s="123"/>
      <c r="M9" s="130"/>
      <c r="N9" s="128"/>
      <c r="O9" s="128"/>
      <c r="P9" s="128"/>
    </row>
    <row r="10" spans="1:17" ht="28.5" customHeight="1" x14ac:dyDescent="0.25">
      <c r="A10" s="96">
        <v>2</v>
      </c>
      <c r="B10" s="97"/>
      <c r="C10" s="97"/>
      <c r="D10" s="98" t="s">
        <v>433</v>
      </c>
      <c r="E10" s="99"/>
      <c r="F10" s="99"/>
      <c r="G10" s="110"/>
      <c r="H10" s="100">
        <f>TRUNC(SUM(H11:H13),2)</f>
        <v>3854.29</v>
      </c>
      <c r="I10" s="48"/>
      <c r="K10" s="124"/>
      <c r="L10" s="123"/>
      <c r="M10" s="130"/>
      <c r="N10" s="128"/>
      <c r="O10" s="128"/>
      <c r="P10" s="128"/>
    </row>
    <row r="11" spans="1:17" ht="28.5" customHeight="1" x14ac:dyDescent="0.2">
      <c r="A11" s="109" t="s">
        <v>23</v>
      </c>
      <c r="B11" s="166" t="s">
        <v>124</v>
      </c>
      <c r="C11" s="269" t="s">
        <v>476</v>
      </c>
      <c r="D11" s="25" t="s">
        <v>69</v>
      </c>
      <c r="E11" s="22" t="s">
        <v>1</v>
      </c>
      <c r="F11" s="149">
        <f>TRUNC(3*1.5,2)</f>
        <v>4.5</v>
      </c>
      <c r="G11" s="35">
        <f>ROUND(I11*(1+$B$212),2)</f>
        <v>335.63</v>
      </c>
      <c r="H11" s="34">
        <f>ROUND(F11*G11,2)</f>
        <v>1510.34</v>
      </c>
      <c r="I11" s="116">
        <v>275.02</v>
      </c>
      <c r="K11" s="124">
        <v>4.5</v>
      </c>
      <c r="L11" s="123">
        <v>0</v>
      </c>
      <c r="M11" s="132">
        <f>K11+L11</f>
        <v>4.5</v>
      </c>
      <c r="N11" s="132">
        <v>0</v>
      </c>
      <c r="O11" s="132">
        <v>0</v>
      </c>
      <c r="P11" s="139">
        <f>N11+O11</f>
        <v>0</v>
      </c>
    </row>
    <row r="12" spans="1:17" ht="28.5" customHeight="1" x14ac:dyDescent="0.2">
      <c r="A12" s="134" t="s">
        <v>70</v>
      </c>
      <c r="B12" s="19" t="s">
        <v>19</v>
      </c>
      <c r="C12" s="269" t="s">
        <v>477</v>
      </c>
      <c r="D12" s="25" t="s">
        <v>71</v>
      </c>
      <c r="E12" s="161" t="s">
        <v>478</v>
      </c>
      <c r="F12" s="167">
        <v>2</v>
      </c>
      <c r="G12" s="35">
        <f>ROUND(I12*(1+$B$212),2)</f>
        <v>1037.3399999999999</v>
      </c>
      <c r="H12" s="34">
        <f>ROUND(F12*G12,2)</f>
        <v>2074.6799999999998</v>
      </c>
      <c r="I12" s="116">
        <v>850</v>
      </c>
      <c r="K12" s="124">
        <v>0.24</v>
      </c>
      <c r="L12" s="123">
        <v>0.26</v>
      </c>
      <c r="M12" s="132">
        <f>K12+L12</f>
        <v>0.5</v>
      </c>
      <c r="N12" s="123">
        <v>0.24</v>
      </c>
      <c r="O12" s="123">
        <v>0.26</v>
      </c>
      <c r="P12" s="139">
        <f>N12+O12</f>
        <v>0.5</v>
      </c>
      <c r="Q12" s="11"/>
    </row>
    <row r="13" spans="1:17" ht="28.5" customHeight="1" x14ac:dyDescent="0.2">
      <c r="A13" s="134" t="s">
        <v>91</v>
      </c>
      <c r="B13" s="18" t="s">
        <v>124</v>
      </c>
      <c r="C13" s="20" t="s">
        <v>92</v>
      </c>
      <c r="D13" s="25" t="s">
        <v>315</v>
      </c>
      <c r="E13" s="22" t="s">
        <v>1</v>
      </c>
      <c r="F13" s="149">
        <v>517.82000000000005</v>
      </c>
      <c r="G13" s="35">
        <f>ROUND(I13*(1+$B$212),2)</f>
        <v>0.52</v>
      </c>
      <c r="H13" s="34">
        <f>ROUND(F13*G13,2)</f>
        <v>269.27</v>
      </c>
      <c r="I13" s="116">
        <v>0.43</v>
      </c>
      <c r="K13" s="124">
        <f>K4+499.56/2</f>
        <v>889.78</v>
      </c>
      <c r="L13" s="123">
        <f>L4+499.56/2</f>
        <v>889.78</v>
      </c>
      <c r="M13" s="132">
        <f>K13+L13</f>
        <v>1779.56</v>
      </c>
      <c r="N13" s="132">
        <f>N4+752.58/2</f>
        <v>1052.425</v>
      </c>
      <c r="O13" s="132">
        <f>O4+752.58/2</f>
        <v>1052.425</v>
      </c>
      <c r="P13" s="122">
        <f>N13+O13</f>
        <v>2104.85</v>
      </c>
      <c r="Q13" s="11"/>
    </row>
    <row r="14" spans="1:17" ht="28.5" customHeight="1" x14ac:dyDescent="0.2">
      <c r="A14" s="134"/>
      <c r="B14" s="18"/>
      <c r="C14" s="20"/>
      <c r="D14" s="58"/>
      <c r="E14" s="152"/>
      <c r="F14" s="153"/>
      <c r="G14" s="154"/>
      <c r="H14" s="34"/>
      <c r="I14" s="150"/>
      <c r="K14" s="124"/>
      <c r="L14" s="123"/>
      <c r="M14" s="132"/>
      <c r="N14" s="132"/>
      <c r="O14" s="132"/>
      <c r="P14" s="122"/>
    </row>
    <row r="15" spans="1:17" s="4" customFormat="1" ht="28.5" customHeight="1" x14ac:dyDescent="0.2">
      <c r="A15" s="55">
        <v>3</v>
      </c>
      <c r="B15" s="55"/>
      <c r="C15" s="55"/>
      <c r="D15" s="56" t="s">
        <v>434</v>
      </c>
      <c r="E15" s="57"/>
      <c r="F15" s="53"/>
      <c r="G15" s="52"/>
      <c r="H15" s="77">
        <f>TRUNC(SUM(H16:H19),2)</f>
        <v>3972.99</v>
      </c>
      <c r="I15" s="48"/>
      <c r="J15" s="3"/>
      <c r="K15" s="124"/>
      <c r="L15" s="123"/>
      <c r="M15" s="130"/>
      <c r="N15" s="133"/>
      <c r="O15" s="133"/>
      <c r="P15" s="133"/>
    </row>
    <row r="16" spans="1:17" s="4" customFormat="1" ht="28.5" customHeight="1" x14ac:dyDescent="0.2">
      <c r="A16" s="18" t="s">
        <v>26</v>
      </c>
      <c r="B16" s="18" t="s">
        <v>124</v>
      </c>
      <c r="C16" s="20" t="s">
        <v>93</v>
      </c>
      <c r="D16" s="25" t="s">
        <v>120</v>
      </c>
      <c r="E16" s="22" t="s">
        <v>3</v>
      </c>
      <c r="F16" s="155">
        <f>TRUNC(F4*0.33+F24*0.15*0.15,2)</f>
        <v>125.7</v>
      </c>
      <c r="G16" s="35">
        <f>ROUND(I16*(1+$B$212),2)</f>
        <v>4.58</v>
      </c>
      <c r="H16" s="34">
        <f>ROUND(F16*G16,2)</f>
        <v>575.71</v>
      </c>
      <c r="I16" s="116">
        <v>3.75</v>
      </c>
      <c r="K16" s="124" t="e">
        <f>TRUNC(K4*0.25+#REF!*0.15*0.15,2)-0.01</f>
        <v>#REF!</v>
      </c>
      <c r="L16" s="124" t="e">
        <f>ROUND(L4*0.25+#REF!*0.15*0.15,2)</f>
        <v>#REF!</v>
      </c>
      <c r="M16" s="131" t="e">
        <f>K16+L16</f>
        <v>#REF!</v>
      </c>
      <c r="N16" s="133"/>
      <c r="O16" s="133"/>
      <c r="P16" s="133"/>
    </row>
    <row r="17" spans="1:18" s="4" customFormat="1" ht="28.5" customHeight="1" x14ac:dyDescent="0.2">
      <c r="A17" s="18" t="s">
        <v>28</v>
      </c>
      <c r="B17" s="19" t="s">
        <v>19</v>
      </c>
      <c r="C17" s="20" t="s">
        <v>49</v>
      </c>
      <c r="D17" s="58" t="s">
        <v>94</v>
      </c>
      <c r="E17" s="22" t="s">
        <v>41</v>
      </c>
      <c r="F17" s="34">
        <f>TRUNC(F16*1.6*1.25,2)</f>
        <v>251.4</v>
      </c>
      <c r="G17" s="35">
        <f>ROUND(I17*(1+$B$212),2)</f>
        <v>3.54</v>
      </c>
      <c r="H17" s="34">
        <f>ROUND(F17*G17,2)</f>
        <v>889.96</v>
      </c>
      <c r="I17" s="116">
        <v>2.9</v>
      </c>
      <c r="K17" s="34" t="e">
        <f>ROUND(K16*1.6*1.25,2)</f>
        <v>#REF!</v>
      </c>
      <c r="L17" s="34" t="e">
        <f>TRUNC(L16*1.6*1.25,2)</f>
        <v>#REF!</v>
      </c>
      <c r="M17" s="131" t="e">
        <f>K17+L17</f>
        <v>#REF!</v>
      </c>
      <c r="N17" s="133"/>
      <c r="O17" s="133"/>
      <c r="P17" s="133"/>
    </row>
    <row r="18" spans="1:18" s="4" customFormat="1" ht="28.5" customHeight="1" x14ac:dyDescent="0.2">
      <c r="A18" s="18" t="s">
        <v>29</v>
      </c>
      <c r="B18" s="19" t="s">
        <v>19</v>
      </c>
      <c r="C18" s="38" t="s">
        <v>95</v>
      </c>
      <c r="D18" s="25" t="s">
        <v>123</v>
      </c>
      <c r="E18" s="22" t="s">
        <v>3</v>
      </c>
      <c r="F18" s="34">
        <f>F16</f>
        <v>125.7</v>
      </c>
      <c r="G18" s="35">
        <f>TRUNC(I18*(1+$B$212),2)</f>
        <v>10.8</v>
      </c>
      <c r="H18" s="34">
        <f>ROUND(F18*G18,2)</f>
        <v>1357.56</v>
      </c>
      <c r="I18" s="116">
        <v>8.85</v>
      </c>
      <c r="K18" s="124" t="e">
        <f>K16</f>
        <v>#REF!</v>
      </c>
      <c r="L18" s="123" t="e">
        <f>L16</f>
        <v>#REF!</v>
      </c>
      <c r="M18" s="131" t="e">
        <f>K18+L18</f>
        <v>#REF!</v>
      </c>
      <c r="N18" s="133"/>
      <c r="O18" s="133"/>
      <c r="P18" s="133"/>
    </row>
    <row r="19" spans="1:18" s="4" customFormat="1" ht="28.5" customHeight="1" x14ac:dyDescent="0.2">
      <c r="A19" s="18" t="s">
        <v>97</v>
      </c>
      <c r="B19" s="59" t="s">
        <v>19</v>
      </c>
      <c r="C19" s="38" t="s">
        <v>67</v>
      </c>
      <c r="D19" s="60" t="s">
        <v>4</v>
      </c>
      <c r="E19" s="22" t="s">
        <v>1</v>
      </c>
      <c r="F19" s="34">
        <f>F4</f>
        <v>373.3</v>
      </c>
      <c r="G19" s="35">
        <f>ROUND(I19*(1+$B$212),2)</f>
        <v>3.08</v>
      </c>
      <c r="H19" s="34">
        <f>TRUNC(F19*G19,2)</f>
        <v>1149.76</v>
      </c>
      <c r="I19" s="116">
        <v>2.52</v>
      </c>
      <c r="K19" s="124">
        <f>K4</f>
        <v>640</v>
      </c>
      <c r="L19" s="123">
        <f>L4</f>
        <v>640</v>
      </c>
      <c r="M19" s="131">
        <f>K19+L19</f>
        <v>1280</v>
      </c>
      <c r="N19" s="133"/>
      <c r="O19" s="133"/>
      <c r="P19" s="133"/>
    </row>
    <row r="20" spans="1:18" s="4" customFormat="1" ht="28.5" customHeight="1" x14ac:dyDescent="0.2">
      <c r="A20" s="112"/>
      <c r="B20" s="59"/>
      <c r="C20" s="38"/>
      <c r="D20" s="60"/>
      <c r="E20" s="22"/>
      <c r="F20" s="34"/>
      <c r="G20" s="35"/>
      <c r="H20" s="34"/>
      <c r="I20" s="150"/>
      <c r="K20" s="124"/>
      <c r="L20" s="123"/>
      <c r="M20" s="131"/>
      <c r="N20" s="133"/>
      <c r="O20" s="133"/>
      <c r="P20" s="133"/>
    </row>
    <row r="21" spans="1:18" s="4" customFormat="1" ht="28.5" customHeight="1" x14ac:dyDescent="0.2">
      <c r="A21" s="55">
        <v>4</v>
      </c>
      <c r="B21" s="55"/>
      <c r="C21" s="55"/>
      <c r="D21" s="56" t="s">
        <v>435</v>
      </c>
      <c r="E21" s="57"/>
      <c r="F21" s="53"/>
      <c r="G21" s="52"/>
      <c r="H21" s="77">
        <f>TRUNC(SUM(H22:H24),2)</f>
        <v>23389.79</v>
      </c>
      <c r="I21" s="150"/>
      <c r="K21" s="124"/>
      <c r="L21" s="123"/>
      <c r="M21" s="131"/>
      <c r="N21" s="133"/>
      <c r="O21" s="133"/>
      <c r="P21" s="133"/>
    </row>
    <row r="22" spans="1:18" s="4" customFormat="1" ht="28.5" customHeight="1" x14ac:dyDescent="0.2">
      <c r="A22" s="112" t="s">
        <v>13</v>
      </c>
      <c r="B22" s="59" t="s">
        <v>19</v>
      </c>
      <c r="C22" s="38" t="s">
        <v>50</v>
      </c>
      <c r="D22" s="21" t="s">
        <v>68</v>
      </c>
      <c r="E22" s="22" t="s">
        <v>3</v>
      </c>
      <c r="F22" s="34">
        <f>TRUNC(F4*0.2,2)</f>
        <v>74.66</v>
      </c>
      <c r="G22" s="35">
        <f>TRUNC(I22*(1+$B$212),2)</f>
        <v>158.49</v>
      </c>
      <c r="H22" s="34">
        <f>ROUND(F22*G22,2)</f>
        <v>11832.86</v>
      </c>
      <c r="I22" s="116">
        <v>129.87</v>
      </c>
      <c r="K22" s="124"/>
      <c r="L22" s="123"/>
      <c r="M22" s="131"/>
      <c r="N22" s="133"/>
      <c r="O22" s="133"/>
      <c r="P22" s="133"/>
    </row>
    <row r="23" spans="1:18" s="4" customFormat="1" ht="28.5" customHeight="1" x14ac:dyDescent="0.2">
      <c r="A23" s="112" t="s">
        <v>14</v>
      </c>
      <c r="B23" s="59" t="s">
        <v>19</v>
      </c>
      <c r="C23" s="38" t="s">
        <v>98</v>
      </c>
      <c r="D23" s="58" t="s">
        <v>134</v>
      </c>
      <c r="E23" s="22" t="s">
        <v>41</v>
      </c>
      <c r="F23" s="34">
        <f>F22*18</f>
        <v>1343.8799999999999</v>
      </c>
      <c r="G23" s="35">
        <f>ROUND(I23*(1+$B$212),2)</f>
        <v>2.93</v>
      </c>
      <c r="H23" s="34">
        <f>ROUND(F23*G23,2)</f>
        <v>3937.57</v>
      </c>
      <c r="I23" s="116">
        <v>2.4</v>
      </c>
      <c r="K23" s="124"/>
      <c r="L23" s="123"/>
      <c r="M23" s="131"/>
      <c r="N23" s="133"/>
      <c r="O23" s="133"/>
      <c r="P23" s="133"/>
    </row>
    <row r="24" spans="1:18" s="4" customFormat="1" ht="28.5" customHeight="1" x14ac:dyDescent="0.2">
      <c r="A24" s="112" t="s">
        <v>24</v>
      </c>
      <c r="B24" s="59" t="s">
        <v>19</v>
      </c>
      <c r="C24" s="38" t="s">
        <v>42</v>
      </c>
      <c r="D24" s="21" t="s">
        <v>15</v>
      </c>
      <c r="E24" s="22" t="s">
        <v>0</v>
      </c>
      <c r="F24" s="34">
        <v>112</v>
      </c>
      <c r="G24" s="35">
        <f>ROUND(I24*(1+$B$212),2)</f>
        <v>68.03</v>
      </c>
      <c r="H24" s="34">
        <f t="shared" ref="H24:H25" si="0">TRUNC(F24*G24,2)</f>
        <v>7619.36</v>
      </c>
      <c r="I24" s="116">
        <v>55.74</v>
      </c>
      <c r="K24" s="124"/>
      <c r="L24" s="123"/>
      <c r="M24" s="131"/>
      <c r="N24" s="133"/>
      <c r="O24" s="133"/>
      <c r="P24" s="133"/>
    </row>
    <row r="25" spans="1:18" s="4" customFormat="1" ht="28.5" customHeight="1" x14ac:dyDescent="0.2">
      <c r="A25" s="112"/>
      <c r="B25" s="59"/>
      <c r="C25" s="38"/>
      <c r="D25" s="60"/>
      <c r="E25" s="18"/>
      <c r="F25" s="34"/>
      <c r="G25" s="24"/>
      <c r="H25" s="73">
        <f t="shared" si="0"/>
        <v>0</v>
      </c>
      <c r="K25" s="124"/>
      <c r="L25" s="123"/>
      <c r="M25" s="130"/>
      <c r="N25" s="133"/>
      <c r="O25" s="133"/>
      <c r="P25" s="133"/>
    </row>
    <row r="26" spans="1:18" s="4" customFormat="1" ht="28.5" customHeight="1" x14ac:dyDescent="0.2">
      <c r="A26" s="28">
        <v>5</v>
      </c>
      <c r="B26" s="28"/>
      <c r="C26" s="28"/>
      <c r="D26" s="28" t="s">
        <v>436</v>
      </c>
      <c r="E26" s="29"/>
      <c r="F26" s="45"/>
      <c r="G26" s="29"/>
      <c r="H26" s="46">
        <f>TRUNC(SUM(H27:H29),2)</f>
        <v>35658.230000000003</v>
      </c>
      <c r="K26" s="124"/>
      <c r="L26" s="123"/>
      <c r="M26" s="130"/>
      <c r="N26" s="133"/>
      <c r="O26" s="133"/>
      <c r="P26" s="133"/>
    </row>
    <row r="27" spans="1:18" s="4" customFormat="1" ht="28.5" customHeight="1" x14ac:dyDescent="0.2">
      <c r="A27" s="18" t="s">
        <v>18</v>
      </c>
      <c r="B27" s="18" t="s">
        <v>124</v>
      </c>
      <c r="C27" s="20" t="s">
        <v>99</v>
      </c>
      <c r="D27" s="25" t="s">
        <v>481</v>
      </c>
      <c r="E27" s="22" t="s">
        <v>1</v>
      </c>
      <c r="F27" s="34">
        <f>F4</f>
        <v>373.3</v>
      </c>
      <c r="G27" s="115">
        <f>ROUND(I27*(1+$B$212),2)</f>
        <v>92.12</v>
      </c>
      <c r="H27" s="34">
        <f>ROUND((F27*G27),2)</f>
        <v>34388.400000000001</v>
      </c>
      <c r="I27" s="124">
        <v>75.48</v>
      </c>
      <c r="K27" s="124">
        <f>K4</f>
        <v>640</v>
      </c>
      <c r="L27" s="123">
        <f>L4</f>
        <v>640</v>
      </c>
      <c r="M27" s="131">
        <f>K27+L27</f>
        <v>1280</v>
      </c>
      <c r="N27" s="133"/>
      <c r="O27" s="133"/>
      <c r="P27" s="133"/>
    </row>
    <row r="28" spans="1:18" s="4" customFormat="1" ht="28.5" customHeight="1" x14ac:dyDescent="0.2">
      <c r="A28" s="18" t="s">
        <v>20</v>
      </c>
      <c r="B28" s="59" t="s">
        <v>19</v>
      </c>
      <c r="C28" s="38" t="s">
        <v>98</v>
      </c>
      <c r="D28" s="58" t="s">
        <v>125</v>
      </c>
      <c r="E28" s="22" t="s">
        <v>41</v>
      </c>
      <c r="F28" s="34">
        <f>TRUNC(F27*0.056*18,2)</f>
        <v>376.28</v>
      </c>
      <c r="G28" s="115">
        <f>ROUND(I28*(1+$B$212),2)</f>
        <v>2.93</v>
      </c>
      <c r="H28" s="34">
        <f>ROUND((F28*G28),2)</f>
        <v>1102.5</v>
      </c>
      <c r="I28" s="116">
        <v>2.4</v>
      </c>
      <c r="K28" s="124"/>
      <c r="L28" s="123"/>
      <c r="M28" s="131"/>
      <c r="N28" s="133"/>
      <c r="O28" s="133"/>
      <c r="P28" s="133"/>
    </row>
    <row r="29" spans="1:18" s="4" customFormat="1" ht="28.5" customHeight="1" x14ac:dyDescent="0.2">
      <c r="A29" s="18" t="s">
        <v>63</v>
      </c>
      <c r="B29" s="59" t="s">
        <v>19</v>
      </c>
      <c r="C29" s="38" t="s">
        <v>98</v>
      </c>
      <c r="D29" s="58" t="s">
        <v>126</v>
      </c>
      <c r="E29" s="22" t="s">
        <v>41</v>
      </c>
      <c r="F29" s="34">
        <f>TRUNC(F4*0.0085*18,2)</f>
        <v>57.11</v>
      </c>
      <c r="G29" s="115">
        <f>ROUND(I29*(1+$B$212),2)</f>
        <v>2.93</v>
      </c>
      <c r="H29" s="34">
        <f>ROUND((F29*G29),2)</f>
        <v>167.33</v>
      </c>
      <c r="I29" s="116">
        <v>2.4</v>
      </c>
      <c r="K29" s="124"/>
      <c r="L29" s="123"/>
      <c r="M29" s="131"/>
      <c r="N29" s="133"/>
      <c r="O29" s="133"/>
      <c r="P29" s="133"/>
    </row>
    <row r="30" spans="1:18" s="4" customFormat="1" ht="28.5" customHeight="1" x14ac:dyDescent="0.2">
      <c r="A30" s="18"/>
      <c r="B30" s="18"/>
      <c r="C30" s="18"/>
      <c r="D30" s="21"/>
      <c r="E30" s="18"/>
      <c r="F30" s="42"/>
      <c r="G30" s="24"/>
      <c r="H30" s="34"/>
      <c r="K30" s="124"/>
      <c r="L30" s="123"/>
      <c r="M30" s="130"/>
      <c r="N30" s="128"/>
      <c r="O30" s="128"/>
      <c r="P30" s="128"/>
      <c r="Q30" s="2"/>
      <c r="R30" s="2"/>
    </row>
    <row r="31" spans="1:18" s="4" customFormat="1" ht="28.5" customHeight="1" x14ac:dyDescent="0.2">
      <c r="A31" s="28">
        <v>6</v>
      </c>
      <c r="B31" s="28"/>
      <c r="C31" s="28"/>
      <c r="D31" s="28" t="s">
        <v>437</v>
      </c>
      <c r="E31" s="29"/>
      <c r="F31" s="37"/>
      <c r="G31" s="44"/>
      <c r="H31" s="77">
        <f>TRUNC(SUM(H32:H39),2)</f>
        <v>29681.17</v>
      </c>
      <c r="K31" s="124"/>
      <c r="L31" s="123"/>
      <c r="M31" s="130"/>
      <c r="N31" s="128"/>
      <c r="O31" s="128"/>
      <c r="P31" s="128"/>
      <c r="Q31" s="2"/>
      <c r="R31" s="2"/>
    </row>
    <row r="32" spans="1:18" s="4" customFormat="1" ht="28.5" customHeight="1" x14ac:dyDescent="0.2">
      <c r="A32" s="18" t="s">
        <v>33</v>
      </c>
      <c r="B32" s="19" t="s">
        <v>19</v>
      </c>
      <c r="C32" s="20" t="s">
        <v>43</v>
      </c>
      <c r="D32" s="21" t="s">
        <v>27</v>
      </c>
      <c r="E32" s="22" t="s">
        <v>3</v>
      </c>
      <c r="F32" s="34">
        <v>94.95</v>
      </c>
      <c r="G32" s="35">
        <f t="shared" ref="G32:G39" si="1">ROUND(I32*(1+$B$212),2)</f>
        <v>9.34</v>
      </c>
      <c r="H32" s="34">
        <f>ROUND(F32*G32,2)</f>
        <v>886.83</v>
      </c>
      <c r="I32" s="116">
        <v>7.65</v>
      </c>
      <c r="K32" s="124">
        <f>TRUNC((K33*1*1),2)</f>
        <v>24</v>
      </c>
      <c r="L32" s="123">
        <v>12</v>
      </c>
      <c r="M32" s="131">
        <f t="shared" ref="M32:M39" si="2">K32+L32</f>
        <v>36</v>
      </c>
      <c r="N32" s="128"/>
      <c r="O32" s="128"/>
      <c r="P32" s="128"/>
      <c r="Q32" s="2"/>
      <c r="R32" s="2"/>
    </row>
    <row r="33" spans="1:20" s="4" customFormat="1" ht="28.5" customHeight="1" x14ac:dyDescent="0.2">
      <c r="A33" s="18" t="s">
        <v>34</v>
      </c>
      <c r="B33" s="19" t="s">
        <v>19</v>
      </c>
      <c r="C33" s="20" t="s">
        <v>75</v>
      </c>
      <c r="D33" s="25" t="s">
        <v>76</v>
      </c>
      <c r="E33" s="22" t="s">
        <v>0</v>
      </c>
      <c r="F33" s="34">
        <v>79</v>
      </c>
      <c r="G33" s="35">
        <f t="shared" si="1"/>
        <v>82.32</v>
      </c>
      <c r="H33" s="34">
        <f>TRUNC(F33*G33,2)</f>
        <v>6503.28</v>
      </c>
      <c r="I33" s="171">
        <v>67.45</v>
      </c>
      <c r="K33" s="124">
        <f>8*3</f>
        <v>24</v>
      </c>
      <c r="L33" s="124">
        <f>4*3</f>
        <v>12</v>
      </c>
      <c r="M33" s="131">
        <f t="shared" si="2"/>
        <v>36</v>
      </c>
      <c r="N33" s="128"/>
      <c r="O33" s="128"/>
      <c r="P33" s="128"/>
      <c r="Q33" s="2"/>
      <c r="R33" s="2"/>
    </row>
    <row r="34" spans="1:20" s="4" customFormat="1" ht="28.5" customHeight="1" x14ac:dyDescent="0.2">
      <c r="A34" s="18" t="s">
        <v>102</v>
      </c>
      <c r="B34" s="19" t="s">
        <v>19</v>
      </c>
      <c r="C34" s="20" t="s">
        <v>73</v>
      </c>
      <c r="D34" s="25" t="s">
        <v>74</v>
      </c>
      <c r="E34" s="22" t="s">
        <v>0</v>
      </c>
      <c r="F34" s="34">
        <f>F33</f>
        <v>79</v>
      </c>
      <c r="G34" s="35">
        <f t="shared" si="1"/>
        <v>71.319999999999993</v>
      </c>
      <c r="H34" s="34">
        <f>TRUNC(F34*G34,2)</f>
        <v>5634.28</v>
      </c>
      <c r="I34" s="171">
        <v>58.44</v>
      </c>
      <c r="K34" s="124">
        <f>K33</f>
        <v>24</v>
      </c>
      <c r="L34" s="123">
        <f>L33</f>
        <v>12</v>
      </c>
      <c r="M34" s="131">
        <f t="shared" si="2"/>
        <v>36</v>
      </c>
      <c r="N34" s="128"/>
      <c r="O34" s="128"/>
      <c r="P34" s="128"/>
      <c r="Q34" s="2"/>
      <c r="R34" s="2"/>
    </row>
    <row r="35" spans="1:20" ht="28.5" customHeight="1" x14ac:dyDescent="0.2">
      <c r="A35" s="18" t="s">
        <v>137</v>
      </c>
      <c r="B35" s="19" t="s">
        <v>19</v>
      </c>
      <c r="C35" s="20" t="s">
        <v>44</v>
      </c>
      <c r="D35" s="21" t="s">
        <v>30</v>
      </c>
      <c r="E35" s="22" t="s">
        <v>3</v>
      </c>
      <c r="F35" s="34">
        <f>F32-F36</f>
        <v>80.66</v>
      </c>
      <c r="G35" s="35">
        <f t="shared" si="1"/>
        <v>15.57</v>
      </c>
      <c r="H35" s="34">
        <f>ROUND(F35*G35,2)</f>
        <v>1255.8800000000001</v>
      </c>
      <c r="I35" s="21">
        <v>12.76</v>
      </c>
      <c r="K35" s="124">
        <v>19.64</v>
      </c>
      <c r="L35" s="124">
        <v>9.85</v>
      </c>
      <c r="M35" s="131">
        <f t="shared" si="2"/>
        <v>29.490000000000002</v>
      </c>
      <c r="N35" s="128"/>
      <c r="O35" s="128"/>
      <c r="P35" s="128"/>
    </row>
    <row r="36" spans="1:20" ht="28.5" customHeight="1" x14ac:dyDescent="0.2">
      <c r="A36" s="18" t="s">
        <v>138</v>
      </c>
      <c r="B36" s="19" t="s">
        <v>19</v>
      </c>
      <c r="C36" s="136" t="s">
        <v>95</v>
      </c>
      <c r="D36" s="25" t="s">
        <v>96</v>
      </c>
      <c r="E36" s="22" t="s">
        <v>3</v>
      </c>
      <c r="F36" s="34">
        <f>TRUNC(79*3.1416*0.48*0.48/4,2)</f>
        <v>14.29</v>
      </c>
      <c r="G36" s="35">
        <f t="shared" si="1"/>
        <v>10.8</v>
      </c>
      <c r="H36" s="34">
        <f>ROUND(F36*G36,2)</f>
        <v>154.33000000000001</v>
      </c>
      <c r="I36" s="116">
        <v>8.85</v>
      </c>
      <c r="K36" s="124">
        <v>4.3499999999999996</v>
      </c>
      <c r="L36" s="124">
        <v>2.16</v>
      </c>
      <c r="M36" s="131">
        <f t="shared" si="2"/>
        <v>6.51</v>
      </c>
      <c r="N36" s="128"/>
      <c r="O36" s="128"/>
      <c r="P36" s="128"/>
    </row>
    <row r="37" spans="1:20" ht="28.5" customHeight="1" x14ac:dyDescent="0.2">
      <c r="A37" s="18" t="s">
        <v>139</v>
      </c>
      <c r="B37" s="19" t="s">
        <v>19</v>
      </c>
      <c r="C37" s="20" t="s">
        <v>49</v>
      </c>
      <c r="D37" s="21" t="s">
        <v>82</v>
      </c>
      <c r="E37" s="22" t="s">
        <v>41</v>
      </c>
      <c r="F37" s="34">
        <f>TRUNC(F36*1.25*1.6,2)</f>
        <v>28.58</v>
      </c>
      <c r="G37" s="35">
        <f t="shared" si="1"/>
        <v>3.54</v>
      </c>
      <c r="H37" s="34">
        <f>ROUND(F37*G37,2)</f>
        <v>101.17</v>
      </c>
      <c r="I37" s="116">
        <v>2.9</v>
      </c>
      <c r="K37" s="124">
        <v>8.68</v>
      </c>
      <c r="L37" s="124">
        <v>4.34</v>
      </c>
      <c r="M37" s="131">
        <f t="shared" si="2"/>
        <v>13.02</v>
      </c>
      <c r="N37" s="128"/>
      <c r="O37" s="128"/>
      <c r="P37" s="128"/>
    </row>
    <row r="38" spans="1:20" ht="28.5" customHeight="1" x14ac:dyDescent="0.2">
      <c r="A38" s="18" t="s">
        <v>140</v>
      </c>
      <c r="B38" s="18" t="s">
        <v>124</v>
      </c>
      <c r="C38" s="137" t="s">
        <v>100</v>
      </c>
      <c r="D38" s="25" t="s">
        <v>482</v>
      </c>
      <c r="E38" s="22" t="s">
        <v>31</v>
      </c>
      <c r="F38" s="34">
        <v>4</v>
      </c>
      <c r="G38" s="35">
        <f t="shared" si="1"/>
        <v>2392.58</v>
      </c>
      <c r="H38" s="34">
        <f>TRUNC(F38*G38,2)</f>
        <v>9570.32</v>
      </c>
      <c r="I38" s="253">
        <v>1960.49</v>
      </c>
      <c r="K38" s="124">
        <v>2</v>
      </c>
      <c r="L38" s="123">
        <v>3</v>
      </c>
      <c r="M38" s="131">
        <f t="shared" si="2"/>
        <v>5</v>
      </c>
      <c r="N38" s="128"/>
      <c r="O38" s="128"/>
      <c r="P38" s="128"/>
    </row>
    <row r="39" spans="1:20" customFormat="1" ht="28.5" customHeight="1" x14ac:dyDescent="0.2">
      <c r="A39" s="18" t="s">
        <v>141</v>
      </c>
      <c r="B39" s="18" t="s">
        <v>124</v>
      </c>
      <c r="C39" s="137" t="s">
        <v>101</v>
      </c>
      <c r="D39" s="25" t="s">
        <v>32</v>
      </c>
      <c r="E39" s="22" t="s">
        <v>31</v>
      </c>
      <c r="F39" s="34">
        <v>4</v>
      </c>
      <c r="G39" s="35">
        <f t="shared" si="1"/>
        <v>1393.77</v>
      </c>
      <c r="H39" s="34">
        <f>TRUNC(F39*G39,2)</f>
        <v>5575.08</v>
      </c>
      <c r="I39" s="92">
        <v>1142.06</v>
      </c>
      <c r="J39" s="2"/>
      <c r="K39" s="124">
        <v>8</v>
      </c>
      <c r="L39" s="123">
        <v>4</v>
      </c>
      <c r="M39" s="131">
        <f t="shared" si="2"/>
        <v>12</v>
      </c>
      <c r="N39" s="128"/>
      <c r="O39" s="128"/>
      <c r="P39" s="128"/>
      <c r="Q39" s="2"/>
      <c r="R39" s="2"/>
    </row>
    <row r="40" spans="1:20" customFormat="1" ht="28.5" customHeight="1" x14ac:dyDescent="0.2">
      <c r="A40" s="18"/>
      <c r="B40" s="18"/>
      <c r="C40" s="137"/>
      <c r="D40" s="25"/>
      <c r="E40" s="22"/>
      <c r="F40" s="34"/>
      <c r="G40" s="35"/>
      <c r="H40" s="34"/>
      <c r="I40" s="150"/>
      <c r="J40" s="2"/>
      <c r="K40" s="124"/>
      <c r="L40" s="123"/>
      <c r="M40" s="131"/>
      <c r="N40" s="128"/>
      <c r="O40" s="128"/>
      <c r="P40" s="128"/>
      <c r="Q40" s="2"/>
      <c r="R40" s="2"/>
    </row>
    <row r="41" spans="1:20" ht="28.5" customHeight="1" x14ac:dyDescent="0.2">
      <c r="A41" s="28">
        <v>7</v>
      </c>
      <c r="B41" s="28"/>
      <c r="C41" s="28"/>
      <c r="D41" s="28" t="s">
        <v>438</v>
      </c>
      <c r="E41" s="29"/>
      <c r="F41" s="37"/>
      <c r="G41" s="31"/>
      <c r="H41" s="77">
        <f>TRUNC(SUM(H42:H45),2)</f>
        <v>1026.23</v>
      </c>
      <c r="J41"/>
      <c r="K41" s="124"/>
      <c r="L41" s="123"/>
      <c r="M41" s="130"/>
      <c r="N41" s="128"/>
      <c r="O41" s="128"/>
      <c r="P41" s="128"/>
    </row>
    <row r="42" spans="1:20" ht="28.5" customHeight="1" x14ac:dyDescent="0.2">
      <c r="A42" s="18" t="s">
        <v>64</v>
      </c>
      <c r="B42" s="19" t="s">
        <v>19</v>
      </c>
      <c r="C42" s="20" t="s">
        <v>79</v>
      </c>
      <c r="D42" s="25" t="s">
        <v>80</v>
      </c>
      <c r="E42" s="22" t="s">
        <v>0</v>
      </c>
      <c r="F42" s="34">
        <v>18</v>
      </c>
      <c r="G42" s="34">
        <f>ROUND(I42*(1+$B$212),2)</f>
        <v>6.72</v>
      </c>
      <c r="H42" s="34">
        <f>TRUNC(F42*G42,2)</f>
        <v>120.96</v>
      </c>
      <c r="I42" s="116">
        <v>5.51</v>
      </c>
      <c r="K42" s="124">
        <v>30</v>
      </c>
      <c r="L42" s="123">
        <v>20</v>
      </c>
      <c r="M42" s="131">
        <f>K42+L42</f>
        <v>50</v>
      </c>
      <c r="N42" s="128"/>
      <c r="O42" s="128"/>
      <c r="P42" s="128"/>
    </row>
    <row r="43" spans="1:20" ht="28.5" customHeight="1" x14ac:dyDescent="0.2">
      <c r="A43" s="18" t="s">
        <v>65</v>
      </c>
      <c r="B43" s="19" t="s">
        <v>19</v>
      </c>
      <c r="C43" s="20" t="s">
        <v>77</v>
      </c>
      <c r="D43" s="25" t="s">
        <v>78</v>
      </c>
      <c r="E43" s="22" t="s">
        <v>1</v>
      </c>
      <c r="F43" s="34">
        <v>10.8</v>
      </c>
      <c r="G43" s="34">
        <f>ROUND(I43*(1+$B$212),2)</f>
        <v>28.28</v>
      </c>
      <c r="H43" s="34">
        <f>ROUND(F43*G43,2)</f>
        <v>305.42</v>
      </c>
      <c r="I43" s="116">
        <v>23.17</v>
      </c>
      <c r="K43" s="124">
        <v>12.4</v>
      </c>
      <c r="L43" s="123">
        <v>11.2</v>
      </c>
      <c r="M43" s="131">
        <f>K43+L43</f>
        <v>23.6</v>
      </c>
      <c r="N43" s="128"/>
      <c r="O43" s="128"/>
      <c r="P43" s="128"/>
    </row>
    <row r="44" spans="1:20" ht="28.5" customHeight="1" x14ac:dyDescent="0.2">
      <c r="A44" s="18" t="s">
        <v>66</v>
      </c>
      <c r="B44" s="18" t="s">
        <v>124</v>
      </c>
      <c r="C44" s="26">
        <v>11</v>
      </c>
      <c r="D44" s="25" t="s">
        <v>129</v>
      </c>
      <c r="E44" s="22" t="s">
        <v>1</v>
      </c>
      <c r="F44" s="34">
        <f>TRUNC(2*0.3,2)</f>
        <v>0.6</v>
      </c>
      <c r="G44" s="34">
        <f>ROUND(I44*(1+$B$212),2)</f>
        <v>628.03</v>
      </c>
      <c r="H44" s="34">
        <f>ROUND(F44*G44,2)</f>
        <v>376.82</v>
      </c>
      <c r="I44" s="116">
        <v>514.61</v>
      </c>
      <c r="K44" s="124">
        <v>0.6</v>
      </c>
      <c r="L44" s="123">
        <v>0.3</v>
      </c>
      <c r="M44" s="131">
        <f>K44+L44</f>
        <v>0.89999999999999991</v>
      </c>
      <c r="N44" s="128"/>
      <c r="O44" s="128"/>
      <c r="P44" s="128"/>
    </row>
    <row r="45" spans="1:20" ht="28.5" customHeight="1" x14ac:dyDescent="0.2">
      <c r="A45" s="18" t="s">
        <v>413</v>
      </c>
      <c r="B45" s="18" t="s">
        <v>124</v>
      </c>
      <c r="C45" s="26">
        <v>20</v>
      </c>
      <c r="D45" s="142" t="s">
        <v>415</v>
      </c>
      <c r="E45" s="22" t="s">
        <v>1</v>
      </c>
      <c r="F45" s="34">
        <f>TRUNC(2*0.2,2)</f>
        <v>0.4</v>
      </c>
      <c r="G45" s="34">
        <f>ROUND(I45*(1+$B$212),2)</f>
        <v>557.58000000000004</v>
      </c>
      <c r="H45" s="34">
        <f>ROUND(F45*G45,2)</f>
        <v>223.03</v>
      </c>
      <c r="I45" s="116">
        <v>456.88</v>
      </c>
      <c r="K45" s="124"/>
      <c r="L45" s="123"/>
      <c r="M45" s="131"/>
      <c r="N45" s="128"/>
      <c r="O45" s="128"/>
      <c r="P45" s="128"/>
    </row>
    <row r="46" spans="1:20" ht="28.5" customHeight="1" x14ac:dyDescent="0.2">
      <c r="A46" s="41"/>
      <c r="B46" s="41"/>
      <c r="C46" s="41"/>
      <c r="D46" s="41"/>
      <c r="E46" s="18"/>
      <c r="F46" s="42"/>
      <c r="G46" s="24"/>
      <c r="H46" s="127"/>
      <c r="K46" s="124"/>
      <c r="L46" s="123"/>
      <c r="M46" s="130"/>
      <c r="N46" s="128"/>
      <c r="O46" s="128"/>
      <c r="P46" s="128"/>
    </row>
    <row r="47" spans="1:20" ht="28.5" customHeight="1" x14ac:dyDescent="0.2">
      <c r="A47" s="28">
        <v>8</v>
      </c>
      <c r="B47" s="28"/>
      <c r="C47" s="28"/>
      <c r="D47" s="28" t="s">
        <v>439</v>
      </c>
      <c r="E47" s="29"/>
      <c r="F47" s="30"/>
      <c r="G47" s="76"/>
      <c r="H47" s="77">
        <f>TRUNC(SUM(H48:H53),2)</f>
        <v>14059.33</v>
      </c>
      <c r="K47" s="124"/>
      <c r="L47" s="123"/>
      <c r="M47" s="130"/>
      <c r="N47" s="128"/>
      <c r="O47" s="128"/>
      <c r="P47" s="128"/>
    </row>
    <row r="48" spans="1:20" s="5" customFormat="1" ht="28.5" customHeight="1" x14ac:dyDescent="0.2">
      <c r="A48" s="18" t="s">
        <v>103</v>
      </c>
      <c r="B48" s="19" t="s">
        <v>19</v>
      </c>
      <c r="C48" s="144">
        <v>94991</v>
      </c>
      <c r="D48" s="142" t="s">
        <v>127</v>
      </c>
      <c r="E48" s="22" t="s">
        <v>3</v>
      </c>
      <c r="F48" s="34">
        <f>TRUNC((144.52*0.07-(10.6+84.02)*0.4*0.035),2)</f>
        <v>8.7899999999999991</v>
      </c>
      <c r="G48" s="35">
        <f t="shared" ref="G48:G53" si="3">ROUND(I48*(1+$B$212),2)</f>
        <v>850.84</v>
      </c>
      <c r="H48" s="34">
        <f t="shared" ref="H48:H51" si="4">TRUNC(F48*G48,2)</f>
        <v>7478.88</v>
      </c>
      <c r="I48" s="116">
        <v>697.18</v>
      </c>
      <c r="J48" s="4"/>
      <c r="K48" s="124">
        <f>250.28*0.05-5.12*0.035-50.96*0.035</f>
        <v>10.551200000000001</v>
      </c>
      <c r="L48" s="123">
        <f>252.02*0.05-5.12*0.035-51.44*0.035</f>
        <v>10.621400000000001</v>
      </c>
      <c r="M48" s="131">
        <f>K48+L48</f>
        <v>21.172600000000003</v>
      </c>
      <c r="N48" s="128"/>
      <c r="O48" s="128"/>
      <c r="P48" s="128"/>
      <c r="Q48" s="105"/>
      <c r="R48" s="2">
        <f>TRUNC(10.43/21.17*15.07,2)</f>
        <v>7.42</v>
      </c>
      <c r="S48" s="151">
        <f>10.61/21.17*15.07</f>
        <v>7.5527964100141691</v>
      </c>
      <c r="T48" s="151">
        <f>ROUND(R48+S48,2)</f>
        <v>14.97</v>
      </c>
    </row>
    <row r="49" spans="1:19" s="5" customFormat="1" ht="28.5" customHeight="1" x14ac:dyDescent="0.2">
      <c r="A49" s="18" t="s">
        <v>104</v>
      </c>
      <c r="B49" s="135" t="s">
        <v>124</v>
      </c>
      <c r="C49" s="144">
        <v>21</v>
      </c>
      <c r="D49" s="25" t="s">
        <v>463</v>
      </c>
      <c r="E49" s="22" t="s">
        <v>3</v>
      </c>
      <c r="F49" s="34">
        <f>TRUNC(144.52*0.03,2)</f>
        <v>4.33</v>
      </c>
      <c r="G49" s="35">
        <f t="shared" si="3"/>
        <v>150.07</v>
      </c>
      <c r="H49" s="34">
        <f>ROUND(F49*G49,2)</f>
        <v>649.79999999999995</v>
      </c>
      <c r="I49" s="116">
        <v>122.97</v>
      </c>
      <c r="J49" s="4"/>
      <c r="K49" s="124">
        <f>250.28*0.03</f>
        <v>7.5084</v>
      </c>
      <c r="L49" s="123">
        <f>252.02*0.03</f>
        <v>7.5606</v>
      </c>
      <c r="M49" s="131">
        <f>K49+L49</f>
        <v>15.068999999999999</v>
      </c>
      <c r="N49" s="128"/>
      <c r="O49" s="128"/>
      <c r="P49" s="128"/>
      <c r="Q49" s="105"/>
      <c r="R49" s="2"/>
      <c r="S49" s="151"/>
    </row>
    <row r="50" spans="1:19" s="5" customFormat="1" ht="28.5" customHeight="1" x14ac:dyDescent="0.2">
      <c r="A50" s="18" t="s">
        <v>105</v>
      </c>
      <c r="B50" s="145" t="s">
        <v>19</v>
      </c>
      <c r="C50" s="144" t="s">
        <v>98</v>
      </c>
      <c r="D50" s="142" t="s">
        <v>128</v>
      </c>
      <c r="E50" s="22" t="s">
        <v>41</v>
      </c>
      <c r="F50" s="34">
        <f>TRUNC(144.52*0.03*18,2)</f>
        <v>78.040000000000006</v>
      </c>
      <c r="G50" s="35">
        <f t="shared" si="3"/>
        <v>2.93</v>
      </c>
      <c r="H50" s="34">
        <f>ROUND(F50*G50,2)</f>
        <v>228.66</v>
      </c>
      <c r="I50" s="116">
        <v>2.4</v>
      </c>
      <c r="J50" s="4"/>
      <c r="K50" s="124">
        <f>250.28*0.03*10</f>
        <v>75.084000000000003</v>
      </c>
      <c r="L50" s="123">
        <f>252.02*0.03*10</f>
        <v>75.605999999999995</v>
      </c>
      <c r="M50" s="131">
        <f>TRUNC(K50+L50,2)</f>
        <v>150.69</v>
      </c>
      <c r="N50" s="128"/>
      <c r="O50" s="128"/>
      <c r="P50" s="128"/>
      <c r="Q50" s="2"/>
      <c r="R50" s="2"/>
    </row>
    <row r="51" spans="1:19" ht="28.5" customHeight="1" x14ac:dyDescent="0.2">
      <c r="A51" s="18" t="s">
        <v>119</v>
      </c>
      <c r="B51" s="18" t="s">
        <v>124</v>
      </c>
      <c r="C51" s="26">
        <v>2</v>
      </c>
      <c r="D51" s="25" t="s">
        <v>483</v>
      </c>
      <c r="E51" s="22" t="s">
        <v>17</v>
      </c>
      <c r="F51" s="34">
        <v>2</v>
      </c>
      <c r="G51" s="35">
        <f t="shared" si="3"/>
        <v>624.11</v>
      </c>
      <c r="H51" s="34">
        <f t="shared" si="4"/>
        <v>1248.22</v>
      </c>
      <c r="I51" s="116">
        <v>511.4</v>
      </c>
      <c r="J51" s="5"/>
      <c r="K51" s="124">
        <v>2</v>
      </c>
      <c r="L51" s="123">
        <v>1</v>
      </c>
      <c r="M51" s="131">
        <f>K51+L51</f>
        <v>3</v>
      </c>
      <c r="N51" s="128"/>
      <c r="O51" s="128"/>
      <c r="P51" s="128"/>
    </row>
    <row r="52" spans="1:19" ht="28.5" customHeight="1" x14ac:dyDescent="0.2">
      <c r="A52" s="18" t="s">
        <v>142</v>
      </c>
      <c r="B52" s="18" t="s">
        <v>124</v>
      </c>
      <c r="C52" s="26">
        <v>1</v>
      </c>
      <c r="D52" s="21" t="s">
        <v>484</v>
      </c>
      <c r="E52" s="22" t="s">
        <v>1</v>
      </c>
      <c r="F52" s="34">
        <f>TRUNC(10.6*0.4,2)</f>
        <v>4.24</v>
      </c>
      <c r="G52" s="35">
        <f t="shared" si="3"/>
        <v>117.7</v>
      </c>
      <c r="H52" s="34">
        <f>ROUND(F52*G52,2)</f>
        <v>499.05</v>
      </c>
      <c r="I52" s="116">
        <v>96.44</v>
      </c>
      <c r="K52" s="148">
        <f>TRUNC(((2*4.8)+(2*1.6))*0.4,2)</f>
        <v>5.12</v>
      </c>
      <c r="L52" s="148">
        <f>TRUNC(((2*4.8)+(2*1.6))*0.4,2)</f>
        <v>5.12</v>
      </c>
      <c r="M52" s="131">
        <f>K52+L52</f>
        <v>10.24</v>
      </c>
      <c r="N52" s="128"/>
      <c r="O52" s="128"/>
      <c r="P52" s="128"/>
    </row>
    <row r="53" spans="1:19" ht="28.5" customHeight="1" x14ac:dyDescent="0.2">
      <c r="A53" s="18" t="s">
        <v>143</v>
      </c>
      <c r="B53" s="18" t="s">
        <v>124</v>
      </c>
      <c r="C53" s="26">
        <v>7</v>
      </c>
      <c r="D53" s="21" t="s">
        <v>485</v>
      </c>
      <c r="E53" s="22" t="s">
        <v>1</v>
      </c>
      <c r="F53" s="34">
        <f>TRUNC(84.02*0.4,2)</f>
        <v>33.6</v>
      </c>
      <c r="G53" s="35">
        <f t="shared" si="3"/>
        <v>117.7</v>
      </c>
      <c r="H53" s="34">
        <f>ROUND(F53*G53,2)</f>
        <v>3954.72</v>
      </c>
      <c r="I53" s="116">
        <v>96.44</v>
      </c>
      <c r="K53" s="124">
        <f>TRUNC(127.4*0.4,2)</f>
        <v>50.96</v>
      </c>
      <c r="L53" s="124">
        <f>TRUNC(128.6*0.4,2)</f>
        <v>51.44</v>
      </c>
      <c r="M53" s="131">
        <f>K53+L53</f>
        <v>102.4</v>
      </c>
      <c r="N53" s="128"/>
      <c r="O53" s="128"/>
      <c r="P53" s="128"/>
    </row>
    <row r="54" spans="1:19" ht="28.5" customHeight="1" x14ac:dyDescent="0.2">
      <c r="A54" s="18"/>
      <c r="B54" s="135"/>
      <c r="C54" s="26"/>
      <c r="D54" s="138"/>
      <c r="E54" s="22"/>
      <c r="F54" s="74"/>
      <c r="G54" s="35"/>
      <c r="H54" s="34"/>
      <c r="I54" s="150"/>
      <c r="K54" s="129"/>
      <c r="L54" s="129"/>
      <c r="M54" s="129"/>
      <c r="N54" s="128"/>
      <c r="O54" s="128"/>
      <c r="P54" s="128"/>
    </row>
    <row r="55" spans="1:19" ht="28.5" customHeight="1" x14ac:dyDescent="0.25">
      <c r="A55" s="96">
        <v>9</v>
      </c>
      <c r="B55" s="97"/>
      <c r="C55" s="97"/>
      <c r="D55" s="51" t="s">
        <v>440</v>
      </c>
      <c r="E55" s="99"/>
      <c r="F55" s="99"/>
      <c r="G55" s="110"/>
      <c r="H55" s="100">
        <f>TRUNC(SUM(H56:H58),2)</f>
        <v>5396.54</v>
      </c>
      <c r="K55" s="11"/>
      <c r="N55" s="128"/>
      <c r="O55" s="128"/>
      <c r="P55" s="128"/>
    </row>
    <row r="56" spans="1:19" ht="28.5" customHeight="1" x14ac:dyDescent="0.2">
      <c r="A56" s="109" t="s">
        <v>106</v>
      </c>
      <c r="B56" s="166" t="s">
        <v>124</v>
      </c>
      <c r="C56" s="269" t="s">
        <v>476</v>
      </c>
      <c r="D56" s="25" t="s">
        <v>69</v>
      </c>
      <c r="E56" s="22" t="s">
        <v>1</v>
      </c>
      <c r="F56" s="149">
        <f>TRUNC(3*1.5,2)</f>
        <v>4.5</v>
      </c>
      <c r="G56" s="35">
        <f>ROUND(I56*(1+$B$212),2)</f>
        <v>335.63</v>
      </c>
      <c r="H56" s="34">
        <f>ROUND(F56*G56,2)</f>
        <v>1510.34</v>
      </c>
      <c r="I56" s="116">
        <v>275.02</v>
      </c>
      <c r="K56" s="11"/>
      <c r="N56" s="128"/>
      <c r="O56" s="128"/>
      <c r="P56" s="128"/>
    </row>
    <row r="57" spans="1:19" ht="28.5" customHeight="1" x14ac:dyDescent="0.2">
      <c r="A57" s="134" t="s">
        <v>107</v>
      </c>
      <c r="B57" s="19" t="s">
        <v>19</v>
      </c>
      <c r="C57" s="269" t="s">
        <v>477</v>
      </c>
      <c r="D57" s="25" t="s">
        <v>71</v>
      </c>
      <c r="E57" s="161" t="s">
        <v>478</v>
      </c>
      <c r="F57" s="268">
        <v>3</v>
      </c>
      <c r="G57" s="35">
        <f>ROUND(I57*(1+$B$212),2)</f>
        <v>1037.3399999999999</v>
      </c>
      <c r="H57" s="34">
        <f>ROUND(F57*G57,2)</f>
        <v>3112.02</v>
      </c>
      <c r="I57" s="116">
        <v>850</v>
      </c>
      <c r="K57" s="11"/>
      <c r="N57" s="128"/>
      <c r="O57" s="128"/>
      <c r="P57" s="128"/>
    </row>
    <row r="58" spans="1:19" ht="28.5" customHeight="1" x14ac:dyDescent="0.2">
      <c r="A58" s="18" t="s">
        <v>108</v>
      </c>
      <c r="B58" s="18" t="s">
        <v>124</v>
      </c>
      <c r="C58" s="20" t="s">
        <v>92</v>
      </c>
      <c r="D58" s="25" t="s">
        <v>315</v>
      </c>
      <c r="E58" s="22" t="s">
        <v>1</v>
      </c>
      <c r="F58" s="148">
        <v>1488.8</v>
      </c>
      <c r="G58" s="35">
        <f>TRUNC(I58*(1+$B$212),2)</f>
        <v>0.52</v>
      </c>
      <c r="H58" s="34">
        <f>ROUND(F58*G58,2)</f>
        <v>774.18</v>
      </c>
      <c r="I58" s="116">
        <v>0.43</v>
      </c>
      <c r="K58" s="129"/>
      <c r="L58" s="69"/>
      <c r="M58" s="129"/>
      <c r="N58" s="124">
        <v>204.95</v>
      </c>
      <c r="O58" s="123">
        <v>225.69</v>
      </c>
      <c r="P58" s="124">
        <f>N58+O58</f>
        <v>430.64</v>
      </c>
    </row>
    <row r="59" spans="1:19" ht="28.5" customHeight="1" x14ac:dyDescent="0.2">
      <c r="A59" s="18"/>
      <c r="B59" s="59"/>
      <c r="C59" s="38"/>
      <c r="D59" s="60"/>
      <c r="E59" s="18"/>
      <c r="F59" s="34"/>
      <c r="G59" s="24"/>
      <c r="H59" s="36"/>
      <c r="K59" s="11"/>
      <c r="N59" s="128"/>
      <c r="O59" s="128"/>
      <c r="P59" s="128"/>
    </row>
    <row r="60" spans="1:19" ht="28.5" customHeight="1" x14ac:dyDescent="0.2">
      <c r="A60" s="55">
        <v>10</v>
      </c>
      <c r="B60" s="55"/>
      <c r="C60" s="55"/>
      <c r="D60" s="56" t="s">
        <v>441</v>
      </c>
      <c r="E60" s="57"/>
      <c r="F60" s="53"/>
      <c r="G60" s="52"/>
      <c r="H60" s="77">
        <f>TRUNC(SUM(H61:H64),2)</f>
        <v>14040.43</v>
      </c>
      <c r="K60" s="11"/>
      <c r="N60" s="128"/>
      <c r="O60" s="128"/>
      <c r="P60" s="128"/>
    </row>
    <row r="61" spans="1:19" ht="28.5" customHeight="1" x14ac:dyDescent="0.2">
      <c r="A61" s="18" t="s">
        <v>109</v>
      </c>
      <c r="B61" s="18" t="s">
        <v>124</v>
      </c>
      <c r="C61" s="20" t="s">
        <v>93</v>
      </c>
      <c r="D61" s="25" t="s">
        <v>120</v>
      </c>
      <c r="E61" s="22" t="s">
        <v>3</v>
      </c>
      <c r="F61" s="34">
        <f>TRUNC(56*7*0.3+G4*0.33+F73*0.15*0.15,2)</f>
        <v>471.6</v>
      </c>
      <c r="G61" s="35">
        <f>ROUND(I61*(1+$B$212),2)</f>
        <v>4.58</v>
      </c>
      <c r="H61" s="34">
        <f>ROUND(F61*G61,2)</f>
        <v>2159.9299999999998</v>
      </c>
      <c r="I61" s="116">
        <v>3.75</v>
      </c>
      <c r="K61" s="129"/>
      <c r="L61" s="129"/>
      <c r="M61" s="129"/>
      <c r="N61" s="124">
        <f>TRUNC(N4*0.2,2)</f>
        <v>135.22</v>
      </c>
      <c r="O61" s="124">
        <f>TRUNC(O4*0.2,2)</f>
        <v>135.22</v>
      </c>
      <c r="P61" s="124">
        <f>N61+O61</f>
        <v>270.44</v>
      </c>
    </row>
    <row r="62" spans="1:19" ht="28.5" customHeight="1" x14ac:dyDescent="0.2">
      <c r="A62" s="18" t="s">
        <v>110</v>
      </c>
      <c r="B62" s="19" t="s">
        <v>19</v>
      </c>
      <c r="C62" s="20" t="s">
        <v>49</v>
      </c>
      <c r="D62" s="58" t="s">
        <v>133</v>
      </c>
      <c r="E62" s="22" t="s">
        <v>41</v>
      </c>
      <c r="F62" s="34">
        <f>TRUNC(F61*1.25*1.7,2)</f>
        <v>1002.15</v>
      </c>
      <c r="G62" s="35">
        <f>ROUND(I62*(1+$B$212),2)</f>
        <v>3.54</v>
      </c>
      <c r="H62" s="34">
        <f>ROUND(F62*G62,2)</f>
        <v>3547.61</v>
      </c>
      <c r="I62" s="116">
        <v>2.9</v>
      </c>
      <c r="K62" s="129"/>
      <c r="L62" s="129"/>
      <c r="M62" s="129"/>
      <c r="N62" s="124">
        <f>TRUNC(N61*10,2)</f>
        <v>1352.2</v>
      </c>
      <c r="O62" s="124">
        <f>TRUNC(O61*10,2)</f>
        <v>1352.2</v>
      </c>
      <c r="P62" s="124">
        <f>N62+O62</f>
        <v>2704.4</v>
      </c>
    </row>
    <row r="63" spans="1:19" ht="28.5" customHeight="1" x14ac:dyDescent="0.2">
      <c r="A63" s="18" t="s">
        <v>111</v>
      </c>
      <c r="B63" s="19" t="s">
        <v>19</v>
      </c>
      <c r="C63" s="38" t="s">
        <v>95</v>
      </c>
      <c r="D63" s="25" t="s">
        <v>123</v>
      </c>
      <c r="E63" s="22" t="s">
        <v>3</v>
      </c>
      <c r="F63" s="34">
        <f>F61</f>
        <v>471.6</v>
      </c>
      <c r="G63" s="35">
        <f>ROUND(I63*(1+$B$212),2)</f>
        <v>10.8</v>
      </c>
      <c r="H63" s="34">
        <f>TRUNC(F63*G63,2)</f>
        <v>5093.28</v>
      </c>
      <c r="I63" s="116">
        <v>8.85</v>
      </c>
      <c r="K63" s="129"/>
      <c r="L63" s="69"/>
      <c r="M63" s="129"/>
      <c r="N63" s="124">
        <v>201</v>
      </c>
      <c r="O63" s="123">
        <v>234</v>
      </c>
      <c r="P63" s="124">
        <f>N63+O63</f>
        <v>435</v>
      </c>
    </row>
    <row r="64" spans="1:19" ht="28.5" customHeight="1" x14ac:dyDescent="0.2">
      <c r="A64" s="18" t="s">
        <v>112</v>
      </c>
      <c r="B64" s="59" t="s">
        <v>19</v>
      </c>
      <c r="C64" s="38" t="s">
        <v>67</v>
      </c>
      <c r="D64" s="60" t="s">
        <v>4</v>
      </c>
      <c r="E64" s="22" t="s">
        <v>1</v>
      </c>
      <c r="F64" s="34">
        <f>G4</f>
        <v>1051.82</v>
      </c>
      <c r="G64" s="115">
        <f>ROUND(I64*(1+$B$212),2)</f>
        <v>3.08</v>
      </c>
      <c r="H64" s="34">
        <f>ROUND((F64*G64),2)</f>
        <v>3239.61</v>
      </c>
      <c r="I64" s="116">
        <v>2.52</v>
      </c>
      <c r="K64" s="129"/>
      <c r="L64" s="69"/>
      <c r="M64" s="129"/>
      <c r="N64" s="124">
        <f>N4</f>
        <v>676.13499999999999</v>
      </c>
      <c r="O64" s="123">
        <f>O4</f>
        <v>676.13499999999999</v>
      </c>
      <c r="P64" s="124">
        <f>N64+O64</f>
        <v>1352.27</v>
      </c>
    </row>
    <row r="65" spans="1:16" ht="28.5" customHeight="1" x14ac:dyDescent="0.2">
      <c r="A65" s="18"/>
      <c r="B65" s="59"/>
      <c r="C65" s="38"/>
      <c r="D65" s="60"/>
      <c r="E65" s="22"/>
      <c r="F65" s="34"/>
      <c r="G65" s="115"/>
      <c r="H65" s="156"/>
      <c r="I65" s="150"/>
      <c r="K65" s="129"/>
      <c r="L65" s="69"/>
      <c r="M65" s="129"/>
      <c r="N65" s="124"/>
      <c r="O65" s="123"/>
      <c r="P65" s="124"/>
    </row>
    <row r="66" spans="1:16" ht="28.5" customHeight="1" x14ac:dyDescent="0.2">
      <c r="A66" s="28">
        <v>11</v>
      </c>
      <c r="B66" s="28"/>
      <c r="C66" s="28"/>
      <c r="D66" s="28" t="s">
        <v>442</v>
      </c>
      <c r="E66" s="29"/>
      <c r="F66" s="140"/>
      <c r="G66" s="29"/>
      <c r="H66" s="77">
        <f>TRUNC(SUM(H67:H73),2)</f>
        <v>87447.87</v>
      </c>
      <c r="I66" s="150"/>
      <c r="K66" s="129"/>
      <c r="L66" s="69"/>
      <c r="M66" s="129"/>
      <c r="N66" s="124"/>
      <c r="O66" s="123"/>
      <c r="P66" s="124"/>
    </row>
    <row r="67" spans="1:16" ht="28.5" customHeight="1" x14ac:dyDescent="0.2">
      <c r="A67" s="112" t="s">
        <v>113</v>
      </c>
      <c r="B67" s="59" t="s">
        <v>19</v>
      </c>
      <c r="C67" s="38" t="s">
        <v>50</v>
      </c>
      <c r="D67" s="21" t="s">
        <v>68</v>
      </c>
      <c r="E67" s="22" t="s">
        <v>3</v>
      </c>
      <c r="F67" s="34">
        <f>TRUNC(G4*0.2,2)</f>
        <v>210.36</v>
      </c>
      <c r="G67" s="157">
        <f>TRUNC(I67*(1+$B$212),2)</f>
        <v>158.49</v>
      </c>
      <c r="H67" s="158">
        <f>ROUND((F67*G67),2)</f>
        <v>33339.96</v>
      </c>
      <c r="I67" s="116">
        <v>129.87</v>
      </c>
      <c r="K67" s="129"/>
      <c r="L67" s="69"/>
      <c r="M67" s="129"/>
      <c r="N67" s="124"/>
      <c r="O67" s="123"/>
      <c r="P67" s="124"/>
    </row>
    <row r="68" spans="1:16" ht="28.5" customHeight="1" x14ac:dyDescent="0.2">
      <c r="A68" s="18" t="s">
        <v>114</v>
      </c>
      <c r="B68" s="59" t="s">
        <v>19</v>
      </c>
      <c r="C68" s="38" t="s">
        <v>98</v>
      </c>
      <c r="D68" s="58" t="s">
        <v>135</v>
      </c>
      <c r="E68" s="22" t="s">
        <v>41</v>
      </c>
      <c r="F68" s="34">
        <f>TRUNC(F67*17.8,2)</f>
        <v>3744.4</v>
      </c>
      <c r="G68" s="115">
        <f>ROUND(I68*(1+$B$212),2)</f>
        <v>2.93</v>
      </c>
      <c r="H68" s="156">
        <f t="shared" ref="H68:H69" si="5">TRUNC((F68*G68),2)</f>
        <v>10971.09</v>
      </c>
      <c r="I68" s="116">
        <v>2.4</v>
      </c>
      <c r="K68" s="129"/>
      <c r="L68" s="69"/>
      <c r="M68" s="129"/>
      <c r="N68" s="124"/>
      <c r="O68" s="123"/>
      <c r="P68" s="124"/>
    </row>
    <row r="69" spans="1:16" ht="28.5" customHeight="1" x14ac:dyDescent="0.2">
      <c r="A69" s="112" t="s">
        <v>115</v>
      </c>
      <c r="B69" s="18" t="s">
        <v>124</v>
      </c>
      <c r="C69" s="20" t="s">
        <v>190</v>
      </c>
      <c r="D69" s="25" t="s">
        <v>408</v>
      </c>
      <c r="E69" s="18" t="s">
        <v>3</v>
      </c>
      <c r="F69" s="34">
        <f>TRUNC(56*7*0.3,2)</f>
        <v>117.6</v>
      </c>
      <c r="G69" s="115">
        <f>ROUND(I69*(1+$B$212),2)</f>
        <v>115.44</v>
      </c>
      <c r="H69" s="156">
        <f t="shared" si="5"/>
        <v>13575.74</v>
      </c>
      <c r="I69" s="116">
        <v>94.59</v>
      </c>
      <c r="K69" s="129"/>
      <c r="L69" s="69"/>
      <c r="M69" s="129"/>
      <c r="N69" s="124"/>
      <c r="O69" s="123"/>
      <c r="P69" s="124"/>
    </row>
    <row r="70" spans="1:16" ht="28.5" customHeight="1" x14ac:dyDescent="0.2">
      <c r="A70" s="18" t="s">
        <v>144</v>
      </c>
      <c r="B70" s="19" t="s">
        <v>19</v>
      </c>
      <c r="C70" s="20" t="s">
        <v>98</v>
      </c>
      <c r="D70" s="25" t="s">
        <v>136</v>
      </c>
      <c r="E70" s="18" t="s">
        <v>41</v>
      </c>
      <c r="F70" s="34">
        <f>F69*17.8</f>
        <v>2093.2800000000002</v>
      </c>
      <c r="G70" s="115">
        <f>ROUND(I70*(1+$B$212),2)</f>
        <v>2.93</v>
      </c>
      <c r="H70" s="156">
        <f>ROUND((F70*G70),2)</f>
        <v>6133.31</v>
      </c>
      <c r="I70" s="116">
        <v>2.4</v>
      </c>
      <c r="K70" s="129"/>
      <c r="L70" s="69"/>
      <c r="M70" s="129"/>
      <c r="N70" s="124"/>
      <c r="O70" s="123"/>
      <c r="P70" s="124"/>
    </row>
    <row r="71" spans="1:16" ht="28.5" customHeight="1" x14ac:dyDescent="0.2">
      <c r="A71" s="112" t="s">
        <v>145</v>
      </c>
      <c r="B71" s="166" t="s">
        <v>124</v>
      </c>
      <c r="C71" s="20" t="s">
        <v>192</v>
      </c>
      <c r="D71" s="25" t="s">
        <v>193</v>
      </c>
      <c r="E71" s="18" t="s">
        <v>3</v>
      </c>
      <c r="F71" s="34">
        <f>TRUNC(56*7*0.03,2)</f>
        <v>11.76</v>
      </c>
      <c r="G71" s="115">
        <f t="shared" ref="G71:G72" si="6">ROUND(I71*(1+$B$212),2)</f>
        <v>164.63</v>
      </c>
      <c r="H71" s="156">
        <f t="shared" ref="H71:H72" si="7">ROUND((F71*G71),2)</f>
        <v>1936.05</v>
      </c>
      <c r="I71" s="116">
        <v>134.9</v>
      </c>
      <c r="K71" s="129"/>
      <c r="L71" s="69"/>
      <c r="M71" s="129"/>
      <c r="N71" s="124"/>
      <c r="O71" s="123"/>
      <c r="P71" s="124"/>
    </row>
    <row r="72" spans="1:16" ht="28.5" customHeight="1" x14ac:dyDescent="0.2">
      <c r="A72" s="18" t="s">
        <v>410</v>
      </c>
      <c r="B72" s="19" t="s">
        <v>19</v>
      </c>
      <c r="C72" s="20" t="s">
        <v>98</v>
      </c>
      <c r="D72" s="25" t="s">
        <v>411</v>
      </c>
      <c r="E72" s="18" t="s">
        <v>41</v>
      </c>
      <c r="F72" s="34">
        <f>TRUNC(F71*17.8,2)</f>
        <v>209.32</v>
      </c>
      <c r="G72" s="115">
        <f t="shared" si="6"/>
        <v>2.93</v>
      </c>
      <c r="H72" s="156">
        <f t="shared" si="7"/>
        <v>613.30999999999995</v>
      </c>
      <c r="I72" s="116">
        <v>2.4</v>
      </c>
      <c r="K72" s="129"/>
      <c r="L72" s="69"/>
      <c r="M72" s="129"/>
      <c r="N72" s="124"/>
      <c r="O72" s="123"/>
      <c r="P72" s="124"/>
    </row>
    <row r="73" spans="1:16" ht="28.5" customHeight="1" x14ac:dyDescent="0.2">
      <c r="A73" s="112" t="s">
        <v>409</v>
      </c>
      <c r="B73" s="59" t="s">
        <v>19</v>
      </c>
      <c r="C73" s="38" t="s">
        <v>42</v>
      </c>
      <c r="D73" s="21" t="s">
        <v>15</v>
      </c>
      <c r="E73" s="22" t="s">
        <v>0</v>
      </c>
      <c r="F73" s="34">
        <v>306.89999999999998</v>
      </c>
      <c r="G73" s="115">
        <f>ROUND(I73*(1+$B$212),2)</f>
        <v>68.03</v>
      </c>
      <c r="H73" s="156">
        <f>ROUND((F73*G73),2)</f>
        <v>20878.41</v>
      </c>
      <c r="I73" s="116">
        <v>55.74</v>
      </c>
      <c r="K73" s="129"/>
      <c r="L73" s="69"/>
      <c r="M73" s="129"/>
      <c r="N73" s="124"/>
      <c r="O73" s="123"/>
      <c r="P73" s="124"/>
    </row>
    <row r="74" spans="1:16" ht="28.5" customHeight="1" x14ac:dyDescent="0.2">
      <c r="A74" s="18"/>
      <c r="B74" s="59"/>
      <c r="C74" s="38"/>
      <c r="D74" s="21"/>
      <c r="E74" s="22"/>
      <c r="F74" s="34"/>
      <c r="G74" s="115"/>
      <c r="H74" s="156"/>
      <c r="I74" s="180"/>
      <c r="K74" s="129"/>
      <c r="L74" s="69"/>
      <c r="M74" s="129"/>
      <c r="N74" s="124"/>
      <c r="O74" s="123"/>
      <c r="P74" s="124"/>
    </row>
    <row r="75" spans="1:16" ht="28.5" customHeight="1" x14ac:dyDescent="0.2">
      <c r="A75" s="28">
        <v>12</v>
      </c>
      <c r="B75" s="28"/>
      <c r="C75" s="28"/>
      <c r="D75" s="28" t="s">
        <v>443</v>
      </c>
      <c r="E75" s="29"/>
      <c r="F75" s="45"/>
      <c r="G75" s="29"/>
      <c r="H75" s="46">
        <f>TRUNC(SUM(H76:H78),2)</f>
        <v>100431.9</v>
      </c>
      <c r="I75" s="150"/>
      <c r="K75" s="129"/>
      <c r="L75" s="69"/>
      <c r="M75" s="129"/>
      <c r="N75" s="124"/>
      <c r="O75" s="123"/>
      <c r="P75" s="124"/>
    </row>
    <row r="76" spans="1:16" ht="28.5" customHeight="1" x14ac:dyDescent="0.2">
      <c r="A76" s="18" t="s">
        <v>116</v>
      </c>
      <c r="B76" s="18" t="s">
        <v>124</v>
      </c>
      <c r="C76" s="20" t="s">
        <v>99</v>
      </c>
      <c r="D76" s="25" t="s">
        <v>481</v>
      </c>
      <c r="E76" s="22" t="s">
        <v>1</v>
      </c>
      <c r="F76" s="34">
        <f>G4</f>
        <v>1051.82</v>
      </c>
      <c r="G76" s="115">
        <f>ROUND(I76*(1+$B$212),2)</f>
        <v>92.12</v>
      </c>
      <c r="H76" s="156">
        <f>ROUND((F76*G76),2)</f>
        <v>96893.66</v>
      </c>
      <c r="I76" s="124">
        <v>75.48</v>
      </c>
      <c r="K76" s="129"/>
      <c r="L76" s="69"/>
      <c r="M76" s="129"/>
      <c r="N76" s="124"/>
      <c r="O76" s="123"/>
      <c r="P76" s="124"/>
    </row>
    <row r="77" spans="1:16" ht="28.5" customHeight="1" x14ac:dyDescent="0.2">
      <c r="A77" s="18" t="s">
        <v>117</v>
      </c>
      <c r="B77" s="59" t="s">
        <v>19</v>
      </c>
      <c r="C77" s="38" t="s">
        <v>98</v>
      </c>
      <c r="D77" s="58" t="s">
        <v>146</v>
      </c>
      <c r="E77" s="22" t="s">
        <v>41</v>
      </c>
      <c r="F77" s="34">
        <f>TRUNC(F76*0.056*17.8,2)</f>
        <v>1048.45</v>
      </c>
      <c r="G77" s="115">
        <f>ROUND(I77*(1+$B$212),2)</f>
        <v>2.93</v>
      </c>
      <c r="H77" s="156">
        <f>ROUND((F77*G77),2)</f>
        <v>3071.96</v>
      </c>
      <c r="I77" s="116">
        <v>2.4</v>
      </c>
      <c r="K77" s="129"/>
      <c r="L77" s="69"/>
      <c r="M77" s="129"/>
      <c r="N77" s="124"/>
      <c r="O77" s="123"/>
      <c r="P77" s="124"/>
    </row>
    <row r="78" spans="1:16" ht="28.5" customHeight="1" x14ac:dyDescent="0.2">
      <c r="A78" s="18" t="s">
        <v>118</v>
      </c>
      <c r="B78" s="59" t="s">
        <v>19</v>
      </c>
      <c r="C78" s="38" t="s">
        <v>98</v>
      </c>
      <c r="D78" s="58" t="s">
        <v>147</v>
      </c>
      <c r="E78" s="22" t="s">
        <v>41</v>
      </c>
      <c r="F78" s="34">
        <f>TRUNC(G4*0.0085*17.8,2)</f>
        <v>159.13999999999999</v>
      </c>
      <c r="G78" s="115">
        <f>ROUND(I78*(1+$B$212),2)</f>
        <v>2.93</v>
      </c>
      <c r="H78" s="156">
        <f t="shared" ref="H78" si="8">TRUNC((F78*G78),2)</f>
        <v>466.28</v>
      </c>
      <c r="I78" s="116">
        <v>2.4</v>
      </c>
      <c r="K78" s="129"/>
      <c r="L78" s="69"/>
      <c r="M78" s="129"/>
      <c r="N78" s="124"/>
      <c r="O78" s="123"/>
      <c r="P78" s="124"/>
    </row>
    <row r="79" spans="1:16" ht="28.5" customHeight="1" x14ac:dyDescent="0.2">
      <c r="A79" s="18"/>
      <c r="B79" s="18"/>
      <c r="C79" s="18"/>
      <c r="D79" s="21"/>
      <c r="E79" s="18"/>
      <c r="F79" s="42"/>
      <c r="G79" s="24"/>
      <c r="H79" s="63"/>
      <c r="K79" s="11"/>
      <c r="N79" s="128"/>
      <c r="O79" s="128"/>
      <c r="P79" s="128"/>
    </row>
    <row r="80" spans="1:16" ht="28.5" customHeight="1" x14ac:dyDescent="0.2">
      <c r="A80" s="28">
        <v>13</v>
      </c>
      <c r="B80" s="28"/>
      <c r="C80" s="28"/>
      <c r="D80" s="28" t="s">
        <v>444</v>
      </c>
      <c r="E80" s="29"/>
      <c r="F80" s="37"/>
      <c r="G80" s="44"/>
      <c r="H80" s="32">
        <f>TRUNC(SUM(H81:H93),2)</f>
        <v>50470.95</v>
      </c>
      <c r="K80" s="11"/>
      <c r="N80" s="128"/>
      <c r="O80" s="128"/>
      <c r="P80" s="128"/>
    </row>
    <row r="81" spans="1:16" ht="28.5" customHeight="1" x14ac:dyDescent="0.2">
      <c r="A81" s="18" t="s">
        <v>149</v>
      </c>
      <c r="B81" s="19" t="s">
        <v>19</v>
      </c>
      <c r="C81" s="20" t="s">
        <v>43</v>
      </c>
      <c r="D81" s="21" t="s">
        <v>27</v>
      </c>
      <c r="E81" s="22" t="s">
        <v>3</v>
      </c>
      <c r="F81" s="34">
        <v>132.59</v>
      </c>
      <c r="G81" s="35">
        <f t="shared" ref="G81:G87" si="9">ROUND(I81*(1+$B$212),2)</f>
        <v>9.34</v>
      </c>
      <c r="H81" s="34">
        <f>TRUNC(F81*G81,2)</f>
        <v>1238.3900000000001</v>
      </c>
      <c r="I81" s="116">
        <v>7.65</v>
      </c>
      <c r="K81" s="11"/>
      <c r="N81" s="124">
        <f>TRUNC((N82*1*1),2)</f>
        <v>18</v>
      </c>
      <c r="O81" s="124">
        <f>TRUNC((O82*1*1),2)</f>
        <v>18</v>
      </c>
      <c r="P81" s="124">
        <f t="shared" ref="P81:P93" si="10">N81+O81</f>
        <v>36</v>
      </c>
    </row>
    <row r="82" spans="1:16" ht="28.5" customHeight="1" x14ac:dyDescent="0.2">
      <c r="A82" s="18" t="s">
        <v>150</v>
      </c>
      <c r="B82" s="19" t="s">
        <v>19</v>
      </c>
      <c r="C82" s="20" t="s">
        <v>75</v>
      </c>
      <c r="D82" s="25" t="s">
        <v>76</v>
      </c>
      <c r="E82" s="22" t="s">
        <v>0</v>
      </c>
      <c r="F82" s="34">
        <v>76</v>
      </c>
      <c r="G82" s="35">
        <f t="shared" si="9"/>
        <v>82.32</v>
      </c>
      <c r="H82" s="34">
        <f>TRUNC(F82*G82,2)</f>
        <v>6256.32</v>
      </c>
      <c r="I82" s="171">
        <v>67.45</v>
      </c>
      <c r="K82" s="11"/>
      <c r="N82" s="124">
        <f>6*3</f>
        <v>18</v>
      </c>
      <c r="O82" s="124">
        <f>6*3</f>
        <v>18</v>
      </c>
      <c r="P82" s="124">
        <f t="shared" si="10"/>
        <v>36</v>
      </c>
    </row>
    <row r="83" spans="1:16" ht="28.5" customHeight="1" x14ac:dyDescent="0.2">
      <c r="A83" s="18" t="s">
        <v>151</v>
      </c>
      <c r="B83" s="19" t="s">
        <v>19</v>
      </c>
      <c r="C83" s="20" t="s">
        <v>73</v>
      </c>
      <c r="D83" s="25" t="s">
        <v>74</v>
      </c>
      <c r="E83" s="22" t="s">
        <v>0</v>
      </c>
      <c r="F83" s="34">
        <f>F82</f>
        <v>76</v>
      </c>
      <c r="G83" s="35">
        <f t="shared" si="9"/>
        <v>71.319999999999993</v>
      </c>
      <c r="H83" s="34">
        <f>TRUNC(F83*G83,2)</f>
        <v>5420.32</v>
      </c>
      <c r="I83" s="171">
        <v>58.44</v>
      </c>
      <c r="K83" s="11"/>
      <c r="N83" s="124">
        <f>N82</f>
        <v>18</v>
      </c>
      <c r="O83" s="123">
        <f>O82</f>
        <v>18</v>
      </c>
      <c r="P83" s="124">
        <f t="shared" si="10"/>
        <v>36</v>
      </c>
    </row>
    <row r="84" spans="1:16" ht="28.5" customHeight="1" x14ac:dyDescent="0.2">
      <c r="A84" s="18" t="s">
        <v>203</v>
      </c>
      <c r="B84" s="19" t="s">
        <v>19</v>
      </c>
      <c r="C84" s="20" t="s">
        <v>153</v>
      </c>
      <c r="D84" s="25" t="s">
        <v>156</v>
      </c>
      <c r="E84" s="18" t="s">
        <v>0</v>
      </c>
      <c r="F84" s="34">
        <v>10</v>
      </c>
      <c r="G84" s="35">
        <f t="shared" si="9"/>
        <v>262.2</v>
      </c>
      <c r="H84" s="34">
        <f t="shared" ref="H84:H87" si="11">TRUNC(F84*G84,2)</f>
        <v>2622</v>
      </c>
      <c r="I84" s="171">
        <v>214.85</v>
      </c>
      <c r="K84" s="11"/>
      <c r="N84" s="124"/>
      <c r="O84" s="123"/>
      <c r="P84" s="124"/>
    </row>
    <row r="85" spans="1:16" ht="28.5" customHeight="1" x14ac:dyDescent="0.2">
      <c r="A85" s="18" t="s">
        <v>204</v>
      </c>
      <c r="B85" s="19" t="s">
        <v>19</v>
      </c>
      <c r="C85" s="20" t="s">
        <v>412</v>
      </c>
      <c r="D85" s="25" t="s">
        <v>157</v>
      </c>
      <c r="E85" s="18" t="s">
        <v>0</v>
      </c>
      <c r="F85" s="34">
        <v>25</v>
      </c>
      <c r="G85" s="35">
        <f t="shared" si="9"/>
        <v>137.88999999999999</v>
      </c>
      <c r="H85" s="34">
        <f t="shared" si="11"/>
        <v>3447.25</v>
      </c>
      <c r="I85" s="171">
        <v>112.99</v>
      </c>
      <c r="K85" s="11"/>
      <c r="N85" s="124"/>
      <c r="O85" s="123"/>
      <c r="P85" s="124"/>
    </row>
    <row r="86" spans="1:16" ht="28.5" customHeight="1" x14ac:dyDescent="0.2">
      <c r="A86" s="18" t="s">
        <v>205</v>
      </c>
      <c r="B86" s="19" t="s">
        <v>19</v>
      </c>
      <c r="C86" s="20" t="s">
        <v>154</v>
      </c>
      <c r="D86" s="25" t="s">
        <v>158</v>
      </c>
      <c r="E86" s="18" t="s">
        <v>0</v>
      </c>
      <c r="F86" s="34">
        <v>25</v>
      </c>
      <c r="G86" s="35">
        <f t="shared" si="9"/>
        <v>86.76</v>
      </c>
      <c r="H86" s="34">
        <f t="shared" si="11"/>
        <v>2169</v>
      </c>
      <c r="I86" s="171">
        <v>71.09</v>
      </c>
      <c r="K86" s="11"/>
      <c r="N86" s="124"/>
      <c r="O86" s="123"/>
      <c r="P86" s="124"/>
    </row>
    <row r="87" spans="1:16" ht="28.5" customHeight="1" x14ac:dyDescent="0.2">
      <c r="A87" s="18" t="s">
        <v>206</v>
      </c>
      <c r="B87" s="19" t="s">
        <v>19</v>
      </c>
      <c r="C87" s="20" t="s">
        <v>155</v>
      </c>
      <c r="D87" s="25" t="s">
        <v>159</v>
      </c>
      <c r="E87" s="18" t="s">
        <v>0</v>
      </c>
      <c r="F87" s="34">
        <v>2</v>
      </c>
      <c r="G87" s="35">
        <f t="shared" si="9"/>
        <v>734.67</v>
      </c>
      <c r="H87" s="34">
        <f t="shared" si="11"/>
        <v>1469.34</v>
      </c>
      <c r="I87" s="171">
        <v>601.99</v>
      </c>
      <c r="K87" s="11"/>
      <c r="N87" s="124"/>
      <c r="O87" s="123"/>
      <c r="P87" s="124"/>
    </row>
    <row r="88" spans="1:16" ht="28.5" customHeight="1" x14ac:dyDescent="0.2">
      <c r="A88" s="18" t="s">
        <v>207</v>
      </c>
      <c r="B88" s="19" t="s">
        <v>19</v>
      </c>
      <c r="C88" s="20" t="s">
        <v>44</v>
      </c>
      <c r="D88" s="21" t="s">
        <v>30</v>
      </c>
      <c r="E88" s="22" t="s">
        <v>3</v>
      </c>
      <c r="F88" s="34">
        <f>TRUNC(F81-F89,2)</f>
        <v>103.94</v>
      </c>
      <c r="G88" s="35">
        <f>TRUNC(I88*(1+$B$212),2)</f>
        <v>15.57</v>
      </c>
      <c r="H88" s="34">
        <f>ROUND(F88*G88,2)</f>
        <v>1618.35</v>
      </c>
      <c r="I88" s="21">
        <v>12.76</v>
      </c>
      <c r="K88" s="11"/>
      <c r="N88" s="124">
        <f>TRUNC(N81-N89,2)</f>
        <v>14.77</v>
      </c>
      <c r="O88" s="124">
        <f>TRUNC(O81-O89,2)</f>
        <v>14.72</v>
      </c>
      <c r="P88" s="124">
        <f t="shared" si="10"/>
        <v>29.490000000000002</v>
      </c>
    </row>
    <row r="89" spans="1:16" ht="28.5" customHeight="1" x14ac:dyDescent="0.2">
      <c r="A89" s="18" t="s">
        <v>208</v>
      </c>
      <c r="B89" s="19" t="s">
        <v>19</v>
      </c>
      <c r="C89" s="136" t="s">
        <v>95</v>
      </c>
      <c r="D89" s="25" t="s">
        <v>96</v>
      </c>
      <c r="E89" s="22" t="s">
        <v>3</v>
      </c>
      <c r="F89" s="34">
        <f>TRUNC(76*3.1416*0.48*0.48/4+10*3.1416*0.6*0.6/4+25*3.1416*0.72*0.72/4+2*3.1416*1.1*1.1/4,2)</f>
        <v>28.65</v>
      </c>
      <c r="G89" s="35">
        <f>ROUND(I89*(1+$B$212),2)</f>
        <v>10.8</v>
      </c>
      <c r="H89" s="34">
        <f>ROUND(F89*G89,2)</f>
        <v>309.42</v>
      </c>
      <c r="I89" s="116">
        <v>8.85</v>
      </c>
      <c r="K89" s="11"/>
      <c r="N89" s="124">
        <v>3.23</v>
      </c>
      <c r="O89" s="124">
        <v>3.28</v>
      </c>
      <c r="P89" s="124">
        <f t="shared" si="10"/>
        <v>6.51</v>
      </c>
    </row>
    <row r="90" spans="1:16" ht="28.5" customHeight="1" x14ac:dyDescent="0.2">
      <c r="A90" s="18" t="s">
        <v>209</v>
      </c>
      <c r="B90" s="19" t="s">
        <v>19</v>
      </c>
      <c r="C90" s="20" t="s">
        <v>49</v>
      </c>
      <c r="D90" s="21" t="s">
        <v>148</v>
      </c>
      <c r="E90" s="22" t="s">
        <v>41</v>
      </c>
      <c r="F90" s="34">
        <f>TRUNC(F89*1.25*1.7,2)</f>
        <v>60.88</v>
      </c>
      <c r="G90" s="35">
        <f>ROUND(I90*(1+$B$212),2)</f>
        <v>3.54</v>
      </c>
      <c r="H90" s="34">
        <f>ROUND(F90*G90,2)</f>
        <v>215.52</v>
      </c>
      <c r="I90" s="116">
        <v>2.9</v>
      </c>
      <c r="K90" s="11"/>
      <c r="N90" s="124">
        <v>5.71</v>
      </c>
      <c r="O90" s="124">
        <v>5.68</v>
      </c>
      <c r="P90" s="124">
        <f t="shared" si="10"/>
        <v>11.39</v>
      </c>
    </row>
    <row r="91" spans="1:16" ht="28.5" customHeight="1" x14ac:dyDescent="0.2">
      <c r="A91" s="18" t="s">
        <v>210</v>
      </c>
      <c r="B91" s="18" t="s">
        <v>124</v>
      </c>
      <c r="C91" s="137" t="s">
        <v>100</v>
      </c>
      <c r="D91" s="25" t="s">
        <v>482</v>
      </c>
      <c r="E91" s="22" t="s">
        <v>31</v>
      </c>
      <c r="F91" s="34">
        <v>5</v>
      </c>
      <c r="G91" s="35">
        <f>ROUND(I91*(1+$B$212),2)</f>
        <v>2392.58</v>
      </c>
      <c r="H91" s="34">
        <f>TRUNC(F91*G91,2)</f>
        <v>11962.9</v>
      </c>
      <c r="I91" s="253">
        <v>1960.49</v>
      </c>
      <c r="K91" s="11"/>
      <c r="N91" s="124">
        <v>3</v>
      </c>
      <c r="O91" s="123">
        <v>2</v>
      </c>
      <c r="P91" s="124">
        <f t="shared" si="10"/>
        <v>5</v>
      </c>
    </row>
    <row r="92" spans="1:16" ht="28.5" customHeight="1" x14ac:dyDescent="0.2">
      <c r="A92" s="18" t="s">
        <v>211</v>
      </c>
      <c r="B92" s="18" t="s">
        <v>124</v>
      </c>
      <c r="C92" s="137" t="s">
        <v>470</v>
      </c>
      <c r="D92" s="25" t="s">
        <v>471</v>
      </c>
      <c r="E92" s="22" t="s">
        <v>31</v>
      </c>
      <c r="F92" s="34">
        <v>1</v>
      </c>
      <c r="G92" s="35">
        <f>ROUND(I92*(1+$B$212),2)</f>
        <v>2591.98</v>
      </c>
      <c r="H92" s="34">
        <f>TRUNC(F92*G92,2)</f>
        <v>2591.98</v>
      </c>
      <c r="I92" s="253">
        <v>2123.88</v>
      </c>
      <c r="K92" s="11"/>
      <c r="N92" s="124"/>
      <c r="O92" s="123"/>
      <c r="P92" s="124"/>
    </row>
    <row r="93" spans="1:16" ht="28.5" customHeight="1" x14ac:dyDescent="0.2">
      <c r="A93" s="18" t="s">
        <v>469</v>
      </c>
      <c r="B93" s="18" t="s">
        <v>124</v>
      </c>
      <c r="C93" s="137" t="s">
        <v>101</v>
      </c>
      <c r="D93" s="25" t="s">
        <v>32</v>
      </c>
      <c r="E93" s="22" t="s">
        <v>31</v>
      </c>
      <c r="F93" s="34">
        <v>8</v>
      </c>
      <c r="G93" s="35">
        <f>ROUND(I93*(1+$B$212),2)</f>
        <v>1393.77</v>
      </c>
      <c r="H93" s="34">
        <f>TRUNC(F93*G93,2)</f>
        <v>11150.16</v>
      </c>
      <c r="I93" s="92">
        <v>1142.06</v>
      </c>
      <c r="K93" s="11"/>
      <c r="N93" s="124">
        <v>6</v>
      </c>
      <c r="O93" s="123">
        <v>6</v>
      </c>
      <c r="P93" s="124">
        <f t="shared" si="10"/>
        <v>12</v>
      </c>
    </row>
    <row r="94" spans="1:16" ht="28.5" customHeight="1" x14ac:dyDescent="0.2">
      <c r="A94" s="18"/>
      <c r="B94" s="18"/>
      <c r="C94" s="18"/>
      <c r="D94" s="21"/>
      <c r="E94" s="18"/>
      <c r="F94" s="64"/>
      <c r="G94" s="24"/>
      <c r="H94" s="65"/>
      <c r="K94" s="11"/>
      <c r="N94" s="128"/>
      <c r="O94" s="128"/>
      <c r="P94" s="128"/>
    </row>
    <row r="95" spans="1:16" ht="28.5" customHeight="1" x14ac:dyDescent="0.2">
      <c r="A95" s="28">
        <v>14</v>
      </c>
      <c r="B95" s="28"/>
      <c r="C95" s="28"/>
      <c r="D95" s="28" t="s">
        <v>445</v>
      </c>
      <c r="E95" s="29"/>
      <c r="F95" s="37"/>
      <c r="G95" s="31"/>
      <c r="H95" s="32">
        <f>TRUNC(SUM(H96:H99),2)</f>
        <v>1241.27</v>
      </c>
      <c r="K95" s="11"/>
      <c r="N95" s="128"/>
      <c r="O95" s="128"/>
      <c r="P95" s="128"/>
    </row>
    <row r="96" spans="1:16" ht="28.5" customHeight="1" x14ac:dyDescent="0.2">
      <c r="A96" s="18" t="s">
        <v>160</v>
      </c>
      <c r="B96" s="19" t="s">
        <v>19</v>
      </c>
      <c r="C96" s="20" t="s">
        <v>79</v>
      </c>
      <c r="D96" s="25" t="s">
        <v>80</v>
      </c>
      <c r="E96" s="22" t="s">
        <v>0</v>
      </c>
      <c r="F96" s="34">
        <v>50</v>
      </c>
      <c r="G96" s="34">
        <f>ROUND(I96*(1+$B$212),2)</f>
        <v>6.72</v>
      </c>
      <c r="H96" s="34">
        <f>TRUNC(F96*G96,2)</f>
        <v>336</v>
      </c>
      <c r="I96" s="116">
        <v>5.51</v>
      </c>
      <c r="K96" s="11"/>
      <c r="N96" s="124">
        <v>36</v>
      </c>
      <c r="O96" s="124">
        <v>38</v>
      </c>
      <c r="P96" s="124">
        <f>N96+O96</f>
        <v>74</v>
      </c>
    </row>
    <row r="97" spans="1:20" ht="28.5" customHeight="1" x14ac:dyDescent="0.2">
      <c r="A97" s="18" t="s">
        <v>161</v>
      </c>
      <c r="B97" s="19" t="s">
        <v>19</v>
      </c>
      <c r="C97" s="20" t="s">
        <v>77</v>
      </c>
      <c r="D97" s="25" t="s">
        <v>78</v>
      </c>
      <c r="E97" s="22" t="s">
        <v>1</v>
      </c>
      <c r="F97" s="34">
        <v>10.8</v>
      </c>
      <c r="G97" s="34">
        <f>ROUND(I97*(1+$B$212),2)</f>
        <v>28.28</v>
      </c>
      <c r="H97" s="34">
        <f>ROUND(F97*G97,2)</f>
        <v>305.42</v>
      </c>
      <c r="I97" s="116">
        <v>23.17</v>
      </c>
      <c r="K97" s="11"/>
      <c r="N97" s="124">
        <v>12.4</v>
      </c>
      <c r="O97" s="124">
        <v>12.4</v>
      </c>
      <c r="P97" s="124">
        <f>N97+O97</f>
        <v>24.8</v>
      </c>
    </row>
    <row r="98" spans="1:20" ht="28.5" customHeight="1" x14ac:dyDescent="0.2">
      <c r="A98" s="18" t="s">
        <v>162</v>
      </c>
      <c r="B98" s="18" t="s">
        <v>124</v>
      </c>
      <c r="C98" s="26">
        <v>11</v>
      </c>
      <c r="D98" s="21" t="s">
        <v>45</v>
      </c>
      <c r="E98" s="22" t="s">
        <v>1</v>
      </c>
      <c r="F98" s="34">
        <f>TRUNC(2*0.3,2)</f>
        <v>0.6</v>
      </c>
      <c r="G98" s="34">
        <f>ROUND(I98*(1+$B$212),2)</f>
        <v>628.03</v>
      </c>
      <c r="H98" s="34">
        <f>ROUND(F98*G98,2)</f>
        <v>376.82</v>
      </c>
      <c r="I98" s="116">
        <v>514.61</v>
      </c>
      <c r="K98" s="11"/>
      <c r="N98" s="124">
        <v>0.3</v>
      </c>
      <c r="O98" s="124">
        <v>0.3</v>
      </c>
      <c r="P98" s="124">
        <f>N98+O98</f>
        <v>0.6</v>
      </c>
    </row>
    <row r="99" spans="1:20" ht="28.5" customHeight="1" x14ac:dyDescent="0.2">
      <c r="A99" s="18" t="s">
        <v>414</v>
      </c>
      <c r="B99" s="18" t="s">
        <v>124</v>
      </c>
      <c r="C99" s="26">
        <v>20</v>
      </c>
      <c r="D99" s="142" t="s">
        <v>415</v>
      </c>
      <c r="E99" s="22" t="s">
        <v>1</v>
      </c>
      <c r="F99" s="34">
        <f>TRUNC(2*0.2,2)</f>
        <v>0.4</v>
      </c>
      <c r="G99" s="34">
        <f>ROUND(I99*(1+$B$212),2)</f>
        <v>557.58000000000004</v>
      </c>
      <c r="H99" s="34">
        <f>ROUND(F99*G99,2)</f>
        <v>223.03</v>
      </c>
      <c r="I99" s="116">
        <v>456.88</v>
      </c>
      <c r="K99" s="11"/>
      <c r="N99" s="124"/>
      <c r="O99" s="124"/>
      <c r="P99" s="124"/>
    </row>
    <row r="100" spans="1:20" ht="28.5" customHeight="1" x14ac:dyDescent="0.2">
      <c r="A100" s="18"/>
      <c r="B100" s="41"/>
      <c r="C100" s="41"/>
      <c r="D100" s="41"/>
      <c r="E100" s="18"/>
      <c r="F100" s="42"/>
      <c r="G100" s="24"/>
      <c r="H100" s="43"/>
      <c r="K100" s="11"/>
      <c r="N100" s="128"/>
      <c r="O100" s="128"/>
      <c r="P100" s="128"/>
    </row>
    <row r="101" spans="1:20" ht="28.5" customHeight="1" x14ac:dyDescent="0.2">
      <c r="A101" s="28">
        <v>15</v>
      </c>
      <c r="B101" s="28"/>
      <c r="C101" s="28"/>
      <c r="D101" s="28" t="s">
        <v>446</v>
      </c>
      <c r="E101" s="29"/>
      <c r="F101" s="30"/>
      <c r="G101" s="76"/>
      <c r="H101" s="77">
        <f>TRUNC(SUM(H102:H107),2)</f>
        <v>40170.36</v>
      </c>
      <c r="K101" s="11"/>
      <c r="N101" s="128"/>
      <c r="O101" s="128"/>
      <c r="P101" s="128"/>
    </row>
    <row r="102" spans="1:20" ht="28.5" customHeight="1" x14ac:dyDescent="0.2">
      <c r="A102" s="18" t="s">
        <v>163</v>
      </c>
      <c r="B102" s="19" t="s">
        <v>19</v>
      </c>
      <c r="C102" s="144">
        <v>94991</v>
      </c>
      <c r="D102" s="142" t="s">
        <v>127</v>
      </c>
      <c r="E102" s="22" t="s">
        <v>3</v>
      </c>
      <c r="F102" s="34">
        <f>ROUND((436.98*0.07)-(11.6+279.76)*0.4*0.035,2)</f>
        <v>26.51</v>
      </c>
      <c r="G102" s="35">
        <f t="shared" ref="G102:G107" si="12">ROUND(I102*(1+$B$212),2)</f>
        <v>850.84</v>
      </c>
      <c r="H102" s="34">
        <f>ROUND(F102*G102,2)</f>
        <v>22555.77</v>
      </c>
      <c r="I102" s="143">
        <v>697.18</v>
      </c>
      <c r="K102" s="11"/>
      <c r="N102" s="21">
        <f>TRUNC(100/210*31.74,2)</f>
        <v>15.11</v>
      </c>
      <c r="O102" s="21">
        <f>ROUND(110/210*31.74,2)</f>
        <v>16.63</v>
      </c>
      <c r="P102" s="124">
        <f t="shared" ref="P102:P107" si="13">N102+O102</f>
        <v>31.74</v>
      </c>
      <c r="S102" s="151"/>
      <c r="T102" s="151"/>
    </row>
    <row r="103" spans="1:20" ht="28.5" customHeight="1" x14ac:dyDescent="0.2">
      <c r="A103" s="18" t="s">
        <v>164</v>
      </c>
      <c r="B103" s="135" t="s">
        <v>124</v>
      </c>
      <c r="C103" s="144">
        <v>21</v>
      </c>
      <c r="D103" s="25" t="s">
        <v>463</v>
      </c>
      <c r="E103" s="22" t="s">
        <v>3</v>
      </c>
      <c r="F103" s="34">
        <f>TRUNC(436.98*0.03,2)</f>
        <v>13.1</v>
      </c>
      <c r="G103" s="35">
        <f t="shared" si="12"/>
        <v>150.07</v>
      </c>
      <c r="H103" s="34">
        <f>ROUND(F103*G103,2)</f>
        <v>1965.92</v>
      </c>
      <c r="I103" s="165">
        <v>122.97</v>
      </c>
      <c r="K103" s="11"/>
      <c r="N103" s="21">
        <f>TRUNC(100/210*22.58,2)</f>
        <v>10.75</v>
      </c>
      <c r="O103" s="21">
        <f>ROUND(110/210*22.58,2)</f>
        <v>11.83</v>
      </c>
      <c r="P103" s="124">
        <f t="shared" si="13"/>
        <v>22.58</v>
      </c>
    </row>
    <row r="104" spans="1:20" ht="28.5" customHeight="1" x14ac:dyDescent="0.2">
      <c r="A104" s="18" t="s">
        <v>165</v>
      </c>
      <c r="B104" s="145" t="s">
        <v>19</v>
      </c>
      <c r="C104" s="144" t="s">
        <v>98</v>
      </c>
      <c r="D104" s="142" t="s">
        <v>152</v>
      </c>
      <c r="E104" s="22" t="s">
        <v>41</v>
      </c>
      <c r="F104" s="34">
        <f>TRUNC(436.98*0.03*17.8,2)</f>
        <v>233.34</v>
      </c>
      <c r="G104" s="35">
        <f t="shared" si="12"/>
        <v>2.93</v>
      </c>
      <c r="H104" s="34">
        <f>ROUND(F104*G104,2)</f>
        <v>683.69</v>
      </c>
      <c r="I104" s="116">
        <v>2.4</v>
      </c>
      <c r="K104" s="11"/>
      <c r="N104" s="124">
        <f>ROUND(100/210*225.77,2)</f>
        <v>107.51</v>
      </c>
      <c r="O104" s="21">
        <f>ROUND(110/210*225.77,2)</f>
        <v>118.26</v>
      </c>
      <c r="P104" s="124">
        <f t="shared" si="13"/>
        <v>225.77</v>
      </c>
    </row>
    <row r="105" spans="1:20" ht="28.5" customHeight="1" x14ac:dyDescent="0.2">
      <c r="A105" s="18" t="s">
        <v>212</v>
      </c>
      <c r="B105" s="18" t="s">
        <v>124</v>
      </c>
      <c r="C105" s="26">
        <v>2</v>
      </c>
      <c r="D105" s="25" t="s">
        <v>483</v>
      </c>
      <c r="E105" s="22" t="s">
        <v>17</v>
      </c>
      <c r="F105" s="34">
        <v>2</v>
      </c>
      <c r="G105" s="35">
        <f t="shared" si="12"/>
        <v>624.11</v>
      </c>
      <c r="H105" s="34">
        <f>TRUNC(F105*G105,2)</f>
        <v>1248.22</v>
      </c>
      <c r="I105" s="165">
        <v>511.4</v>
      </c>
      <c r="K105" s="11"/>
      <c r="N105" s="124">
        <v>1</v>
      </c>
      <c r="O105" s="124">
        <v>1</v>
      </c>
      <c r="P105" s="124">
        <f t="shared" si="13"/>
        <v>2</v>
      </c>
    </row>
    <row r="106" spans="1:20" ht="28.5" customHeight="1" x14ac:dyDescent="0.2">
      <c r="A106" s="18" t="s">
        <v>213</v>
      </c>
      <c r="B106" s="18" t="s">
        <v>124</v>
      </c>
      <c r="C106" s="26">
        <v>1</v>
      </c>
      <c r="D106" s="21" t="s">
        <v>484</v>
      </c>
      <c r="E106" s="22" t="s">
        <v>1</v>
      </c>
      <c r="F106" s="34">
        <f>TRUNC(11.6*0.4,2)</f>
        <v>4.6399999999999997</v>
      </c>
      <c r="G106" s="35">
        <f t="shared" si="12"/>
        <v>117.7</v>
      </c>
      <c r="H106" s="34">
        <f>ROUND(F106*G106,2)</f>
        <v>546.13</v>
      </c>
      <c r="I106" s="143">
        <v>96.44</v>
      </c>
      <c r="K106" s="11"/>
      <c r="N106" s="148">
        <f>TRUNC(((2*4.8)+(2*1.6))*0.4,2)</f>
        <v>5.12</v>
      </c>
      <c r="O106" s="148">
        <f>TRUNC(((2*4.8)+(2*1.6))*0.4,2)</f>
        <v>5.12</v>
      </c>
      <c r="P106" s="124">
        <f t="shared" si="13"/>
        <v>10.24</v>
      </c>
    </row>
    <row r="107" spans="1:20" ht="28.5" customHeight="1" x14ac:dyDescent="0.2">
      <c r="A107" s="18" t="s">
        <v>214</v>
      </c>
      <c r="B107" s="18" t="s">
        <v>124</v>
      </c>
      <c r="C107" s="26">
        <v>7</v>
      </c>
      <c r="D107" s="21" t="s">
        <v>485</v>
      </c>
      <c r="E107" s="22" t="s">
        <v>1</v>
      </c>
      <c r="F107" s="34">
        <f>TRUNC(279.76*0.4,2)</f>
        <v>111.9</v>
      </c>
      <c r="G107" s="35">
        <f t="shared" si="12"/>
        <v>117.7</v>
      </c>
      <c r="H107" s="34">
        <f>ROUND(F107*G107,2)</f>
        <v>13170.63</v>
      </c>
      <c r="I107" s="143">
        <v>96.44</v>
      </c>
      <c r="K107" s="11"/>
      <c r="N107" s="124">
        <f>TRUNC(187.5*0.4,2)</f>
        <v>75</v>
      </c>
      <c r="O107" s="124">
        <f>TRUNC(207.5*0.4,2)</f>
        <v>83</v>
      </c>
      <c r="P107" s="124">
        <f t="shared" si="13"/>
        <v>158</v>
      </c>
    </row>
    <row r="108" spans="1:20" ht="28.5" customHeight="1" x14ac:dyDescent="0.2">
      <c r="A108" s="18"/>
      <c r="B108" s="18"/>
      <c r="C108" s="26"/>
      <c r="D108" s="21"/>
      <c r="E108" s="22"/>
      <c r="F108" s="34"/>
      <c r="G108" s="35"/>
      <c r="H108" s="34"/>
      <c r="I108" s="150"/>
      <c r="K108" s="11"/>
      <c r="N108" s="129"/>
      <c r="O108" s="129"/>
      <c r="P108" s="129"/>
    </row>
    <row r="109" spans="1:20" ht="28.5" customHeight="1" x14ac:dyDescent="0.25">
      <c r="A109" s="96">
        <v>16</v>
      </c>
      <c r="B109" s="97"/>
      <c r="C109" s="97"/>
      <c r="D109" s="51" t="s">
        <v>447</v>
      </c>
      <c r="E109" s="99"/>
      <c r="F109" s="99"/>
      <c r="G109" s="110"/>
      <c r="H109" s="100">
        <f>TRUNC(SUM(H110:H112),2)</f>
        <v>5672.49</v>
      </c>
      <c r="I109" s="150"/>
      <c r="K109" s="11"/>
      <c r="N109" s="129"/>
      <c r="O109" s="129"/>
      <c r="P109" s="129"/>
    </row>
    <row r="110" spans="1:20" ht="28.5" customHeight="1" x14ac:dyDescent="0.2">
      <c r="A110" s="18" t="s">
        <v>166</v>
      </c>
      <c r="B110" s="166" t="s">
        <v>124</v>
      </c>
      <c r="C110" s="269" t="s">
        <v>476</v>
      </c>
      <c r="D110" s="25" t="s">
        <v>69</v>
      </c>
      <c r="E110" s="22" t="s">
        <v>1</v>
      </c>
      <c r="F110" s="34">
        <f>3*1.5</f>
        <v>4.5</v>
      </c>
      <c r="G110" s="35">
        <f>ROUND(I110*(1+$B$212),2)</f>
        <v>335.63</v>
      </c>
      <c r="H110" s="34">
        <f>ROUND(F110*G110,2)</f>
        <v>1510.34</v>
      </c>
      <c r="I110" s="116">
        <v>275.02</v>
      </c>
      <c r="K110" s="11"/>
      <c r="N110" s="129"/>
      <c r="O110" s="129"/>
      <c r="P110" s="129"/>
    </row>
    <row r="111" spans="1:20" ht="28.5" customHeight="1" x14ac:dyDescent="0.2">
      <c r="A111" s="18" t="s">
        <v>167</v>
      </c>
      <c r="B111" s="19" t="s">
        <v>19</v>
      </c>
      <c r="C111" s="269" t="s">
        <v>477</v>
      </c>
      <c r="D111" s="25" t="s">
        <v>71</v>
      </c>
      <c r="E111" s="258" t="s">
        <v>478</v>
      </c>
      <c r="F111" s="259">
        <v>3</v>
      </c>
      <c r="G111" s="35">
        <f>ROUND(I111*(1+$B$212),2)</f>
        <v>1037.3399999999999</v>
      </c>
      <c r="H111" s="34">
        <f t="shared" ref="H111" si="14">TRUNC(F111*G111,2)</f>
        <v>3112.02</v>
      </c>
      <c r="I111" s="165">
        <v>850</v>
      </c>
      <c r="K111" s="11"/>
      <c r="N111" s="129"/>
      <c r="O111" s="129"/>
      <c r="P111" s="129"/>
    </row>
    <row r="112" spans="1:20" ht="28.5" customHeight="1" x14ac:dyDescent="0.2">
      <c r="A112" s="18" t="s">
        <v>168</v>
      </c>
      <c r="B112" s="18" t="s">
        <v>124</v>
      </c>
      <c r="C112" s="20" t="s">
        <v>92</v>
      </c>
      <c r="D112" s="25" t="s">
        <v>315</v>
      </c>
      <c r="E112" s="22" t="s">
        <v>1</v>
      </c>
      <c r="F112" s="34">
        <v>2019.49</v>
      </c>
      <c r="G112" s="35">
        <f>ROUND(I112*(1+$B$212),2)</f>
        <v>0.52</v>
      </c>
      <c r="H112" s="34">
        <f>ROUND(F112*G112,2)</f>
        <v>1050.1300000000001</v>
      </c>
      <c r="I112" s="168">
        <v>0.43</v>
      </c>
      <c r="K112" s="11"/>
      <c r="N112" s="129"/>
      <c r="O112" s="129"/>
      <c r="P112" s="129"/>
    </row>
    <row r="113" spans="1:16" ht="28.5" customHeight="1" x14ac:dyDescent="0.2">
      <c r="A113" s="18"/>
      <c r="B113" s="18"/>
      <c r="C113" s="26"/>
      <c r="D113" s="21"/>
      <c r="E113" s="22"/>
      <c r="F113" s="34"/>
      <c r="G113" s="35"/>
      <c r="H113" s="34"/>
      <c r="I113" s="150"/>
      <c r="K113" s="11"/>
      <c r="N113" s="129"/>
      <c r="O113" s="129"/>
      <c r="P113" s="129"/>
    </row>
    <row r="114" spans="1:16" ht="28.5" customHeight="1" x14ac:dyDescent="0.2">
      <c r="A114" s="55">
        <v>17</v>
      </c>
      <c r="B114" s="55"/>
      <c r="C114" s="55"/>
      <c r="D114" s="56" t="s">
        <v>448</v>
      </c>
      <c r="E114" s="57"/>
      <c r="F114" s="140"/>
      <c r="G114" s="29"/>
      <c r="H114" s="77">
        <f>TRUNC(SUM(H115:H118),2)</f>
        <v>13775.42</v>
      </c>
      <c r="I114" s="150"/>
      <c r="K114" s="11"/>
      <c r="N114" s="129"/>
      <c r="O114" s="129"/>
      <c r="P114" s="129"/>
    </row>
    <row r="115" spans="1:16" ht="28.5" customHeight="1" x14ac:dyDescent="0.2">
      <c r="A115" s="18" t="s">
        <v>169</v>
      </c>
      <c r="B115" s="18" t="s">
        <v>124</v>
      </c>
      <c r="C115" s="20" t="s">
        <v>93</v>
      </c>
      <c r="D115" s="25" t="s">
        <v>120</v>
      </c>
      <c r="E115" s="22" t="s">
        <v>3</v>
      </c>
      <c r="F115" s="34">
        <f>TRUNC(H4*0.33+F123*0.15*0.15,2)</f>
        <v>454.77</v>
      </c>
      <c r="G115" s="35">
        <f>ROUND(I115*(1+$B$212),2)</f>
        <v>4.58</v>
      </c>
      <c r="H115" s="34">
        <f>ROUND(F115*G115,2)</f>
        <v>2082.85</v>
      </c>
      <c r="I115" s="116">
        <v>3.75</v>
      </c>
      <c r="K115" s="11"/>
      <c r="N115" s="129"/>
      <c r="O115" s="129"/>
      <c r="P115" s="129"/>
    </row>
    <row r="116" spans="1:16" ht="28.5" customHeight="1" x14ac:dyDescent="0.2">
      <c r="A116" s="18" t="s">
        <v>170</v>
      </c>
      <c r="B116" s="19" t="s">
        <v>19</v>
      </c>
      <c r="C116" s="20" t="s">
        <v>49</v>
      </c>
      <c r="D116" s="58" t="s">
        <v>179</v>
      </c>
      <c r="E116" s="22" t="s">
        <v>41</v>
      </c>
      <c r="F116" s="34">
        <f>TRUNC(F115*1.25*1.3,2)</f>
        <v>739</v>
      </c>
      <c r="G116" s="35">
        <f>ROUND(I116*(1+$B$212),2)</f>
        <v>3.54</v>
      </c>
      <c r="H116" s="34">
        <f t="shared" ref="H116:H118" si="15">TRUNC(F116*G116,2)</f>
        <v>2616.06</v>
      </c>
      <c r="I116" s="116">
        <v>2.9</v>
      </c>
      <c r="K116" s="11"/>
      <c r="N116" s="129"/>
      <c r="O116" s="129"/>
      <c r="P116" s="129"/>
    </row>
    <row r="117" spans="1:16" ht="28.5" customHeight="1" x14ac:dyDescent="0.2">
      <c r="A117" s="18" t="s">
        <v>171</v>
      </c>
      <c r="B117" s="19" t="s">
        <v>19</v>
      </c>
      <c r="C117" s="38" t="s">
        <v>95</v>
      </c>
      <c r="D117" s="25" t="s">
        <v>123</v>
      </c>
      <c r="E117" s="22" t="s">
        <v>3</v>
      </c>
      <c r="F117" s="34">
        <f>F115</f>
        <v>454.77</v>
      </c>
      <c r="G117" s="35">
        <f>ROUND(I117*(1+$B$212),2)</f>
        <v>10.8</v>
      </c>
      <c r="H117" s="34">
        <f>ROUND(F117*G117,2)</f>
        <v>4911.5200000000004</v>
      </c>
      <c r="I117" s="116">
        <v>8.85</v>
      </c>
      <c r="K117" s="11"/>
      <c r="N117" s="129"/>
      <c r="O117" s="129"/>
      <c r="P117" s="129"/>
    </row>
    <row r="118" spans="1:16" ht="28.5" customHeight="1" x14ac:dyDescent="0.2">
      <c r="A118" s="18" t="s">
        <v>172</v>
      </c>
      <c r="B118" s="59" t="s">
        <v>19</v>
      </c>
      <c r="C118" s="38" t="s">
        <v>67</v>
      </c>
      <c r="D118" s="60" t="s">
        <v>4</v>
      </c>
      <c r="E118" s="22" t="s">
        <v>1</v>
      </c>
      <c r="F118" s="34">
        <f>H4</f>
        <v>1352.27</v>
      </c>
      <c r="G118" s="35">
        <f>ROUND(I118*(1+$B$212),2)</f>
        <v>3.08</v>
      </c>
      <c r="H118" s="34">
        <f t="shared" si="15"/>
        <v>4164.99</v>
      </c>
      <c r="I118" s="116">
        <v>2.52</v>
      </c>
      <c r="K118" s="11"/>
      <c r="N118" s="129"/>
      <c r="O118" s="129"/>
      <c r="P118" s="129"/>
    </row>
    <row r="119" spans="1:16" ht="28.5" customHeight="1" x14ac:dyDescent="0.2">
      <c r="A119" s="18"/>
      <c r="B119" s="59"/>
      <c r="C119" s="38"/>
      <c r="D119" s="60"/>
      <c r="E119" s="22"/>
      <c r="F119" s="34"/>
      <c r="G119" s="35"/>
      <c r="H119" s="34"/>
      <c r="I119" s="150"/>
      <c r="K119" s="11"/>
      <c r="N119" s="129"/>
      <c r="O119" s="129"/>
      <c r="P119" s="129"/>
    </row>
    <row r="120" spans="1:16" ht="28.5" customHeight="1" x14ac:dyDescent="0.2">
      <c r="A120" s="55">
        <v>18</v>
      </c>
      <c r="B120" s="28"/>
      <c r="C120" s="28"/>
      <c r="D120" s="56" t="s">
        <v>449</v>
      </c>
      <c r="E120" s="57"/>
      <c r="F120" s="140"/>
      <c r="G120" s="29"/>
      <c r="H120" s="77">
        <f>TRUNC(SUM(H121:H123),2)</f>
        <v>85208.52</v>
      </c>
      <c r="I120" s="150"/>
      <c r="K120" s="11"/>
      <c r="N120" s="129"/>
      <c r="O120" s="129"/>
      <c r="P120" s="129"/>
    </row>
    <row r="121" spans="1:16" ht="28.5" customHeight="1" x14ac:dyDescent="0.2">
      <c r="A121" s="18" t="s">
        <v>173</v>
      </c>
      <c r="B121" s="59" t="s">
        <v>19</v>
      </c>
      <c r="C121" s="38" t="s">
        <v>50</v>
      </c>
      <c r="D121" s="21" t="s">
        <v>68</v>
      </c>
      <c r="E121" s="22" t="s">
        <v>3</v>
      </c>
      <c r="F121" s="34">
        <f>TRUNC(H4*0.2,2)</f>
        <v>270.45</v>
      </c>
      <c r="G121" s="35">
        <f>ROUND(I121*(1+$B$212),2)</f>
        <v>158.49</v>
      </c>
      <c r="H121" s="34">
        <f t="shared" ref="H121:H123" si="16">TRUNC(F121*G121,2)</f>
        <v>42863.62</v>
      </c>
      <c r="I121" s="116">
        <v>129.87</v>
      </c>
      <c r="K121" s="11"/>
      <c r="N121" s="129"/>
      <c r="O121" s="129"/>
      <c r="P121" s="129"/>
    </row>
    <row r="122" spans="1:16" ht="28.5" customHeight="1" x14ac:dyDescent="0.2">
      <c r="A122" s="18" t="s">
        <v>174</v>
      </c>
      <c r="B122" s="59" t="s">
        <v>19</v>
      </c>
      <c r="C122" s="38" t="s">
        <v>98</v>
      </c>
      <c r="D122" s="58" t="s">
        <v>180</v>
      </c>
      <c r="E122" s="22" t="s">
        <v>41</v>
      </c>
      <c r="F122" s="34">
        <f>TRUNC(F121*20.9,2)</f>
        <v>5652.4</v>
      </c>
      <c r="G122" s="35">
        <f>ROUND(I122*(1+$B$212),2)</f>
        <v>2.93</v>
      </c>
      <c r="H122" s="34">
        <f t="shared" si="16"/>
        <v>16561.53</v>
      </c>
      <c r="I122" s="116">
        <v>2.4</v>
      </c>
      <c r="K122" s="11"/>
      <c r="N122" s="129"/>
      <c r="O122" s="129"/>
      <c r="P122" s="129"/>
    </row>
    <row r="123" spans="1:16" ht="28.5" customHeight="1" x14ac:dyDescent="0.2">
      <c r="A123" s="18" t="s">
        <v>175</v>
      </c>
      <c r="B123" s="59" t="s">
        <v>19</v>
      </c>
      <c r="C123" s="38" t="s">
        <v>42</v>
      </c>
      <c r="D123" s="21" t="s">
        <v>15</v>
      </c>
      <c r="E123" s="22" t="s">
        <v>0</v>
      </c>
      <c r="F123" s="34">
        <v>379</v>
      </c>
      <c r="G123" s="35">
        <f>ROUND(I123*(1+$B$212),2)</f>
        <v>68.03</v>
      </c>
      <c r="H123" s="34">
        <f t="shared" si="16"/>
        <v>25783.37</v>
      </c>
      <c r="I123" s="116">
        <v>55.74</v>
      </c>
      <c r="K123" s="11"/>
      <c r="N123" s="129"/>
      <c r="O123" s="129"/>
      <c r="P123" s="129"/>
    </row>
    <row r="124" spans="1:16" ht="28.5" customHeight="1" x14ac:dyDescent="0.2">
      <c r="A124" s="18"/>
      <c r="B124" s="59"/>
      <c r="C124" s="38"/>
      <c r="D124" s="60"/>
      <c r="E124" s="22"/>
      <c r="F124" s="34"/>
      <c r="G124" s="35"/>
      <c r="H124" s="34"/>
      <c r="I124" s="150"/>
      <c r="K124" s="11"/>
      <c r="N124" s="129"/>
      <c r="O124" s="129"/>
      <c r="P124" s="129"/>
    </row>
    <row r="125" spans="1:16" ht="28.5" customHeight="1" x14ac:dyDescent="0.2">
      <c r="A125" s="28">
        <v>19</v>
      </c>
      <c r="B125" s="28"/>
      <c r="C125" s="28"/>
      <c r="D125" s="28" t="s">
        <v>450</v>
      </c>
      <c r="E125" s="29"/>
      <c r="F125" s="45"/>
      <c r="G125" s="29"/>
      <c r="H125" s="46">
        <f>TRUNC(SUM(H126:H128),2)</f>
        <v>129912.26</v>
      </c>
      <c r="I125" s="150"/>
      <c r="K125" s="11"/>
      <c r="N125" s="129"/>
      <c r="O125" s="129"/>
      <c r="P125" s="129"/>
    </row>
    <row r="126" spans="1:16" ht="28.5" customHeight="1" x14ac:dyDescent="0.2">
      <c r="A126" s="18" t="s">
        <v>176</v>
      </c>
      <c r="B126" s="18" t="s">
        <v>124</v>
      </c>
      <c r="C126" s="20" t="s">
        <v>99</v>
      </c>
      <c r="D126" s="25" t="s">
        <v>481</v>
      </c>
      <c r="E126" s="22" t="s">
        <v>1</v>
      </c>
      <c r="F126" s="34">
        <f>H4</f>
        <v>1352.27</v>
      </c>
      <c r="G126" s="35">
        <f>ROUND(I126*(1+$B$212),2)</f>
        <v>92.12</v>
      </c>
      <c r="H126" s="34">
        <f>ROUND(F126*G126,2)</f>
        <v>124571.11</v>
      </c>
      <c r="I126" s="124">
        <v>75.48</v>
      </c>
      <c r="K126" s="11"/>
      <c r="N126" s="129"/>
      <c r="O126" s="129"/>
      <c r="P126" s="129"/>
    </row>
    <row r="127" spans="1:16" ht="28.5" customHeight="1" x14ac:dyDescent="0.2">
      <c r="A127" s="18" t="s">
        <v>177</v>
      </c>
      <c r="B127" s="59" t="s">
        <v>19</v>
      </c>
      <c r="C127" s="38" t="s">
        <v>98</v>
      </c>
      <c r="D127" s="58" t="s">
        <v>181</v>
      </c>
      <c r="E127" s="22" t="s">
        <v>41</v>
      </c>
      <c r="F127" s="34">
        <f>TRUNC(F126*0.056*20.9,2)</f>
        <v>1582.69</v>
      </c>
      <c r="G127" s="35">
        <f>ROUND(I127*(1+$B$212),2)</f>
        <v>2.93</v>
      </c>
      <c r="H127" s="34">
        <f>ROUND(F127*G127,2)</f>
        <v>4637.28</v>
      </c>
      <c r="I127" s="116">
        <v>2.4</v>
      </c>
      <c r="K127" s="11"/>
      <c r="N127" s="129"/>
      <c r="O127" s="129"/>
      <c r="P127" s="129"/>
    </row>
    <row r="128" spans="1:16" ht="28.5" customHeight="1" x14ac:dyDescent="0.2">
      <c r="A128" s="18" t="s">
        <v>178</v>
      </c>
      <c r="B128" s="59" t="s">
        <v>19</v>
      </c>
      <c r="C128" s="38" t="s">
        <v>98</v>
      </c>
      <c r="D128" s="58" t="s">
        <v>182</v>
      </c>
      <c r="E128" s="22" t="s">
        <v>41</v>
      </c>
      <c r="F128" s="34">
        <f>TRUNC(F126*0.0085*20.9,2)</f>
        <v>240.23</v>
      </c>
      <c r="G128" s="35">
        <f>ROUND(I128*(1+$B$212),2)</f>
        <v>2.93</v>
      </c>
      <c r="H128" s="34">
        <f>ROUND(F128*G128,2)</f>
        <v>703.87</v>
      </c>
      <c r="I128" s="116">
        <v>2.4</v>
      </c>
      <c r="K128" s="11"/>
      <c r="N128" s="129"/>
      <c r="O128" s="129"/>
      <c r="P128" s="129"/>
    </row>
    <row r="129" spans="1:16" ht="28.5" customHeight="1" x14ac:dyDescent="0.2">
      <c r="A129" s="18"/>
      <c r="B129" s="59"/>
      <c r="C129" s="38"/>
      <c r="D129" s="159"/>
      <c r="E129" s="22"/>
      <c r="F129" s="34"/>
      <c r="G129" s="35"/>
      <c r="H129" s="34"/>
      <c r="I129" s="150"/>
      <c r="K129" s="11"/>
      <c r="N129" s="129"/>
      <c r="O129" s="129"/>
      <c r="P129" s="129"/>
    </row>
    <row r="130" spans="1:16" ht="28.5" customHeight="1" x14ac:dyDescent="0.2">
      <c r="A130" s="28">
        <v>20</v>
      </c>
      <c r="B130" s="28"/>
      <c r="C130" s="28"/>
      <c r="D130" s="28" t="s">
        <v>451</v>
      </c>
      <c r="E130" s="29"/>
      <c r="F130" s="37"/>
      <c r="G130" s="44"/>
      <c r="H130" s="77">
        <f>TRUNC(SUM(H131:H139),2)</f>
        <v>32837.269999999997</v>
      </c>
      <c r="I130" s="150"/>
      <c r="K130" s="11"/>
      <c r="N130" s="129"/>
      <c r="O130" s="129"/>
      <c r="P130" s="129"/>
    </row>
    <row r="131" spans="1:16" ht="28.5" customHeight="1" x14ac:dyDescent="0.2">
      <c r="A131" s="18" t="s">
        <v>215</v>
      </c>
      <c r="B131" s="19" t="s">
        <v>19</v>
      </c>
      <c r="C131" s="20" t="s">
        <v>43</v>
      </c>
      <c r="D131" s="21" t="s">
        <v>27</v>
      </c>
      <c r="E131" s="22" t="s">
        <v>3</v>
      </c>
      <c r="F131" s="34">
        <v>49.92</v>
      </c>
      <c r="G131" s="35">
        <f t="shared" ref="G131:G139" si="17">ROUND(I131*(1+$B$212),2)</f>
        <v>9.34</v>
      </c>
      <c r="H131" s="34">
        <f t="shared" ref="H131:H139" si="18">TRUNC(F131*G131,2)</f>
        <v>466.25</v>
      </c>
      <c r="I131" s="116">
        <v>7.65</v>
      </c>
      <c r="K131" s="11"/>
      <c r="N131" s="129"/>
      <c r="O131" s="129"/>
      <c r="P131" s="129"/>
    </row>
    <row r="132" spans="1:16" ht="28.5" customHeight="1" x14ac:dyDescent="0.2">
      <c r="A132" s="18" t="s">
        <v>216</v>
      </c>
      <c r="B132" s="19" t="s">
        <v>19</v>
      </c>
      <c r="C132" s="20" t="s">
        <v>75</v>
      </c>
      <c r="D132" s="25" t="s">
        <v>76</v>
      </c>
      <c r="E132" s="22" t="s">
        <v>0</v>
      </c>
      <c r="F132" s="34">
        <v>25</v>
      </c>
      <c r="G132" s="35">
        <f t="shared" si="17"/>
        <v>82.32</v>
      </c>
      <c r="H132" s="34">
        <f t="shared" si="18"/>
        <v>2058</v>
      </c>
      <c r="I132" s="171">
        <v>67.45</v>
      </c>
      <c r="K132" s="11"/>
      <c r="N132" s="129"/>
      <c r="O132" s="129"/>
      <c r="P132" s="129"/>
    </row>
    <row r="133" spans="1:16" ht="28.5" customHeight="1" x14ac:dyDescent="0.2">
      <c r="A133" s="18" t="s">
        <v>217</v>
      </c>
      <c r="B133" s="19" t="s">
        <v>19</v>
      </c>
      <c r="C133" s="20" t="s">
        <v>73</v>
      </c>
      <c r="D133" s="25" t="s">
        <v>74</v>
      </c>
      <c r="E133" s="22" t="s">
        <v>0</v>
      </c>
      <c r="F133" s="34">
        <f>F132</f>
        <v>25</v>
      </c>
      <c r="G133" s="35">
        <f t="shared" si="17"/>
        <v>71.319999999999993</v>
      </c>
      <c r="H133" s="34">
        <f t="shared" si="18"/>
        <v>1783</v>
      </c>
      <c r="I133" s="171">
        <v>58.44</v>
      </c>
      <c r="K133" s="11"/>
      <c r="N133" s="129"/>
      <c r="O133" s="129"/>
      <c r="P133" s="129"/>
    </row>
    <row r="134" spans="1:16" ht="28.5" customHeight="1" x14ac:dyDescent="0.2">
      <c r="A134" s="18" t="s">
        <v>218</v>
      </c>
      <c r="B134" s="19" t="s">
        <v>19</v>
      </c>
      <c r="C134" s="20" t="s">
        <v>475</v>
      </c>
      <c r="D134" s="25" t="s">
        <v>185</v>
      </c>
      <c r="E134" s="18" t="s">
        <v>0</v>
      </c>
      <c r="F134" s="34">
        <v>24</v>
      </c>
      <c r="G134" s="35">
        <f t="shared" si="17"/>
        <v>218.12</v>
      </c>
      <c r="H134" s="34">
        <f t="shared" si="18"/>
        <v>5234.88</v>
      </c>
      <c r="I134" s="171">
        <v>178.73</v>
      </c>
      <c r="K134" s="11"/>
      <c r="N134" s="129"/>
      <c r="O134" s="129"/>
      <c r="P134" s="129"/>
    </row>
    <row r="135" spans="1:16" ht="28.5" customHeight="1" x14ac:dyDescent="0.2">
      <c r="A135" s="18" t="s">
        <v>219</v>
      </c>
      <c r="B135" s="19" t="s">
        <v>19</v>
      </c>
      <c r="C135" s="20" t="s">
        <v>44</v>
      </c>
      <c r="D135" s="21" t="s">
        <v>30</v>
      </c>
      <c r="E135" s="22" t="s">
        <v>3</v>
      </c>
      <c r="F135" s="34">
        <f>TRUNC(F131-F136,2)</f>
        <v>41.06</v>
      </c>
      <c r="G135" s="35">
        <f t="shared" si="17"/>
        <v>15.57</v>
      </c>
      <c r="H135" s="34">
        <f t="shared" si="18"/>
        <v>639.29999999999995</v>
      </c>
      <c r="I135" s="21">
        <v>12.76</v>
      </c>
      <c r="K135" s="11"/>
      <c r="N135" s="129"/>
      <c r="O135" s="129"/>
      <c r="P135" s="129"/>
    </row>
    <row r="136" spans="1:16" ht="28.5" customHeight="1" x14ac:dyDescent="0.2">
      <c r="A136" s="18" t="s">
        <v>220</v>
      </c>
      <c r="B136" s="19" t="s">
        <v>19</v>
      </c>
      <c r="C136" s="136" t="s">
        <v>95</v>
      </c>
      <c r="D136" s="25" t="s">
        <v>96</v>
      </c>
      <c r="E136" s="22" t="s">
        <v>3</v>
      </c>
      <c r="F136" s="34">
        <f>TRUNC((F132+F134)*3.1416*0.48*0.48/4,2)</f>
        <v>8.86</v>
      </c>
      <c r="G136" s="35">
        <f t="shared" si="17"/>
        <v>10.8</v>
      </c>
      <c r="H136" s="34">
        <f>ROUND(F136*G136,2)</f>
        <v>95.69</v>
      </c>
      <c r="I136" s="116">
        <v>8.85</v>
      </c>
      <c r="K136" s="11"/>
      <c r="N136" s="129"/>
      <c r="O136" s="129"/>
      <c r="P136" s="129"/>
    </row>
    <row r="137" spans="1:16" ht="28.5" customHeight="1" x14ac:dyDescent="0.2">
      <c r="A137" s="18" t="s">
        <v>221</v>
      </c>
      <c r="B137" s="19" t="s">
        <v>19</v>
      </c>
      <c r="C137" s="20" t="s">
        <v>49</v>
      </c>
      <c r="D137" s="21" t="s">
        <v>183</v>
      </c>
      <c r="E137" s="22" t="s">
        <v>41</v>
      </c>
      <c r="F137" s="34">
        <f>TRUNC(F136*1.25*1.3,2)</f>
        <v>14.39</v>
      </c>
      <c r="G137" s="35">
        <f t="shared" si="17"/>
        <v>3.54</v>
      </c>
      <c r="H137" s="34">
        <f t="shared" si="18"/>
        <v>50.94</v>
      </c>
      <c r="I137" s="116">
        <v>2.9</v>
      </c>
      <c r="K137" s="11"/>
      <c r="N137" s="129"/>
      <c r="O137" s="129"/>
      <c r="P137" s="129"/>
    </row>
    <row r="138" spans="1:16" ht="28.5" customHeight="1" x14ac:dyDescent="0.2">
      <c r="A138" s="18" t="s">
        <v>222</v>
      </c>
      <c r="B138" s="18" t="s">
        <v>124</v>
      </c>
      <c r="C138" s="137" t="s">
        <v>100</v>
      </c>
      <c r="D138" s="25" t="s">
        <v>482</v>
      </c>
      <c r="E138" s="22" t="s">
        <v>31</v>
      </c>
      <c r="F138" s="34">
        <v>3</v>
      </c>
      <c r="G138" s="35">
        <f t="shared" si="17"/>
        <v>2392.58</v>
      </c>
      <c r="H138" s="34">
        <f t="shared" si="18"/>
        <v>7177.74</v>
      </c>
      <c r="I138" s="253">
        <v>1960.49</v>
      </c>
      <c r="K138" s="11"/>
      <c r="N138" s="129"/>
      <c r="O138" s="129"/>
      <c r="P138" s="129"/>
    </row>
    <row r="139" spans="1:16" ht="28.5" customHeight="1" x14ac:dyDescent="0.2">
      <c r="A139" s="18" t="s">
        <v>223</v>
      </c>
      <c r="B139" s="18" t="s">
        <v>124</v>
      </c>
      <c r="C139" s="137" t="s">
        <v>101</v>
      </c>
      <c r="D139" s="25" t="s">
        <v>32</v>
      </c>
      <c r="E139" s="22" t="s">
        <v>31</v>
      </c>
      <c r="F139" s="34">
        <v>11</v>
      </c>
      <c r="G139" s="35">
        <f t="shared" si="17"/>
        <v>1393.77</v>
      </c>
      <c r="H139" s="34">
        <f t="shared" si="18"/>
        <v>15331.47</v>
      </c>
      <c r="I139" s="92">
        <v>1142.06</v>
      </c>
      <c r="K139" s="11"/>
      <c r="N139" s="129"/>
      <c r="O139" s="129"/>
      <c r="P139" s="129"/>
    </row>
    <row r="140" spans="1:16" ht="28.5" customHeight="1" x14ac:dyDescent="0.2">
      <c r="A140" s="18"/>
      <c r="B140" s="18"/>
      <c r="C140" s="137"/>
      <c r="D140" s="25"/>
      <c r="E140" s="22"/>
      <c r="F140" s="34"/>
      <c r="G140" s="35"/>
      <c r="H140" s="34"/>
      <c r="I140" s="150"/>
      <c r="K140" s="11"/>
      <c r="N140" s="129"/>
      <c r="O140" s="129"/>
      <c r="P140" s="129"/>
    </row>
    <row r="141" spans="1:16" ht="28.5" customHeight="1" x14ac:dyDescent="0.2">
      <c r="A141" s="28">
        <v>21</v>
      </c>
      <c r="B141" s="28"/>
      <c r="C141" s="28"/>
      <c r="D141" s="28" t="s">
        <v>452</v>
      </c>
      <c r="E141" s="29"/>
      <c r="F141" s="37"/>
      <c r="G141" s="31"/>
      <c r="H141" s="77">
        <f>TRUNC(SUM(H142:H145),2)</f>
        <v>1869.51</v>
      </c>
      <c r="I141" s="150"/>
      <c r="K141" s="11"/>
      <c r="N141" s="129"/>
      <c r="O141" s="129"/>
      <c r="P141" s="129"/>
    </row>
    <row r="142" spans="1:16" ht="28.5" customHeight="1" x14ac:dyDescent="0.2">
      <c r="A142" s="18" t="s">
        <v>224</v>
      </c>
      <c r="B142" s="19" t="s">
        <v>19</v>
      </c>
      <c r="C142" s="20" t="s">
        <v>79</v>
      </c>
      <c r="D142" s="25" t="s">
        <v>80</v>
      </c>
      <c r="E142" s="22" t="s">
        <v>0</v>
      </c>
      <c r="F142" s="34">
        <v>70</v>
      </c>
      <c r="G142" s="35">
        <f>ROUND(I142*(1+$B$212),2)</f>
        <v>6.72</v>
      </c>
      <c r="H142" s="34">
        <f t="shared" ref="H142" si="19">TRUNC(F142*G142,2)</f>
        <v>470.4</v>
      </c>
      <c r="I142" s="116">
        <v>5.51</v>
      </c>
      <c r="K142" s="11"/>
      <c r="N142" s="129"/>
      <c r="O142" s="129"/>
      <c r="P142" s="129"/>
    </row>
    <row r="143" spans="1:16" ht="28.5" customHeight="1" x14ac:dyDescent="0.2">
      <c r="A143" s="18" t="s">
        <v>225</v>
      </c>
      <c r="B143" s="19" t="s">
        <v>19</v>
      </c>
      <c r="C143" s="20" t="s">
        <v>77</v>
      </c>
      <c r="D143" s="25" t="s">
        <v>78</v>
      </c>
      <c r="E143" s="22" t="s">
        <v>1</v>
      </c>
      <c r="F143" s="34">
        <v>21.6</v>
      </c>
      <c r="G143" s="35">
        <f>ROUND(I143*(1+$B$212),2)</f>
        <v>28.28</v>
      </c>
      <c r="H143" s="34">
        <f>ROUND(F143*G143,2)</f>
        <v>610.85</v>
      </c>
      <c r="I143" s="116">
        <v>23.17</v>
      </c>
      <c r="K143" s="11"/>
      <c r="N143" s="129"/>
      <c r="O143" s="129"/>
      <c r="P143" s="129"/>
    </row>
    <row r="144" spans="1:16" ht="28.5" customHeight="1" x14ac:dyDescent="0.2">
      <c r="A144" s="18" t="s">
        <v>226</v>
      </c>
      <c r="B144" s="18" t="s">
        <v>124</v>
      </c>
      <c r="C144" s="26">
        <v>11</v>
      </c>
      <c r="D144" s="25" t="s">
        <v>129</v>
      </c>
      <c r="E144" s="22" t="s">
        <v>1</v>
      </c>
      <c r="F144" s="34">
        <f>TRUNC(3*0.3,2)</f>
        <v>0.9</v>
      </c>
      <c r="G144" s="35">
        <f>ROUND(I144*(1+$B$212),2)</f>
        <v>628.03</v>
      </c>
      <c r="H144" s="34">
        <f>ROUND(F144*G144,2)</f>
        <v>565.23</v>
      </c>
      <c r="I144" s="116">
        <v>514.61</v>
      </c>
      <c r="K144" s="11"/>
      <c r="N144" s="129"/>
      <c r="O144" s="129"/>
      <c r="P144" s="129"/>
    </row>
    <row r="145" spans="1:17" ht="28.5" customHeight="1" x14ac:dyDescent="0.2">
      <c r="A145" s="18" t="s">
        <v>416</v>
      </c>
      <c r="B145" s="18" t="s">
        <v>124</v>
      </c>
      <c r="C145" s="26">
        <v>20</v>
      </c>
      <c r="D145" s="142" t="s">
        <v>415</v>
      </c>
      <c r="E145" s="22" t="s">
        <v>1</v>
      </c>
      <c r="F145" s="34">
        <f>TRUNC(2*0.2,2)</f>
        <v>0.4</v>
      </c>
      <c r="G145" s="35">
        <f>ROUND(I145*(1+$B$212),2)</f>
        <v>557.58000000000004</v>
      </c>
      <c r="H145" s="34">
        <f>ROUND(F145*G145,2)</f>
        <v>223.03</v>
      </c>
      <c r="I145" s="116">
        <v>456.88</v>
      </c>
      <c r="K145" s="11"/>
      <c r="N145" s="129"/>
      <c r="O145" s="129"/>
      <c r="P145" s="129"/>
    </row>
    <row r="146" spans="1:17" ht="28.5" customHeight="1" x14ac:dyDescent="0.2">
      <c r="A146" s="18"/>
      <c r="B146" s="18"/>
      <c r="C146" s="137"/>
      <c r="D146" s="25"/>
      <c r="E146" s="22"/>
      <c r="F146" s="34"/>
      <c r="G146" s="35"/>
      <c r="H146" s="34"/>
      <c r="I146" s="150"/>
      <c r="K146" s="11"/>
      <c r="N146" s="129"/>
      <c r="O146" s="129"/>
      <c r="P146" s="129"/>
    </row>
    <row r="147" spans="1:17" ht="28.5" customHeight="1" x14ac:dyDescent="0.2">
      <c r="A147" s="28">
        <v>22</v>
      </c>
      <c r="B147" s="28"/>
      <c r="C147" s="28"/>
      <c r="D147" s="28" t="s">
        <v>453</v>
      </c>
      <c r="E147" s="29"/>
      <c r="F147" s="30"/>
      <c r="G147" s="76"/>
      <c r="H147" s="77">
        <f>TRUNC(SUM(H148:H154),2)</f>
        <v>61339.199999999997</v>
      </c>
      <c r="I147" s="150"/>
      <c r="K147" s="11"/>
      <c r="N147" s="129"/>
      <c r="O147" s="129"/>
      <c r="P147" s="129"/>
    </row>
    <row r="148" spans="1:17" ht="28.5" customHeight="1" x14ac:dyDescent="0.2">
      <c r="A148" s="18" t="s">
        <v>227</v>
      </c>
      <c r="B148" s="19" t="s">
        <v>19</v>
      </c>
      <c r="C148" s="144">
        <v>94991</v>
      </c>
      <c r="D148" s="142" t="s">
        <v>127</v>
      </c>
      <c r="E148" s="22" t="s">
        <v>3</v>
      </c>
      <c r="F148" s="34">
        <f>ROUND((667.22*0.07)-(20+341.58)*0.4*0.035,2)</f>
        <v>41.64</v>
      </c>
      <c r="G148" s="35">
        <f t="shared" ref="G148:G154" si="20">ROUND(I148*(1+$B$212),2)</f>
        <v>850.84</v>
      </c>
      <c r="H148" s="34">
        <f>ROUND(F148*G148,2)</f>
        <v>35428.980000000003</v>
      </c>
      <c r="I148" s="143">
        <v>697.18</v>
      </c>
      <c r="K148" s="11"/>
      <c r="N148" s="129"/>
      <c r="O148" s="129"/>
      <c r="P148" s="129"/>
    </row>
    <row r="149" spans="1:17" ht="28.5" customHeight="1" x14ac:dyDescent="0.2">
      <c r="A149" s="18" t="s">
        <v>228</v>
      </c>
      <c r="B149" s="135" t="s">
        <v>124</v>
      </c>
      <c r="C149" s="144">
        <v>21</v>
      </c>
      <c r="D149" s="25" t="s">
        <v>463</v>
      </c>
      <c r="E149" s="22" t="s">
        <v>3</v>
      </c>
      <c r="F149" s="34">
        <f>TRUNC(667.22*0.03,2)</f>
        <v>20.010000000000002</v>
      </c>
      <c r="G149" s="35">
        <f t="shared" si="20"/>
        <v>150.07</v>
      </c>
      <c r="H149" s="34">
        <f t="shared" ref="H149:H154" si="21">TRUNC(F149*G149,2)</f>
        <v>3002.9</v>
      </c>
      <c r="I149" s="165">
        <v>122.97</v>
      </c>
      <c r="K149" s="11"/>
      <c r="N149" s="129"/>
      <c r="O149" s="129"/>
      <c r="P149" s="129"/>
    </row>
    <row r="150" spans="1:17" ht="28.5" customHeight="1" x14ac:dyDescent="0.2">
      <c r="A150" s="18" t="s">
        <v>229</v>
      </c>
      <c r="B150" s="145" t="s">
        <v>19</v>
      </c>
      <c r="C150" s="144" t="s">
        <v>98</v>
      </c>
      <c r="D150" s="142" t="s">
        <v>184</v>
      </c>
      <c r="E150" s="22" t="s">
        <v>41</v>
      </c>
      <c r="F150" s="34">
        <f>TRUNC(667.22*0.03*20.9,2)</f>
        <v>418.34</v>
      </c>
      <c r="G150" s="35">
        <f t="shared" si="20"/>
        <v>2.93</v>
      </c>
      <c r="H150" s="34">
        <f>ROUND(F150*G150,2)</f>
        <v>1225.74</v>
      </c>
      <c r="I150" s="116">
        <v>2.4</v>
      </c>
      <c r="K150" s="11"/>
      <c r="N150" s="129"/>
      <c r="O150" s="129"/>
      <c r="P150" s="129"/>
    </row>
    <row r="151" spans="1:17" ht="28.5" customHeight="1" x14ac:dyDescent="0.2">
      <c r="A151" s="18" t="s">
        <v>230</v>
      </c>
      <c r="B151" s="18" t="s">
        <v>124</v>
      </c>
      <c r="C151" s="26">
        <v>2</v>
      </c>
      <c r="D151" s="25" t="s">
        <v>483</v>
      </c>
      <c r="E151" s="22" t="s">
        <v>17</v>
      </c>
      <c r="F151" s="34">
        <v>3</v>
      </c>
      <c r="G151" s="35">
        <f t="shared" si="20"/>
        <v>624.11</v>
      </c>
      <c r="H151" s="34">
        <f t="shared" si="21"/>
        <v>1872.33</v>
      </c>
      <c r="I151" s="165">
        <v>511.4</v>
      </c>
      <c r="K151" s="11"/>
      <c r="N151" s="129"/>
      <c r="O151" s="129"/>
      <c r="P151" s="129"/>
    </row>
    <row r="152" spans="1:17" ht="28.5" customHeight="1" x14ac:dyDescent="0.2">
      <c r="A152" s="18" t="s">
        <v>231</v>
      </c>
      <c r="B152" s="18" t="s">
        <v>124</v>
      </c>
      <c r="C152" s="26">
        <v>1</v>
      </c>
      <c r="D152" s="21" t="s">
        <v>484</v>
      </c>
      <c r="E152" s="22" t="s">
        <v>1</v>
      </c>
      <c r="F152" s="34">
        <f>TRUNC(20*0.4,2)</f>
        <v>8</v>
      </c>
      <c r="G152" s="35">
        <f t="shared" si="20"/>
        <v>117.7</v>
      </c>
      <c r="H152" s="34">
        <f t="shared" si="21"/>
        <v>941.6</v>
      </c>
      <c r="I152" s="143">
        <v>96.44</v>
      </c>
      <c r="K152" s="11"/>
      <c r="N152" s="129"/>
      <c r="O152" s="129"/>
      <c r="P152" s="129"/>
    </row>
    <row r="153" spans="1:17" ht="28.5" customHeight="1" x14ac:dyDescent="0.2">
      <c r="A153" s="18" t="s">
        <v>232</v>
      </c>
      <c r="B153" s="18" t="s">
        <v>124</v>
      </c>
      <c r="C153" s="26">
        <v>7</v>
      </c>
      <c r="D153" s="21" t="s">
        <v>485</v>
      </c>
      <c r="E153" s="22" t="s">
        <v>1</v>
      </c>
      <c r="F153" s="34">
        <f>TRUNC(341.58*0.4,2)</f>
        <v>136.63</v>
      </c>
      <c r="G153" s="35">
        <f t="shared" si="20"/>
        <v>117.7</v>
      </c>
      <c r="H153" s="34">
        <f t="shared" si="21"/>
        <v>16081.35</v>
      </c>
      <c r="I153" s="143">
        <v>96.44</v>
      </c>
      <c r="K153" s="11"/>
      <c r="N153" s="129"/>
      <c r="O153" s="129"/>
      <c r="P153" s="129"/>
    </row>
    <row r="154" spans="1:17" ht="28.5" customHeight="1" x14ac:dyDescent="0.2">
      <c r="A154" s="18" t="s">
        <v>269</v>
      </c>
      <c r="B154" s="18" t="s">
        <v>124</v>
      </c>
      <c r="C154" s="26">
        <v>9</v>
      </c>
      <c r="D154" s="21" t="s">
        <v>202</v>
      </c>
      <c r="E154" s="22" t="s">
        <v>3</v>
      </c>
      <c r="F154" s="34">
        <f>TRUNC(120.93*0.07,2)</f>
        <v>8.4600000000000009</v>
      </c>
      <c r="G154" s="35">
        <f t="shared" si="20"/>
        <v>329.35</v>
      </c>
      <c r="H154" s="34">
        <f t="shared" si="21"/>
        <v>2786.3</v>
      </c>
      <c r="I154" s="143">
        <v>269.87</v>
      </c>
      <c r="K154" s="11"/>
      <c r="N154" s="129"/>
      <c r="O154" s="129"/>
      <c r="P154" s="129"/>
    </row>
    <row r="155" spans="1:17" ht="28.5" customHeight="1" x14ac:dyDescent="0.2">
      <c r="A155" s="2"/>
      <c r="B155" s="18"/>
      <c r="C155" s="18"/>
      <c r="D155" s="26"/>
      <c r="E155" s="21"/>
      <c r="F155" s="22"/>
      <c r="G155" s="34"/>
      <c r="H155" s="35"/>
      <c r="I155" s="179"/>
      <c r="J155" s="150"/>
      <c r="L155" s="11"/>
      <c r="O155" s="129"/>
      <c r="P155" s="129"/>
      <c r="Q155" s="129"/>
    </row>
    <row r="156" spans="1:17" ht="28.5" customHeight="1" x14ac:dyDescent="0.2">
      <c r="A156" s="28">
        <v>23</v>
      </c>
      <c r="B156" s="28"/>
      <c r="C156" s="28"/>
      <c r="D156" s="28" t="s">
        <v>454</v>
      </c>
      <c r="E156" s="29"/>
      <c r="F156" s="30"/>
      <c r="G156" s="76"/>
      <c r="H156" s="178">
        <f>TRUNC(SUM(H157:H159),2)</f>
        <v>10877.91</v>
      </c>
      <c r="I156" s="180"/>
      <c r="K156" s="11"/>
      <c r="N156" s="129"/>
      <c r="O156" s="129"/>
      <c r="P156" s="129"/>
    </row>
    <row r="157" spans="1:17" ht="28.5" customHeight="1" x14ac:dyDescent="0.2">
      <c r="A157" s="160" t="s">
        <v>233</v>
      </c>
      <c r="B157" s="166" t="s">
        <v>124</v>
      </c>
      <c r="C157" s="269" t="s">
        <v>476</v>
      </c>
      <c r="D157" s="142" t="s">
        <v>69</v>
      </c>
      <c r="E157" s="161" t="s">
        <v>1</v>
      </c>
      <c r="F157" s="162">
        <f>TRUNC(3*1.5,2)</f>
        <v>4.5</v>
      </c>
      <c r="G157" s="163">
        <f>ROUND(I157*(1+$B$212),2)</f>
        <v>335.63</v>
      </c>
      <c r="H157" s="164">
        <f>ROUND(F157*G157,2)</f>
        <v>1510.34</v>
      </c>
      <c r="I157" s="116">
        <v>275.02</v>
      </c>
      <c r="K157" s="11"/>
      <c r="N157" s="129"/>
      <c r="O157" s="129"/>
      <c r="P157" s="129"/>
    </row>
    <row r="158" spans="1:17" ht="28.5" customHeight="1" x14ac:dyDescent="0.2">
      <c r="A158" s="160" t="s">
        <v>234</v>
      </c>
      <c r="B158" s="19" t="s">
        <v>19</v>
      </c>
      <c r="C158" s="269" t="s">
        <v>477</v>
      </c>
      <c r="D158" s="142" t="s">
        <v>71</v>
      </c>
      <c r="E158" s="258" t="s">
        <v>478</v>
      </c>
      <c r="F158" s="257">
        <v>5</v>
      </c>
      <c r="G158" s="163">
        <f>ROUND(I158*(1+$B$212),2)</f>
        <v>1037.3399999999999</v>
      </c>
      <c r="H158" s="164">
        <f>ROUND(F158*G158,2)</f>
        <v>5186.7</v>
      </c>
      <c r="I158" s="165">
        <v>850</v>
      </c>
      <c r="K158" s="11"/>
      <c r="N158" s="129"/>
      <c r="O158" s="129"/>
      <c r="P158" s="129"/>
    </row>
    <row r="159" spans="1:17" ht="28.5" customHeight="1" x14ac:dyDescent="0.2">
      <c r="A159" s="18" t="s">
        <v>429</v>
      </c>
      <c r="B159" s="166" t="s">
        <v>124</v>
      </c>
      <c r="C159" s="20" t="s">
        <v>92</v>
      </c>
      <c r="D159" s="25" t="s">
        <v>315</v>
      </c>
      <c r="E159" s="22" t="s">
        <v>1</v>
      </c>
      <c r="F159" s="167">
        <f>I4+1743.3</f>
        <v>8040.14</v>
      </c>
      <c r="G159" s="163">
        <f>ROUND(I159*(1+$B$212),2)</f>
        <v>0.52</v>
      </c>
      <c r="H159" s="164">
        <f>ROUND(F159*G159,2)</f>
        <v>4180.87</v>
      </c>
      <c r="I159" s="168">
        <v>0.43</v>
      </c>
      <c r="K159" s="11"/>
      <c r="N159" s="129"/>
      <c r="O159" s="129"/>
      <c r="P159" s="129"/>
    </row>
    <row r="160" spans="1:17" ht="28.5" customHeight="1" x14ac:dyDescent="0.2">
      <c r="A160" s="47"/>
      <c r="B160" s="18"/>
      <c r="C160" s="26"/>
      <c r="D160" s="21"/>
      <c r="E160" s="22"/>
      <c r="F160" s="34"/>
      <c r="G160" s="35"/>
      <c r="H160" s="156"/>
      <c r="I160" s="150"/>
      <c r="K160" s="11"/>
      <c r="N160" s="129"/>
      <c r="O160" s="129"/>
      <c r="P160" s="129"/>
    </row>
    <row r="161" spans="1:16" ht="28.5" customHeight="1" x14ac:dyDescent="0.2">
      <c r="A161" s="28">
        <v>24</v>
      </c>
      <c r="B161" s="28"/>
      <c r="C161" s="28"/>
      <c r="D161" s="28" t="s">
        <v>455</v>
      </c>
      <c r="E161" s="29"/>
      <c r="F161" s="30"/>
      <c r="G161" s="76"/>
      <c r="H161" s="178">
        <f>TRUNC(SUM(H162:H166),2)</f>
        <v>118572.66</v>
      </c>
      <c r="I161" s="181"/>
      <c r="K161" s="11"/>
      <c r="N161" s="129"/>
      <c r="O161" s="129"/>
      <c r="P161" s="129"/>
    </row>
    <row r="162" spans="1:16" ht="28.5" customHeight="1" x14ac:dyDescent="0.2">
      <c r="A162" s="18" t="s">
        <v>248</v>
      </c>
      <c r="B162" s="166" t="s">
        <v>124</v>
      </c>
      <c r="C162" s="20" t="s">
        <v>93</v>
      </c>
      <c r="D162" s="169" t="s">
        <v>187</v>
      </c>
      <c r="E162" s="22" t="s">
        <v>3</v>
      </c>
      <c r="F162" s="167">
        <f>TRUNC(I5*0.73,2)</f>
        <v>4792.66</v>
      </c>
      <c r="G162" s="163">
        <f>ROUND(I162*(1+$B$212),2)</f>
        <v>4.58</v>
      </c>
      <c r="H162" s="74">
        <f>ROUND(F162*G162,2)</f>
        <v>21950.38</v>
      </c>
      <c r="I162" s="116">
        <v>3.75</v>
      </c>
      <c r="K162" s="11"/>
      <c r="N162" s="129"/>
      <c r="O162" s="129"/>
      <c r="P162" s="129"/>
    </row>
    <row r="163" spans="1:16" ht="28.5" customHeight="1" x14ac:dyDescent="0.2">
      <c r="A163" s="18" t="s">
        <v>249</v>
      </c>
      <c r="B163" s="19" t="s">
        <v>19</v>
      </c>
      <c r="C163" s="20" t="s">
        <v>49</v>
      </c>
      <c r="D163" s="58" t="s">
        <v>272</v>
      </c>
      <c r="E163" s="22" t="s">
        <v>41</v>
      </c>
      <c r="F163" s="167">
        <f>ROUND(F162*1.25*1,2)</f>
        <v>5990.83</v>
      </c>
      <c r="G163" s="163">
        <f>ROUND(I163*(1+$B$212),2)</f>
        <v>3.54</v>
      </c>
      <c r="H163" s="74">
        <f>ROUND(F163*G163,2)</f>
        <v>21207.54</v>
      </c>
      <c r="I163" s="116">
        <v>2.9</v>
      </c>
      <c r="K163" s="11"/>
      <c r="N163" s="129"/>
      <c r="O163" s="129"/>
      <c r="P163" s="129"/>
    </row>
    <row r="164" spans="1:16" ht="28.5" customHeight="1" x14ac:dyDescent="0.2">
      <c r="A164" s="18" t="s">
        <v>250</v>
      </c>
      <c r="B164" s="19" t="s">
        <v>19</v>
      </c>
      <c r="C164" s="20" t="s">
        <v>95</v>
      </c>
      <c r="D164" s="25" t="s">
        <v>188</v>
      </c>
      <c r="E164" s="22" t="s">
        <v>3</v>
      </c>
      <c r="F164" s="167">
        <f>F162</f>
        <v>4792.66</v>
      </c>
      <c r="G164" s="163">
        <f>ROUND(I164*(1+$B$212),2)</f>
        <v>10.8</v>
      </c>
      <c r="H164" s="168">
        <f>ROUND(F164*G164,2)</f>
        <v>51760.73</v>
      </c>
      <c r="I164" s="116">
        <v>8.85</v>
      </c>
      <c r="K164" s="11"/>
      <c r="N164" s="129"/>
      <c r="O164" s="129"/>
      <c r="P164" s="129"/>
    </row>
    <row r="165" spans="1:16" ht="28.5" customHeight="1" x14ac:dyDescent="0.2">
      <c r="A165" s="18" t="s">
        <v>251</v>
      </c>
      <c r="B165" s="59" t="s">
        <v>19</v>
      </c>
      <c r="C165" s="38" t="s">
        <v>67</v>
      </c>
      <c r="D165" s="60" t="s">
        <v>4</v>
      </c>
      <c r="E165" s="22" t="s">
        <v>1</v>
      </c>
      <c r="F165" s="167">
        <f>I5</f>
        <v>6565.3</v>
      </c>
      <c r="G165" s="163">
        <f>ROUND(I165*(1+$B$212),2)</f>
        <v>3.08</v>
      </c>
      <c r="H165" s="74">
        <f>TRUNC(F165*G165,2)</f>
        <v>20221.12</v>
      </c>
      <c r="I165" s="116">
        <v>2.52</v>
      </c>
      <c r="K165" s="11"/>
      <c r="N165" s="129"/>
      <c r="O165" s="129"/>
      <c r="P165" s="129"/>
    </row>
    <row r="166" spans="1:16" ht="28.5" customHeight="1" x14ac:dyDescent="0.2">
      <c r="A166" s="112">
        <v>24.5</v>
      </c>
      <c r="B166" s="166" t="s">
        <v>124</v>
      </c>
      <c r="C166" s="38" t="s">
        <v>270</v>
      </c>
      <c r="D166" s="60" t="s">
        <v>271</v>
      </c>
      <c r="E166" s="22" t="s">
        <v>3</v>
      </c>
      <c r="F166" s="167">
        <f>110*2*0.0525</f>
        <v>11.549999999999999</v>
      </c>
      <c r="G166" s="163">
        <f>ROUND(I166*(1+$B$212),2)</f>
        <v>297.22000000000003</v>
      </c>
      <c r="H166" s="74">
        <f>TRUNC(F166*G166,2)</f>
        <v>3432.89</v>
      </c>
      <c r="I166" s="116">
        <v>243.54</v>
      </c>
      <c r="K166" s="11"/>
      <c r="N166" s="129"/>
      <c r="O166" s="129"/>
      <c r="P166" s="129"/>
    </row>
    <row r="167" spans="1:16" ht="28.5" customHeight="1" x14ac:dyDescent="0.2">
      <c r="A167" s="112"/>
      <c r="B167" s="59"/>
      <c r="C167" s="38"/>
      <c r="D167" s="60"/>
      <c r="E167" s="18"/>
      <c r="F167" s="34" t="s">
        <v>189</v>
      </c>
      <c r="G167" s="24"/>
      <c r="H167" s="182"/>
      <c r="I167" s="183"/>
      <c r="K167" s="11"/>
      <c r="N167" s="129"/>
      <c r="O167" s="129"/>
      <c r="P167" s="129"/>
    </row>
    <row r="168" spans="1:16" ht="28.5" customHeight="1" x14ac:dyDescent="0.2">
      <c r="A168" s="28">
        <v>25</v>
      </c>
      <c r="B168" s="28"/>
      <c r="C168" s="28"/>
      <c r="D168" s="28" t="s">
        <v>456</v>
      </c>
      <c r="E168" s="29"/>
      <c r="F168" s="30"/>
      <c r="G168" s="76"/>
      <c r="H168" s="178">
        <f>TRUNC(SUM(H169:H175),2)</f>
        <v>813694.93</v>
      </c>
      <c r="I168" s="184"/>
      <c r="K168" s="11"/>
      <c r="N168" s="129"/>
      <c r="O168" s="129"/>
      <c r="P168" s="129"/>
    </row>
    <row r="169" spans="1:16" ht="28.5" customHeight="1" x14ac:dyDescent="0.2">
      <c r="A169" s="18" t="s">
        <v>235</v>
      </c>
      <c r="B169" s="166" t="s">
        <v>124</v>
      </c>
      <c r="C169" s="20" t="s">
        <v>190</v>
      </c>
      <c r="D169" s="25" t="s">
        <v>191</v>
      </c>
      <c r="E169" s="18" t="s">
        <v>3</v>
      </c>
      <c r="F169" s="167">
        <f>I4*0.25</f>
        <v>1574.21</v>
      </c>
      <c r="G169" s="167">
        <f t="shared" ref="G169:G175" si="22">ROUND(I169*(1+$B$212),2)</f>
        <v>115.44</v>
      </c>
      <c r="H169" s="167">
        <f t="shared" ref="H169:H175" si="23">ROUND(F169*G169,2)</f>
        <v>181726.8</v>
      </c>
      <c r="I169" s="116">
        <v>94.59</v>
      </c>
      <c r="K169" s="11"/>
      <c r="N169" s="129"/>
      <c r="O169" s="129"/>
      <c r="P169" s="129"/>
    </row>
    <row r="170" spans="1:16" ht="28.5" customHeight="1" x14ac:dyDescent="0.2">
      <c r="A170" s="18" t="s">
        <v>236</v>
      </c>
      <c r="B170" s="19" t="s">
        <v>19</v>
      </c>
      <c r="C170" s="20" t="s">
        <v>98</v>
      </c>
      <c r="D170" s="25" t="s">
        <v>310</v>
      </c>
      <c r="E170" s="18" t="s">
        <v>41</v>
      </c>
      <c r="F170" s="167">
        <f>TRUNC(F169*22.9,2)</f>
        <v>36049.4</v>
      </c>
      <c r="G170" s="167">
        <f t="shared" si="22"/>
        <v>2.93</v>
      </c>
      <c r="H170" s="167">
        <f t="shared" si="23"/>
        <v>105624.74</v>
      </c>
      <c r="I170" s="116">
        <v>2.4</v>
      </c>
      <c r="K170" s="11"/>
      <c r="N170" s="129"/>
      <c r="O170" s="129"/>
      <c r="P170" s="129"/>
    </row>
    <row r="171" spans="1:16" ht="28.5" customHeight="1" x14ac:dyDescent="0.2">
      <c r="A171" s="18" t="s">
        <v>237</v>
      </c>
      <c r="B171" s="166" t="s">
        <v>124</v>
      </c>
      <c r="C171" s="20" t="s">
        <v>192</v>
      </c>
      <c r="D171" s="25" t="s">
        <v>193</v>
      </c>
      <c r="E171" s="18" t="s">
        <v>3</v>
      </c>
      <c r="F171" s="167">
        <f>TRUNC(I4*0.03,2)</f>
        <v>188.9</v>
      </c>
      <c r="G171" s="167">
        <f t="shared" si="22"/>
        <v>164.63</v>
      </c>
      <c r="H171" s="167">
        <f t="shared" si="23"/>
        <v>31098.61</v>
      </c>
      <c r="I171" s="116">
        <v>134.9</v>
      </c>
      <c r="K171" s="11"/>
      <c r="N171" s="129"/>
      <c r="O171" s="129"/>
      <c r="P171" s="129"/>
    </row>
    <row r="172" spans="1:16" ht="28.5" customHeight="1" x14ac:dyDescent="0.2">
      <c r="A172" s="18" t="s">
        <v>238</v>
      </c>
      <c r="B172" s="19" t="s">
        <v>19</v>
      </c>
      <c r="C172" s="20" t="s">
        <v>98</v>
      </c>
      <c r="D172" s="25" t="s">
        <v>311</v>
      </c>
      <c r="E172" s="18" t="s">
        <v>41</v>
      </c>
      <c r="F172" s="167">
        <f>TRUNC(F171*22.9,2)</f>
        <v>4325.8100000000004</v>
      </c>
      <c r="G172" s="167">
        <f t="shared" si="22"/>
        <v>2.93</v>
      </c>
      <c r="H172" s="167">
        <f t="shared" si="23"/>
        <v>12674.62</v>
      </c>
      <c r="I172" s="116">
        <v>2.4</v>
      </c>
      <c r="K172" s="11"/>
      <c r="N172" s="129"/>
      <c r="O172" s="129"/>
      <c r="P172" s="129"/>
    </row>
    <row r="173" spans="1:16" ht="28.5" customHeight="1" x14ac:dyDescent="0.2">
      <c r="A173" s="18" t="s">
        <v>252</v>
      </c>
      <c r="B173" s="19" t="s">
        <v>19</v>
      </c>
      <c r="C173" s="20" t="s">
        <v>50</v>
      </c>
      <c r="D173" s="25" t="s">
        <v>273</v>
      </c>
      <c r="E173" s="18" t="s">
        <v>3</v>
      </c>
      <c r="F173" s="167">
        <f>TRUNC(I5*0.24,2)</f>
        <v>1575.67</v>
      </c>
      <c r="G173" s="167">
        <f t="shared" si="22"/>
        <v>158.49</v>
      </c>
      <c r="H173" s="167">
        <f t="shared" si="23"/>
        <v>249727.94</v>
      </c>
      <c r="I173" s="116">
        <v>129.87</v>
      </c>
      <c r="K173" s="11"/>
      <c r="N173" s="129"/>
      <c r="O173" s="129"/>
      <c r="P173" s="129"/>
    </row>
    <row r="174" spans="1:16" ht="28.5" customHeight="1" x14ac:dyDescent="0.2">
      <c r="A174" s="18" t="s">
        <v>253</v>
      </c>
      <c r="B174" s="19" t="s">
        <v>19</v>
      </c>
      <c r="C174" s="20" t="s">
        <v>98</v>
      </c>
      <c r="D174" s="25" t="s">
        <v>312</v>
      </c>
      <c r="E174" s="18" t="s">
        <v>41</v>
      </c>
      <c r="F174" s="167">
        <f>TRUNC(F173*22.9,2)</f>
        <v>36082.839999999997</v>
      </c>
      <c r="G174" s="167">
        <f t="shared" si="22"/>
        <v>2.93</v>
      </c>
      <c r="H174" s="167">
        <f t="shared" si="23"/>
        <v>105722.72</v>
      </c>
      <c r="I174" s="116">
        <v>2.4</v>
      </c>
      <c r="K174" s="11"/>
      <c r="N174" s="129"/>
      <c r="O174" s="129"/>
      <c r="P174" s="129"/>
    </row>
    <row r="175" spans="1:16" ht="28.5" customHeight="1" x14ac:dyDescent="0.2">
      <c r="A175" s="18" t="s">
        <v>254</v>
      </c>
      <c r="B175" s="19" t="s">
        <v>19</v>
      </c>
      <c r="C175" s="20" t="s">
        <v>42</v>
      </c>
      <c r="D175" s="21" t="s">
        <v>15</v>
      </c>
      <c r="E175" s="18" t="s">
        <v>0</v>
      </c>
      <c r="F175" s="167">
        <v>1868.58</v>
      </c>
      <c r="G175" s="167">
        <f t="shared" si="22"/>
        <v>68.03</v>
      </c>
      <c r="H175" s="167">
        <f t="shared" si="23"/>
        <v>127119.5</v>
      </c>
      <c r="I175" s="116">
        <v>55.74</v>
      </c>
      <c r="K175" s="11"/>
      <c r="N175" s="129"/>
      <c r="O175" s="129"/>
      <c r="P175" s="129"/>
    </row>
    <row r="176" spans="1:16" ht="28.5" customHeight="1" x14ac:dyDescent="0.2">
      <c r="A176" s="18"/>
      <c r="B176" s="19"/>
      <c r="C176" s="20"/>
      <c r="D176" s="21"/>
      <c r="E176" s="18"/>
      <c r="F176" s="72"/>
      <c r="G176" s="35"/>
      <c r="H176" s="73"/>
      <c r="I176" s="185"/>
      <c r="K176" s="11"/>
      <c r="N176" s="129"/>
      <c r="O176" s="129"/>
      <c r="P176" s="129"/>
    </row>
    <row r="177" spans="1:16" ht="28.5" customHeight="1" x14ac:dyDescent="0.2">
      <c r="A177" s="28">
        <v>26</v>
      </c>
      <c r="B177" s="28"/>
      <c r="C177" s="28"/>
      <c r="D177" s="28" t="s">
        <v>457</v>
      </c>
      <c r="E177" s="29"/>
      <c r="F177" s="30"/>
      <c r="G177" s="76"/>
      <c r="H177" s="77">
        <f>TRUNC(SUM(H178:H180),2)</f>
        <v>985543.37</v>
      </c>
      <c r="I177" s="47"/>
      <c r="K177" s="11"/>
      <c r="N177" s="129"/>
      <c r="O177" s="129"/>
      <c r="P177" s="129"/>
    </row>
    <row r="178" spans="1:16" ht="28.5" customHeight="1" x14ac:dyDescent="0.2">
      <c r="A178" s="18" t="s">
        <v>239</v>
      </c>
      <c r="B178" s="135" t="s">
        <v>124</v>
      </c>
      <c r="C178" s="20" t="s">
        <v>194</v>
      </c>
      <c r="D178" s="21" t="s">
        <v>195</v>
      </c>
      <c r="E178" s="18" t="s">
        <v>1</v>
      </c>
      <c r="F178" s="167">
        <f>I4</f>
        <v>6296.84</v>
      </c>
      <c r="G178" s="167">
        <f>ROUND(I178*(1+$B$212),2)</f>
        <v>8.8000000000000007</v>
      </c>
      <c r="H178" s="167">
        <f>ROUND(F178*G178,2)</f>
        <v>55412.19</v>
      </c>
      <c r="I178" s="116">
        <v>7.21</v>
      </c>
      <c r="K178" s="11"/>
      <c r="N178" s="129"/>
      <c r="O178" s="129"/>
      <c r="P178" s="129"/>
    </row>
    <row r="179" spans="1:16" ht="28.5" customHeight="1" x14ac:dyDescent="0.2">
      <c r="A179" s="18" t="s">
        <v>240</v>
      </c>
      <c r="B179" s="19" t="s">
        <v>19</v>
      </c>
      <c r="C179" s="20" t="s">
        <v>486</v>
      </c>
      <c r="D179" s="21" t="s">
        <v>196</v>
      </c>
      <c r="E179" s="18" t="s">
        <v>3</v>
      </c>
      <c r="F179" s="167">
        <f>TRUNC(F178*0.06,2)</f>
        <v>377.81</v>
      </c>
      <c r="G179" s="167">
        <f>TRUNC(I179*(1+$B$212),2)</f>
        <v>2430.84</v>
      </c>
      <c r="H179" s="167">
        <f>ROUND(F179*G179,2)</f>
        <v>918395.66</v>
      </c>
      <c r="I179" s="116">
        <v>1991.84</v>
      </c>
      <c r="K179" s="11"/>
      <c r="N179" s="129"/>
      <c r="O179" s="129"/>
      <c r="P179" s="129"/>
    </row>
    <row r="180" spans="1:16" ht="28.5" customHeight="1" x14ac:dyDescent="0.2">
      <c r="A180" s="18" t="s">
        <v>241</v>
      </c>
      <c r="B180" s="135" t="s">
        <v>124</v>
      </c>
      <c r="C180" s="20" t="s">
        <v>197</v>
      </c>
      <c r="D180" s="21" t="s">
        <v>464</v>
      </c>
      <c r="E180" s="18" t="s">
        <v>198</v>
      </c>
      <c r="F180" s="167">
        <f>TRUNC(F179*16.7,2)</f>
        <v>6309.42</v>
      </c>
      <c r="G180" s="167">
        <f>ROUND(I180*(1+$B$212),2)</f>
        <v>1.86</v>
      </c>
      <c r="H180" s="167">
        <f>ROUND(F180*G180,2)</f>
        <v>11735.52</v>
      </c>
      <c r="I180" s="116">
        <v>1.52</v>
      </c>
      <c r="K180" s="11"/>
      <c r="N180" s="129"/>
      <c r="O180" s="129"/>
      <c r="P180" s="129"/>
    </row>
    <row r="181" spans="1:16" ht="28.5" customHeight="1" x14ac:dyDescent="0.2">
      <c r="A181" s="18"/>
      <c r="B181" s="135"/>
      <c r="C181" s="20"/>
      <c r="D181" s="21"/>
      <c r="E181" s="18"/>
      <c r="F181" s="72"/>
      <c r="G181" s="35"/>
      <c r="H181" s="182"/>
      <c r="I181" s="186"/>
      <c r="K181" s="11"/>
      <c r="N181" s="129"/>
      <c r="O181" s="129"/>
      <c r="P181" s="129"/>
    </row>
    <row r="182" spans="1:16" ht="28.5" customHeight="1" x14ac:dyDescent="0.2">
      <c r="A182" s="28">
        <v>27</v>
      </c>
      <c r="B182" s="28"/>
      <c r="C182" s="28"/>
      <c r="D182" s="28" t="s">
        <v>458</v>
      </c>
      <c r="E182" s="29"/>
      <c r="F182" s="170"/>
      <c r="G182" s="44"/>
      <c r="H182" s="178">
        <f>TRUNC(SUM(H183:H190),2)</f>
        <v>112621.2</v>
      </c>
      <c r="I182" s="184"/>
      <c r="K182" s="11"/>
      <c r="N182" s="129"/>
      <c r="O182" s="129"/>
      <c r="P182" s="129"/>
    </row>
    <row r="183" spans="1:16" ht="28.5" customHeight="1" x14ac:dyDescent="0.2">
      <c r="A183" s="18" t="s">
        <v>255</v>
      </c>
      <c r="B183" s="19" t="s">
        <v>19</v>
      </c>
      <c r="C183" s="20" t="s">
        <v>43</v>
      </c>
      <c r="D183" s="25" t="s">
        <v>27</v>
      </c>
      <c r="E183" s="18" t="s">
        <v>3</v>
      </c>
      <c r="F183" s="167">
        <v>270.24</v>
      </c>
      <c r="G183" s="35">
        <f t="shared" ref="G183:G190" si="24">ROUND(I183*(1+$B$212),2)</f>
        <v>9.34</v>
      </c>
      <c r="H183" s="35">
        <f t="shared" ref="H183:H190" si="25">TRUNC(F183*G183,2)</f>
        <v>2524.04</v>
      </c>
      <c r="I183" s="116">
        <v>7.65</v>
      </c>
      <c r="K183" s="11"/>
      <c r="N183" s="129"/>
      <c r="O183" s="129"/>
      <c r="P183" s="129"/>
    </row>
    <row r="184" spans="1:16" ht="28.5" customHeight="1" x14ac:dyDescent="0.2">
      <c r="A184" s="18" t="s">
        <v>256</v>
      </c>
      <c r="B184" s="19" t="s">
        <v>19</v>
      </c>
      <c r="C184" s="20" t="s">
        <v>75</v>
      </c>
      <c r="D184" s="25" t="s">
        <v>199</v>
      </c>
      <c r="E184" s="18" t="s">
        <v>0</v>
      </c>
      <c r="F184" s="167">
        <f>3+2+49+2+47+2+50+3+3+3+2+2+2+2+2+2+2+2+2+2+6+2+37+2+2+2+2+2+3+4+5</f>
        <v>251</v>
      </c>
      <c r="G184" s="35">
        <f t="shared" si="24"/>
        <v>82.32</v>
      </c>
      <c r="H184" s="35">
        <f t="shared" si="25"/>
        <v>20662.32</v>
      </c>
      <c r="I184" s="171">
        <v>67.45</v>
      </c>
      <c r="K184" s="11"/>
      <c r="N184" s="129"/>
      <c r="O184" s="129"/>
      <c r="P184" s="129"/>
    </row>
    <row r="185" spans="1:16" ht="28.5" customHeight="1" x14ac:dyDescent="0.2">
      <c r="A185" s="18" t="s">
        <v>257</v>
      </c>
      <c r="B185" s="19" t="s">
        <v>19</v>
      </c>
      <c r="C185" s="20" t="s">
        <v>73</v>
      </c>
      <c r="D185" s="25" t="s">
        <v>74</v>
      </c>
      <c r="E185" s="18" t="s">
        <v>0</v>
      </c>
      <c r="F185" s="167">
        <f>F184</f>
        <v>251</v>
      </c>
      <c r="G185" s="35">
        <f t="shared" si="24"/>
        <v>71.319999999999993</v>
      </c>
      <c r="H185" s="35">
        <f t="shared" si="25"/>
        <v>17901.32</v>
      </c>
      <c r="I185" s="171">
        <v>58.44</v>
      </c>
      <c r="K185" s="11"/>
      <c r="N185" s="129"/>
      <c r="O185" s="129"/>
      <c r="P185" s="129"/>
    </row>
    <row r="186" spans="1:16" ht="28.5" customHeight="1" x14ac:dyDescent="0.2">
      <c r="A186" s="18" t="s">
        <v>258</v>
      </c>
      <c r="B186" s="19" t="s">
        <v>19</v>
      </c>
      <c r="C186" s="20" t="s">
        <v>44</v>
      </c>
      <c r="D186" s="25" t="s">
        <v>30</v>
      </c>
      <c r="E186" s="18" t="s">
        <v>3</v>
      </c>
      <c r="F186" s="167">
        <f>TRUNC(F183-F187,2)</f>
        <v>224.83</v>
      </c>
      <c r="G186" s="35">
        <f t="shared" si="24"/>
        <v>15.57</v>
      </c>
      <c r="H186" s="35">
        <f>ROUND(F186*G186,2)</f>
        <v>3500.6</v>
      </c>
      <c r="I186" s="21">
        <v>12.76</v>
      </c>
      <c r="K186" s="11"/>
      <c r="N186" s="129"/>
      <c r="O186" s="129"/>
      <c r="P186" s="129"/>
    </row>
    <row r="187" spans="1:16" ht="28.5" customHeight="1" x14ac:dyDescent="0.2">
      <c r="A187" s="18" t="s">
        <v>259</v>
      </c>
      <c r="B187" s="19" t="s">
        <v>19</v>
      </c>
      <c r="C187" s="20" t="s">
        <v>95</v>
      </c>
      <c r="D187" s="25" t="s">
        <v>188</v>
      </c>
      <c r="E187" s="18" t="s">
        <v>3</v>
      </c>
      <c r="F187" s="167">
        <f>TRUNC(251* 3.1416 * 0.48 * 0.48 / 4,2)</f>
        <v>45.41</v>
      </c>
      <c r="G187" s="35">
        <f t="shared" si="24"/>
        <v>10.8</v>
      </c>
      <c r="H187" s="35">
        <f>ROUND(F187*G187,2)</f>
        <v>490.43</v>
      </c>
      <c r="I187" s="116">
        <v>8.85</v>
      </c>
      <c r="K187" s="11"/>
      <c r="N187" s="129"/>
      <c r="O187" s="129"/>
      <c r="P187" s="129"/>
    </row>
    <row r="188" spans="1:16" ht="28.5" customHeight="1" x14ac:dyDescent="0.2">
      <c r="A188" s="18" t="s">
        <v>260</v>
      </c>
      <c r="B188" s="19" t="s">
        <v>19</v>
      </c>
      <c r="C188" s="20" t="s">
        <v>49</v>
      </c>
      <c r="D188" s="25" t="s">
        <v>305</v>
      </c>
      <c r="E188" s="18" t="s">
        <v>41</v>
      </c>
      <c r="F188" s="167">
        <f>TRUNC((F187)*1.25*1,2)</f>
        <v>56.76</v>
      </c>
      <c r="G188" s="35">
        <f t="shared" si="24"/>
        <v>3.54</v>
      </c>
      <c r="H188" s="35">
        <f>ROUND(F188*G188,2)</f>
        <v>200.93</v>
      </c>
      <c r="I188" s="21">
        <v>2.9</v>
      </c>
      <c r="K188" s="11"/>
      <c r="L188" s="105"/>
      <c r="N188" s="129"/>
      <c r="O188" s="129"/>
      <c r="P188" s="129"/>
    </row>
    <row r="189" spans="1:16" ht="28.5" customHeight="1" x14ac:dyDescent="0.2">
      <c r="A189" s="18" t="s">
        <v>261</v>
      </c>
      <c r="B189" s="135" t="s">
        <v>124</v>
      </c>
      <c r="C189" s="137" t="s">
        <v>100</v>
      </c>
      <c r="D189" s="25" t="s">
        <v>482</v>
      </c>
      <c r="E189" s="18" t="s">
        <v>31</v>
      </c>
      <c r="F189" s="167">
        <v>13</v>
      </c>
      <c r="G189" s="35">
        <f t="shared" si="24"/>
        <v>2392.58</v>
      </c>
      <c r="H189" s="35">
        <f>TRUNC(F189*G189,2)</f>
        <v>31103.54</v>
      </c>
      <c r="I189" s="253">
        <v>1960.49</v>
      </c>
      <c r="K189" s="11"/>
      <c r="N189" s="129"/>
      <c r="O189" s="129"/>
      <c r="P189" s="129"/>
    </row>
    <row r="190" spans="1:16" ht="28.5" customHeight="1" x14ac:dyDescent="0.2">
      <c r="A190" s="18" t="s">
        <v>262</v>
      </c>
      <c r="B190" s="135" t="s">
        <v>124</v>
      </c>
      <c r="C190" s="137" t="s">
        <v>101</v>
      </c>
      <c r="D190" s="25" t="s">
        <v>32</v>
      </c>
      <c r="E190" s="18" t="s">
        <v>31</v>
      </c>
      <c r="F190" s="167">
        <v>26</v>
      </c>
      <c r="G190" s="35">
        <f t="shared" si="24"/>
        <v>1393.77</v>
      </c>
      <c r="H190" s="35">
        <f t="shared" si="25"/>
        <v>36238.019999999997</v>
      </c>
      <c r="I190" s="253">
        <v>1142.06</v>
      </c>
      <c r="K190" s="11"/>
      <c r="N190" s="129"/>
      <c r="O190" s="129"/>
      <c r="P190" s="129"/>
    </row>
    <row r="191" spans="1:16" ht="28.5" customHeight="1" x14ac:dyDescent="0.2">
      <c r="A191" s="18"/>
      <c r="B191" s="18"/>
      <c r="C191" s="18"/>
      <c r="D191" s="21"/>
      <c r="E191" s="18"/>
      <c r="F191" s="34"/>
      <c r="G191" s="35"/>
      <c r="H191" s="182"/>
      <c r="I191" s="186"/>
      <c r="K191" s="11"/>
      <c r="N191" s="129"/>
      <c r="O191" s="129"/>
      <c r="P191" s="129"/>
    </row>
    <row r="192" spans="1:16" ht="28.5" customHeight="1" x14ac:dyDescent="0.2">
      <c r="A192" s="28">
        <v>28</v>
      </c>
      <c r="B192" s="28"/>
      <c r="C192" s="28"/>
      <c r="D192" s="28" t="s">
        <v>459</v>
      </c>
      <c r="E192" s="29"/>
      <c r="F192" s="170"/>
      <c r="G192" s="31"/>
      <c r="H192" s="178">
        <f>TRUNC(SUM(H193:H196),2)</f>
        <v>6664.65</v>
      </c>
      <c r="I192" s="183"/>
      <c r="K192" s="11"/>
      <c r="N192" s="129"/>
      <c r="O192" s="129"/>
      <c r="P192" s="129"/>
    </row>
    <row r="193" spans="1:17" ht="28.5" customHeight="1" x14ac:dyDescent="0.2">
      <c r="A193" s="18" t="s">
        <v>242</v>
      </c>
      <c r="B193" s="19" t="s">
        <v>19</v>
      </c>
      <c r="C193" s="20" t="s">
        <v>79</v>
      </c>
      <c r="D193" s="169" t="s">
        <v>200</v>
      </c>
      <c r="E193" s="173" t="s">
        <v>0</v>
      </c>
      <c r="F193" s="167">
        <v>260</v>
      </c>
      <c r="G193" s="172">
        <f>ROUND(I193*(1+$B$212),2)</f>
        <v>6.72</v>
      </c>
      <c r="H193" s="172">
        <f>TRUNC(F193*G193,2)</f>
        <v>1747.2</v>
      </c>
      <c r="I193" s="116">
        <v>5.51</v>
      </c>
      <c r="K193" s="11"/>
      <c r="N193" s="129"/>
      <c r="O193" s="129"/>
      <c r="P193" s="129"/>
    </row>
    <row r="194" spans="1:17" ht="28.5" customHeight="1" x14ac:dyDescent="0.2">
      <c r="A194" s="18" t="s">
        <v>243</v>
      </c>
      <c r="B194" s="19" t="s">
        <v>19</v>
      </c>
      <c r="C194" s="20" t="s">
        <v>77</v>
      </c>
      <c r="D194" s="25" t="s">
        <v>78</v>
      </c>
      <c r="E194" s="173" t="s">
        <v>1</v>
      </c>
      <c r="F194" s="167">
        <v>124.8</v>
      </c>
      <c r="G194" s="172">
        <f>ROUND(I194*(1+$B$212),2)</f>
        <v>28.28</v>
      </c>
      <c r="H194" s="172">
        <f>ROUND(F194*G194,2)</f>
        <v>3529.34</v>
      </c>
      <c r="I194" s="116">
        <v>23.17</v>
      </c>
      <c r="K194" s="11"/>
      <c r="N194" s="129"/>
      <c r="O194" s="129"/>
      <c r="P194" s="129"/>
    </row>
    <row r="195" spans="1:17" ht="28.5" customHeight="1" x14ac:dyDescent="0.2">
      <c r="A195" s="18" t="s">
        <v>244</v>
      </c>
      <c r="B195" s="135" t="s">
        <v>124</v>
      </c>
      <c r="C195" s="26">
        <v>11</v>
      </c>
      <c r="D195" s="25" t="s">
        <v>201</v>
      </c>
      <c r="E195" s="18" t="s">
        <v>1</v>
      </c>
      <c r="F195" s="167">
        <f>5*0.3</f>
        <v>1.5</v>
      </c>
      <c r="G195" s="172">
        <f>ROUND(I195*(1+$B$212),2)</f>
        <v>628.03</v>
      </c>
      <c r="H195" s="172">
        <f>ROUND(F195*G195,2)</f>
        <v>942.05</v>
      </c>
      <c r="I195" s="116">
        <v>514.61</v>
      </c>
      <c r="K195" s="11"/>
      <c r="N195" s="129"/>
      <c r="O195" s="129"/>
      <c r="P195" s="129"/>
    </row>
    <row r="196" spans="1:17" ht="28.5" customHeight="1" x14ac:dyDescent="0.2">
      <c r="A196" s="18" t="s">
        <v>417</v>
      </c>
      <c r="B196" s="18" t="s">
        <v>124</v>
      </c>
      <c r="C196" s="26">
        <v>20</v>
      </c>
      <c r="D196" s="142" t="s">
        <v>415</v>
      </c>
      <c r="E196" s="22" t="s">
        <v>1</v>
      </c>
      <c r="F196" s="167">
        <f>TRUNC(4*0.2,2)</f>
        <v>0.8</v>
      </c>
      <c r="G196" s="172">
        <f>ROUND(I196*(1+$B$212),2)</f>
        <v>557.58000000000004</v>
      </c>
      <c r="H196" s="172">
        <f>ROUND(F196*G196,2)</f>
        <v>446.06</v>
      </c>
      <c r="I196" s="116">
        <v>456.88</v>
      </c>
      <c r="K196" s="11"/>
      <c r="N196" s="129"/>
      <c r="O196" s="129"/>
      <c r="P196" s="129"/>
    </row>
    <row r="197" spans="1:17" ht="28.5" customHeight="1" x14ac:dyDescent="0.2">
      <c r="A197" s="41"/>
      <c r="B197" s="41"/>
      <c r="C197" s="41"/>
      <c r="D197" s="174"/>
      <c r="E197" s="18"/>
      <c r="F197" s="175"/>
      <c r="G197" s="24"/>
      <c r="H197" s="187"/>
      <c r="I197" s="183"/>
      <c r="K197" s="11"/>
      <c r="N197" s="129"/>
      <c r="O197" s="129"/>
      <c r="P197" s="129"/>
    </row>
    <row r="198" spans="1:17" ht="28.5" customHeight="1" x14ac:dyDescent="0.2">
      <c r="A198" s="28">
        <v>29</v>
      </c>
      <c r="B198" s="28"/>
      <c r="C198" s="28"/>
      <c r="D198" s="28" t="s">
        <v>460</v>
      </c>
      <c r="E198" s="29"/>
      <c r="F198" s="170"/>
      <c r="G198" s="31"/>
      <c r="H198" s="178">
        <f>SUM(H199:H205)</f>
        <v>155677.84000000003</v>
      </c>
      <c r="I198" s="183"/>
      <c r="J198" s="150"/>
      <c r="L198" s="11"/>
      <c r="O198" s="129"/>
      <c r="P198" s="129"/>
      <c r="Q198" s="129"/>
    </row>
    <row r="199" spans="1:17" ht="28.5" customHeight="1" x14ac:dyDescent="0.2">
      <c r="A199" s="160" t="s">
        <v>245</v>
      </c>
      <c r="B199" s="19" t="s">
        <v>19</v>
      </c>
      <c r="C199" s="144">
        <v>94991</v>
      </c>
      <c r="D199" s="142" t="s">
        <v>127</v>
      </c>
      <c r="E199" s="160" t="s">
        <v>3</v>
      </c>
      <c r="F199" s="167">
        <f>+TRUNC(1755.3*0.07-(136+842.5)*0.4*0.035,2)</f>
        <v>109.17</v>
      </c>
      <c r="G199" s="163">
        <f t="shared" ref="G199:G205" si="26">ROUND(I199*(1+$B$212),2)</f>
        <v>850.84</v>
      </c>
      <c r="H199" s="172">
        <f t="shared" ref="H199:H205" si="27">ROUND(F199*G199,2)</f>
        <v>92886.2</v>
      </c>
      <c r="I199" s="143">
        <v>697.18</v>
      </c>
      <c r="K199" s="11"/>
      <c r="N199" s="129"/>
      <c r="O199" s="129"/>
      <c r="P199" s="129"/>
    </row>
    <row r="200" spans="1:17" ht="28.5" customHeight="1" x14ac:dyDescent="0.2">
      <c r="A200" s="160" t="s">
        <v>246</v>
      </c>
      <c r="B200" s="135" t="s">
        <v>124</v>
      </c>
      <c r="C200" s="144">
        <v>21</v>
      </c>
      <c r="D200" s="25" t="s">
        <v>463</v>
      </c>
      <c r="E200" s="160" t="s">
        <v>3</v>
      </c>
      <c r="F200" s="167">
        <f>TRUNC((1755.3-200.25*1.8)*0.03,2)</f>
        <v>41.84</v>
      </c>
      <c r="G200" s="163">
        <f t="shared" si="26"/>
        <v>150.07</v>
      </c>
      <c r="H200" s="172">
        <f t="shared" si="27"/>
        <v>6278.93</v>
      </c>
      <c r="I200" s="165">
        <v>122.97</v>
      </c>
      <c r="K200" s="11"/>
      <c r="N200" s="129"/>
      <c r="O200" s="129"/>
      <c r="P200" s="129"/>
    </row>
    <row r="201" spans="1:17" ht="28.5" customHeight="1" x14ac:dyDescent="0.2">
      <c r="A201" s="160" t="s">
        <v>247</v>
      </c>
      <c r="B201" s="19" t="s">
        <v>19</v>
      </c>
      <c r="C201" s="20" t="s">
        <v>98</v>
      </c>
      <c r="D201" s="142" t="s">
        <v>313</v>
      </c>
      <c r="E201" s="18" t="s">
        <v>41</v>
      </c>
      <c r="F201" s="167">
        <f>ROUND(F200*22.9,2)</f>
        <v>958.14</v>
      </c>
      <c r="G201" s="163">
        <f t="shared" si="26"/>
        <v>2.93</v>
      </c>
      <c r="H201" s="172">
        <f t="shared" si="27"/>
        <v>2807.35</v>
      </c>
      <c r="I201" s="116">
        <v>2.4</v>
      </c>
      <c r="K201" s="11"/>
      <c r="N201" s="129"/>
      <c r="O201" s="129"/>
      <c r="P201" s="129"/>
    </row>
    <row r="202" spans="1:17" ht="28.5" customHeight="1" x14ac:dyDescent="0.2">
      <c r="A202" s="160" t="s">
        <v>263</v>
      </c>
      <c r="B202" s="166" t="s">
        <v>124</v>
      </c>
      <c r="C202" s="26">
        <v>2</v>
      </c>
      <c r="D202" s="21" t="s">
        <v>46</v>
      </c>
      <c r="E202" s="18" t="s">
        <v>17</v>
      </c>
      <c r="F202" s="167">
        <v>6</v>
      </c>
      <c r="G202" s="163">
        <f t="shared" si="26"/>
        <v>624.11</v>
      </c>
      <c r="H202" s="172">
        <f t="shared" si="27"/>
        <v>3744.66</v>
      </c>
      <c r="I202" s="143">
        <v>511.4</v>
      </c>
      <c r="K202" s="11"/>
      <c r="N202" s="129"/>
      <c r="O202" s="129"/>
      <c r="P202" s="129"/>
    </row>
    <row r="203" spans="1:17" ht="28.5" customHeight="1" x14ac:dyDescent="0.2">
      <c r="A203" s="160" t="s">
        <v>264</v>
      </c>
      <c r="B203" s="166" t="s">
        <v>124</v>
      </c>
      <c r="C203" s="26">
        <v>1</v>
      </c>
      <c r="D203" s="21" t="s">
        <v>484</v>
      </c>
      <c r="E203" s="18" t="s">
        <v>1</v>
      </c>
      <c r="F203" s="176">
        <f>ROUND(136*0.4,2)</f>
        <v>54.4</v>
      </c>
      <c r="G203" s="163">
        <f t="shared" si="26"/>
        <v>117.7</v>
      </c>
      <c r="H203" s="172">
        <f t="shared" si="27"/>
        <v>6402.88</v>
      </c>
      <c r="I203" s="143">
        <v>96.44</v>
      </c>
      <c r="K203" s="11"/>
      <c r="N203" s="129"/>
      <c r="O203" s="129"/>
      <c r="P203" s="129"/>
    </row>
    <row r="204" spans="1:17" ht="28.5" customHeight="1" x14ac:dyDescent="0.2">
      <c r="A204" s="160" t="s">
        <v>265</v>
      </c>
      <c r="B204" s="166" t="s">
        <v>124</v>
      </c>
      <c r="C204" s="26">
        <v>7</v>
      </c>
      <c r="D204" s="21" t="s">
        <v>485</v>
      </c>
      <c r="E204" s="22" t="s">
        <v>1</v>
      </c>
      <c r="F204" s="176">
        <f>ROUND(842.5*0.4,2)</f>
        <v>337</v>
      </c>
      <c r="G204" s="163">
        <f t="shared" si="26"/>
        <v>117.7</v>
      </c>
      <c r="H204" s="172">
        <f t="shared" si="27"/>
        <v>39664.9</v>
      </c>
      <c r="I204" s="143">
        <v>96.44</v>
      </c>
      <c r="K204" s="11"/>
      <c r="N204" s="129"/>
      <c r="O204" s="129"/>
      <c r="P204" s="129"/>
    </row>
    <row r="205" spans="1:17" ht="28.5" customHeight="1" x14ac:dyDescent="0.25">
      <c r="A205" s="160" t="s">
        <v>266</v>
      </c>
      <c r="B205" s="166" t="s">
        <v>124</v>
      </c>
      <c r="C205" s="26">
        <v>9</v>
      </c>
      <c r="D205" s="21" t="s">
        <v>202</v>
      </c>
      <c r="E205" s="177" t="s">
        <v>3</v>
      </c>
      <c r="F205" s="167">
        <f>TRUNC((8.64+11.56+18.86+129.85)*0.07,2)</f>
        <v>11.82</v>
      </c>
      <c r="G205" s="163">
        <f t="shared" si="26"/>
        <v>329.35</v>
      </c>
      <c r="H205" s="172">
        <f t="shared" si="27"/>
        <v>3892.92</v>
      </c>
      <c r="I205" s="143">
        <v>269.87</v>
      </c>
      <c r="K205" s="11"/>
      <c r="N205" s="129"/>
      <c r="O205" s="129"/>
      <c r="P205" s="129"/>
    </row>
    <row r="206" spans="1:17" ht="28.5" customHeight="1" x14ac:dyDescent="0.2">
      <c r="A206" s="18"/>
      <c r="B206" s="18"/>
      <c r="C206" s="137"/>
      <c r="D206" s="25"/>
      <c r="E206" s="22"/>
      <c r="F206" s="74"/>
      <c r="G206" s="74"/>
      <c r="H206" s="34"/>
      <c r="I206" s="126"/>
      <c r="K206" s="11"/>
      <c r="N206" s="129"/>
      <c r="O206" s="129"/>
      <c r="P206" s="129"/>
    </row>
    <row r="207" spans="1:17" ht="32.25" customHeight="1" thickBot="1" x14ac:dyDescent="0.25">
      <c r="A207" s="113"/>
      <c r="B207" s="66"/>
      <c r="C207" s="66"/>
      <c r="D207" s="67"/>
      <c r="E207" s="67"/>
      <c r="F207" s="67"/>
      <c r="G207" s="68" t="s">
        <v>21</v>
      </c>
      <c r="H207" s="75">
        <f>TRUNC(SUM(H7,H10,H15,H21,H26,H31,H41,H47,H55,H60,H66,H75,H80,H95,H101,H109,H114,H120,H125,H130,H141,H147,H156,H161,H168,H177,H182,H192,H198),2)</f>
        <v>2959696.31</v>
      </c>
      <c r="J207" s="111"/>
      <c r="K207" s="11"/>
      <c r="L207" s="118"/>
    </row>
    <row r="208" spans="1:17" ht="24.95" customHeight="1" thickBot="1" x14ac:dyDescent="0.25">
      <c r="A208" s="114" t="s">
        <v>461</v>
      </c>
      <c r="B208" s="6"/>
      <c r="C208" s="6"/>
      <c r="D208" s="6"/>
      <c r="E208" s="6"/>
      <c r="F208" s="6"/>
      <c r="G208" s="6"/>
      <c r="H208" s="7"/>
      <c r="K208" s="11"/>
    </row>
    <row r="209" spans="1:18" customFormat="1" ht="24.95" customHeight="1" x14ac:dyDescent="0.2">
      <c r="A209" s="9" t="s">
        <v>462</v>
      </c>
      <c r="B209" s="10"/>
      <c r="C209" s="10"/>
      <c r="D209" s="10"/>
      <c r="E209" s="48"/>
      <c r="F209" s="48"/>
      <c r="G209" s="69"/>
      <c r="H209" s="70"/>
      <c r="I209" s="2"/>
      <c r="K209" s="11"/>
      <c r="L209" s="2"/>
      <c r="M209" s="2"/>
      <c r="N209" s="2"/>
      <c r="O209" s="2"/>
      <c r="P209" s="2"/>
      <c r="Q209" s="2"/>
      <c r="R209" s="2"/>
    </row>
    <row r="210" spans="1:18" customFormat="1" ht="24.95" customHeight="1" x14ac:dyDescent="0.2">
      <c r="A210" s="9" t="s">
        <v>47</v>
      </c>
      <c r="B210" s="10"/>
      <c r="C210" s="10"/>
      <c r="D210" s="10"/>
      <c r="E210" s="48"/>
      <c r="F210" s="48"/>
      <c r="G210" s="48"/>
      <c r="H210" s="48"/>
      <c r="I210" s="104"/>
      <c r="K210" s="11"/>
      <c r="L210" s="2"/>
      <c r="M210" s="2"/>
      <c r="N210" s="2"/>
      <c r="O210" s="2"/>
      <c r="P210" s="2"/>
      <c r="Q210" s="2"/>
      <c r="R210" s="2"/>
    </row>
    <row r="211" spans="1:18" customFormat="1" ht="24.95" customHeight="1" x14ac:dyDescent="0.2">
      <c r="A211" s="47"/>
      <c r="B211" s="47"/>
      <c r="C211" s="47"/>
      <c r="D211" s="48"/>
      <c r="E211" s="48"/>
      <c r="F211" s="48"/>
      <c r="G211" s="48"/>
      <c r="H211" s="69"/>
      <c r="K211" s="11"/>
      <c r="L211" s="2"/>
      <c r="M211" s="2"/>
      <c r="N211" s="2"/>
      <c r="O211" s="2"/>
      <c r="P211" s="2"/>
      <c r="Q211" s="2"/>
      <c r="R211" s="2"/>
    </row>
    <row r="212" spans="1:18" ht="24.95" customHeight="1" x14ac:dyDescent="0.2">
      <c r="A212" s="47" t="s">
        <v>40</v>
      </c>
      <c r="B212" s="62">
        <v>0.22040000000000001</v>
      </c>
      <c r="C212" s="47"/>
      <c r="D212" s="48"/>
      <c r="E212" s="48"/>
      <c r="F212" s="48"/>
      <c r="G212" s="48"/>
      <c r="H212" s="69"/>
      <c r="J212" s="188"/>
      <c r="K212" s="11"/>
    </row>
    <row r="213" spans="1:18" ht="24.95" customHeight="1" x14ac:dyDescent="0.2">
      <c r="A213" s="47"/>
      <c r="B213" s="47"/>
      <c r="C213" s="47"/>
      <c r="D213" s="48"/>
      <c r="E213" s="48"/>
      <c r="F213" s="48"/>
      <c r="G213" s="48"/>
      <c r="H213" s="69"/>
      <c r="I213" s="107"/>
      <c r="J213" s="188"/>
      <c r="K213" s="11"/>
    </row>
    <row r="214" spans="1:18" ht="24.95" customHeight="1" x14ac:dyDescent="0.2">
      <c r="A214" s="47"/>
      <c r="B214" s="47"/>
      <c r="C214" s="47"/>
      <c r="D214" s="48"/>
      <c r="E214" s="48"/>
      <c r="F214" s="48"/>
      <c r="G214" s="48"/>
      <c r="H214" s="106"/>
      <c r="K214" s="11"/>
    </row>
    <row r="215" spans="1:18" ht="24.95" customHeight="1" x14ac:dyDescent="0.2">
      <c r="K215" s="11"/>
    </row>
    <row r="216" spans="1:18" ht="11.25" customHeight="1" x14ac:dyDescent="0.2">
      <c r="K216" s="11"/>
    </row>
    <row r="217" spans="1:18" ht="24.95" customHeight="1" x14ac:dyDescent="0.2">
      <c r="H217" s="105"/>
      <c r="K217" s="11"/>
    </row>
    <row r="218" spans="1:18" ht="24.95" customHeight="1" x14ac:dyDescent="0.2">
      <c r="K218" s="11"/>
    </row>
    <row r="219" spans="1:18" ht="24.95" customHeight="1" x14ac:dyDescent="0.2"/>
    <row r="220" spans="1:18" ht="24.95" customHeight="1" x14ac:dyDescent="0.2"/>
    <row r="221" spans="1:18" ht="24.95" customHeight="1" x14ac:dyDescent="0.2"/>
    <row r="222" spans="1:18" ht="24.95" customHeight="1" x14ac:dyDescent="0.2"/>
    <row r="223" spans="1:18" ht="24.95" customHeight="1" x14ac:dyDescent="0.2"/>
    <row r="224" spans="1:18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</sheetData>
  <mergeCells count="1">
    <mergeCell ref="A1:D4"/>
  </mergeCells>
  <phoneticPr fontId="13" type="noConversion"/>
  <printOptions horizontalCentered="1"/>
  <pageMargins left="0.15748031496062992" right="0.11811023622047245" top="0.98425196850393704" bottom="0.15748031496062992" header="0.35433070866141736" footer="0.19685039370078741"/>
  <pageSetup paperSize="9" scale="50" orientation="landscape" r:id="rId1"/>
  <headerFooter alignWithMargins="0">
    <oddHeader xml:space="preserve">&amp;C&amp;14Prefeitura Municipal de Alvorada
&amp;10Secretaria Municipal de Obras e Infraestrutura
Diretoria Geral Técnica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2:N112"/>
  <sheetViews>
    <sheetView topLeftCell="A70" workbookViewId="0">
      <selection activeCell="I94" sqref="I94"/>
    </sheetView>
  </sheetViews>
  <sheetFormatPr defaultRowHeight="12.75" x14ac:dyDescent="0.2"/>
  <cols>
    <col min="1" max="1" width="42.5703125" customWidth="1"/>
    <col min="2" max="5" width="18.7109375" customWidth="1"/>
    <col min="6" max="10" width="19.5703125" customWidth="1"/>
    <col min="11" max="11" width="18.7109375" customWidth="1"/>
    <col min="13" max="13" width="10.28515625" hidden="1" customWidth="1"/>
    <col min="14" max="14" width="0" hidden="1" customWidth="1"/>
  </cols>
  <sheetData>
    <row r="2" spans="1:14" ht="15" x14ac:dyDescent="0.2">
      <c r="A2" s="278" t="s">
        <v>314</v>
      </c>
      <c r="B2" s="279"/>
      <c r="C2" s="279"/>
      <c r="D2" s="279"/>
      <c r="E2" s="279"/>
      <c r="F2" s="279"/>
      <c r="G2" s="279"/>
      <c r="H2" s="279"/>
      <c r="I2" s="279"/>
      <c r="J2" s="279"/>
      <c r="K2" s="280"/>
    </row>
    <row r="3" spans="1:14" ht="14.25" x14ac:dyDescent="0.2">
      <c r="A3" s="189" t="s">
        <v>51</v>
      </c>
      <c r="B3" s="281" t="s">
        <v>52</v>
      </c>
      <c r="C3" s="281" t="s">
        <v>53</v>
      </c>
      <c r="D3" s="281" t="s">
        <v>54</v>
      </c>
      <c r="E3" s="281" t="s">
        <v>55</v>
      </c>
      <c r="F3" s="281" t="s">
        <v>274</v>
      </c>
      <c r="G3" s="281" t="s">
        <v>275</v>
      </c>
      <c r="H3" s="281" t="s">
        <v>276</v>
      </c>
      <c r="I3" s="281" t="s">
        <v>277</v>
      </c>
      <c r="J3" s="281" t="s">
        <v>278</v>
      </c>
      <c r="K3" s="283" t="s">
        <v>56</v>
      </c>
    </row>
    <row r="4" spans="1:14" ht="14.25" x14ac:dyDescent="0.2">
      <c r="A4" s="190" t="s">
        <v>6</v>
      </c>
      <c r="B4" s="282"/>
      <c r="C4" s="282"/>
      <c r="D4" s="282"/>
      <c r="E4" s="282"/>
      <c r="F4" s="282"/>
      <c r="G4" s="282"/>
      <c r="H4" s="282"/>
      <c r="I4" s="282"/>
      <c r="J4" s="282"/>
      <c r="K4" s="284"/>
    </row>
    <row r="5" spans="1:14" ht="14.25" x14ac:dyDescent="0.2">
      <c r="A5" s="191"/>
      <c r="B5" s="218">
        <v>3.6200000000000003E-2</v>
      </c>
      <c r="C5" s="218">
        <v>7.6399999999999996E-2</v>
      </c>
      <c r="D5" s="218">
        <v>0.1081</v>
      </c>
      <c r="E5" s="218">
        <v>6.6600000000000006E-2</v>
      </c>
      <c r="F5" s="218">
        <v>0.1037</v>
      </c>
      <c r="G5" s="218">
        <v>0.1583</v>
      </c>
      <c r="H5" s="218">
        <v>0.1701</v>
      </c>
      <c r="I5" s="218">
        <v>0.17899999999999999</v>
      </c>
      <c r="J5" s="218">
        <v>0.1016</v>
      </c>
      <c r="K5" s="192">
        <v>1</v>
      </c>
    </row>
    <row r="6" spans="1:14" ht="14.25" x14ac:dyDescent="0.2">
      <c r="A6" s="193" t="s">
        <v>81</v>
      </c>
      <c r="B6" s="194"/>
      <c r="C6" s="195"/>
      <c r="D6" s="195"/>
      <c r="E6" s="195"/>
      <c r="F6" s="195"/>
      <c r="G6" s="195"/>
      <c r="H6" s="195"/>
      <c r="I6" s="195"/>
      <c r="J6" s="195"/>
      <c r="K6" s="196"/>
    </row>
    <row r="7" spans="1:14" ht="14.25" x14ac:dyDescent="0.2">
      <c r="A7" s="197"/>
      <c r="B7" s="198">
        <f>ROUND(B5*K7,2)</f>
        <v>528.08000000000004</v>
      </c>
      <c r="C7" s="199">
        <f>C5*K7</f>
        <v>1114.5025719999999</v>
      </c>
      <c r="D7" s="199">
        <f>D5*K7</f>
        <v>1576.9336129999999</v>
      </c>
      <c r="E7" s="199">
        <f>E5*K7</f>
        <v>971.54281800000001</v>
      </c>
      <c r="F7" s="199">
        <f>F5*K7</f>
        <v>1512.747601</v>
      </c>
      <c r="G7" s="199">
        <f>G5*K7</f>
        <v>2309.2376589999999</v>
      </c>
      <c r="H7" s="199">
        <f>H5*K7</f>
        <v>2481.3728729999998</v>
      </c>
      <c r="I7" s="199">
        <f>I5*K7</f>
        <v>2611.2036699999999</v>
      </c>
      <c r="J7" s="199">
        <f>J5*K7</f>
        <v>1482.1133679999998</v>
      </c>
      <c r="K7" s="196">
        <f>GERAL!H7</f>
        <v>14587.73</v>
      </c>
    </row>
    <row r="8" spans="1:14" ht="14.25" x14ac:dyDescent="0.2">
      <c r="A8" s="190"/>
      <c r="B8" s="200">
        <v>0.7</v>
      </c>
      <c r="C8" s="200">
        <v>0.3</v>
      </c>
      <c r="D8" s="200">
        <v>0</v>
      </c>
      <c r="E8" s="200">
        <v>0</v>
      </c>
      <c r="F8" s="200">
        <v>0</v>
      </c>
      <c r="G8" s="200">
        <v>0</v>
      </c>
      <c r="H8" s="200">
        <v>0</v>
      </c>
      <c r="I8" s="200">
        <v>0</v>
      </c>
      <c r="J8" s="200">
        <v>0</v>
      </c>
      <c r="K8" s="201">
        <f>SUM(B8:J8)</f>
        <v>1</v>
      </c>
    </row>
    <row r="9" spans="1:14" ht="14.25" x14ac:dyDescent="0.2">
      <c r="A9" s="193" t="s">
        <v>279</v>
      </c>
      <c r="B9" s="194"/>
      <c r="C9" s="195"/>
      <c r="D9" s="207"/>
      <c r="E9" s="207"/>
      <c r="F9" s="207"/>
      <c r="G9" s="207"/>
      <c r="H9" s="207"/>
      <c r="I9" s="207"/>
      <c r="J9" s="207"/>
      <c r="K9" s="202"/>
    </row>
    <row r="10" spans="1:14" ht="14.25" x14ac:dyDescent="0.2">
      <c r="A10" s="197"/>
      <c r="B10" s="198">
        <f>ROUND(B8*K10,2)</f>
        <v>2698</v>
      </c>
      <c r="C10" s="199">
        <f>C8*K10</f>
        <v>1156.287</v>
      </c>
      <c r="D10" s="199">
        <f>D8*K10</f>
        <v>0</v>
      </c>
      <c r="E10" s="199">
        <f>E8*K10</f>
        <v>0</v>
      </c>
      <c r="F10" s="199">
        <f>F8*K10</f>
        <v>0</v>
      </c>
      <c r="G10" s="199">
        <f>G8*K10</f>
        <v>0</v>
      </c>
      <c r="H10" s="199">
        <f>H8*K10</f>
        <v>0</v>
      </c>
      <c r="I10" s="199">
        <f>I8*K10</f>
        <v>0</v>
      </c>
      <c r="J10" s="199">
        <f>J8*K10</f>
        <v>0</v>
      </c>
      <c r="K10" s="196">
        <f>GERAL!H10</f>
        <v>3854.29</v>
      </c>
    </row>
    <row r="11" spans="1:14" ht="14.25" x14ac:dyDescent="0.2">
      <c r="A11" s="190"/>
      <c r="B11" s="192">
        <v>1</v>
      </c>
      <c r="C11" s="200">
        <v>0</v>
      </c>
      <c r="D11" s="200">
        <v>0</v>
      </c>
      <c r="E11" s="200">
        <v>0</v>
      </c>
      <c r="F11" s="200">
        <v>0</v>
      </c>
      <c r="G11" s="200">
        <v>0</v>
      </c>
      <c r="H11" s="200">
        <v>0</v>
      </c>
      <c r="I11" s="200">
        <v>0</v>
      </c>
      <c r="J11" s="200">
        <v>0</v>
      </c>
      <c r="K11" s="203">
        <f>SUM(B11:J11)</f>
        <v>1</v>
      </c>
      <c r="M11" s="104">
        <f>B7+B13+B16+B19</f>
        <v>34025.089999999997</v>
      </c>
      <c r="N11">
        <f>M11/K93</f>
        <v>1.1496142318736748E-2</v>
      </c>
    </row>
    <row r="12" spans="1:14" ht="14.25" x14ac:dyDescent="0.2">
      <c r="A12" s="190" t="s">
        <v>280</v>
      </c>
      <c r="B12" s="204"/>
      <c r="C12" s="207"/>
      <c r="D12" s="207"/>
      <c r="E12" s="207"/>
      <c r="F12" s="207"/>
      <c r="G12" s="207"/>
      <c r="H12" s="207"/>
      <c r="I12" s="207"/>
      <c r="J12" s="207"/>
      <c r="K12" s="202"/>
    </row>
    <row r="13" spans="1:14" ht="14.25" x14ac:dyDescent="0.2">
      <c r="A13" s="190"/>
      <c r="B13" s="199">
        <f>ROUND(B11*K13,2)</f>
        <v>3972.99</v>
      </c>
      <c r="C13" s="199">
        <f>C11*K13</f>
        <v>0</v>
      </c>
      <c r="D13" s="199">
        <f>D11*K13</f>
        <v>0</v>
      </c>
      <c r="E13" s="199">
        <f>E11*K13</f>
        <v>0</v>
      </c>
      <c r="F13" s="199">
        <f>F11*K13</f>
        <v>0</v>
      </c>
      <c r="G13" s="199">
        <f>G11*K13</f>
        <v>0</v>
      </c>
      <c r="H13" s="199">
        <f>H11*K13</f>
        <v>0</v>
      </c>
      <c r="I13" s="199">
        <f>I11*K13</f>
        <v>0</v>
      </c>
      <c r="J13" s="199">
        <f>J11*K13</f>
        <v>0</v>
      </c>
      <c r="K13" s="205">
        <f>GERAL!H15</f>
        <v>3972.99</v>
      </c>
      <c r="M13" s="104">
        <f>C7+C13+C16+C19</f>
        <v>30638.512572</v>
      </c>
      <c r="N13">
        <f>M13/K93</f>
        <v>1.0351910926969396E-2</v>
      </c>
    </row>
    <row r="14" spans="1:14" ht="14.25" x14ac:dyDescent="0.2">
      <c r="A14" s="191"/>
      <c r="B14" s="192">
        <v>0.5</v>
      </c>
      <c r="C14" s="192">
        <v>0.5</v>
      </c>
      <c r="D14" s="200">
        <v>0</v>
      </c>
      <c r="E14" s="200">
        <v>0</v>
      </c>
      <c r="F14" s="200">
        <v>0</v>
      </c>
      <c r="G14" s="200">
        <v>0</v>
      </c>
      <c r="H14" s="200">
        <v>0</v>
      </c>
      <c r="I14" s="200">
        <v>0</v>
      </c>
      <c r="J14" s="200">
        <v>0</v>
      </c>
      <c r="K14" s="203">
        <f>SUM(B14:J14)</f>
        <v>1</v>
      </c>
    </row>
    <row r="15" spans="1:14" ht="14.25" x14ac:dyDescent="0.2">
      <c r="A15" s="190" t="s">
        <v>281</v>
      </c>
      <c r="B15" s="204"/>
      <c r="C15" s="204"/>
      <c r="D15" s="207"/>
      <c r="E15" s="207"/>
      <c r="F15" s="207"/>
      <c r="G15" s="207"/>
      <c r="H15" s="207"/>
      <c r="I15" s="207"/>
      <c r="J15" s="207"/>
      <c r="K15" s="202"/>
      <c r="M15" s="104">
        <f>D7+D13+D16+D19+D28</f>
        <v>1576.9336129999999</v>
      </c>
      <c r="N15">
        <f>M15/K93</f>
        <v>5.3280250668691072E-4</v>
      </c>
    </row>
    <row r="16" spans="1:14" ht="14.25" x14ac:dyDescent="0.2">
      <c r="A16" s="190"/>
      <c r="B16" s="199">
        <f>ROUND(B14*K16,2)</f>
        <v>11694.9</v>
      </c>
      <c r="C16" s="199">
        <f>C14*K16</f>
        <v>11694.895</v>
      </c>
      <c r="D16" s="199">
        <f>D14*K16</f>
        <v>0</v>
      </c>
      <c r="E16" s="199">
        <f>E14*K16</f>
        <v>0</v>
      </c>
      <c r="F16" s="199">
        <f>F14*K16</f>
        <v>0</v>
      </c>
      <c r="G16" s="199">
        <f>G14*K16</f>
        <v>0</v>
      </c>
      <c r="H16" s="199">
        <f>H14*K16</f>
        <v>0</v>
      </c>
      <c r="I16" s="199">
        <f>I14*K16</f>
        <v>0</v>
      </c>
      <c r="J16" s="199">
        <f>J14*K16</f>
        <v>0</v>
      </c>
      <c r="K16" s="205">
        <f>GERAL!H21</f>
        <v>23389.79</v>
      </c>
    </row>
    <row r="17" spans="1:14" ht="14.25" x14ac:dyDescent="0.2">
      <c r="A17" s="191"/>
      <c r="B17" s="192">
        <v>0.5</v>
      </c>
      <c r="C17" s="192">
        <v>0.5</v>
      </c>
      <c r="D17" s="192">
        <v>0</v>
      </c>
      <c r="E17" s="192">
        <v>0</v>
      </c>
      <c r="F17" s="192">
        <v>0</v>
      </c>
      <c r="G17" s="192">
        <v>0</v>
      </c>
      <c r="H17" s="192">
        <v>0</v>
      </c>
      <c r="I17" s="192">
        <v>0</v>
      </c>
      <c r="J17" s="192">
        <v>0</v>
      </c>
      <c r="K17" s="206">
        <f>SUM(B17:J17)</f>
        <v>1</v>
      </c>
      <c r="M17" s="104">
        <f>E7+E13+E16+E22+E28</f>
        <v>971.54281800000001</v>
      </c>
      <c r="N17">
        <f>M17/K93</f>
        <v>3.282576035647387E-4</v>
      </c>
    </row>
    <row r="18" spans="1:14" ht="14.25" x14ac:dyDescent="0.2">
      <c r="A18" s="190" t="s">
        <v>282</v>
      </c>
      <c r="B18" s="204"/>
      <c r="C18" s="204"/>
      <c r="D18" s="207"/>
      <c r="E18" s="207"/>
      <c r="F18" s="207"/>
      <c r="G18" s="207"/>
      <c r="H18" s="207"/>
      <c r="I18" s="207"/>
      <c r="J18" s="207"/>
      <c r="K18" s="202"/>
    </row>
    <row r="19" spans="1:14" ht="14.25" x14ac:dyDescent="0.2">
      <c r="A19" s="190"/>
      <c r="B19" s="199">
        <f>ROUND(B17*K19,2)</f>
        <v>17829.12</v>
      </c>
      <c r="C19" s="199">
        <f>C17*K19</f>
        <v>17829.115000000002</v>
      </c>
      <c r="D19" s="199">
        <f>D17*K19</f>
        <v>0</v>
      </c>
      <c r="E19" s="199">
        <f>E17*K19</f>
        <v>0</v>
      </c>
      <c r="F19" s="199">
        <f>F17*K19</f>
        <v>0</v>
      </c>
      <c r="G19" s="199">
        <f>G17*K19</f>
        <v>0</v>
      </c>
      <c r="H19" s="199">
        <f>H17*K19</f>
        <v>0</v>
      </c>
      <c r="I19" s="199">
        <f>I17*K19</f>
        <v>0</v>
      </c>
      <c r="J19" s="199">
        <f>J17*K19</f>
        <v>0</v>
      </c>
      <c r="K19" s="199">
        <f>GERAL!H26</f>
        <v>35658.230000000003</v>
      </c>
    </row>
    <row r="20" spans="1:14" ht="14.25" x14ac:dyDescent="0.2">
      <c r="A20" s="191"/>
      <c r="B20" s="192">
        <v>1</v>
      </c>
      <c r="C20" s="192">
        <v>0</v>
      </c>
      <c r="D20" s="192">
        <v>0</v>
      </c>
      <c r="E20" s="192">
        <v>0</v>
      </c>
      <c r="F20" s="192">
        <v>0</v>
      </c>
      <c r="G20" s="192">
        <v>0</v>
      </c>
      <c r="H20" s="192">
        <v>0</v>
      </c>
      <c r="I20" s="192">
        <v>0</v>
      </c>
      <c r="J20" s="192">
        <v>0</v>
      </c>
      <c r="K20" s="206">
        <f>SUM(B20:J20)</f>
        <v>1</v>
      </c>
    </row>
    <row r="21" spans="1:14" ht="14.25" x14ac:dyDescent="0.2">
      <c r="A21" s="190" t="s">
        <v>283</v>
      </c>
      <c r="B21" s="204"/>
      <c r="C21" s="207"/>
      <c r="D21" s="207"/>
      <c r="E21" s="207"/>
      <c r="F21" s="207"/>
      <c r="G21" s="207"/>
      <c r="H21" s="207"/>
      <c r="I21" s="207"/>
      <c r="J21" s="207"/>
      <c r="K21" s="202"/>
    </row>
    <row r="22" spans="1:14" ht="14.25" x14ac:dyDescent="0.2">
      <c r="A22" s="222"/>
      <c r="B22" s="199">
        <f>B20*K22</f>
        <v>29681.17</v>
      </c>
      <c r="C22" s="199">
        <f>C20*K22</f>
        <v>0</v>
      </c>
      <c r="D22" s="199">
        <f>D20*K22</f>
        <v>0</v>
      </c>
      <c r="E22" s="199">
        <f>E20*K22</f>
        <v>0</v>
      </c>
      <c r="F22" s="199">
        <f>F20*K22</f>
        <v>0</v>
      </c>
      <c r="G22" s="199">
        <f>G20*K22</f>
        <v>0</v>
      </c>
      <c r="H22" s="199">
        <f>H20*K22</f>
        <v>0</v>
      </c>
      <c r="I22" s="199">
        <f>I20*K22</f>
        <v>0</v>
      </c>
      <c r="J22" s="199">
        <f>J20*K22</f>
        <v>0</v>
      </c>
      <c r="K22" s="199">
        <f>GERAL!H31</f>
        <v>29681.17</v>
      </c>
    </row>
    <row r="23" spans="1:14" ht="14.25" x14ac:dyDescent="0.2">
      <c r="A23" s="190"/>
      <c r="B23" s="192">
        <v>0</v>
      </c>
      <c r="C23" s="192">
        <v>1</v>
      </c>
      <c r="D23" s="192">
        <v>0</v>
      </c>
      <c r="E23" s="192">
        <v>0</v>
      </c>
      <c r="F23" s="192">
        <v>0</v>
      </c>
      <c r="G23" s="192">
        <v>0</v>
      </c>
      <c r="H23" s="192">
        <v>0</v>
      </c>
      <c r="I23" s="192">
        <v>0</v>
      </c>
      <c r="J23" s="192">
        <v>0</v>
      </c>
      <c r="K23" s="206">
        <f>SUM(B23:J23)</f>
        <v>1</v>
      </c>
    </row>
    <row r="24" spans="1:14" ht="14.25" x14ac:dyDescent="0.2">
      <c r="A24" s="190" t="s">
        <v>284</v>
      </c>
      <c r="B24" s="207"/>
      <c r="C24" s="204"/>
      <c r="D24" s="207"/>
      <c r="E24" s="207"/>
      <c r="F24" s="207"/>
      <c r="G24" s="207"/>
      <c r="H24" s="207"/>
      <c r="I24" s="207"/>
      <c r="J24" s="207"/>
      <c r="K24" s="215"/>
    </row>
    <row r="25" spans="1:14" ht="14.25" x14ac:dyDescent="0.2">
      <c r="A25" s="190"/>
      <c r="B25" s="199">
        <f>B23*K25</f>
        <v>0</v>
      </c>
      <c r="C25" s="199">
        <f>C23*K25</f>
        <v>1026.23</v>
      </c>
      <c r="D25" s="199">
        <f>D23*K25</f>
        <v>0</v>
      </c>
      <c r="E25" s="199">
        <f>E23*K25</f>
        <v>0</v>
      </c>
      <c r="F25" s="199">
        <f>F23*K25</f>
        <v>0</v>
      </c>
      <c r="G25" s="199">
        <f>G23*K25</f>
        <v>0</v>
      </c>
      <c r="H25" s="199">
        <f>H23*K25</f>
        <v>0</v>
      </c>
      <c r="I25" s="199">
        <f>I23*K25</f>
        <v>0</v>
      </c>
      <c r="J25" s="199">
        <f>J23*K25</f>
        <v>0</v>
      </c>
      <c r="K25" s="199">
        <f>GERAL!H41</f>
        <v>1026.23</v>
      </c>
    </row>
    <row r="26" spans="1:14" ht="15" customHeight="1" x14ac:dyDescent="0.2">
      <c r="A26" s="285" t="s">
        <v>285</v>
      </c>
      <c r="B26" s="192">
        <v>0</v>
      </c>
      <c r="C26" s="192">
        <v>1</v>
      </c>
      <c r="D26" s="192">
        <v>0</v>
      </c>
      <c r="E26" s="192">
        <v>0</v>
      </c>
      <c r="F26" s="192">
        <v>0</v>
      </c>
      <c r="G26" s="192">
        <v>0</v>
      </c>
      <c r="H26" s="192">
        <v>0</v>
      </c>
      <c r="I26" s="192">
        <v>0</v>
      </c>
      <c r="J26" s="192">
        <v>0</v>
      </c>
      <c r="K26" s="206">
        <f>SUM(B26:J26)</f>
        <v>1</v>
      </c>
    </row>
    <row r="27" spans="1:14" ht="14.25" x14ac:dyDescent="0.2">
      <c r="A27" s="286"/>
      <c r="B27" s="207"/>
      <c r="C27" s="204"/>
      <c r="D27" s="207"/>
      <c r="E27" s="207"/>
      <c r="F27" s="207"/>
      <c r="G27" s="207"/>
      <c r="H27" s="207"/>
      <c r="I27" s="207"/>
      <c r="J27" s="207"/>
      <c r="K27" s="202"/>
    </row>
    <row r="28" spans="1:14" ht="14.25" x14ac:dyDescent="0.2">
      <c r="A28" s="287"/>
      <c r="B28" s="199">
        <f>B26*K28</f>
        <v>0</v>
      </c>
      <c r="C28" s="199">
        <f>C26*K28</f>
        <v>14059.33</v>
      </c>
      <c r="D28" s="199">
        <f>D26*K28</f>
        <v>0</v>
      </c>
      <c r="E28" s="199">
        <f>E26*K28</f>
        <v>0</v>
      </c>
      <c r="F28" s="199">
        <f>F26*K28</f>
        <v>0</v>
      </c>
      <c r="G28" s="199">
        <f>G26*K28</f>
        <v>0</v>
      </c>
      <c r="H28" s="199">
        <f>H26*K28</f>
        <v>0</v>
      </c>
      <c r="I28" s="199">
        <f>I26*K28</f>
        <v>0</v>
      </c>
      <c r="J28" s="199">
        <f>J26*K28</f>
        <v>0</v>
      </c>
      <c r="K28" s="199">
        <f>GERAL!H47</f>
        <v>14059.33</v>
      </c>
    </row>
    <row r="29" spans="1:14" ht="14.25" x14ac:dyDescent="0.2">
      <c r="A29" s="190"/>
      <c r="B29" s="200">
        <v>0.52600000000000002</v>
      </c>
      <c r="C29" s="200">
        <v>0.23699999999999999</v>
      </c>
      <c r="D29" s="200">
        <v>0.23699999999999999</v>
      </c>
      <c r="E29" s="200">
        <v>0</v>
      </c>
      <c r="F29" s="200">
        <v>0</v>
      </c>
      <c r="G29" s="200">
        <v>0</v>
      </c>
      <c r="H29" s="200">
        <v>0</v>
      </c>
      <c r="I29" s="200">
        <v>0</v>
      </c>
      <c r="J29" s="200">
        <v>0</v>
      </c>
      <c r="K29" s="201">
        <f>SUM(B29:J29)</f>
        <v>1</v>
      </c>
    </row>
    <row r="30" spans="1:14" ht="14.25" x14ac:dyDescent="0.2">
      <c r="A30" s="193" t="s">
        <v>286</v>
      </c>
      <c r="B30" s="194"/>
      <c r="C30" s="195"/>
      <c r="D30" s="195"/>
      <c r="E30" s="207"/>
      <c r="F30" s="207"/>
      <c r="G30" s="207"/>
      <c r="H30" s="207"/>
      <c r="I30" s="207"/>
      <c r="J30" s="207"/>
      <c r="K30" s="202"/>
    </row>
    <row r="31" spans="1:14" ht="14.25" x14ac:dyDescent="0.2">
      <c r="A31" s="197"/>
      <c r="B31" s="198">
        <f>B29*K31</f>
        <v>2838.5800400000003</v>
      </c>
      <c r="C31" s="199">
        <f>C29*K31</f>
        <v>1278.9799799999998</v>
      </c>
      <c r="D31" s="199">
        <f>D29*K31</f>
        <v>1278.9799799999998</v>
      </c>
      <c r="E31" s="199">
        <f>E29*K31</f>
        <v>0</v>
      </c>
      <c r="F31" s="199">
        <f>F29*K31</f>
        <v>0</v>
      </c>
      <c r="G31" s="199">
        <f>G29*K31</f>
        <v>0</v>
      </c>
      <c r="H31" s="199">
        <f>H29*K31</f>
        <v>0</v>
      </c>
      <c r="I31" s="199">
        <f>I29*K31</f>
        <v>0</v>
      </c>
      <c r="J31" s="199">
        <f>J29*K31</f>
        <v>0</v>
      </c>
      <c r="K31" s="196">
        <f>GERAL!H55</f>
        <v>5396.54</v>
      </c>
    </row>
    <row r="32" spans="1:14" ht="14.25" x14ac:dyDescent="0.2">
      <c r="A32" s="190"/>
      <c r="B32" s="200">
        <v>0</v>
      </c>
      <c r="C32" s="192">
        <v>1</v>
      </c>
      <c r="D32" s="200">
        <v>0</v>
      </c>
      <c r="E32" s="200">
        <v>0</v>
      </c>
      <c r="F32" s="200">
        <v>0</v>
      </c>
      <c r="G32" s="200">
        <v>0</v>
      </c>
      <c r="H32" s="200">
        <v>0</v>
      </c>
      <c r="I32" s="200">
        <v>0</v>
      </c>
      <c r="J32" s="200">
        <v>0</v>
      </c>
      <c r="K32" s="203">
        <f>SUM(B32:J32)</f>
        <v>1</v>
      </c>
    </row>
    <row r="33" spans="1:11" ht="14.25" x14ac:dyDescent="0.2">
      <c r="A33" s="190" t="s">
        <v>287</v>
      </c>
      <c r="B33" s="207"/>
      <c r="C33" s="195"/>
      <c r="D33" s="207"/>
      <c r="E33" s="207"/>
      <c r="F33" s="207"/>
      <c r="G33" s="207"/>
      <c r="H33" s="207"/>
      <c r="I33" s="207"/>
      <c r="J33" s="207"/>
      <c r="K33" s="202"/>
    </row>
    <row r="34" spans="1:11" ht="14.25" x14ac:dyDescent="0.2">
      <c r="A34" s="190"/>
      <c r="B34" s="199">
        <f>B32*K34</f>
        <v>0</v>
      </c>
      <c r="C34" s="199">
        <f>C32*K34</f>
        <v>14040.43</v>
      </c>
      <c r="D34" s="199">
        <f>D32*K34</f>
        <v>0</v>
      </c>
      <c r="E34" s="199">
        <f>E32*K34</f>
        <v>0</v>
      </c>
      <c r="F34" s="199">
        <f>F32*K34</f>
        <v>0</v>
      </c>
      <c r="G34" s="199">
        <f>G32*K34</f>
        <v>0</v>
      </c>
      <c r="H34" s="199">
        <f>H32*K34</f>
        <v>0</v>
      </c>
      <c r="I34" s="199">
        <f>I32*K34</f>
        <v>0</v>
      </c>
      <c r="J34" s="199">
        <f>J32*K34</f>
        <v>0</v>
      </c>
      <c r="K34" s="205">
        <f>GERAL!H60</f>
        <v>14040.43</v>
      </c>
    </row>
    <row r="35" spans="1:11" ht="14.25" x14ac:dyDescent="0.2">
      <c r="A35" s="191"/>
      <c r="B35" s="192">
        <v>0</v>
      </c>
      <c r="C35" s="192">
        <v>0.5</v>
      </c>
      <c r="D35" s="200">
        <v>0.5</v>
      </c>
      <c r="E35" s="200">
        <v>0</v>
      </c>
      <c r="F35" s="200">
        <v>0</v>
      </c>
      <c r="G35" s="200">
        <v>0</v>
      </c>
      <c r="H35" s="200">
        <v>0</v>
      </c>
      <c r="I35" s="200">
        <v>0</v>
      </c>
      <c r="J35" s="200">
        <v>0</v>
      </c>
      <c r="K35" s="203">
        <f>SUM(B35:J35)</f>
        <v>1</v>
      </c>
    </row>
    <row r="36" spans="1:11" ht="29.25" customHeight="1" x14ac:dyDescent="0.2">
      <c r="A36" s="224" t="s">
        <v>288</v>
      </c>
      <c r="B36" s="207"/>
      <c r="C36" s="204"/>
      <c r="D36" s="195"/>
      <c r="E36" s="207"/>
      <c r="F36" s="207"/>
      <c r="G36" s="207"/>
      <c r="H36" s="207"/>
      <c r="I36" s="207"/>
      <c r="J36" s="207"/>
      <c r="K36" s="202"/>
    </row>
    <row r="37" spans="1:11" ht="14.25" x14ac:dyDescent="0.2">
      <c r="A37" s="190"/>
      <c r="B37" s="199">
        <f>B35*K37</f>
        <v>0</v>
      </c>
      <c r="C37" s="199">
        <f>C35*K37</f>
        <v>43723.934999999998</v>
      </c>
      <c r="D37" s="199">
        <f>D35*K37</f>
        <v>43723.934999999998</v>
      </c>
      <c r="E37" s="199">
        <f>E35*K37</f>
        <v>0</v>
      </c>
      <c r="F37" s="199">
        <f>F35*K37</f>
        <v>0</v>
      </c>
      <c r="G37" s="199">
        <f>G35*K37</f>
        <v>0</v>
      </c>
      <c r="H37" s="199">
        <f>H35*K37</f>
        <v>0</v>
      </c>
      <c r="I37" s="199">
        <f>I35*K37</f>
        <v>0</v>
      </c>
      <c r="J37" s="199">
        <f>J35*K37</f>
        <v>0</v>
      </c>
      <c r="K37" s="205">
        <f>GERAL!H66</f>
        <v>87447.87</v>
      </c>
    </row>
    <row r="38" spans="1:11" ht="14.25" x14ac:dyDescent="0.2">
      <c r="A38" s="208"/>
      <c r="B38" s="192">
        <v>0</v>
      </c>
      <c r="C38" s="192">
        <v>0.5</v>
      </c>
      <c r="D38" s="200">
        <v>0.5</v>
      </c>
      <c r="E38" s="200">
        <v>0</v>
      </c>
      <c r="F38" s="200">
        <v>0</v>
      </c>
      <c r="G38" s="200">
        <v>0</v>
      </c>
      <c r="H38" s="200">
        <v>0</v>
      </c>
      <c r="I38" s="200">
        <v>0</v>
      </c>
      <c r="J38" s="200">
        <v>0</v>
      </c>
      <c r="K38" s="203">
        <f>SUM(B38:J38)</f>
        <v>1</v>
      </c>
    </row>
    <row r="39" spans="1:11" ht="29.25" customHeight="1" x14ac:dyDescent="0.2">
      <c r="A39" s="224" t="s">
        <v>289</v>
      </c>
      <c r="B39" s="207"/>
      <c r="C39" s="204"/>
      <c r="D39" s="195"/>
      <c r="E39" s="207"/>
      <c r="F39" s="207"/>
      <c r="G39" s="207"/>
      <c r="H39" s="207"/>
      <c r="I39" s="207"/>
      <c r="J39" s="207"/>
      <c r="K39" s="215"/>
    </row>
    <row r="40" spans="1:11" ht="14.25" x14ac:dyDescent="0.2">
      <c r="A40" s="209"/>
      <c r="B40" s="199">
        <f>B38*K40</f>
        <v>0</v>
      </c>
      <c r="C40" s="199">
        <f>C38*K40</f>
        <v>50215.95</v>
      </c>
      <c r="D40" s="199">
        <f>D38*K40</f>
        <v>50215.95</v>
      </c>
      <c r="E40" s="199">
        <f>E38*K40</f>
        <v>0</v>
      </c>
      <c r="F40" s="199">
        <f>F38*K40</f>
        <v>0</v>
      </c>
      <c r="G40" s="199">
        <f>G38*K40</f>
        <v>0</v>
      </c>
      <c r="H40" s="199">
        <f>H38*K40</f>
        <v>0</v>
      </c>
      <c r="I40" s="199">
        <f>I38*K40</f>
        <v>0</v>
      </c>
      <c r="J40" s="199">
        <f>J38*K40</f>
        <v>0</v>
      </c>
      <c r="K40" s="205">
        <f>GERAL!H75</f>
        <v>100431.9</v>
      </c>
    </row>
    <row r="41" spans="1:11" ht="14.25" x14ac:dyDescent="0.2">
      <c r="A41" s="191"/>
      <c r="B41" s="192">
        <v>0.5</v>
      </c>
      <c r="C41" s="192">
        <v>0.5</v>
      </c>
      <c r="D41" s="192">
        <v>0</v>
      </c>
      <c r="E41" s="192">
        <v>0</v>
      </c>
      <c r="F41" s="192">
        <v>0</v>
      </c>
      <c r="G41" s="192">
        <v>0</v>
      </c>
      <c r="H41" s="192">
        <v>0</v>
      </c>
      <c r="I41" s="192">
        <v>0</v>
      </c>
      <c r="J41" s="192">
        <v>0</v>
      </c>
      <c r="K41" s="206">
        <f>SUM(B41:J41)</f>
        <v>1</v>
      </c>
    </row>
    <row r="42" spans="1:11" ht="29.25" customHeight="1" x14ac:dyDescent="0.2">
      <c r="A42" s="224" t="s">
        <v>290</v>
      </c>
      <c r="B42" s="204"/>
      <c r="C42" s="204"/>
      <c r="D42" s="207"/>
      <c r="E42" s="207"/>
      <c r="F42" s="207"/>
      <c r="G42" s="207"/>
      <c r="H42" s="207"/>
      <c r="I42" s="207"/>
      <c r="J42" s="207"/>
      <c r="K42" s="202"/>
    </row>
    <row r="43" spans="1:11" ht="14.25" x14ac:dyDescent="0.2">
      <c r="A43" s="222"/>
      <c r="B43" s="199">
        <f>B41*K43</f>
        <v>25235.474999999999</v>
      </c>
      <c r="C43" s="199">
        <f>C41*K43</f>
        <v>25235.474999999999</v>
      </c>
      <c r="D43" s="199">
        <f>D41*K43</f>
        <v>0</v>
      </c>
      <c r="E43" s="199">
        <f>E41*K43</f>
        <v>0</v>
      </c>
      <c r="F43" s="199">
        <f>F41*K43</f>
        <v>0</v>
      </c>
      <c r="G43" s="199">
        <f>G41*K43</f>
        <v>0</v>
      </c>
      <c r="H43" s="199">
        <f>H41*K43</f>
        <v>0</v>
      </c>
      <c r="I43" s="199">
        <f>I41*K43</f>
        <v>0</v>
      </c>
      <c r="J43" s="199">
        <f>J41*K43</f>
        <v>0</v>
      </c>
      <c r="K43" s="199">
        <f>GERAL!H80</f>
        <v>50470.95</v>
      </c>
    </row>
    <row r="44" spans="1:11" ht="14.25" x14ac:dyDescent="0.2">
      <c r="A44" s="190"/>
      <c r="B44" s="192">
        <v>0</v>
      </c>
      <c r="C44" s="192">
        <v>0</v>
      </c>
      <c r="D44" s="192">
        <v>1</v>
      </c>
      <c r="E44" s="192">
        <v>0</v>
      </c>
      <c r="F44" s="192">
        <v>0</v>
      </c>
      <c r="G44" s="192">
        <v>0</v>
      </c>
      <c r="H44" s="192">
        <v>0</v>
      </c>
      <c r="I44" s="192">
        <v>0</v>
      </c>
      <c r="J44" s="192">
        <v>0</v>
      </c>
      <c r="K44" s="206">
        <f>SUM(B44:J44)</f>
        <v>1</v>
      </c>
    </row>
    <row r="45" spans="1:11" ht="29.25" customHeight="1" x14ac:dyDescent="0.2">
      <c r="A45" s="224" t="s">
        <v>291</v>
      </c>
      <c r="B45" s="207"/>
      <c r="C45" s="207"/>
      <c r="D45" s="204"/>
      <c r="E45" s="207"/>
      <c r="F45" s="207"/>
      <c r="G45" s="207"/>
      <c r="H45" s="207"/>
      <c r="I45" s="207"/>
      <c r="J45" s="207"/>
      <c r="K45" s="215"/>
    </row>
    <row r="46" spans="1:11" ht="14.25" x14ac:dyDescent="0.2">
      <c r="A46" s="197"/>
      <c r="B46" s="199">
        <f>B44*K46</f>
        <v>0</v>
      </c>
      <c r="C46" s="199">
        <f>C44*K46</f>
        <v>0</v>
      </c>
      <c r="D46" s="199">
        <f>D44*K46</f>
        <v>1241.27</v>
      </c>
      <c r="E46" s="199">
        <f>E44*K46</f>
        <v>0</v>
      </c>
      <c r="F46" s="199">
        <f>F44*K46</f>
        <v>0</v>
      </c>
      <c r="G46" s="199">
        <f>G44*K46</f>
        <v>0</v>
      </c>
      <c r="H46" s="199">
        <f>H44*K46</f>
        <v>0</v>
      </c>
      <c r="I46" s="199">
        <f>I44*K46</f>
        <v>0</v>
      </c>
      <c r="J46" s="199">
        <f>J44*K46</f>
        <v>0</v>
      </c>
      <c r="K46" s="199">
        <f>GERAL!H95</f>
        <v>1241.27</v>
      </c>
    </row>
    <row r="47" spans="1:11" ht="14.25" x14ac:dyDescent="0.2">
      <c r="A47" s="285" t="s">
        <v>292</v>
      </c>
      <c r="B47" s="192">
        <v>0</v>
      </c>
      <c r="C47" s="192">
        <v>0</v>
      </c>
      <c r="D47" s="192">
        <v>1</v>
      </c>
      <c r="E47" s="192">
        <v>0</v>
      </c>
      <c r="F47" s="192">
        <v>0</v>
      </c>
      <c r="G47" s="192">
        <v>0</v>
      </c>
      <c r="H47" s="192">
        <v>0</v>
      </c>
      <c r="I47" s="192">
        <v>0</v>
      </c>
      <c r="J47" s="192">
        <v>0</v>
      </c>
      <c r="K47" s="206">
        <f>SUM(B47:J47)</f>
        <v>1</v>
      </c>
    </row>
    <row r="48" spans="1:11" ht="14.25" x14ac:dyDescent="0.2">
      <c r="A48" s="286"/>
      <c r="B48" s="207"/>
      <c r="C48" s="207"/>
      <c r="D48" s="204"/>
      <c r="E48" s="207"/>
      <c r="F48" s="207"/>
      <c r="G48" s="207"/>
      <c r="H48" s="207"/>
      <c r="I48" s="207"/>
      <c r="J48" s="207"/>
      <c r="K48" s="202"/>
    </row>
    <row r="49" spans="1:11" ht="14.25" x14ac:dyDescent="0.2">
      <c r="A49" s="287"/>
      <c r="B49" s="199">
        <f>B47*K49</f>
        <v>0</v>
      </c>
      <c r="C49" s="199">
        <f>C47*K49</f>
        <v>0</v>
      </c>
      <c r="D49" s="199">
        <f>D47*K49</f>
        <v>40170.36</v>
      </c>
      <c r="E49" s="199">
        <f>E47*K49</f>
        <v>0</v>
      </c>
      <c r="F49" s="199">
        <f>F47*K49</f>
        <v>0</v>
      </c>
      <c r="G49" s="199">
        <f>G47*K49</f>
        <v>0</v>
      </c>
      <c r="H49" s="199">
        <f>H47*K49</f>
        <v>0</v>
      </c>
      <c r="I49" s="199">
        <f>I47*K49</f>
        <v>0</v>
      </c>
      <c r="J49" s="199">
        <f>J47*K49</f>
        <v>0</v>
      </c>
      <c r="K49" s="199">
        <f>GERAL!H101</f>
        <v>40170.36</v>
      </c>
    </row>
    <row r="50" spans="1:11" ht="14.25" x14ac:dyDescent="0.2">
      <c r="A50" s="190"/>
      <c r="B50" s="200">
        <v>0</v>
      </c>
      <c r="C50" s="200">
        <v>0</v>
      </c>
      <c r="D50" s="200">
        <v>0.51739999999999997</v>
      </c>
      <c r="E50" s="200">
        <v>0.24129999999999999</v>
      </c>
      <c r="F50" s="200">
        <v>0.24129999999999999</v>
      </c>
      <c r="G50" s="200">
        <v>0</v>
      </c>
      <c r="H50" s="200">
        <v>0</v>
      </c>
      <c r="I50" s="200">
        <v>0</v>
      </c>
      <c r="J50" s="200">
        <v>0</v>
      </c>
      <c r="K50" s="201">
        <f>SUM(B50:J50)</f>
        <v>0.99999999999999989</v>
      </c>
    </row>
    <row r="51" spans="1:11" ht="14.25" x14ac:dyDescent="0.2">
      <c r="A51" s="193" t="s">
        <v>293</v>
      </c>
      <c r="B51" s="207"/>
      <c r="C51" s="207"/>
      <c r="D51" s="195"/>
      <c r="E51" s="195"/>
      <c r="F51" s="195"/>
      <c r="G51" s="207"/>
      <c r="H51" s="207"/>
      <c r="I51" s="207"/>
      <c r="J51" s="207"/>
      <c r="K51" s="202"/>
    </row>
    <row r="52" spans="1:11" ht="14.25" x14ac:dyDescent="0.2">
      <c r="A52" s="197"/>
      <c r="B52" s="198">
        <f>B50*K52</f>
        <v>0</v>
      </c>
      <c r="C52" s="199">
        <f>C50*K52</f>
        <v>0</v>
      </c>
      <c r="D52" s="199">
        <f>D50*K52</f>
        <v>2934.9463259999998</v>
      </c>
      <c r="E52" s="199">
        <f>E50*K52</f>
        <v>1368.7718369999998</v>
      </c>
      <c r="F52" s="199">
        <f>F50*K52</f>
        <v>1368.7718369999998</v>
      </c>
      <c r="G52" s="199">
        <f>G50*K52</f>
        <v>0</v>
      </c>
      <c r="H52" s="199">
        <f>H50*K52</f>
        <v>0</v>
      </c>
      <c r="I52" s="199">
        <f>I50*K52</f>
        <v>0</v>
      </c>
      <c r="J52" s="199">
        <f>J50*K52</f>
        <v>0</v>
      </c>
      <c r="K52" s="196">
        <f>GERAL!H109</f>
        <v>5672.49</v>
      </c>
    </row>
    <row r="53" spans="1:11" ht="14.25" x14ac:dyDescent="0.2">
      <c r="A53" s="190"/>
      <c r="B53" s="200">
        <v>0</v>
      </c>
      <c r="C53" s="192">
        <v>0</v>
      </c>
      <c r="D53" s="200">
        <v>1</v>
      </c>
      <c r="E53" s="200">
        <v>0</v>
      </c>
      <c r="F53" s="200">
        <v>0</v>
      </c>
      <c r="G53" s="200">
        <v>0</v>
      </c>
      <c r="H53" s="200">
        <v>0</v>
      </c>
      <c r="I53" s="200">
        <v>0</v>
      </c>
      <c r="J53" s="200">
        <v>0</v>
      </c>
      <c r="K53" s="203">
        <f>SUM(B53:J53)</f>
        <v>1</v>
      </c>
    </row>
    <row r="54" spans="1:11" ht="14.25" x14ac:dyDescent="0.2">
      <c r="A54" s="190" t="s">
        <v>294</v>
      </c>
      <c r="B54" s="207"/>
      <c r="C54" s="207"/>
      <c r="D54" s="195"/>
      <c r="E54" s="207"/>
      <c r="F54" s="207"/>
      <c r="G54" s="207"/>
      <c r="H54" s="207"/>
      <c r="I54" s="207"/>
      <c r="J54" s="207"/>
      <c r="K54" s="202"/>
    </row>
    <row r="55" spans="1:11" ht="14.25" x14ac:dyDescent="0.2">
      <c r="A55" s="190"/>
      <c r="B55" s="199">
        <f>B53*K55</f>
        <v>0</v>
      </c>
      <c r="C55" s="215">
        <f>C53*K55</f>
        <v>0</v>
      </c>
      <c r="D55" s="199">
        <f>D53*K55</f>
        <v>13775.42</v>
      </c>
      <c r="E55" s="199">
        <f>E53*K55</f>
        <v>0</v>
      </c>
      <c r="F55" s="199">
        <f>F53*K55</f>
        <v>0</v>
      </c>
      <c r="G55" s="199">
        <f>G53*K55</f>
        <v>0</v>
      </c>
      <c r="H55" s="199">
        <f>H53*K55</f>
        <v>0</v>
      </c>
      <c r="I55" s="199">
        <f>I53*K55</f>
        <v>0</v>
      </c>
      <c r="J55" s="199">
        <f>J53*K55</f>
        <v>0</v>
      </c>
      <c r="K55" s="205">
        <f>GERAL!H114</f>
        <v>13775.42</v>
      </c>
    </row>
    <row r="56" spans="1:11" ht="14.25" x14ac:dyDescent="0.2">
      <c r="A56" s="191"/>
      <c r="B56" s="225">
        <v>0</v>
      </c>
      <c r="C56" s="226">
        <v>0</v>
      </c>
      <c r="D56" s="200">
        <v>0.5</v>
      </c>
      <c r="E56" s="200">
        <v>0.5</v>
      </c>
      <c r="F56" s="200">
        <v>0</v>
      </c>
      <c r="G56" s="200">
        <v>0</v>
      </c>
      <c r="H56" s="200">
        <v>0</v>
      </c>
      <c r="I56" s="200">
        <v>0</v>
      </c>
      <c r="J56" s="200">
        <v>0</v>
      </c>
      <c r="K56" s="203">
        <f>SUM(B56:J56)</f>
        <v>1</v>
      </c>
    </row>
    <row r="57" spans="1:11" ht="14.25" customHeight="1" x14ac:dyDescent="0.2">
      <c r="A57" s="224" t="s">
        <v>295</v>
      </c>
      <c r="B57" s="207"/>
      <c r="C57" s="221"/>
      <c r="D57" s="195"/>
      <c r="E57" s="195"/>
      <c r="F57" s="207"/>
      <c r="G57" s="207"/>
      <c r="H57" s="207"/>
      <c r="I57" s="207"/>
      <c r="J57" s="207"/>
      <c r="K57" s="202"/>
    </row>
    <row r="58" spans="1:11" ht="14.25" x14ac:dyDescent="0.2">
      <c r="A58" s="197"/>
      <c r="B58" s="199">
        <f>B56*K58</f>
        <v>0</v>
      </c>
      <c r="C58" s="199">
        <f>C56*K58</f>
        <v>0</v>
      </c>
      <c r="D58" s="199">
        <f>D56*K58</f>
        <v>42604.26</v>
      </c>
      <c r="E58" s="199">
        <f>E56*K58</f>
        <v>42604.26</v>
      </c>
      <c r="F58" s="199">
        <f>F56*K58</f>
        <v>0</v>
      </c>
      <c r="G58" s="199">
        <f>G56*K58</f>
        <v>0</v>
      </c>
      <c r="H58" s="199">
        <f>H56*K58</f>
        <v>0</v>
      </c>
      <c r="I58" s="199">
        <f>I56*K58</f>
        <v>0</v>
      </c>
      <c r="J58" s="199">
        <f>J56*K58</f>
        <v>0</v>
      </c>
      <c r="K58" s="205">
        <f>GERAL!H120</f>
        <v>85208.52</v>
      </c>
    </row>
    <row r="59" spans="1:11" ht="14.25" x14ac:dyDescent="0.2">
      <c r="A59" s="208"/>
      <c r="B59" s="192">
        <v>0</v>
      </c>
      <c r="C59" s="192">
        <v>0</v>
      </c>
      <c r="D59" s="200">
        <v>0.5</v>
      </c>
      <c r="E59" s="200">
        <v>0.5</v>
      </c>
      <c r="F59" s="200">
        <v>0</v>
      </c>
      <c r="G59" s="200">
        <v>0</v>
      </c>
      <c r="H59" s="200">
        <v>0</v>
      </c>
      <c r="I59" s="200">
        <v>0</v>
      </c>
      <c r="J59" s="200">
        <v>0</v>
      </c>
      <c r="K59" s="203">
        <f>SUM(B59:J59)</f>
        <v>1</v>
      </c>
    </row>
    <row r="60" spans="1:11" ht="14.25" x14ac:dyDescent="0.2">
      <c r="A60" s="224" t="s">
        <v>296</v>
      </c>
      <c r="B60" s="207"/>
      <c r="C60" s="207"/>
      <c r="D60" s="195"/>
      <c r="E60" s="195"/>
      <c r="F60" s="207"/>
      <c r="G60" s="207"/>
      <c r="H60" s="207"/>
      <c r="I60" s="207"/>
      <c r="J60" s="207"/>
      <c r="K60" s="215"/>
    </row>
    <row r="61" spans="1:11" ht="14.25" x14ac:dyDescent="0.2">
      <c r="A61" s="209"/>
      <c r="B61" s="199">
        <f>B59*K61</f>
        <v>0</v>
      </c>
      <c r="C61" s="199">
        <f>C59*K61</f>
        <v>0</v>
      </c>
      <c r="D61" s="199">
        <f>D59*K61</f>
        <v>64956.13</v>
      </c>
      <c r="E61" s="199">
        <f>E59*K61</f>
        <v>64956.13</v>
      </c>
      <c r="F61" s="199">
        <f>F59*K61</f>
        <v>0</v>
      </c>
      <c r="G61" s="199">
        <f>G59*K61</f>
        <v>0</v>
      </c>
      <c r="H61" s="199">
        <f>H59*K61</f>
        <v>0</v>
      </c>
      <c r="I61" s="199">
        <f>I59*K61</f>
        <v>0</v>
      </c>
      <c r="J61" s="199">
        <f>J59*K61</f>
        <v>0</v>
      </c>
      <c r="K61" s="205">
        <f>GERAL!H125</f>
        <v>129912.26</v>
      </c>
    </row>
    <row r="62" spans="1:11" ht="14.25" x14ac:dyDescent="0.2">
      <c r="A62" s="191"/>
      <c r="B62" s="192">
        <v>0</v>
      </c>
      <c r="C62" s="192">
        <v>0.5</v>
      </c>
      <c r="D62" s="192">
        <v>0.5</v>
      </c>
      <c r="E62" s="192">
        <v>0</v>
      </c>
      <c r="F62" s="192">
        <v>0</v>
      </c>
      <c r="G62" s="192">
        <v>0</v>
      </c>
      <c r="H62" s="192">
        <v>0</v>
      </c>
      <c r="I62" s="192">
        <v>0</v>
      </c>
      <c r="J62" s="192">
        <v>0</v>
      </c>
      <c r="K62" s="206">
        <f>SUM(B62:J62)</f>
        <v>1</v>
      </c>
    </row>
    <row r="63" spans="1:11" ht="14.25" x14ac:dyDescent="0.2">
      <c r="A63" s="224" t="s">
        <v>297</v>
      </c>
      <c r="B63" s="207"/>
      <c r="C63" s="204"/>
      <c r="D63" s="204"/>
      <c r="E63" s="207"/>
      <c r="F63" s="207"/>
      <c r="G63" s="207"/>
      <c r="H63" s="207"/>
      <c r="I63" s="207"/>
      <c r="J63" s="207"/>
      <c r="K63" s="202"/>
    </row>
    <row r="64" spans="1:11" ht="14.25" x14ac:dyDescent="0.2">
      <c r="A64" s="227"/>
      <c r="B64" s="198">
        <f>B62*K64</f>
        <v>0</v>
      </c>
      <c r="C64" s="199">
        <f>C62*K64</f>
        <v>16418.634999999998</v>
      </c>
      <c r="D64" s="199">
        <f>D62*K64</f>
        <v>16418.634999999998</v>
      </c>
      <c r="E64" s="199">
        <f>E62*K64</f>
        <v>0</v>
      </c>
      <c r="F64" s="199">
        <f>F62*K64</f>
        <v>0</v>
      </c>
      <c r="G64" s="199">
        <f>G62*K64</f>
        <v>0</v>
      </c>
      <c r="H64" s="199">
        <f>H62*K64</f>
        <v>0</v>
      </c>
      <c r="I64" s="199">
        <f>I62*K64</f>
        <v>0</v>
      </c>
      <c r="J64" s="199">
        <f>J62*K64</f>
        <v>0</v>
      </c>
      <c r="K64" s="199">
        <f>GERAL!H130</f>
        <v>32837.269999999997</v>
      </c>
    </row>
    <row r="65" spans="1:11" ht="14.25" x14ac:dyDescent="0.2">
      <c r="A65" s="190"/>
      <c r="B65" s="192">
        <v>0</v>
      </c>
      <c r="C65" s="192">
        <v>0</v>
      </c>
      <c r="D65" s="192">
        <v>0</v>
      </c>
      <c r="E65" s="192">
        <v>1</v>
      </c>
      <c r="F65" s="192">
        <v>0</v>
      </c>
      <c r="G65" s="192">
        <v>0</v>
      </c>
      <c r="H65" s="192">
        <v>0</v>
      </c>
      <c r="I65" s="192">
        <v>0</v>
      </c>
      <c r="J65" s="192">
        <v>0</v>
      </c>
      <c r="K65" s="206">
        <f>SUM(B65:J65)</f>
        <v>1</v>
      </c>
    </row>
    <row r="66" spans="1:11" ht="14.25" x14ac:dyDescent="0.2">
      <c r="A66" s="224" t="s">
        <v>298</v>
      </c>
      <c r="B66" s="207"/>
      <c r="C66" s="207"/>
      <c r="D66" s="207"/>
      <c r="E66" s="204"/>
      <c r="F66" s="207"/>
      <c r="G66" s="207"/>
      <c r="H66" s="207"/>
      <c r="I66" s="207"/>
      <c r="J66" s="207"/>
      <c r="K66" s="215"/>
    </row>
    <row r="67" spans="1:11" ht="14.25" x14ac:dyDescent="0.2">
      <c r="A67" s="197"/>
      <c r="B67" s="199">
        <f>B65*K67</f>
        <v>0</v>
      </c>
      <c r="C67" s="199">
        <f>C65*K67</f>
        <v>0</v>
      </c>
      <c r="D67" s="199">
        <f>D65*K67</f>
        <v>0</v>
      </c>
      <c r="E67" s="199">
        <f>E65*K67</f>
        <v>1869.51</v>
      </c>
      <c r="F67" s="199">
        <f>F65*K67</f>
        <v>0</v>
      </c>
      <c r="G67" s="199">
        <f>G65*K67</f>
        <v>0</v>
      </c>
      <c r="H67" s="199">
        <f>H65*K67</f>
        <v>0</v>
      </c>
      <c r="I67" s="199">
        <f>I65*K67</f>
        <v>0</v>
      </c>
      <c r="J67" s="199">
        <f>J65*K67</f>
        <v>0</v>
      </c>
      <c r="K67" s="199">
        <f>GERAL!H141</f>
        <v>1869.51</v>
      </c>
    </row>
    <row r="68" spans="1:11" ht="14.25" customHeight="1" x14ac:dyDescent="0.2">
      <c r="A68" s="285" t="s">
        <v>299</v>
      </c>
      <c r="B68" s="192">
        <v>0</v>
      </c>
      <c r="C68" s="192">
        <v>0</v>
      </c>
      <c r="D68" s="192">
        <v>0</v>
      </c>
      <c r="E68" s="192">
        <v>1</v>
      </c>
      <c r="F68" s="192">
        <v>0</v>
      </c>
      <c r="G68" s="192">
        <v>0</v>
      </c>
      <c r="H68" s="192">
        <v>0</v>
      </c>
      <c r="I68" s="192">
        <v>0</v>
      </c>
      <c r="J68" s="192">
        <v>0</v>
      </c>
      <c r="K68" s="206">
        <f>SUM(B68:J68)</f>
        <v>1</v>
      </c>
    </row>
    <row r="69" spans="1:11" ht="14.25" x14ac:dyDescent="0.2">
      <c r="A69" s="286"/>
      <c r="B69" s="207"/>
      <c r="C69" s="207"/>
      <c r="D69" s="207"/>
      <c r="E69" s="204"/>
      <c r="F69" s="207"/>
      <c r="G69" s="207"/>
      <c r="H69" s="207"/>
      <c r="I69" s="207"/>
      <c r="J69" s="207"/>
      <c r="K69" s="202"/>
    </row>
    <row r="70" spans="1:11" ht="14.25" x14ac:dyDescent="0.2">
      <c r="A70" s="287"/>
      <c r="B70" s="199">
        <f>B68*K70</f>
        <v>0</v>
      </c>
      <c r="C70" s="199">
        <f>C68*K70</f>
        <v>0</v>
      </c>
      <c r="D70" s="199">
        <f>D68*K70</f>
        <v>0</v>
      </c>
      <c r="E70" s="199">
        <f>E68*K70</f>
        <v>61339.199999999997</v>
      </c>
      <c r="F70" s="199">
        <f>F68*K70</f>
        <v>0</v>
      </c>
      <c r="G70" s="199">
        <f>G68*K70</f>
        <v>0</v>
      </c>
      <c r="H70" s="199">
        <f>H68*K70</f>
        <v>0</v>
      </c>
      <c r="I70" s="199">
        <f>I68*K70</f>
        <v>0</v>
      </c>
      <c r="J70" s="199">
        <f>J68*K70</f>
        <v>0</v>
      </c>
      <c r="K70" s="199">
        <f>GERAL!H147</f>
        <v>61339.199999999997</v>
      </c>
    </row>
    <row r="71" spans="1:11" ht="14.25" x14ac:dyDescent="0.2">
      <c r="A71" s="190"/>
      <c r="B71" s="200">
        <v>0</v>
      </c>
      <c r="C71" s="200">
        <v>0</v>
      </c>
      <c r="D71" s="200">
        <v>0</v>
      </c>
      <c r="E71" s="200">
        <v>0</v>
      </c>
      <c r="F71" s="200">
        <v>0.318</v>
      </c>
      <c r="G71" s="200">
        <v>0.17050000000000001</v>
      </c>
      <c r="H71" s="200">
        <v>0.17050000000000001</v>
      </c>
      <c r="I71" s="200">
        <v>0.17050000000000001</v>
      </c>
      <c r="J71" s="200">
        <v>0.17050000000000001</v>
      </c>
      <c r="K71" s="201">
        <f>SUM(B71:J71)</f>
        <v>1</v>
      </c>
    </row>
    <row r="72" spans="1:11" ht="14.25" x14ac:dyDescent="0.2">
      <c r="A72" s="193" t="s">
        <v>300</v>
      </c>
      <c r="B72" s="207"/>
      <c r="C72" s="207"/>
      <c r="D72" s="207"/>
      <c r="E72" s="207"/>
      <c r="F72" s="195"/>
      <c r="G72" s="195"/>
      <c r="H72" s="195"/>
      <c r="I72" s="195"/>
      <c r="J72" s="195"/>
      <c r="K72" s="202"/>
    </row>
    <row r="73" spans="1:11" ht="14.25" x14ac:dyDescent="0.2">
      <c r="A73" s="197"/>
      <c r="B73" s="198">
        <f>B71*K73</f>
        <v>0</v>
      </c>
      <c r="C73" s="199">
        <f>C71*K73</f>
        <v>0</v>
      </c>
      <c r="D73" s="199">
        <f>D71*K73</f>
        <v>0</v>
      </c>
      <c r="E73" s="199">
        <f>E71*K73</f>
        <v>0</v>
      </c>
      <c r="F73" s="199">
        <f>F71*K73</f>
        <v>3459.1753800000001</v>
      </c>
      <c r="G73" s="199">
        <f>G71*K73</f>
        <v>1854.683655</v>
      </c>
      <c r="H73" s="199">
        <f>H71*K73</f>
        <v>1854.683655</v>
      </c>
      <c r="I73" s="199">
        <f>I71*K73</f>
        <v>1854.683655</v>
      </c>
      <c r="J73" s="199">
        <f>J71*K73</f>
        <v>1854.683655</v>
      </c>
      <c r="K73" s="196">
        <f>GERAL!H156</f>
        <v>10877.91</v>
      </c>
    </row>
    <row r="74" spans="1:11" ht="14.25" x14ac:dyDescent="0.2">
      <c r="A74" s="190"/>
      <c r="B74" s="200">
        <v>0</v>
      </c>
      <c r="C74" s="192">
        <v>0</v>
      </c>
      <c r="D74" s="200">
        <v>0</v>
      </c>
      <c r="E74" s="200">
        <v>0</v>
      </c>
      <c r="F74" s="200">
        <v>0.25</v>
      </c>
      <c r="G74" s="200">
        <v>0.25</v>
      </c>
      <c r="H74" s="200">
        <v>0.25</v>
      </c>
      <c r="I74" s="200">
        <v>0.25</v>
      </c>
      <c r="J74" s="200">
        <v>0</v>
      </c>
      <c r="K74" s="203">
        <f>SUM(B74:J74)</f>
        <v>1</v>
      </c>
    </row>
    <row r="75" spans="1:11" ht="14.25" x14ac:dyDescent="0.2">
      <c r="A75" s="190" t="s">
        <v>302</v>
      </c>
      <c r="B75" s="207"/>
      <c r="C75" s="207"/>
      <c r="D75" s="207"/>
      <c r="E75" s="207"/>
      <c r="F75" s="195"/>
      <c r="G75" s="195"/>
      <c r="H75" s="195"/>
      <c r="I75" s="195"/>
      <c r="J75" s="207"/>
      <c r="K75" s="202"/>
    </row>
    <row r="76" spans="1:11" ht="14.25" x14ac:dyDescent="0.2">
      <c r="A76" s="190"/>
      <c r="B76" s="199">
        <f>B74*K76</f>
        <v>0</v>
      </c>
      <c r="C76" s="215">
        <f>C74*K76</f>
        <v>0</v>
      </c>
      <c r="D76" s="199">
        <f>D74*K76</f>
        <v>0</v>
      </c>
      <c r="E76" s="199">
        <f>E74*K76</f>
        <v>0</v>
      </c>
      <c r="F76" s="199">
        <f>F74*K76</f>
        <v>29643.165000000001</v>
      </c>
      <c r="G76" s="199">
        <f>G74*K76</f>
        <v>29643.165000000001</v>
      </c>
      <c r="H76" s="199">
        <f>H74*K76</f>
        <v>29643.165000000001</v>
      </c>
      <c r="I76" s="199">
        <f>I74*K76</f>
        <v>29643.165000000001</v>
      </c>
      <c r="J76" s="199">
        <f>J74*K76</f>
        <v>0</v>
      </c>
      <c r="K76" s="205">
        <f>GERAL!H161</f>
        <v>118572.66</v>
      </c>
    </row>
    <row r="77" spans="1:11" ht="14.25" x14ac:dyDescent="0.2">
      <c r="A77" s="191"/>
      <c r="B77" s="225">
        <v>0</v>
      </c>
      <c r="C77" s="226">
        <v>0</v>
      </c>
      <c r="D77" s="200">
        <v>0</v>
      </c>
      <c r="E77" s="200">
        <v>0</v>
      </c>
      <c r="F77" s="200">
        <v>0.25</v>
      </c>
      <c r="G77" s="200">
        <v>0.25</v>
      </c>
      <c r="H77" s="200">
        <v>0.25</v>
      </c>
      <c r="I77" s="200">
        <v>0.25</v>
      </c>
      <c r="J77" s="200">
        <v>0</v>
      </c>
      <c r="K77" s="203">
        <f>SUM(B77:J77)</f>
        <v>1</v>
      </c>
    </row>
    <row r="78" spans="1:11" ht="28.5" x14ac:dyDescent="0.2">
      <c r="A78" s="224" t="s">
        <v>301</v>
      </c>
      <c r="B78" s="207"/>
      <c r="C78" s="221"/>
      <c r="D78" s="221"/>
      <c r="E78" s="221"/>
      <c r="F78" s="195"/>
      <c r="G78" s="195"/>
      <c r="H78" s="195"/>
      <c r="I78" s="195"/>
      <c r="J78" s="207"/>
      <c r="K78" s="202"/>
    </row>
    <row r="79" spans="1:11" ht="14.25" x14ac:dyDescent="0.2">
      <c r="A79" s="197"/>
      <c r="B79" s="199">
        <f>B77*K79</f>
        <v>0</v>
      </c>
      <c r="C79" s="199">
        <f>C77*K79</f>
        <v>0</v>
      </c>
      <c r="D79" s="199">
        <f>D77*K79</f>
        <v>0</v>
      </c>
      <c r="E79" s="199">
        <f>E77*K79</f>
        <v>0</v>
      </c>
      <c r="F79" s="199">
        <f>F77*K79</f>
        <v>203423.73250000001</v>
      </c>
      <c r="G79" s="199">
        <f>G77*K79</f>
        <v>203423.73250000001</v>
      </c>
      <c r="H79" s="199">
        <f>H77*K79</f>
        <v>203423.73250000001</v>
      </c>
      <c r="I79" s="199">
        <f>I77*K79</f>
        <v>203423.73250000001</v>
      </c>
      <c r="J79" s="199">
        <f>J77*K79</f>
        <v>0</v>
      </c>
      <c r="K79" s="205">
        <f>GERAL!H168</f>
        <v>813694.93</v>
      </c>
    </row>
    <row r="80" spans="1:11" ht="14.25" x14ac:dyDescent="0.2">
      <c r="A80" s="208"/>
      <c r="B80" s="192">
        <v>0</v>
      </c>
      <c r="C80" s="192">
        <v>0</v>
      </c>
      <c r="D80" s="192">
        <v>0</v>
      </c>
      <c r="E80" s="192">
        <v>0</v>
      </c>
      <c r="F80" s="200">
        <v>0</v>
      </c>
      <c r="G80" s="200">
        <v>0.25</v>
      </c>
      <c r="H80" s="200">
        <v>0.25</v>
      </c>
      <c r="I80" s="200">
        <v>0.25</v>
      </c>
      <c r="J80" s="200">
        <v>0.25</v>
      </c>
      <c r="K80" s="203">
        <f>SUM(B80:J80)</f>
        <v>1</v>
      </c>
    </row>
    <row r="81" spans="1:11" ht="28.5" x14ac:dyDescent="0.2">
      <c r="A81" s="224" t="s">
        <v>303</v>
      </c>
      <c r="B81" s="207"/>
      <c r="C81" s="207"/>
      <c r="D81" s="207"/>
      <c r="E81" s="207"/>
      <c r="F81" s="207"/>
      <c r="G81" s="195"/>
      <c r="H81" s="195"/>
      <c r="I81" s="195"/>
      <c r="J81" s="195"/>
      <c r="K81" s="215"/>
    </row>
    <row r="82" spans="1:11" ht="14.25" x14ac:dyDescent="0.2">
      <c r="A82" s="209"/>
      <c r="B82" s="199">
        <f>B80*K82</f>
        <v>0</v>
      </c>
      <c r="C82" s="199">
        <f>C80*K82</f>
        <v>0</v>
      </c>
      <c r="D82" s="199">
        <f>D80*K82</f>
        <v>0</v>
      </c>
      <c r="E82" s="199">
        <f>E80*K82</f>
        <v>0</v>
      </c>
      <c r="F82" s="199">
        <f>F80*K82</f>
        <v>0</v>
      </c>
      <c r="G82" s="199">
        <f>G80*K82</f>
        <v>246385.8425</v>
      </c>
      <c r="H82" s="199">
        <f>H80*K82</f>
        <v>246385.8425</v>
      </c>
      <c r="I82" s="199">
        <f>I80*K82</f>
        <v>246385.8425</v>
      </c>
      <c r="J82" s="199">
        <f>J80*K82</f>
        <v>246385.8425</v>
      </c>
      <c r="K82" s="205">
        <f>GERAL!H177</f>
        <v>985543.37</v>
      </c>
    </row>
    <row r="83" spans="1:11" ht="14.25" x14ac:dyDescent="0.2">
      <c r="A83" s="191"/>
      <c r="B83" s="192">
        <v>0</v>
      </c>
      <c r="C83" s="192">
        <v>0</v>
      </c>
      <c r="D83" s="192">
        <v>0</v>
      </c>
      <c r="E83" s="192">
        <v>0</v>
      </c>
      <c r="F83" s="192">
        <v>0.32600000000000001</v>
      </c>
      <c r="G83" s="192">
        <v>0.15540000000000001</v>
      </c>
      <c r="H83" s="192">
        <v>0.15540000000000001</v>
      </c>
      <c r="I83" s="192">
        <v>0.36320000000000002</v>
      </c>
      <c r="J83" s="192">
        <v>0</v>
      </c>
      <c r="K83" s="206">
        <f>SUM(B83:J83)</f>
        <v>1</v>
      </c>
    </row>
    <row r="84" spans="1:11" ht="14.25" x14ac:dyDescent="0.2">
      <c r="A84" s="224" t="s">
        <v>304</v>
      </c>
      <c r="B84" s="207"/>
      <c r="C84" s="207"/>
      <c r="D84" s="207"/>
      <c r="E84" s="207"/>
      <c r="F84" s="195"/>
      <c r="G84" s="195"/>
      <c r="H84" s="195"/>
      <c r="I84" s="195"/>
      <c r="J84" s="207"/>
      <c r="K84" s="202"/>
    </row>
    <row r="85" spans="1:11" ht="14.25" x14ac:dyDescent="0.2">
      <c r="A85" s="227"/>
      <c r="B85" s="198">
        <f>B83*K85</f>
        <v>0</v>
      </c>
      <c r="C85" s="199">
        <f>C83*K85</f>
        <v>0</v>
      </c>
      <c r="D85" s="199">
        <f>D83*K85</f>
        <v>0</v>
      </c>
      <c r="E85" s="199">
        <f>E83*K85</f>
        <v>0</v>
      </c>
      <c r="F85" s="199">
        <f>F83*K85</f>
        <v>36714.511200000001</v>
      </c>
      <c r="G85" s="199">
        <f>G83*K85</f>
        <v>17501.334480000001</v>
      </c>
      <c r="H85" s="199">
        <f>H83*K85</f>
        <v>17501.334480000001</v>
      </c>
      <c r="I85" s="199">
        <f>I83*K85</f>
        <v>40904.019840000001</v>
      </c>
      <c r="J85" s="199">
        <f>J83*K85</f>
        <v>0</v>
      </c>
      <c r="K85" s="199">
        <f>GERAL!H182</f>
        <v>112621.2</v>
      </c>
    </row>
    <row r="86" spans="1:11" ht="14.25" x14ac:dyDescent="0.2">
      <c r="A86" s="190"/>
      <c r="B86" s="192">
        <v>0</v>
      </c>
      <c r="C86" s="192">
        <v>0</v>
      </c>
      <c r="D86" s="192">
        <v>0</v>
      </c>
      <c r="E86" s="192">
        <v>0</v>
      </c>
      <c r="F86" s="192">
        <v>0</v>
      </c>
      <c r="G86" s="192">
        <v>0</v>
      </c>
      <c r="H86" s="192">
        <v>0</v>
      </c>
      <c r="I86" s="192">
        <v>0</v>
      </c>
      <c r="J86" s="192">
        <v>1</v>
      </c>
      <c r="K86" s="206">
        <f>SUM(B86:J86)</f>
        <v>1</v>
      </c>
    </row>
    <row r="87" spans="1:11" ht="14.25" x14ac:dyDescent="0.2">
      <c r="A87" s="224" t="s">
        <v>306</v>
      </c>
      <c r="B87" s="207"/>
      <c r="C87" s="207"/>
      <c r="D87" s="207"/>
      <c r="E87" s="207"/>
      <c r="F87" s="207"/>
      <c r="G87" s="207"/>
      <c r="H87" s="207"/>
      <c r="I87" s="207"/>
      <c r="J87" s="195"/>
      <c r="K87" s="215"/>
    </row>
    <row r="88" spans="1:11" ht="14.25" x14ac:dyDescent="0.2">
      <c r="A88" s="197"/>
      <c r="B88" s="199">
        <f>B86*K88</f>
        <v>0</v>
      </c>
      <c r="C88" s="199">
        <f>C86*K88</f>
        <v>0</v>
      </c>
      <c r="D88" s="199">
        <f>D86*K88</f>
        <v>0</v>
      </c>
      <c r="E88" s="199">
        <f>E86*K88</f>
        <v>0</v>
      </c>
      <c r="F88" s="199">
        <f>F86*K88</f>
        <v>0</v>
      </c>
      <c r="G88" s="199">
        <f>G86*K88</f>
        <v>0</v>
      </c>
      <c r="H88" s="199">
        <f>H86*K88</f>
        <v>0</v>
      </c>
      <c r="I88" s="199">
        <f>I86*K88</f>
        <v>0</v>
      </c>
      <c r="J88" s="199">
        <f>J86*K88</f>
        <v>6664.65</v>
      </c>
      <c r="K88" s="199">
        <f>GERAL!H192</f>
        <v>6664.65</v>
      </c>
    </row>
    <row r="89" spans="1:11" ht="14.25" x14ac:dyDescent="0.2">
      <c r="A89" s="285" t="s">
        <v>307</v>
      </c>
      <c r="B89" s="192">
        <v>0</v>
      </c>
      <c r="C89" s="192">
        <v>0</v>
      </c>
      <c r="D89" s="192">
        <v>0</v>
      </c>
      <c r="E89" s="192">
        <v>0</v>
      </c>
      <c r="F89" s="192">
        <v>0</v>
      </c>
      <c r="G89" s="192">
        <v>0</v>
      </c>
      <c r="H89" s="192">
        <v>0.2</v>
      </c>
      <c r="I89" s="192">
        <v>0.2</v>
      </c>
      <c r="J89" s="192">
        <v>0.6</v>
      </c>
      <c r="K89" s="206">
        <f>SUM(B89:J89)</f>
        <v>1</v>
      </c>
    </row>
    <row r="90" spans="1:11" ht="14.25" x14ac:dyDescent="0.2">
      <c r="A90" s="286"/>
      <c r="B90" s="207"/>
      <c r="C90" s="207"/>
      <c r="D90" s="207"/>
      <c r="E90" s="207"/>
      <c r="F90" s="207"/>
      <c r="G90" s="207"/>
      <c r="H90" s="195"/>
      <c r="I90" s="195"/>
      <c r="J90" s="195"/>
      <c r="K90" s="202"/>
    </row>
    <row r="91" spans="1:11" ht="14.25" x14ac:dyDescent="0.2">
      <c r="A91" s="287"/>
      <c r="B91" s="199">
        <f>B89*K91</f>
        <v>0</v>
      </c>
      <c r="C91" s="199">
        <f>C89*K91</f>
        <v>0</v>
      </c>
      <c r="D91" s="199">
        <f>D89*K91</f>
        <v>0</v>
      </c>
      <c r="E91" s="199">
        <f>E89*K91</f>
        <v>0</v>
      </c>
      <c r="F91" s="199">
        <f>F89*K91</f>
        <v>0</v>
      </c>
      <c r="G91" s="199">
        <f>G89*K91</f>
        <v>0</v>
      </c>
      <c r="H91" s="199">
        <f>H89*K91</f>
        <v>31135.568000000007</v>
      </c>
      <c r="I91" s="199">
        <f>I89*K91</f>
        <v>31135.568000000007</v>
      </c>
      <c r="J91" s="199">
        <f>J89*K91</f>
        <v>93406.704000000012</v>
      </c>
      <c r="K91" s="199">
        <f>GERAL!H198</f>
        <v>155677.84000000003</v>
      </c>
    </row>
    <row r="92" spans="1:11" ht="14.25" x14ac:dyDescent="0.2">
      <c r="A92" s="210"/>
      <c r="B92" s="211"/>
      <c r="C92" s="211"/>
      <c r="D92" s="211"/>
      <c r="E92" s="211"/>
      <c r="F92" s="211"/>
      <c r="G92" s="211"/>
      <c r="H92" s="211"/>
      <c r="I92" s="211"/>
      <c r="J92" s="211"/>
      <c r="K92" s="215"/>
    </row>
    <row r="93" spans="1:11" ht="15" x14ac:dyDescent="0.2">
      <c r="A93" s="212" t="s">
        <v>57</v>
      </c>
      <c r="B93" s="213">
        <f>ROUND(SUM(,B7,B10,B13,B16,B19,B22,B25,B28,B31,B34,B37,B40,B43,B46,B49,B52,B55,B58,B61,B64,B67,B70,B73,B76,B79,B82,B85,B88,B91),2)</f>
        <v>94478.32</v>
      </c>
      <c r="C93" s="213">
        <f t="shared" ref="C93:G93" si="0">ROUND(SUM(,C7,C10,C13,C16,C19,C22,C25,C28,C31,C34,C37,C40,C43,C46,C49,C52,C55,C58,C61,C64,C67,C70,C73,C76,C79,C82,C85,C88,C91),2)</f>
        <v>197793.76</v>
      </c>
      <c r="D93" s="213">
        <f t="shared" si="0"/>
        <v>278896.82</v>
      </c>
      <c r="E93" s="213">
        <f t="shared" si="0"/>
        <v>173109.41</v>
      </c>
      <c r="F93" s="213">
        <f t="shared" si="0"/>
        <v>276122.09999999998</v>
      </c>
      <c r="G93" s="213">
        <f t="shared" si="0"/>
        <v>501118</v>
      </c>
      <c r="H93" s="213">
        <f>ROUND(SUM(,H7,H10,H13,H16,H19,H22,H25,H28,H31,H34,H37,H40,H43,H46,H49,H52,H55,H58,H61,H64,H67,H70,H73,H76,H79,H82,H85,H88,H91),2)</f>
        <v>532425.69999999995</v>
      </c>
      <c r="I93" s="213">
        <f>TRUNC(SUM(,I7,I10,I13,I16,I19,I22,I25,I28,I31,I34,I37,I40,I43,I46,I49,I52,I55,I58,I61,I64,I67,I70,I73,I76,I79,I82,I85,I88,I91),2)</f>
        <v>555958.21</v>
      </c>
      <c r="J93" s="213">
        <f>TRUNC(SUM(,J7,J10,J13,J16,J19,J22,J25,J28,J31,J34,J37,J40,J43,J46,J49,J52,J55,J58,J61,J64,J67,J70,J73,J76,J79,J82,J85,J88,J91),2)</f>
        <v>349793.99</v>
      </c>
      <c r="K93" s="214">
        <f>ROUND(SUM(,K7,K10,K13,K16,K19,K22,K25,K28,K31,K34,K37,K40,K43,K46,K49,K52,K55,K58,K61,K64,K67,K70,K73,K76,K79,K82,K85,K88,K91),2)</f>
        <v>2959696.31</v>
      </c>
    </row>
    <row r="94" spans="1:11" ht="14.25" x14ac:dyDescent="0.2">
      <c r="A94" s="210"/>
      <c r="B94" s="211"/>
      <c r="C94" s="211"/>
      <c r="D94" s="211"/>
      <c r="E94" s="211"/>
      <c r="F94" s="211"/>
      <c r="G94" s="211"/>
      <c r="H94" s="211"/>
      <c r="I94" s="211"/>
      <c r="J94" s="211"/>
      <c r="K94" s="215"/>
    </row>
    <row r="95" spans="1:11" ht="14.25" x14ac:dyDescent="0.2">
      <c r="A95" s="288" t="s">
        <v>58</v>
      </c>
      <c r="B95" s="216"/>
      <c r="C95" s="216"/>
      <c r="D95" s="216"/>
      <c r="E95" s="216"/>
      <c r="F95" s="216"/>
      <c r="G95" s="216"/>
      <c r="H95" s="216"/>
      <c r="I95" s="216"/>
      <c r="J95" s="216"/>
      <c r="K95" s="217"/>
    </row>
    <row r="96" spans="1:11" ht="14.25" x14ac:dyDescent="0.2">
      <c r="A96" s="289"/>
      <c r="B96" s="232">
        <f>ROUND(B93/K93*100,3)</f>
        <v>3.1920000000000002</v>
      </c>
      <c r="C96" s="232">
        <f>ROUND(C93/K93*100,3)</f>
        <v>6.6829999999999998</v>
      </c>
      <c r="D96" s="232">
        <f>ROUND(D93/K93*100,3)</f>
        <v>9.423</v>
      </c>
      <c r="E96" s="232">
        <f>ROUND(E93/K93*100,3)</f>
        <v>5.8490000000000002</v>
      </c>
      <c r="F96" s="232">
        <f>ROUND(F93/K93*100,3)</f>
        <v>9.3290000000000006</v>
      </c>
      <c r="G96" s="232">
        <f>ROUND(G93/K93*100,3)</f>
        <v>16.931000000000001</v>
      </c>
      <c r="H96" s="232">
        <f>ROUND(H93/K93*100,3)</f>
        <v>17.989000000000001</v>
      </c>
      <c r="I96" s="232">
        <f>ROUND(I93/K93*100,2)</f>
        <v>18.78</v>
      </c>
      <c r="J96" s="232">
        <f>ROUND(J93/K93*100,2)</f>
        <v>11.82</v>
      </c>
      <c r="K96" s="233">
        <f>ROUND(SUM(B96:J96),3)</f>
        <v>99.995999999999995</v>
      </c>
    </row>
    <row r="97" spans="1:11" ht="14.25" x14ac:dyDescent="0.2">
      <c r="A97" s="290"/>
      <c r="B97" s="219"/>
      <c r="C97" s="219"/>
      <c r="D97" s="219"/>
      <c r="E97" s="219"/>
      <c r="F97" s="219"/>
      <c r="G97" s="219"/>
      <c r="H97" s="219"/>
      <c r="I97" s="219"/>
      <c r="J97" s="219"/>
      <c r="K97" s="220"/>
    </row>
    <row r="98" spans="1:11" ht="14.25" x14ac:dyDescent="0.2">
      <c r="A98" s="210"/>
      <c r="B98" s="211"/>
      <c r="C98" s="211"/>
      <c r="D98" s="211"/>
      <c r="E98" s="211"/>
      <c r="F98" s="211"/>
      <c r="G98" s="211"/>
      <c r="H98" s="211"/>
      <c r="I98" s="211"/>
      <c r="J98" s="211"/>
      <c r="K98" s="215"/>
    </row>
    <row r="99" spans="1:11" ht="15" x14ac:dyDescent="0.2">
      <c r="A99" s="212" t="s">
        <v>59</v>
      </c>
      <c r="B99" s="213">
        <f>B93</f>
        <v>94478.32</v>
      </c>
      <c r="C99" s="213">
        <f t="shared" ref="C99:J99" si="1">TRUNC(C93+B99,2)</f>
        <v>292272.08</v>
      </c>
      <c r="D99" s="213">
        <f t="shared" si="1"/>
        <v>571168.9</v>
      </c>
      <c r="E99" s="213">
        <f t="shared" si="1"/>
        <v>744278.31</v>
      </c>
      <c r="F99" s="213">
        <f t="shared" si="1"/>
        <v>1020400.41</v>
      </c>
      <c r="G99" s="213">
        <f t="shared" si="1"/>
        <v>1521518.41</v>
      </c>
      <c r="H99" s="213">
        <f t="shared" si="1"/>
        <v>2053944.11</v>
      </c>
      <c r="I99" s="213">
        <f t="shared" si="1"/>
        <v>2609902.3199999998</v>
      </c>
      <c r="J99" s="213">
        <f t="shared" si="1"/>
        <v>2959696.31</v>
      </c>
      <c r="K99" s="214"/>
    </row>
    <row r="100" spans="1:11" ht="14.25" x14ac:dyDescent="0.2">
      <c r="A100" s="210"/>
      <c r="B100" s="211"/>
      <c r="C100" s="211"/>
      <c r="D100" s="211"/>
      <c r="E100" s="211"/>
      <c r="F100" s="211"/>
      <c r="G100" s="211"/>
      <c r="H100" s="211"/>
      <c r="I100" s="211"/>
      <c r="J100" s="211"/>
      <c r="K100" s="215"/>
    </row>
    <row r="101" spans="1:11" ht="14.25" x14ac:dyDescent="0.2">
      <c r="A101" s="288" t="s">
        <v>60</v>
      </c>
      <c r="B101" s="216"/>
      <c r="C101" s="216"/>
      <c r="D101" s="216"/>
      <c r="E101" s="216"/>
      <c r="F101" s="216"/>
      <c r="G101" s="216"/>
      <c r="H101" s="216"/>
      <c r="I101" s="216"/>
      <c r="J101" s="216"/>
      <c r="K101" s="217"/>
    </row>
    <row r="102" spans="1:11" ht="14.25" x14ac:dyDescent="0.2">
      <c r="A102" s="289"/>
      <c r="B102" s="234">
        <f>ROUND(B99/K93*100,2)</f>
        <v>3.19</v>
      </c>
      <c r="C102" s="234">
        <f>ROUND(C99/K93*100,2)</f>
        <v>9.8800000000000008</v>
      </c>
      <c r="D102" s="234">
        <f>ROUND(D99/K93*100,2)</f>
        <v>19.3</v>
      </c>
      <c r="E102" s="234">
        <f>ROUND(E99/K93*100,2)</f>
        <v>25.15</v>
      </c>
      <c r="F102" s="234">
        <f>ROUND(F99/K93*100,2)</f>
        <v>34.479999999999997</v>
      </c>
      <c r="G102" s="234">
        <f>ROUND(G99/K93*100,2)</f>
        <v>51.41</v>
      </c>
      <c r="H102" s="234">
        <f>ROUND(H99/K93*100,2)</f>
        <v>69.400000000000006</v>
      </c>
      <c r="I102" s="234">
        <f>ROUND(I99/K93*100,2)</f>
        <v>88.18</v>
      </c>
      <c r="J102" s="234">
        <f>ROUND(J99/K93*100,2)</f>
        <v>100</v>
      </c>
      <c r="K102" s="206"/>
    </row>
    <row r="103" spans="1:11" ht="14.25" x14ac:dyDescent="0.2">
      <c r="A103" s="290"/>
      <c r="B103" s="219"/>
      <c r="C103" s="219"/>
      <c r="D103" s="219"/>
      <c r="E103" s="219"/>
      <c r="F103" s="219"/>
      <c r="G103" s="219"/>
      <c r="H103" s="219"/>
      <c r="I103" s="219"/>
      <c r="J103" s="219"/>
      <c r="K103" s="220"/>
    </row>
    <row r="104" spans="1:11" ht="15" x14ac:dyDescent="0.2">
      <c r="A104" s="95"/>
      <c r="B104" s="95"/>
      <c r="C104" s="95"/>
      <c r="D104" s="95"/>
      <c r="E104" s="95"/>
      <c r="F104" s="95"/>
      <c r="G104" s="95"/>
      <c r="H104" s="95"/>
      <c r="I104" s="95"/>
      <c r="J104" s="95"/>
      <c r="K104" s="95"/>
    </row>
    <row r="105" spans="1:11" ht="15" x14ac:dyDescent="0.2">
      <c r="A105" s="95"/>
      <c r="B105" s="95"/>
      <c r="C105" s="95"/>
      <c r="D105" s="95"/>
      <c r="E105" s="95"/>
      <c r="F105" s="95"/>
      <c r="G105" s="95"/>
      <c r="H105" s="95"/>
      <c r="I105" s="95"/>
      <c r="J105" s="95"/>
      <c r="K105" s="95"/>
    </row>
    <row r="111" spans="1:11" x14ac:dyDescent="0.2">
      <c r="A111" s="223"/>
    </row>
    <row r="112" spans="1:11" x14ac:dyDescent="0.2">
      <c r="A112" s="223"/>
    </row>
  </sheetData>
  <mergeCells count="17">
    <mergeCell ref="A68:A70"/>
    <mergeCell ref="A89:A91"/>
    <mergeCell ref="A26:A28"/>
    <mergeCell ref="A95:A97"/>
    <mergeCell ref="A101:A103"/>
    <mergeCell ref="A47:A49"/>
    <mergeCell ref="A2:K2"/>
    <mergeCell ref="B3:B4"/>
    <mergeCell ref="C3:C4"/>
    <mergeCell ref="D3:D4"/>
    <mergeCell ref="E3:E4"/>
    <mergeCell ref="K3:K4"/>
    <mergeCell ref="F3:F4"/>
    <mergeCell ref="G3:G4"/>
    <mergeCell ref="H3:H4"/>
    <mergeCell ref="I3:I4"/>
    <mergeCell ref="J3:J4"/>
  </mergeCells>
  <pageMargins left="0.511811024" right="0.511811024" top="0.78740157499999996" bottom="0.78740157499999996" header="0.31496062000000002" footer="0.31496062000000002"/>
  <pageSetup paperSize="9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2</vt:i4>
      </vt:variant>
    </vt:vector>
  </HeadingPairs>
  <TitlesOfParts>
    <vt:vector size="6" baseType="lpstr">
      <vt:lpstr>Memoria de calculo</vt:lpstr>
      <vt:lpstr>Resumo</vt:lpstr>
      <vt:lpstr>GERAL</vt:lpstr>
      <vt:lpstr>Cronograma</vt:lpstr>
      <vt:lpstr>GERAL!Titulos_de_impressao</vt:lpstr>
      <vt:lpstr>'Memoria de calculo'!Titulos_de_impressao</vt:lpstr>
    </vt:vector>
  </TitlesOfParts>
  <Company>Prefeitura de Alvorada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SPH</dc:creator>
  <cp:lastModifiedBy>ENGENHARIA</cp:lastModifiedBy>
  <cp:lastPrinted>2023-12-18T16:01:22Z</cp:lastPrinted>
  <dcterms:created xsi:type="dcterms:W3CDTF">2006-06-16T19:35:18Z</dcterms:created>
  <dcterms:modified xsi:type="dcterms:W3CDTF">2023-12-18T16:02:13Z</dcterms:modified>
</cp:coreProperties>
</file>