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_rels/sheet3.xml.rels" ContentType="application/vnd.openxmlformats-package.relationships+xml"/>
  <Override PartName="/xl/worksheets/_rels/sheet4.xml.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3.xml" ContentType="application/vnd.openxmlformats-officedocument.spreadsheetml.comments+xml"/>
  <Override PartName="/xl/media/image2.gif" ContentType="image/gif"/>
  <Override PartName="/xl/media/image7.png" ContentType="image/png"/>
  <Override PartName="/xl/media/image3.gif" ContentType="image/gif"/>
  <Override PartName="/xl/media/image8.png" ContentType="image/png"/>
  <Override PartName="/xl/media/image4.gif" ContentType="image/gif"/>
  <Override PartName="/xl/media/image9.png" ContentType="image/png"/>
  <Override PartName="/xl/media/image5.gif" ContentType="image/gif"/>
  <Override PartName="/xl/media/image6.gif" ContentType="image/gif"/>
  <Override PartName="/xl/media/image10.png" ContentType="image/png"/>
  <Override PartName="/xl/media/image11.png" ContentType="image/png"/>
  <Override PartName="/xl/drawings/vmlDrawing1.vml" ContentType="application/vnd.openxmlformats-officedocument.vmlDrawing"/>
  <Override PartName="/xl/drawings/drawing1.xml" ContentType="application/vnd.openxmlformats-officedocument.drawing+xml"/>
  <Override PartName="/xl/drawings/vmlDrawing2.vml" ContentType="application/vnd.openxmlformats-officedocument.vmlDrawing"/>
  <Override PartName="/xl/drawings/_rels/drawing1.xml.rels" ContentType="application/vnd.openxmlformats-package.relationships+xml"/>
  <Override PartName="/xl/comments4.xml" ContentType="application/vnd.openxmlformats-officedocument.spreadsheetml.comment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2"/>
  </bookViews>
  <sheets>
    <sheet name="INSUMOS" sheetId="1" state="visible" r:id="rId2"/>
    <sheet name="FROTA" sheetId="2" state="visible" r:id="rId3"/>
    <sheet name="IPK-PMM" sheetId="3" state="visible" r:id="rId4"/>
    <sheet name="COMPOSIÇÃO TARIFA" sheetId="4" state="visible" r:id="rId5"/>
    <sheet name="Projeção KM" sheetId="5" state="visible" r:id="rId6"/>
    <sheet name="Planilha1" sheetId="6" state="hidden" r:id="rId7"/>
  </sheets>
  <definedNames>
    <definedName function="false" hidden="false" localSheetId="3" name="_xlnm.Print_Area" vbProcedure="false">'COMPOSIÇÃO TARIFA'!$A$1:$Q$172</definedName>
    <definedName function="false" hidden="false" localSheetId="1" name="_xlnm.Print_Area" vbProcedure="false">FROTA!$A$1:$E$34</definedName>
    <definedName function="false" hidden="false" localSheetId="0" name="_xlnm.Print_Area" vbProcedure="false">INSUMOS!$A$1:$J$26</definedName>
    <definedName function="false" hidden="false" localSheetId="2" name="_xlnm.Print_Area" vbProcedure="false">'IPK-PMM'!$A$1:$H$26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comments3.xml><?xml version="1.0" encoding="utf-8"?>
<comments xmlns="http://schemas.openxmlformats.org/spreadsheetml/2006/main" xmlns:xdr="http://schemas.openxmlformats.org/drawingml/2006/spreadsheetDrawing">
  <authors>
    <author> </author>
  </authors>
  <commentList>
    <comment ref="B5" authorId="0">
      <text>
        <r>
          <rPr>
            <sz val="11"/>
            <color rgb="FF000000"/>
            <rFont val="Calibri"/>
            <family val="2"/>
            <charset val="1"/>
          </rPr>
          <t xml:space="preserve">SMSMU:
</t>
        </r>
        <r>
          <rPr>
            <sz val="9"/>
            <color rgb="FF000000"/>
            <rFont val="Segoe UI"/>
            <family val="2"/>
            <charset val="1"/>
          </rPr>
          <t xml:space="preserve">Integração de R$3,15 equivale a 67,02% da tarifa cheia para cálculo de passageiro equivalente</t>
        </r>
      </text>
    </comment>
    <comment ref="C24" authorId="0">
      <text>
        <r>
          <rPr>
            <sz val="11"/>
            <color rgb="FF000000"/>
            <rFont val="Calibri"/>
            <family val="2"/>
            <charset val="1"/>
          </rPr>
          <t xml:space="preserve">[Comentário encadeado]
Sua versão do Excel permite que você leia este comentário encadeado, no entanto, as edições serão removidas se o arquivo for aberto em uma versão mais recente do Excel. Saiba mais: https://go.microsoft.com/fwlink/?linkid=870924
Comentário:
    Equivalente a passageiros de R$ 4,70</t>
        </r>
      </text>
    </comment>
    <comment ref="E24" authorId="0">
      <text>
        <r>
          <rPr>
            <sz val="11"/>
            <color rgb="FF000000"/>
            <rFont val="Calibri"/>
            <family val="2"/>
            <charset val="1"/>
          </rPr>
          <t xml:space="preserve">SMSMU:
</t>
        </r>
        <r>
          <rPr>
            <sz val="9"/>
            <color rgb="FF000000"/>
            <rFont val="Segoe UI"/>
            <family val="2"/>
            <charset val="1"/>
          </rPr>
          <t xml:space="preserve">Quantitativo total de integração (sem equivalencia)
</t>
        </r>
      </text>
    </comment>
    <comment ref="F24" authorId="0">
      <text>
        <r>
          <rPr>
            <sz val="11"/>
            <color rgb="FF000000"/>
            <rFont val="Calibri"/>
            <family val="2"/>
            <charset val="1"/>
          </rPr>
          <t xml:space="preserve">SMSMU:
</t>
        </r>
        <r>
          <rPr>
            <sz val="9"/>
            <color rgb="FF000000"/>
            <rFont val="Segoe UI"/>
            <family val="0"/>
            <charset val="1"/>
          </rPr>
          <t xml:space="preserve">quantitativo de gratuidades
estimado</t>
        </r>
      </text>
    </comment>
    <comment ref="O1" authorId="0">
      <text>
        <r>
          <rPr>
            <sz val="11"/>
            <color rgb="FF000000"/>
            <rFont val="Calibri"/>
            <family val="2"/>
            <charset val="1"/>
          </rPr>
          <t xml:space="preserve">SMSMU:
</t>
        </r>
        <r>
          <rPr>
            <sz val="9"/>
            <color rgb="FF000000"/>
            <rFont val="Segoe UI"/>
            <family val="2"/>
            <charset val="1"/>
          </rPr>
          <t xml:space="preserve">considerar somente rodagem OPERACIONAL sendo remunerada somente 5% da rodagem morta</t>
        </r>
      </text>
    </comment>
  </commentList>
</comments>
</file>

<file path=xl/comments4.xml><?xml version="1.0" encoding="utf-8"?>
<comments xmlns="http://schemas.openxmlformats.org/spreadsheetml/2006/main" xmlns:xdr="http://schemas.openxmlformats.org/drawingml/2006/spreadsheetDrawing">
  <authors>
    <author> </author>
  </authors>
  <commentList>
    <comment ref="A5" authorId="0">
      <text>
        <r>
          <rPr>
            <sz val="11"/>
            <color rgb="FF000000"/>
            <rFont val="Calibri"/>
            <family val="2"/>
            <charset val="1"/>
          </rPr>
          <t xml:space="preserve">[Comentário encadeado]
Sua versão do Excel permite que você leia este comentário encadeado, no entanto, as edições serão removidas se o arquivo for aberto em uma versão mais recente do Excel. Saiba mais: https://go.microsoft.com/fwlink/?linkid=870924
Comentário:
    A cada mês, será adicionado o mês mais atual e removido o mês mais antigo</t>
        </r>
      </text>
    </comment>
    <comment ref="B5" authorId="0">
      <text>
        <r>
          <rPr>
            <sz val="11"/>
            <color rgb="FF000000"/>
            <rFont val="Calibri"/>
            <family val="2"/>
            <charset val="1"/>
          </rPr>
          <t xml:space="preserve">SMSMU:
</t>
        </r>
        <r>
          <rPr>
            <sz val="9"/>
            <color rgb="FF000000"/>
            <rFont val="Segoe UI"/>
            <family val="2"/>
            <charset val="1"/>
          </rPr>
          <t xml:space="preserve">Média semestral apurada nos últimos seis meses baseando-se no consumo efetivo dos veículos.
</t>
        </r>
      </text>
    </comment>
    <comment ref="B18" authorId="0">
      <text>
        <r>
          <rPr>
            <sz val="11"/>
            <color rgb="FF000000"/>
            <rFont val="Calibri"/>
            <family val="2"/>
            <charset val="1"/>
          </rPr>
          <t xml:space="preserve">SMSMU:
</t>
        </r>
        <r>
          <rPr>
            <sz val="9"/>
            <color rgb="FF000000"/>
            <rFont val="Segoe UI"/>
            <family val="2"/>
            <charset val="1"/>
          </rPr>
          <t xml:space="preserve">Segundo manual GEIPOT, levantamentos realizados mostraram que o consumo de lubrificantes pode ser correlacionado ao do óleo diesel  e que, sem margem significativa de erro, pode-se substituir o consumo de lubrificantes por quilômetro por um equivalente do consumo de óleo diesel.</t>
        </r>
      </text>
    </comment>
    <comment ref="B42" authorId="0">
      <text>
        <r>
          <rPr>
            <sz val="11"/>
            <color rgb="FF000000"/>
            <rFont val="Calibri"/>
            <family val="2"/>
            <charset val="1"/>
          </rPr>
          <t xml:space="preserve">[Comentário encadeado]
Sua versão do Excel permite que você leia este comentário encadeado, no entanto, as edições serão removidas se o arquivo for aberto em uma versão mais recente do Excel. Saiba mais: https://go.microsoft.com/fwlink/?linkid=870924
Comentário:
    Obtido pela média de consumo de peças e acessórios no último semestre</t>
        </r>
      </text>
    </comment>
    <comment ref="B61" authorId="0">
      <text>
        <r>
          <rPr>
            <sz val="11"/>
            <color rgb="FF000000"/>
            <rFont val="Calibri"/>
            <family val="2"/>
            <charset val="1"/>
          </rPr>
          <t xml:space="preserve">SMSMU:
</t>
        </r>
        <r>
          <rPr>
            <sz val="9"/>
            <color rgb="FF000000"/>
            <rFont val="Segoe UI"/>
            <family val="2"/>
            <charset val="1"/>
          </rPr>
          <t xml:space="preserve">Conforme GEIPOT
</t>
        </r>
      </text>
    </comment>
    <comment ref="B70" authorId="0">
      <text>
        <r>
          <rPr>
            <sz val="11"/>
            <color rgb="FF000000"/>
            <rFont val="Calibri"/>
            <family val="2"/>
            <charset val="1"/>
          </rPr>
          <t xml:space="preserve">SMSMU:
</t>
        </r>
        <r>
          <rPr>
            <sz val="9"/>
            <color rgb="FF000000"/>
            <rFont val="Segoe UI"/>
            <family val="2"/>
            <charset val="1"/>
          </rPr>
          <t xml:space="preserve">conforme GEIPOT
ponderado pela frota
</t>
        </r>
      </text>
    </comment>
    <comment ref="B83" authorId="0">
      <text>
        <r>
          <rPr>
            <sz val="11"/>
            <color rgb="FF000000"/>
            <rFont val="Calibri"/>
            <family val="2"/>
            <charset val="1"/>
          </rPr>
          <t xml:space="preserve">SMSMU:
</t>
        </r>
        <r>
          <rPr>
            <sz val="9"/>
            <color rgb="FF000000"/>
            <rFont val="Segoe UI"/>
            <family val="2"/>
            <charset val="1"/>
          </rPr>
          <t xml:space="preserve">Conforme GEIPOT</t>
        </r>
      </text>
    </comment>
    <comment ref="B91" authorId="0">
      <text>
        <r>
          <rPr>
            <sz val="11"/>
            <color rgb="FF000000"/>
            <rFont val="Calibri"/>
            <family val="2"/>
            <charset val="1"/>
          </rPr>
          <t xml:space="preserve">SMSMU:
</t>
        </r>
        <r>
          <rPr>
            <sz val="9"/>
            <color rgb="FF000000"/>
            <rFont val="Segoe UI"/>
            <family val="2"/>
            <charset val="1"/>
          </rPr>
          <t xml:space="preserve">Conforme GEIPOT</t>
        </r>
      </text>
    </comment>
    <comment ref="B148" authorId="0">
      <text>
        <r>
          <rPr>
            <sz val="11"/>
            <color rgb="FF000000"/>
            <rFont val="Calibri"/>
            <family val="2"/>
            <charset val="1"/>
          </rPr>
          <t xml:space="preserve">SMSMU:
</t>
        </r>
        <r>
          <rPr>
            <sz val="9"/>
            <color rgb="FF000000"/>
            <rFont val="Segoe UI"/>
            <family val="2"/>
            <charset val="1"/>
          </rPr>
          <t xml:space="preserve"> 
Material de expediente, energia elétrica, água, comunicações e outras despesas não diretamente ligadas à operação</t>
        </r>
      </text>
    </comment>
    <comment ref="D81" authorId="0">
      <text>
        <r>
          <rPr>
            <sz val="11"/>
            <color rgb="FF000000"/>
            <rFont val="Calibri"/>
            <family val="2"/>
            <charset val="1"/>
          </rPr>
          <t xml:space="preserve">SMSMU:
</t>
        </r>
        <r>
          <rPr>
            <sz val="9"/>
            <color rgb="FF000000"/>
            <rFont val="Segoe UI"/>
            <family val="2"/>
            <charset val="1"/>
          </rPr>
          <t xml:space="preserve">O cálculo da remuneração de máquinas, instalações e equipamentos, para efeito de simplificação, foi relacionado ao valor de um veículo leve novo completo. Admite-se que o valor anual do capital imobilizado em máquinas, instalações e equipamentos corresponde a 4% do preço de um veículo leve novo completo, para cada veículo da frota. Assim, aplicando-se sobre este valor a taxa de remuneração mensal adotada, tem-se a remuneração mensal, por veículo, do capital imobilizado em máquinas, instalações e equipamentos (R$/veículo x mês)</t>
        </r>
      </text>
    </comment>
    <comment ref="D90" authorId="0">
      <text>
        <r>
          <rPr>
            <sz val="11"/>
            <color rgb="FF000000"/>
            <rFont val="Calibri"/>
            <family val="2"/>
            <charset val="1"/>
          </rPr>
          <t xml:space="preserve">SMSMU:
</t>
        </r>
        <r>
          <rPr>
            <sz val="9"/>
            <color rgb="FF000000"/>
            <rFont val="Segoe UI"/>
            <family val="2"/>
            <charset val="1"/>
          </rPr>
          <t xml:space="preserve">Admite-se que o valor anual do capital imobilizado em almoxarifado corresponde a 3% do preço de um veículo novo completo, para cada veículo da frota. Assim, aplicando-se sobre esse valor, para cada tipo de veículo, a taxa de remuneração mensal adotada, tem-se a remuneração mensal, por veículo, do capital imobilizado em almoxarifado (R$/veículo x mês)
</t>
        </r>
      </text>
    </comment>
  </commentList>
</comments>
</file>

<file path=xl/sharedStrings.xml><?xml version="1.0" encoding="utf-8"?>
<sst xmlns="http://schemas.openxmlformats.org/spreadsheetml/2006/main" count="381" uniqueCount="292">
  <si>
    <t xml:space="preserve">PLANILHA DE CÁLCULO  - INSUMOS BÁSICOS </t>
  </si>
  <si>
    <t xml:space="preserve">CUSTO</t>
  </si>
  <si>
    <t xml:space="preserve">PROJEÇÃO DE CUSTOS 14/05/2026-14/05/2027</t>
  </si>
  <si>
    <t xml:space="preserve">Preço MÉDIO de um litro de Óleo Diesel - NFS mês corrente</t>
  </si>
  <si>
    <t xml:space="preserve">Preço de um pneu novo para veículo pesado - MÉDIA SEMESTRAL</t>
  </si>
  <si>
    <t xml:space="preserve">Preço MÉDIO de uma recapagem - veículo pesado MÉDIA SEMESTRAL</t>
  </si>
  <si>
    <t xml:space="preserve">CÁLCULO DOS BENEFÍCIOS (PARTE EMPRESA)</t>
  </si>
  <si>
    <t xml:space="preserve">CÁLCULO - ENCARGOS TRABALHISTAS</t>
  </si>
  <si>
    <t xml:space="preserve">%</t>
  </si>
  <si>
    <t xml:space="preserve">Plano de saúde</t>
  </si>
  <si>
    <t xml:space="preserve">INSS</t>
  </si>
  <si>
    <t xml:space="preserve">A</t>
  </si>
  <si>
    <t xml:space="preserve">Vale alimentação</t>
  </si>
  <si>
    <t xml:space="preserve">Acidentes de trabalho</t>
  </si>
  <si>
    <t xml:space="preserve">Preço de chassi - veículo novo</t>
  </si>
  <si>
    <t xml:space="preserve">Cesta básica (rancho)</t>
  </si>
  <si>
    <t xml:space="preserve">Salário Educação</t>
  </si>
  <si>
    <t xml:space="preserve">Preço de carroceria - veículo novo</t>
  </si>
  <si>
    <t xml:space="preserve">TOTAL MENSAL/BENEFICIÁRIO MÉDIA PONDERADA</t>
  </si>
  <si>
    <t xml:space="preserve">INCRA</t>
  </si>
  <si>
    <t xml:space="preserve">Salário-base mensal de MOTORISTA COBRADOR</t>
  </si>
  <si>
    <t xml:space="preserve">SENAT</t>
  </si>
  <si>
    <t xml:space="preserve">Salário-base mensal de FISCAL</t>
  </si>
  <si>
    <t xml:space="preserve">SEST</t>
  </si>
  <si>
    <t xml:space="preserve">Despesa mensal com PLANO DE SAÚDE - parte empresa</t>
  </si>
  <si>
    <t xml:space="preserve">SEBRAE</t>
  </si>
  <si>
    <t xml:space="preserve">Despesa mensal com sistema de monitoramento</t>
  </si>
  <si>
    <t xml:space="preserve">FGTS</t>
  </si>
  <si>
    <t xml:space="preserve">Despesa mensal com bilhetagem eletrônica+monitoramento</t>
  </si>
  <si>
    <t xml:space="preserve">Vale Alimentação Motorista - parte empresa</t>
  </si>
  <si>
    <t xml:space="preserve">Abono de férias</t>
  </si>
  <si>
    <t xml:space="preserve">B</t>
  </si>
  <si>
    <t xml:space="preserve">Vale Alimentação Fiscalização - parte empresa</t>
  </si>
  <si>
    <t xml:space="preserve">Aviso prévio trabalhado</t>
  </si>
  <si>
    <t xml:space="preserve">CESTA BÁSICA - Motoristas - parte empresa (TOTAL)</t>
  </si>
  <si>
    <t xml:space="preserve">Licença paternidade</t>
  </si>
  <si>
    <t xml:space="preserve">CESTA BÁSICA - Fiscalização - parte empresa (TOTAL)</t>
  </si>
  <si>
    <t xml:space="preserve">Licença funeral</t>
  </si>
  <si>
    <t xml:space="preserve">Benefício mensal total (alimentação, plano de saúde etc)</t>
  </si>
  <si>
    <t xml:space="preserve">Licença casamento</t>
  </si>
  <si>
    <t xml:space="preserve">Décimo terceiro salário</t>
  </si>
  <si>
    <t xml:space="preserve">Adicional noturno</t>
  </si>
  <si>
    <t xml:space="preserve">Depósito por rescisão</t>
  </si>
  <si>
    <t xml:space="preserve">C</t>
  </si>
  <si>
    <t xml:space="preserve">Aviso prévio indenizado</t>
  </si>
  <si>
    <t xml:space="preserve">Indenização adicional</t>
  </si>
  <si>
    <t xml:space="preserve">Incidência cumulativa dos encargos do grupo A sobre o grupo B</t>
  </si>
  <si>
    <t xml:space="preserve">TOTAL</t>
  </si>
  <si>
    <t xml:space="preserve">CUSTO DO VEÍCULO</t>
  </si>
  <si>
    <t xml:space="preserve">Categoria</t>
  </si>
  <si>
    <t xml:space="preserve">Potência do Motor</t>
  </si>
  <si>
    <t xml:space="preserve">Exemplo de Modelo</t>
  </si>
  <si>
    <t xml:space="preserve">Leve</t>
  </si>
  <si>
    <t xml:space="preserve">até 200 HP</t>
  </si>
  <si>
    <t xml:space="preserve">Convencional/alongado/monobloco</t>
  </si>
  <si>
    <t xml:space="preserve">Pesado</t>
  </si>
  <si>
    <t xml:space="preserve">acima de 200 HP</t>
  </si>
  <si>
    <t xml:space="preserve">Padron, com 2 ou 3 portas</t>
  </si>
  <si>
    <t xml:space="preserve">Especial</t>
  </si>
  <si>
    <t xml:space="preserve">Articulado</t>
  </si>
  <si>
    <t xml:space="preserve">Preço do veículo (valor mínimo dentre os orçamentos apresentados)</t>
  </si>
  <si>
    <t xml:space="preserve">Chassi</t>
  </si>
  <si>
    <t xml:space="preserve">Carroceria</t>
  </si>
  <si>
    <t xml:space="preserve">Valor veículo (Chassi+Carroceria)</t>
  </si>
  <si>
    <t xml:space="preserve">Preço do veículo novo menos rodagem</t>
  </si>
  <si>
    <t xml:space="preserve">Valor Veículo</t>
  </si>
  <si>
    <t xml:space="preserve">Pneu (unitário)</t>
  </si>
  <si>
    <t xml:space="preserve">Valor</t>
  </si>
  <si>
    <t xml:space="preserve">FROTA</t>
  </si>
  <si>
    <t xml:space="preserve">Faixa Etária</t>
  </si>
  <si>
    <t xml:space="preserve">Quantidade</t>
  </si>
  <si>
    <t xml:space="preserve">0 a 1 ano</t>
  </si>
  <si>
    <t xml:space="preserve">1 a 2 anos</t>
  </si>
  <si>
    <t xml:space="preserve">2 a 3 anos</t>
  </si>
  <si>
    <t xml:space="preserve">3 a 4 anos</t>
  </si>
  <si>
    <t xml:space="preserve">4 a 5 anos</t>
  </si>
  <si>
    <t xml:space="preserve">5 a 6 anos</t>
  </si>
  <si>
    <t xml:space="preserve">6 a 7 anos</t>
  </si>
  <si>
    <t xml:space="preserve">7 a 8 anos</t>
  </si>
  <si>
    <t xml:space="preserve">8 a 9 anos</t>
  </si>
  <si>
    <t xml:space="preserve">9 a 10 anos</t>
  </si>
  <si>
    <t xml:space="preserve">&gt;10 anos</t>
  </si>
  <si>
    <t xml:space="preserve">FROTA TOTAL</t>
  </si>
  <si>
    <t xml:space="preserve">veículos</t>
  </si>
  <si>
    <t xml:space="preserve">FROTA RESERVA</t>
  </si>
  <si>
    <t xml:space="preserve">FROTA OPERANTE</t>
  </si>
  <si>
    <t xml:space="preserve">.</t>
  </si>
  <si>
    <t xml:space="preserve">CÁLCULO DO NÚMERO EQUIVALENTE DE PASSAGEIROS</t>
  </si>
  <si>
    <t xml:space="preserve">Passageiros pagantes 100%</t>
  </si>
  <si>
    <t xml:space="preserve">pass/mês</t>
  </si>
  <si>
    <t xml:space="preserve">Passageiros pagantes 50% EQUIVALENTES</t>
  </si>
  <si>
    <t xml:space="preserve">Passageiros Integração EQUIVALENTES</t>
  </si>
  <si>
    <t xml:space="preserve">Passageiros equivalentes mensal</t>
  </si>
  <si>
    <t xml:space="preserve">KM TOTAL</t>
  </si>
  <si>
    <t xml:space="preserve">km/mês</t>
  </si>
  <si>
    <t xml:space="preserve">KM produtiva</t>
  </si>
  <si>
    <t xml:space="preserve">Limite KM Improdutiva (5% KM produtiva)</t>
  </si>
  <si>
    <t xml:space="preserve">KM improdutiva (morta)</t>
  </si>
  <si>
    <t xml:space="preserve">KM Mensal Percorrida</t>
  </si>
  <si>
    <t xml:space="preserve">PERCURSO MÉDIO MENSAL (PMM)</t>
  </si>
  <si>
    <t xml:space="preserve">km/veículo </t>
  </si>
  <si>
    <t xml:space="preserve">IPKe</t>
  </si>
  <si>
    <t xml:space="preserve">pass/km</t>
  </si>
  <si>
    <t xml:space="preserve">Rodagem Operacional</t>
  </si>
  <si>
    <t xml:space="preserve">Rodagem morta</t>
  </si>
  <si>
    <t xml:space="preserve">Percentual da Rodagem Morta em relação à operacional</t>
  </si>
  <si>
    <t xml:space="preserve">Rodagem Total</t>
  </si>
  <si>
    <t xml:space="preserve">PASSAGEIROS TRANSPORTADOS</t>
  </si>
  <si>
    <t xml:space="preserve">RODAGEM BRUTA (KM)</t>
  </si>
  <si>
    <t xml:space="preserve">ESCOLAR</t>
  </si>
  <si>
    <t xml:space="preserve">PAGANTE 100%</t>
  </si>
  <si>
    <t xml:space="preserve">INTEGRAÇÃO EQUIVALENTE</t>
  </si>
  <si>
    <t xml:space="preserve">EQUIVALENTE</t>
  </si>
  <si>
    <t xml:space="preserve">INTEGRAÇÃO TOTAL</t>
  </si>
  <si>
    <t xml:space="preserve">GRATUIDADES</t>
  </si>
  <si>
    <t xml:space="preserve">BRUTO PAX</t>
  </si>
  <si>
    <t xml:space="preserve">CUSTOS VARIÁVEIS</t>
  </si>
  <si>
    <t xml:space="preserve">COMBUSTÍVEL</t>
  </si>
  <si>
    <t xml:space="preserve">Preço/Litro</t>
  </si>
  <si>
    <t xml:space="preserve">Coeficiente de Consumo média 2024</t>
  </si>
  <si>
    <t xml:space="preserve">R$/km/veículo</t>
  </si>
  <si>
    <t xml:space="preserve">Consumo por km FROTA TOTAL</t>
  </si>
  <si>
    <t xml:space="preserve">LUBRIFICANTES</t>
  </si>
  <si>
    <t xml:space="preserve">Preço/Litro combustível</t>
  </si>
  <si>
    <t xml:space="preserve">Coef. Equiv. Por litro de óleo diesel</t>
  </si>
  <si>
    <t xml:space="preserve">CONSUMO POR KM</t>
  </si>
  <si>
    <t xml:space="preserve">RECAPAGENS</t>
  </si>
  <si>
    <t xml:space="preserve">RODAGEM</t>
  </si>
  <si>
    <t xml:space="preserve">QUANTIDADE</t>
  </si>
  <si>
    <t xml:space="preserve">CUSTO RODAGEM</t>
  </si>
  <si>
    <t xml:space="preserve">Custo Pneu</t>
  </si>
  <si>
    <t xml:space="preserve">Custo Recapagem</t>
  </si>
  <si>
    <t xml:space="preserve">CUSTO TOTAL DE RODAGEM</t>
  </si>
  <si>
    <t xml:space="preserve">QUILOMETRAGEM MÍNIMA ADMISSÍVEL P/PNEU NOVO</t>
  </si>
  <si>
    <t xml:space="preserve">R$</t>
  </si>
  <si>
    <t xml:space="preserve">QUILOMETRAGEM MÍNIMA ADMISSÍVEL C/2 RECAPAGEM</t>
  </si>
  <si>
    <t xml:space="preserve">CUSTO RODAGEM POR KM</t>
  </si>
  <si>
    <t xml:space="preserve">R$/km</t>
  </si>
  <si>
    <t xml:space="preserve">VIDA ÚTIL MÍNIMA TOTAL </t>
  </si>
  <si>
    <t xml:space="preserve">PEÇAS E ACESSÓRIOS</t>
  </si>
  <si>
    <t xml:space="preserve">PREÇO VEICULO NOVO</t>
  </si>
  <si>
    <t xml:space="preserve">COEFICIENTE CONSUMO MÉDIA</t>
  </si>
  <si>
    <t xml:space="preserve">PMM MENSAL</t>
  </si>
  <si>
    <t xml:space="preserve">CUSTO POR KM</t>
  </si>
  <si>
    <t xml:space="preserve">CUSTO VARIÁVEL TOTAL POR KM</t>
  </si>
  <si>
    <t xml:space="preserve">CUSTOS FIXOS</t>
  </si>
  <si>
    <t xml:space="preserve">CUSTOS DE CAPITAL</t>
  </si>
  <si>
    <t xml:space="preserve">A.1 - DEPRECIAÇÃO DA FROTA</t>
  </si>
  <si>
    <t xml:space="preserve">IDADE   (ANOS)</t>
  </si>
  <si>
    <t xml:space="preserve">N° DE    VEÍCULOS</t>
  </si>
  <si>
    <t xml:space="preserve">COEF. DE DEPRECIAÇÃO</t>
  </si>
  <si>
    <t xml:space="preserve">DEPRECIAÇÃO ANUAL</t>
  </si>
  <si>
    <t xml:space="preserve">DEPRECIAÇÃO ANUAL FROTA</t>
  </si>
  <si>
    <t xml:space="preserve">+ 10</t>
  </si>
  <si>
    <t xml:space="preserve">0,0000</t>
  </si>
  <si>
    <t xml:space="preserve">0</t>
  </si>
  <si>
    <t xml:space="preserve">Custo mensal FROTA (DEPRECIAÇÃO ANUAL/12 MESES/FROTA DE 12 VEÍCULOS)</t>
  </si>
  <si>
    <t xml:space="preserve">A.2 - DEPRECIAÇÃO DE MÁQUINAS, INSTALAÇÕES E EQUIPAMENTOS</t>
  </si>
  <si>
    <t xml:space="preserve">Preço veículo novo</t>
  </si>
  <si>
    <t xml:space="preserve">Coeficiente de Depreciação</t>
  </si>
  <si>
    <t xml:space="preserve">R$/Veic/Mês</t>
  </si>
  <si>
    <t xml:space="preserve">DEPRECIAÇÃO TOTAL (A1+A2)</t>
  </si>
  <si>
    <t xml:space="preserve">R$/mês/veículo</t>
  </si>
  <si>
    <t xml:space="preserve">A3 - REMUNERAÇÃO DO CAPITAL IMOBILIZADO EM VEÍCULOS</t>
  </si>
  <si>
    <t xml:space="preserve">Frota total</t>
  </si>
  <si>
    <t xml:space="preserve">Coeficiente de Remuneração MÉDIO</t>
  </si>
  <si>
    <t xml:space="preserve">Preço veículo novo menos rodagem</t>
  </si>
  <si>
    <t xml:space="preserve">Coeficiente Remuneração Frota</t>
  </si>
  <si>
    <t xml:space="preserve">Remuneração anual frota</t>
  </si>
  <si>
    <t xml:space="preserve">Remuneração anual</t>
  </si>
  <si>
    <t xml:space="preserve">Remuneração mensal </t>
  </si>
  <si>
    <t xml:space="preserve">REMUNERAÇÃO MENSAL</t>
  </si>
  <si>
    <t xml:space="preserve">A4 - REMUNERAÇÃO MÁQUINAS, EQUIPAMENTOS E INSTALAÇÕES</t>
  </si>
  <si>
    <t xml:space="preserve">Coeficiente:</t>
  </si>
  <si>
    <t xml:space="preserve">0,04 x (0,12/12) x preço do veículo leve novo = 0,0004 x preço do veículo leve novo</t>
  </si>
  <si>
    <t xml:space="preserve">Coef. Máq., Equip. e Inst.</t>
  </si>
  <si>
    <t xml:space="preserve"> </t>
  </si>
  <si>
    <t xml:space="preserve">A5 - REMUNERAÇÃO ALMOXARIFADO</t>
  </si>
  <si>
    <t xml:space="preserve">Coeficiente: 0,03 x (0,12/12) x preço do veículo novo = 0,0003 x preço do veículo novo</t>
  </si>
  <si>
    <t xml:space="preserve">Coef. Almoxarifado</t>
  </si>
  <si>
    <t xml:space="preserve">REMUNERAÇÃO MENSAL </t>
  </si>
  <si>
    <t xml:space="preserve">REMUNERAÇÃO TOTAL CAPITAL (A1+A2+A3+A4+A5)</t>
  </si>
  <si>
    <t xml:space="preserve">DESPESAS COM PESSOAL DA OPERAÇÃO</t>
  </si>
  <si>
    <t xml:space="preserve">DESPESAS COM PESSOAL MOTORISTAS COBRADORES</t>
  </si>
  <si>
    <t xml:space="preserve">F.U. EQUIVALENTE MENSAL</t>
  </si>
  <si>
    <t xml:space="preserve">Pessoal de Operação</t>
  </si>
  <si>
    <t xml:space="preserve">NÚMERO MÉDIO COLABORADORES</t>
  </si>
  <si>
    <t xml:space="preserve">F.U. C/ PESSOAL OPERAÇÃO SEM HORA EXTRA</t>
  </si>
  <si>
    <t xml:space="preserve">FATOR HORA EXTRA</t>
  </si>
  <si>
    <t xml:space="preserve">FATOR UTILIZAÇÃO C/ PESSOAL OPERAÇÃO</t>
  </si>
  <si>
    <t xml:space="preserve">Salário</t>
  </si>
  <si>
    <t xml:space="preserve">MOTORISTA</t>
  </si>
  <si>
    <t xml:space="preserve">Encargos Trabalhistas</t>
  </si>
  <si>
    <t xml:space="preserve">FISCAL</t>
  </si>
  <si>
    <t xml:space="preserve">Fator de Utilização</t>
  </si>
  <si>
    <t xml:space="preserve">DESPESA MENSAL MOTORISTAS COBRADORES</t>
  </si>
  <si>
    <t xml:space="preserve">R$/mês/veículo operante</t>
  </si>
  <si>
    <t xml:space="preserve">MOTORISTAS</t>
  </si>
  <si>
    <t xml:space="preserve">DESPESAS COM PESSOAL - FISCAL</t>
  </si>
  <si>
    <t xml:space="preserve">PESSOAL DE OPERAÇÃO</t>
  </si>
  <si>
    <t xml:space="preserve">FOLHA MENSAL R$</t>
  </si>
  <si>
    <t xml:space="preserve">HORAS EXTRAS (R$)</t>
  </si>
  <si>
    <t xml:space="preserve">DESPESA MENSAL FISCAL</t>
  </si>
  <si>
    <t xml:space="preserve">FISCAIS</t>
  </si>
  <si>
    <t xml:space="preserve">Despesa mensal operação</t>
  </si>
  <si>
    <t xml:space="preserve">FOLHA MENSAL (R$)</t>
  </si>
  <si>
    <t xml:space="preserve">DESPESAS COM PESSOAL MANUTENÇÃO</t>
  </si>
  <si>
    <t xml:space="preserve">Coeficiente manutenção</t>
  </si>
  <si>
    <t xml:space="preserve">REMUNERAÇÃO MENSAL MANUTENÇÃO</t>
  </si>
  <si>
    <t xml:space="preserve">DESPESAS COM PESSOAL ADMINISTRAÇÃO</t>
  </si>
  <si>
    <t xml:space="preserve">Coeficiente Administração</t>
  </si>
  <si>
    <t xml:space="preserve">REMUNERAÇÃO MENSAL ADMINISTRAÇÃO</t>
  </si>
  <si>
    <t xml:space="preserve">BENEFÍCIOS</t>
  </si>
  <si>
    <t xml:space="preserve">Despesa mensal benefícios - total operacional</t>
  </si>
  <si>
    <t xml:space="preserve">Veículos - operacional</t>
  </si>
  <si>
    <t xml:space="preserve">REMUNERAÇÃO MENSAL BENEFÍCIOS</t>
  </si>
  <si>
    <t xml:space="preserve">TOTAL DESPESAS PESSOAL</t>
  </si>
  <si>
    <t xml:space="preserve">REMUNER. MENSAL</t>
  </si>
  <si>
    <t xml:space="preserve">BILHETAGEM ELETRÔNICA </t>
  </si>
  <si>
    <t xml:space="preserve">Custo Bilhetagem mensal</t>
  </si>
  <si>
    <t xml:space="preserve">REMUNERAÇÃO MENSAL BILHETAGEM</t>
  </si>
  <si>
    <t xml:space="preserve">R$/veículo</t>
  </si>
  <si>
    <t xml:space="preserve">DESPESAS ADMINISTRATIVAS</t>
  </si>
  <si>
    <t xml:space="preserve">Coeficiente Desp. Administrativas</t>
  </si>
  <si>
    <t xml:space="preserve">REMUNERAÇÃO DESPESAS ADMINISTRATIVAS</t>
  </si>
  <si>
    <t xml:space="preserve">RESUMO DE CUSTOS </t>
  </si>
  <si>
    <t xml:space="preserve">CUSTO DE CAPITAL E ADMINISTRAÇÃO</t>
  </si>
  <si>
    <t xml:space="preserve">R$ EM 1 ANO</t>
  </si>
  <si>
    <t xml:space="preserve">CUSTO DE PESSOAL</t>
  </si>
  <si>
    <t xml:space="preserve">CUSTO FIXO TOTAL </t>
  </si>
  <si>
    <t xml:space="preserve">R$ EM1 ANO</t>
  </si>
  <si>
    <t xml:space="preserve">CUSTO FIXO TOTAL POR KM</t>
  </si>
  <si>
    <t xml:space="preserve">CUSTO VARIÁVEL POR KM</t>
  </si>
  <si>
    <t xml:space="preserve">CUSTO TOTAL POR KM</t>
  </si>
  <si>
    <t xml:space="preserve">TRIBUTOS</t>
  </si>
  <si>
    <t xml:space="preserve">TRIBUTOS: </t>
  </si>
  <si>
    <t xml:space="preserve">. ISS .......................................... </t>
  </si>
  <si>
    <t xml:space="preserve">FATOR EQUIVALENCIA</t>
  </si>
  <si>
    <t xml:space="preserve">. INSS .......................................... </t>
  </si>
  <si>
    <t xml:space="preserve">CUSTO TOTAL C/ TRIBUTOS</t>
  </si>
  <si>
    <t xml:space="preserve">. PIS .......................................... </t>
  </si>
  <si>
    <t xml:space="preserve">. COFINS ...............................</t>
  </si>
  <si>
    <t xml:space="preserve">TARIFA TÉCNICA </t>
  </si>
  <si>
    <t xml:space="preserve">DEFASAGEM TARIFÁRIA</t>
  </si>
  <si>
    <t xml:space="preserve">TARIFA SOCIAL</t>
  </si>
  <si>
    <t xml:space="preserve">ARRECADAÇÃO TARIFA SOCIAL</t>
  </si>
  <si>
    <t xml:space="preserve">ARRECADAÇÃO TARIFA TÉCNICA</t>
  </si>
  <si>
    <t xml:space="preserve">DESEQUILÍBRIO</t>
  </si>
  <si>
    <t xml:space="preserve">Mês</t>
  </si>
  <si>
    <t xml:space="preserve">Úteis</t>
  </si>
  <si>
    <t xml:space="preserve">Sábados/dias reduzidos</t>
  </si>
  <si>
    <t xml:space="preserve">Km Produtiva Útil</t>
  </si>
  <si>
    <t xml:space="preserve">Km Ociosa Útil</t>
  </si>
  <si>
    <t xml:space="preserve">Km Produtiva Sábado</t>
  </si>
  <si>
    <t xml:space="preserve">Km Ociosa Sábado</t>
  </si>
  <si>
    <t xml:space="preserve">Km Total</t>
  </si>
  <si>
    <t xml:space="preserve">Produtiva</t>
  </si>
  <si>
    <t xml:space="preserve">Produtiva  Geipot</t>
  </si>
  <si>
    <t xml:space="preserve">Maio</t>
  </si>
  <si>
    <t xml:space="preserve">Junho</t>
  </si>
  <si>
    <t xml:space="preserve">Julho</t>
  </si>
  <si>
    <t xml:space="preserve">Agosto</t>
  </si>
  <si>
    <t xml:space="preserve">Setembro</t>
  </si>
  <si>
    <t xml:space="preserve">Outubro</t>
  </si>
  <si>
    <t xml:space="preserve">Novembro</t>
  </si>
  <si>
    <t xml:space="preserve">Dezembro</t>
  </si>
  <si>
    <t xml:space="preserve">Janeiro</t>
  </si>
  <si>
    <t xml:space="preserve">Fevereiro</t>
  </si>
  <si>
    <t xml:space="preserve">Março</t>
  </si>
  <si>
    <t xml:space="preserve">Abril</t>
  </si>
  <si>
    <t xml:space="preserve">Totais</t>
  </si>
  <si>
    <t xml:space="preserve">Total</t>
  </si>
  <si>
    <t xml:space="preserve">Total Produtiva</t>
  </si>
  <si>
    <t xml:space="preserve">Total Ociosa</t>
  </si>
  <si>
    <t xml:space="preserve">Util</t>
  </si>
  <si>
    <t xml:space="preserve">metros</t>
  </si>
  <si>
    <t xml:space="preserve">total</t>
  </si>
  <si>
    <t xml:space="preserve">Sabado</t>
  </si>
  <si>
    <t xml:space="preserve">C102</t>
  </si>
  <si>
    <t xml:space="preserve">C104</t>
  </si>
  <si>
    <t xml:space="preserve">C105</t>
  </si>
  <si>
    <t xml:space="preserve">C201</t>
  </si>
  <si>
    <t xml:space="preserve">C201B</t>
  </si>
  <si>
    <t xml:space="preserve">C201BG</t>
  </si>
  <si>
    <t xml:space="preserve">C202</t>
  </si>
  <si>
    <t xml:space="preserve">L103</t>
  </si>
  <si>
    <t xml:space="preserve">Total Horários</t>
  </si>
  <si>
    <t xml:space="preserve">Km dia util</t>
  </si>
  <si>
    <t xml:space="preserve">Km Sábado</t>
  </si>
  <si>
    <t xml:space="preserve">Úteis Total</t>
  </si>
  <si>
    <t xml:space="preserve">Sábados</t>
  </si>
  <si>
    <t xml:space="preserve">Útil Feriadão</t>
  </si>
</sst>
</file>

<file path=xl/styles.xml><?xml version="1.0" encoding="utf-8"?>
<styleSheet xmlns="http://schemas.openxmlformats.org/spreadsheetml/2006/main">
  <numFmts count="25">
    <numFmt numFmtId="164" formatCode="General"/>
    <numFmt numFmtId="165" formatCode="_-* #,##0.00_-;\-* #,##0.00_-;_-* \-??_-;_-@_-"/>
    <numFmt numFmtId="166" formatCode="_-[$R$-416]\ * #,##0.0000_-;\-[$R$-416]\ * #,##0.0000_-;_-[$R$-416]\ * \-??_-;_-@_-"/>
    <numFmt numFmtId="167" formatCode="_-&quot;R$ &quot;* #,##0.00_-;&quot;-R$ &quot;* #,##0.00_-;_-&quot;R$ &quot;* \-??_-;_-@_-"/>
    <numFmt numFmtId="168" formatCode="0.00"/>
    <numFmt numFmtId="169" formatCode="0.0000"/>
    <numFmt numFmtId="170" formatCode="_-[$R$-416]\ * #,##0.00_-;\-[$R$-416]\ * #,##0.00_-;_-[$R$-416]\ * \-??_-;_-@_-"/>
    <numFmt numFmtId="171" formatCode="0.0"/>
    <numFmt numFmtId="172" formatCode="#,##0"/>
    <numFmt numFmtId="173" formatCode="#,##0_);[RED]\(#,##0\)"/>
    <numFmt numFmtId="174" formatCode="General"/>
    <numFmt numFmtId="175" formatCode="0%"/>
    <numFmt numFmtId="176" formatCode="0.00%"/>
    <numFmt numFmtId="177" formatCode="#,##0.00"/>
    <numFmt numFmtId="178" formatCode="_-&quot;R$ &quot;* #,##0.0000_-;&quot;-R$ &quot;* #,##0.0000_-;_-&quot;R$ &quot;* \-??_-;_-@_-"/>
    <numFmt numFmtId="179" formatCode="#,##0.00_);\(#,##0.00\)"/>
    <numFmt numFmtId="180" formatCode="_-* #,##0.000000_-;\-* #,##0.000000_-;_-* \-??_-;_-@_-"/>
    <numFmt numFmtId="181" formatCode="#,##0_);\(#,##0\)"/>
    <numFmt numFmtId="182" formatCode="@"/>
    <numFmt numFmtId="183" formatCode="#,##0.00000\ ;\(#,##0.00000\)"/>
    <numFmt numFmtId="184" formatCode="0"/>
    <numFmt numFmtId="185" formatCode="mm/yy"/>
    <numFmt numFmtId="186" formatCode="_-* #,##0.000_-;\-* #,##0.000_-;_-* \-??_-;_-@_-"/>
    <numFmt numFmtId="187" formatCode="&quot;R$ &quot;#,##0.00;[RED]&quot;-R$ &quot;#,##0.00"/>
    <numFmt numFmtId="188" formatCode="_-[$R$-416]\ * #,##0.0000_-;\-[$R$-416]\ * #,##0.0000_-;_-[$R$-416]\ * \-????_-;_-@_-"/>
  </numFmts>
  <fonts count="30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1"/>
      <color rgb="FF000000"/>
      <name val="Calibri"/>
      <family val="2"/>
      <charset val="1"/>
    </font>
    <font>
      <b val="true"/>
      <sz val="16"/>
      <color rgb="FF000000"/>
      <name val="Calibri"/>
      <family val="2"/>
      <charset val="1"/>
    </font>
    <font>
      <sz val="11"/>
      <name val="Arial"/>
      <family val="2"/>
      <charset val="1"/>
    </font>
    <font>
      <b val="true"/>
      <sz val="11"/>
      <name val="Arial"/>
      <family val="2"/>
      <charset val="1"/>
    </font>
    <font>
      <sz val="9"/>
      <color rgb="FF000000"/>
      <name val="Arial"/>
      <family val="2"/>
      <charset val="1"/>
    </font>
    <font>
      <b val="true"/>
      <sz val="9"/>
      <color rgb="FF000000"/>
      <name val="Arial"/>
      <family val="2"/>
      <charset val="1"/>
    </font>
    <font>
      <b val="true"/>
      <sz val="14"/>
      <color rgb="FF000000"/>
      <name val="Calibri"/>
      <family val="2"/>
      <charset val="1"/>
    </font>
    <font>
      <sz val="12"/>
      <name val="Arial"/>
      <family val="2"/>
      <charset val="1"/>
    </font>
    <font>
      <b val="true"/>
      <sz val="12"/>
      <name val="Arial"/>
      <family val="2"/>
      <charset val="1"/>
    </font>
    <font>
      <b val="true"/>
      <sz val="12"/>
      <color rgb="FF000000"/>
      <name val="Calibri"/>
      <family val="2"/>
      <charset val="1"/>
    </font>
    <font>
      <sz val="13"/>
      <color rgb="FF000000"/>
      <name val="Times New Roman"/>
      <family val="1"/>
      <charset val="1"/>
    </font>
    <font>
      <sz val="12"/>
      <color rgb="FF000000"/>
      <name val="Times New Roman"/>
      <family val="1"/>
      <charset val="1"/>
    </font>
    <font>
      <sz val="13"/>
      <name val="Arial"/>
      <family val="2"/>
      <charset val="1"/>
    </font>
    <font>
      <sz val="9"/>
      <color rgb="FF000000"/>
      <name val="Segoe UI"/>
      <family val="2"/>
      <charset val="1"/>
    </font>
    <font>
      <sz val="9"/>
      <color rgb="FF000000"/>
      <name val="Segoe UI"/>
      <family val="0"/>
      <charset val="1"/>
    </font>
    <font>
      <sz val="11"/>
      <color rgb="FF000000"/>
      <name val="Arial"/>
      <family val="2"/>
      <charset val="1"/>
    </font>
    <font>
      <sz val="8"/>
      <name val="Arial"/>
      <family val="2"/>
      <charset val="1"/>
    </font>
    <font>
      <b val="true"/>
      <sz val="8"/>
      <name val="Arial"/>
      <family val="2"/>
      <charset val="1"/>
    </font>
    <font>
      <u val="single"/>
      <sz val="8"/>
      <name val="Arial"/>
      <family val="2"/>
      <charset val="1"/>
    </font>
    <font>
      <sz val="10"/>
      <name val="Arial"/>
      <family val="2"/>
      <charset val="1"/>
    </font>
    <font>
      <b val="true"/>
      <sz val="9"/>
      <color rgb="FF000000"/>
      <name val="Calibri"/>
      <family val="2"/>
      <charset val="1"/>
    </font>
    <font>
      <sz val="16"/>
      <color rgb="FF000000"/>
      <name val="Calibri"/>
      <family val="2"/>
      <charset val="1"/>
    </font>
    <font>
      <b val="true"/>
      <sz val="18"/>
      <color rgb="FF000000"/>
      <name val="Calibri"/>
      <family val="2"/>
      <charset val="1"/>
    </font>
    <font>
      <sz val="18"/>
      <color rgb="FF000000"/>
      <name val="Calibri"/>
      <family val="2"/>
      <charset val="1"/>
    </font>
    <font>
      <b val="true"/>
      <sz val="16"/>
      <color rgb="FF00000A"/>
      <name val="Times New Roman"/>
      <family val="1"/>
      <charset val="1"/>
    </font>
    <font>
      <b val="true"/>
      <sz val="18"/>
      <color rgb="FFFF0000"/>
      <name val="Calibri"/>
      <family val="2"/>
      <charset val="1"/>
    </font>
  </fonts>
  <fills count="15">
    <fill>
      <patternFill patternType="none"/>
    </fill>
    <fill>
      <patternFill patternType="gray125"/>
    </fill>
    <fill>
      <patternFill patternType="solid">
        <fgColor rgb="FFBDD7EE"/>
        <bgColor rgb="FFB4C7E7"/>
      </patternFill>
    </fill>
    <fill>
      <patternFill patternType="solid">
        <fgColor rgb="FFD0CECE"/>
        <bgColor rgb="FFD6DCE5"/>
      </patternFill>
    </fill>
    <fill>
      <patternFill patternType="solid">
        <fgColor rgb="FFC5E0B4"/>
        <bgColor rgb="FFD0CECE"/>
      </patternFill>
    </fill>
    <fill>
      <patternFill patternType="solid">
        <fgColor rgb="FFC0C0C0"/>
        <bgColor rgb="FFD0CECE"/>
      </patternFill>
    </fill>
    <fill>
      <patternFill patternType="solid">
        <fgColor rgb="FFFFC000"/>
        <bgColor rgb="FFFF9900"/>
      </patternFill>
    </fill>
    <fill>
      <patternFill patternType="solid">
        <fgColor rgb="FFED7D31"/>
        <bgColor rgb="FFFF8080"/>
      </patternFill>
    </fill>
    <fill>
      <patternFill patternType="solid">
        <fgColor rgb="FFFFFFFF"/>
        <bgColor rgb="FFFFFFCC"/>
      </patternFill>
    </fill>
    <fill>
      <patternFill patternType="solid">
        <fgColor rgb="FFFFE699"/>
        <bgColor rgb="FFFFD966"/>
      </patternFill>
    </fill>
    <fill>
      <patternFill patternType="solid">
        <fgColor rgb="FFF8CBAD"/>
        <bgColor rgb="FFFFE699"/>
      </patternFill>
    </fill>
    <fill>
      <patternFill patternType="solid">
        <fgColor rgb="FFFFD966"/>
        <bgColor rgb="FFFFE699"/>
      </patternFill>
    </fill>
    <fill>
      <patternFill patternType="solid">
        <fgColor rgb="FFB4C7E7"/>
        <bgColor rgb="FFBDD7EE"/>
      </patternFill>
    </fill>
    <fill>
      <patternFill patternType="solid">
        <fgColor rgb="FFA9D18E"/>
        <bgColor rgb="FFC5E0B4"/>
      </patternFill>
    </fill>
    <fill>
      <patternFill patternType="solid">
        <fgColor rgb="FFD6DCE5"/>
        <bgColor rgb="FFD0CECE"/>
      </patternFill>
    </fill>
  </fills>
  <borders count="61">
    <border diagonalUp="false" diagonalDown="false">
      <left/>
      <right/>
      <top/>
      <bottom/>
      <diagonal/>
    </border>
    <border diagonalUp="false" diagonalDown="false">
      <left style="medium"/>
      <right style="medium"/>
      <top style="medium"/>
      <bottom style="medium"/>
      <diagonal/>
    </border>
    <border diagonalUp="false" diagonalDown="false">
      <left style="medium"/>
      <right/>
      <top/>
      <bottom style="thin"/>
      <diagonal/>
    </border>
    <border diagonalUp="false" diagonalDown="false">
      <left style="medium"/>
      <right style="medium"/>
      <top style="medium"/>
      <bottom style="thin"/>
      <diagonal/>
    </border>
    <border diagonalUp="false" diagonalDown="false">
      <left style="medium"/>
      <right/>
      <top style="thin"/>
      <bottom style="thin"/>
      <diagonal/>
    </border>
    <border diagonalUp="false" diagonalDown="false">
      <left style="medium"/>
      <right style="medium"/>
      <top style="thin"/>
      <bottom style="thin"/>
      <diagonal/>
    </border>
    <border diagonalUp="false" diagonalDown="false">
      <left style="medium"/>
      <right style="medium"/>
      <top style="medium"/>
      <bottom/>
      <diagonal/>
    </border>
    <border diagonalUp="false" diagonalDown="false">
      <left style="medium"/>
      <right style="thin"/>
      <top/>
      <bottom style="thin"/>
      <diagonal/>
    </border>
    <border diagonalUp="false" diagonalDown="false">
      <left style="thin"/>
      <right style="medium"/>
      <top/>
      <bottom style="thin"/>
      <diagonal/>
    </border>
    <border diagonalUp="false" diagonalDown="false">
      <left style="medium"/>
      <right style="thin"/>
      <top style="medium"/>
      <bottom style="thin"/>
      <diagonal/>
    </border>
    <border diagonalUp="false" diagonalDown="false">
      <left style="medium"/>
      <right/>
      <top style="medium"/>
      <bottom style="medium"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medium"/>
      <right style="thin"/>
      <top style="thin"/>
      <bottom style="thin"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medium"/>
      <right style="thin"/>
      <top style="thin"/>
      <bottom style="medium"/>
      <diagonal/>
    </border>
    <border diagonalUp="false" diagonalDown="false">
      <left/>
      <right style="medium"/>
      <top style="medium"/>
      <bottom style="medium"/>
      <diagonal/>
    </border>
    <border diagonalUp="false" diagonalDown="false">
      <left style="medium"/>
      <right/>
      <top/>
      <bottom/>
      <diagonal/>
    </border>
    <border diagonalUp="false" diagonalDown="false">
      <left style="medium"/>
      <right/>
      <top style="thin"/>
      <bottom/>
      <diagonal/>
    </border>
    <border diagonalUp="false" diagonalDown="false">
      <left style="medium"/>
      <right style="medium"/>
      <top style="thin"/>
      <bottom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/>
      <right/>
      <top style="medium"/>
      <bottom/>
      <diagonal/>
    </border>
    <border diagonalUp="false" diagonalDown="false">
      <left/>
      <right style="medium"/>
      <top style="medium"/>
      <bottom/>
      <diagonal/>
    </border>
    <border diagonalUp="false" diagonalDown="false">
      <left/>
      <right style="medium"/>
      <top/>
      <bottom/>
      <diagonal/>
    </border>
    <border diagonalUp="false" diagonalDown="false">
      <left style="medium"/>
      <right style="thin"/>
      <top style="medium"/>
      <bottom/>
      <diagonal/>
    </border>
    <border diagonalUp="false" diagonalDown="false">
      <left/>
      <right style="thin"/>
      <top style="medium"/>
      <bottom/>
      <diagonal/>
    </border>
    <border diagonalUp="false" diagonalDown="false">
      <left style="thin"/>
      <right style="medium"/>
      <top style="medium"/>
      <bottom/>
      <diagonal/>
    </border>
    <border diagonalUp="false" diagonalDown="false">
      <left style="medium"/>
      <right style="thin"/>
      <top style="thin"/>
      <bottom/>
      <diagonal/>
    </border>
    <border diagonalUp="false" diagonalDown="false">
      <left/>
      <right style="thin"/>
      <top style="thin"/>
      <bottom/>
      <diagonal/>
    </border>
    <border diagonalUp="false" diagonalDown="false">
      <left style="thin"/>
      <right style="medium"/>
      <top style="thin"/>
      <bottom/>
      <diagonal/>
    </border>
    <border diagonalUp="false" diagonalDown="false">
      <left style="medium"/>
      <right style="thin"/>
      <top/>
      <bottom/>
      <diagonal/>
    </border>
    <border diagonalUp="false" diagonalDown="false">
      <left/>
      <right style="thin"/>
      <top/>
      <bottom/>
      <diagonal/>
    </border>
    <border diagonalUp="false" diagonalDown="false">
      <left style="thin"/>
      <right style="medium"/>
      <top/>
      <bottom/>
      <diagonal/>
    </border>
    <border diagonalUp="false" diagonalDown="false">
      <left style="medium"/>
      <right style="thin"/>
      <top/>
      <bottom style="medium"/>
      <diagonal/>
    </border>
    <border diagonalUp="false" diagonalDown="false">
      <left/>
      <right style="thin"/>
      <top/>
      <bottom style="medium"/>
      <diagonal/>
    </border>
    <border diagonalUp="false" diagonalDown="false">
      <left style="thin"/>
      <right style="medium"/>
      <top/>
      <bottom style="medium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/>
      <right/>
      <top/>
      <bottom style="medium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/>
      <right style="medium"/>
      <top style="thin"/>
      <bottom style="thin"/>
      <diagonal/>
    </border>
    <border diagonalUp="false" diagonalDown="false">
      <left style="thin"/>
      <right style="medium"/>
      <top style="medium"/>
      <bottom style="medium"/>
      <diagonal/>
    </border>
    <border diagonalUp="false" diagonalDown="false">
      <left style="medium"/>
      <right style="thin"/>
      <top style="medium"/>
      <bottom style="medium"/>
      <diagonal/>
    </border>
    <border diagonalUp="false" diagonalDown="false">
      <left/>
      <right style="thin"/>
      <top style="thin"/>
      <bottom style="thin"/>
      <diagonal/>
    </border>
    <border diagonalUp="false" diagonalDown="false">
      <left style="medium"/>
      <right style="medium"/>
      <top style="thin"/>
      <bottom style="medium"/>
      <diagonal/>
    </border>
    <border diagonalUp="false" diagonalDown="false">
      <left/>
      <right style="medium">
        <color rgb="FF999999"/>
      </right>
      <top/>
      <bottom style="medium">
        <color rgb="FF999999"/>
      </bottom>
      <diagonal/>
    </border>
    <border diagonalUp="false" diagonalDown="false">
      <left style="thin"/>
      <right/>
      <top/>
      <bottom style="medium"/>
      <diagonal/>
    </border>
    <border diagonalUp="false" diagonalDown="false">
      <left style="thin"/>
      <right style="thin"/>
      <top/>
      <bottom style="medium"/>
      <diagonal/>
    </border>
    <border diagonalUp="false" diagonalDown="false">
      <left/>
      <right style="medium"/>
      <top/>
      <bottom style="medium"/>
      <diagonal/>
    </border>
    <border diagonalUp="false" diagonalDown="false">
      <left style="medium"/>
      <right style="medium"/>
      <top/>
      <bottom style="thin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medium"/>
      <right/>
      <top/>
      <bottom style="medium"/>
      <diagonal/>
    </border>
    <border diagonalUp="false" diagonalDown="false">
      <left style="medium"/>
      <right style="medium"/>
      <top/>
      <bottom style="medium"/>
      <diagonal/>
    </border>
    <border diagonalUp="false" diagonalDown="false">
      <left style="thin"/>
      <right/>
      <top/>
      <bottom style="thin"/>
      <diagonal/>
    </border>
    <border diagonalUp="false" diagonalDown="false">
      <left/>
      <right style="hair"/>
      <top style="hair"/>
      <bottom style="hair"/>
      <diagonal/>
    </border>
    <border diagonalUp="false" diagonalDown="false">
      <left style="hair"/>
      <right style="hair"/>
      <top style="hair"/>
      <bottom style="hair"/>
      <diagonal/>
    </border>
    <border diagonalUp="false" diagonalDown="false">
      <left style="medium"/>
      <right style="hair"/>
      <top/>
      <bottom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medium"/>
      <right/>
      <top style="medium"/>
      <bottom/>
      <diagonal/>
    </border>
    <border diagonalUp="false" diagonalDown="false">
      <left/>
      <right/>
      <top style="medium"/>
      <bottom style="medium"/>
      <diagonal/>
    </border>
    <border diagonalUp="false" diagonalDown="false">
      <left/>
      <right style="thin"/>
      <top style="medium"/>
      <bottom style="thin"/>
      <diagonal/>
    </border>
  </borders>
  <cellStyleXfs count="2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165" fontId="0" fillId="0" borderId="0" applyFont="true" applyBorder="false" applyAlignment="true" applyProtection="false">
      <alignment horizontal="general" vertical="bottom" textRotation="0" wrapText="false" indent="0" shrinkToFit="false"/>
    </xf>
    <xf numFmtId="41" fontId="1" fillId="0" borderId="0" applyFont="true" applyBorder="false" applyAlignment="false" applyProtection="false"/>
    <xf numFmtId="167" fontId="0" fillId="0" borderId="0" applyFont="true" applyBorder="false" applyAlignment="true" applyProtection="false">
      <alignment horizontal="general" vertical="bottom" textRotation="0" wrapText="false" indent="0" shrinkToFit="false"/>
    </xf>
    <xf numFmtId="42" fontId="1" fillId="0" borderId="0" applyFont="true" applyBorder="false" applyAlignment="false" applyProtection="false"/>
    <xf numFmtId="175" fontId="0" fillId="0" borderId="0" applyFont="true" applyBorder="false" applyAlignment="true" applyProtection="false">
      <alignment horizontal="general" vertical="bottom" textRotation="0" wrapText="false" indent="0" shrinkToFit="false"/>
    </xf>
    <xf numFmtId="165" fontId="0" fillId="0" borderId="0" applyFont="true" applyBorder="false" applyAlignment="true" applyProtection="false">
      <alignment horizontal="general" vertical="bottom" textRotation="0" wrapText="false" indent="0" shrinkToFit="false"/>
    </xf>
  </cellStyleXfs>
  <cellXfs count="345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2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3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0" fillId="4" borderId="3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3" borderId="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0" fillId="4" borderId="5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2" borderId="6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2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6" fontId="0" fillId="3" borderId="5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3" borderId="7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7" fontId="0" fillId="0" borderId="8" xfId="17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3" borderId="9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8" fontId="6" fillId="4" borderId="1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6" fillId="0" borderId="1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8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3" borderId="1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7" fontId="0" fillId="0" borderId="13" xfId="17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9" fontId="6" fillId="4" borderId="1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8" fontId="6" fillId="0" borderId="11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0" fillId="3" borderId="1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3" borderId="1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7" fontId="4" fillId="0" borderId="1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3" borderId="1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3" borderId="17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0" fillId="4" borderId="18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7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19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8" fontId="6" fillId="0" borderId="1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6" fillId="0" borderId="2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3" borderId="1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0" fillId="4" borderId="1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8" fontId="6" fillId="0" borderId="21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0" fillId="3" borderId="12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8" fontId="6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5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8" fontId="7" fillId="5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8" fillId="6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22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23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24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6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9" fillId="0" borderId="25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9" fillId="0" borderId="26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9" fillId="0" borderId="27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0" borderId="28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0" borderId="29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0" borderId="3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0" borderId="3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0" borderId="3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0" borderId="3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0" borderId="3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0" borderId="35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0" borderId="36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6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7" borderId="1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7" borderId="1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7" borderId="1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0" fillId="0" borderId="14" xfId="17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7" fontId="0" fillId="0" borderId="37" xfId="17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0" fillId="0" borderId="38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7" fontId="0" fillId="0" borderId="39" xfId="17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0" fillId="8" borderId="11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0" fillId="0" borderId="14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70" fontId="0" fillId="0" borderId="37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8" borderId="37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7" fontId="0" fillId="0" borderId="39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9" fillId="0" borderId="1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9" fillId="0" borderId="4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0" borderId="3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0" fillId="0" borderId="41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6" borderId="1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6" borderId="2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6" borderId="4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0" fillId="7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11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12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71" fontId="12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4" fillId="6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2" fontId="0" fillId="0" borderId="43" xfId="0" applyFont="fals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4" fillId="6" borderId="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3" fontId="0" fillId="0" borderId="43" xfId="0" applyFont="fals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4" fillId="6" borderId="4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9" fontId="0" fillId="0" borderId="43" xfId="0" applyFont="fals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right" vertical="bottom" textRotation="0" wrapText="false" indent="0" shrinkToFit="false"/>
      <protection locked="true" hidden="false"/>
    </xf>
    <xf numFmtId="168" fontId="0" fillId="0" borderId="43" xfId="0" applyFont="fals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0" fillId="0" borderId="0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0" fillId="0" borderId="43" xfId="0" applyFont="false" applyBorder="true" applyAlignment="true" applyProtection="false">
      <alignment horizontal="right" vertical="bottom" textRotation="0" wrapText="false" indent="0" shrinkToFit="false"/>
      <protection locked="true" hidden="false"/>
    </xf>
    <xf numFmtId="174" fontId="0" fillId="0" borderId="43" xfId="0" applyFont="fals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13" fillId="9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3" fillId="9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13" fillId="9" borderId="15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3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8" fontId="14" fillId="4" borderId="45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6" fontId="14" fillId="0" borderId="45" xfId="19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8" fontId="14" fillId="0" borderId="45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5" fillId="0" borderId="0" xfId="0" applyFont="true" applyBorder="false" applyAlignment="true" applyProtection="false">
      <alignment horizontal="right" vertical="center" textRotation="0" wrapText="true" indent="0" shrinkToFit="false"/>
      <protection locked="true" hidden="false"/>
    </xf>
    <xf numFmtId="164" fontId="12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12" fillId="9" borderId="2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2" fillId="9" borderId="4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2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2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2" fillId="9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73" fontId="16" fillId="4" borderId="46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72" fontId="16" fillId="4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72" fontId="16" fillId="4" borderId="35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72" fontId="16" fillId="0" borderId="47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72" fontId="16" fillId="4" borderId="46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77" fontId="16" fillId="0" borderId="48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73" fontId="16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77" fontId="11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5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73" fontId="5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73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73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7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9" borderId="49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9" fillId="0" borderId="0" xfId="0" applyFont="true" applyBorder="false" applyAlignment="true" applyProtection="false">
      <alignment horizontal="left" vertical="center" textRotation="0" wrapText="true" indent="0" shrinkToFit="false"/>
      <protection locked="true" hidden="false"/>
    </xf>
    <xf numFmtId="164" fontId="19" fillId="0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64" fontId="4" fillId="0" borderId="7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78" fontId="0" fillId="0" borderId="13" xfId="17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4" fillId="0" borderId="1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4" borderId="13" xfId="0" applyFont="fals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4" fillId="10" borderId="28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78" fontId="4" fillId="10" borderId="30" xfId="17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4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78" fontId="0" fillId="0" borderId="1" xfId="17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7" fontId="0" fillId="0" borderId="0" xfId="17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0" fillId="9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9" fillId="0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0" fillId="0" borderId="7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3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4" borderId="36" xfId="0" applyFont="fals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4" fillId="10" borderId="4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8" fontId="4" fillId="10" borderId="41" xfId="17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9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9" borderId="7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70" fontId="0" fillId="0" borderId="21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21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9" borderId="1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70" fontId="0" fillId="0" borderId="37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37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7" fontId="0" fillId="0" borderId="39" xfId="17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42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7" fontId="0" fillId="0" borderId="41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20" fillId="0" borderId="1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79" fontId="20" fillId="4" borderId="15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79" fontId="20" fillId="4" borderId="4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10" borderId="1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8" fontId="4" fillId="10" borderId="1" xfId="17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9" fontId="20" fillId="0" borderId="4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9" borderId="9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0" fillId="0" borderId="50" xfId="17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0" fillId="9" borderId="2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9" fontId="0" fillId="4" borderId="11" xfId="0" applyFont="fals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0" fillId="9" borderId="1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0" fillId="0" borderId="1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80" fontId="0" fillId="0" borderId="0" xfId="15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10" borderId="5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8" fontId="4" fillId="10" borderId="52" xfId="17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5" fillId="10" borderId="1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8" fontId="5" fillId="10" borderId="1" xfId="17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0" fillId="0" borderId="48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7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7" borderId="10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9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9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21" fillId="0" borderId="22" xfId="17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7" fontId="21" fillId="0" borderId="23" xfId="17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20" fillId="0" borderId="28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0" fillId="0" borderId="19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1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0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2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20" fillId="0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79" fontId="21" fillId="0" borderId="2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20" fillId="0" borderId="1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20" fillId="0" borderId="1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21" fillId="0" borderId="1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81" fontId="20" fillId="0" borderId="1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82" fontId="20" fillId="0" borderId="1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83" fontId="22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20" fillId="0" borderId="2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10" borderId="1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10" borderId="15" xfId="0" applyFont="false" applyBorder="true" applyAlignment="true" applyProtection="false">
      <alignment horizontal="general" vertical="center" textRotation="0" wrapText="false" indent="0" shrinkToFit="false"/>
      <protection locked="true" hidden="false"/>
    </xf>
    <xf numFmtId="167" fontId="0" fillId="10" borderId="1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9" borderId="6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12" xfId="0" applyFont="true" applyBorder="true" applyAlignment="true" applyProtection="false">
      <alignment horizontal="left" vertical="top" textRotation="0" wrapText="false" indent="0" shrinkToFit="false"/>
      <protection locked="true" hidden="false"/>
    </xf>
    <xf numFmtId="164" fontId="0" fillId="0" borderId="12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74" fontId="0" fillId="0" borderId="13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10" borderId="1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7" fontId="0" fillId="10" borderId="39" xfId="17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10" borderId="1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78" fontId="4" fillId="10" borderId="39" xfId="17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9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0" xfId="0" applyFont="fals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0" fillId="0" borderId="24" xfId="0" applyFont="fals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0" fillId="9" borderId="3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9" borderId="1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9" borderId="12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0" fillId="9" borderId="28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80" fontId="0" fillId="0" borderId="30" xfId="15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9" borderId="11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7" fontId="0" fillId="0" borderId="11" xfId="17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9" borderId="19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7" fontId="0" fillId="0" borderId="19" xfId="17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1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78" fontId="4" fillId="10" borderId="1" xfId="17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0" fillId="0" borderId="5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9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2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9" borderId="28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3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51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0" fillId="0" borderId="5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0" fillId="1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8" fontId="10" fillId="10" borderId="1" xfId="17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7" fontId="0" fillId="0" borderId="38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9" borderId="5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10" borderId="1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0" borderId="43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6" fillId="0" borderId="1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0" borderId="1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3" fillId="0" borderId="1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9" borderId="2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7" fontId="0" fillId="0" borderId="53" xfId="17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8" fontId="0" fillId="10" borderId="11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0" borderId="4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84" fontId="6" fillId="4" borderId="1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74" fontId="6" fillId="0" borderId="1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9" fontId="6" fillId="0" borderId="1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9" fontId="7" fillId="0" borderId="1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9" borderId="1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9" fontId="0" fillId="0" borderId="1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9" borderId="19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9" fontId="0" fillId="0" borderId="19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7" fontId="4" fillId="10" borderId="10" xfId="17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78" fontId="4" fillId="10" borderId="1" xfId="17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9" borderId="1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0" borderId="54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6" fillId="0" borderId="55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0" borderId="55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85" fontId="11" fillId="0" borderId="5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1" fillId="4" borderId="55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1" fillId="0" borderId="55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77" fontId="11" fillId="4" borderId="55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77" fontId="11" fillId="0" borderId="55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77" fontId="11" fillId="0" borderId="5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9" fontId="11" fillId="0" borderId="5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9" fontId="11" fillId="5" borderId="55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9" fontId="0" fillId="0" borderId="13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9" fontId="11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9" fontId="11" fillId="5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9" fontId="0" fillId="0" borderId="3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3" fillId="1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56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6" fillId="0" borderId="55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85" fontId="11" fillId="0" borderId="55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9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9" borderId="2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0" fillId="0" borderId="50" xfId="0" applyFont="false" applyBorder="true" applyAlignment="true" applyProtection="false">
      <alignment horizontal="general" vertical="center" textRotation="0" wrapText="false" indent="0" shrinkToFit="false"/>
      <protection locked="true" hidden="false"/>
    </xf>
    <xf numFmtId="168" fontId="0" fillId="4" borderId="30" xfId="0" applyFont="fals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4" fillId="1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9" borderId="2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5" fontId="0" fillId="0" borderId="5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9" borderId="1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8" fontId="0" fillId="4" borderId="3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7" fontId="0" fillId="0" borderId="2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9" borderId="19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4" fontId="0" fillId="0" borderId="19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10" borderId="1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78" fontId="4" fillId="10" borderId="15" xfId="17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24" fillId="3" borderId="1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24" fillId="0" borderId="38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10" fillId="1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8" fontId="10" fillId="10" borderId="1" xfId="17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8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9" borderId="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0" fillId="0" borderId="8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78" fontId="4" fillId="10" borderId="15" xfId="17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5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9" borderId="1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4" borderId="19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10" borderId="4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8" fontId="4" fillId="10" borderId="41" xfId="17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3" fillId="10" borderId="11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78" fontId="4" fillId="3" borderId="21" xfId="17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78" fontId="4" fillId="3" borderId="11" xfId="17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3" fillId="6" borderId="11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78" fontId="4" fillId="6" borderId="11" xfId="17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0" fillId="0" borderId="11" xfId="15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21" fillId="0" borderId="11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20" fillId="0" borderId="11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5" fontId="20" fillId="0" borderId="11" xfId="15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86" fontId="0" fillId="0" borderId="11" xfId="15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21" fillId="0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5" fontId="21" fillId="4" borderId="11" xfId="15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7" fontId="0" fillId="0" borderId="11" xfId="17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20" fillId="0" borderId="19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5" fillId="10" borderId="1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4" fontId="25" fillId="0" borderId="11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21" fillId="11" borderId="1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20" fillId="0" borderId="11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0" fontId="25" fillId="0" borderId="1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9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26" fillId="10" borderId="4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0" fontId="27" fillId="0" borderId="4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87" fontId="28" fillId="0" borderId="0" xfId="0" applyFont="true" applyBorder="false" applyAlignment="true" applyProtection="false">
      <alignment horizontal="left" vertical="center" textRotation="0" wrapText="false" indent="7" shrinkToFit="false"/>
      <protection locked="true" hidden="false"/>
    </xf>
    <xf numFmtId="164" fontId="29" fillId="6" borderId="3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0" fontId="29" fillId="6" borderId="3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88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9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5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57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12" borderId="5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58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13" borderId="2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1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0" fillId="12" borderId="13" xfId="15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0" fillId="0" borderId="16" xfId="15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0" fillId="13" borderId="24" xfId="15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1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37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37" xfId="15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0" fillId="12" borderId="39" xfId="15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0" fillId="0" borderId="51" xfId="15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0" fillId="13" borderId="48" xfId="15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1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59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59" xfId="15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0" fillId="0" borderId="15" xfId="15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4" fillId="13" borderId="15" xfId="15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0" fillId="0" borderId="24" xfId="2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0" fillId="0" borderId="0" xfId="2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0" fillId="0" borderId="48" xfId="2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14" borderId="1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6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43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74" fontId="0" fillId="0" borderId="32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Vírgula 2" xfId="20"/>
  </cellStyles>
  <colors>
    <indexedColors>
      <rgbColor rgb="FF000000"/>
      <rgbColor rgb="FFFFFFFF"/>
      <rgbColor rgb="FFFF0000"/>
      <rgbColor rgb="FF00FF00"/>
      <rgbColor rgb="FF0000FF"/>
      <rgbColor rgb="FFFFD966"/>
      <rgbColor rgb="FFFF00FF"/>
      <rgbColor rgb="FF00FFFF"/>
      <rgbColor rgb="FF800000"/>
      <rgbColor rgb="FF008000"/>
      <rgbColor rgb="FF00000A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D6DCE5"/>
      <rgbColor rgb="FF660066"/>
      <rgbColor rgb="FFFF8080"/>
      <rgbColor rgb="FF0066CC"/>
      <rgbColor rgb="FFBDD7EE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D0CECE"/>
      <rgbColor rgb="FFC5E0B4"/>
      <rgbColor rgb="FFFFE699"/>
      <rgbColor rgb="FFB4C7E7"/>
      <rgbColor rgb="FFFF99CC"/>
      <rgbColor rgb="FFCC99FF"/>
      <rgbColor rgb="FFF8CBAD"/>
      <rgbColor rgb="FF3366FF"/>
      <rgbColor rgb="FF33CCCC"/>
      <rgbColor rgb="FFA9D18E"/>
      <rgbColor rgb="FFFFC000"/>
      <rgbColor rgb="FFFF9900"/>
      <rgbColor rgb="FFED7D31"/>
      <rgbColor rgb="FF666699"/>
      <rgbColor rgb="FF999999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worksheet" Target="worksheets/sheet6.xml"/><Relationship Id="rId8" Type="http://schemas.openxmlformats.org/officeDocument/2006/relationships/sharedStrings" Target="sharedStrings.xml"/>
</Relationships>
</file>

<file path=xl/drawings/_rels/drawing1.xml.rels><?xml version="1.0" encoding="UTF-8"?>
<Relationships xmlns="http://schemas.openxmlformats.org/package/2006/relationships"><Relationship Id="rId1" Type="http://schemas.openxmlformats.org/officeDocument/2006/relationships/image" Target="../media/image2.gif"/><Relationship Id="rId2" Type="http://schemas.openxmlformats.org/officeDocument/2006/relationships/image" Target="../media/image3.gif"/><Relationship Id="rId3" Type="http://schemas.openxmlformats.org/officeDocument/2006/relationships/image" Target="../media/image4.gif"/><Relationship Id="rId4" Type="http://schemas.openxmlformats.org/officeDocument/2006/relationships/image" Target="../media/image5.gif"/><Relationship Id="rId5" Type="http://schemas.openxmlformats.org/officeDocument/2006/relationships/image" Target="../media/image6.gif"/><Relationship Id="rId6" Type="http://schemas.openxmlformats.org/officeDocument/2006/relationships/image" Target="../media/image7.png"/><Relationship Id="rId7" Type="http://schemas.openxmlformats.org/officeDocument/2006/relationships/image" Target="../media/image8.png"/><Relationship Id="rId8" Type="http://schemas.openxmlformats.org/officeDocument/2006/relationships/image" Target="../media/image9.png"/><Relationship Id="rId9" Type="http://schemas.openxmlformats.org/officeDocument/2006/relationships/image" Target="../media/image10.png"/><Relationship Id="rId10" Type="http://schemas.openxmlformats.org/officeDocument/2006/relationships/image" Target="../media/image11.png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4</xdr:col>
      <xdr:colOff>1084320</xdr:colOff>
      <xdr:row>17</xdr:row>
      <xdr:rowOff>12240</xdr:rowOff>
    </xdr:from>
    <xdr:to>
      <xdr:col>9</xdr:col>
      <xdr:colOff>266400</xdr:colOff>
      <xdr:row>20</xdr:row>
      <xdr:rowOff>21240</xdr:rowOff>
    </xdr:to>
    <xdr:pic>
      <xdr:nvPicPr>
        <xdr:cNvPr id="0" name="Imagem 9" descr=""/>
        <xdr:cNvPicPr/>
      </xdr:nvPicPr>
      <xdr:blipFill>
        <a:blip r:embed="rId1"/>
        <a:stretch/>
      </xdr:blipFill>
      <xdr:spPr>
        <a:xfrm>
          <a:off x="10694880" y="3151440"/>
          <a:ext cx="6299280" cy="71568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8</xdr:col>
      <xdr:colOff>390600</xdr:colOff>
      <xdr:row>23</xdr:row>
      <xdr:rowOff>47520</xdr:rowOff>
    </xdr:from>
    <xdr:to>
      <xdr:col>16</xdr:col>
      <xdr:colOff>552960</xdr:colOff>
      <xdr:row>28</xdr:row>
      <xdr:rowOff>33120</xdr:rowOff>
    </xdr:to>
    <xdr:pic>
      <xdr:nvPicPr>
        <xdr:cNvPr id="1" name="Imagem 10" descr=""/>
        <xdr:cNvPicPr/>
      </xdr:nvPicPr>
      <xdr:blipFill>
        <a:blip r:embed="rId2"/>
        <a:stretch/>
      </xdr:blipFill>
      <xdr:spPr>
        <a:xfrm>
          <a:off x="16161840" y="4457520"/>
          <a:ext cx="6089400" cy="91512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5</xdr:col>
      <xdr:colOff>457560</xdr:colOff>
      <xdr:row>39</xdr:row>
      <xdr:rowOff>360</xdr:rowOff>
    </xdr:from>
    <xdr:to>
      <xdr:col>9</xdr:col>
      <xdr:colOff>1120680</xdr:colOff>
      <xdr:row>42</xdr:row>
      <xdr:rowOff>253440</xdr:rowOff>
    </xdr:to>
    <xdr:pic>
      <xdr:nvPicPr>
        <xdr:cNvPr id="2" name="Imagem 11" descr=""/>
        <xdr:cNvPicPr/>
      </xdr:nvPicPr>
      <xdr:blipFill>
        <a:blip r:embed="rId3"/>
        <a:stretch/>
      </xdr:blipFill>
      <xdr:spPr>
        <a:xfrm>
          <a:off x="11650680" y="7822080"/>
          <a:ext cx="6197760" cy="64728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3</xdr:col>
      <xdr:colOff>3600</xdr:colOff>
      <xdr:row>120</xdr:row>
      <xdr:rowOff>147600</xdr:rowOff>
    </xdr:from>
    <xdr:to>
      <xdr:col>7</xdr:col>
      <xdr:colOff>477000</xdr:colOff>
      <xdr:row>123</xdr:row>
      <xdr:rowOff>166680</xdr:rowOff>
    </xdr:to>
    <xdr:pic>
      <xdr:nvPicPr>
        <xdr:cNvPr id="3" name="Imagem 12" descr=""/>
        <xdr:cNvPicPr/>
      </xdr:nvPicPr>
      <xdr:blipFill>
        <a:blip r:embed="rId4"/>
        <a:stretch/>
      </xdr:blipFill>
      <xdr:spPr>
        <a:xfrm>
          <a:off x="8493840" y="25860960"/>
          <a:ext cx="6226200" cy="79272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2</xdr:col>
      <xdr:colOff>1176120</xdr:colOff>
      <xdr:row>146</xdr:row>
      <xdr:rowOff>140400</xdr:rowOff>
    </xdr:from>
    <xdr:to>
      <xdr:col>7</xdr:col>
      <xdr:colOff>249480</xdr:colOff>
      <xdr:row>148</xdr:row>
      <xdr:rowOff>358200</xdr:rowOff>
    </xdr:to>
    <xdr:pic>
      <xdr:nvPicPr>
        <xdr:cNvPr id="4" name="Imagem 13" descr=""/>
        <xdr:cNvPicPr/>
      </xdr:nvPicPr>
      <xdr:blipFill>
        <a:blip r:embed="rId5"/>
        <a:stretch/>
      </xdr:blipFill>
      <xdr:spPr>
        <a:xfrm>
          <a:off x="8192520" y="31867920"/>
          <a:ext cx="6300000" cy="57600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3</xdr:col>
      <xdr:colOff>244080</xdr:colOff>
      <xdr:row>69</xdr:row>
      <xdr:rowOff>175680</xdr:rowOff>
    </xdr:from>
    <xdr:to>
      <xdr:col>6</xdr:col>
      <xdr:colOff>1049400</xdr:colOff>
      <xdr:row>71</xdr:row>
      <xdr:rowOff>14760</xdr:rowOff>
    </xdr:to>
    <xdr:pic>
      <xdr:nvPicPr>
        <xdr:cNvPr id="5" name="Imagem 1" descr=""/>
        <xdr:cNvPicPr/>
      </xdr:nvPicPr>
      <xdr:blipFill>
        <a:blip r:embed="rId6"/>
        <a:stretch/>
      </xdr:blipFill>
      <xdr:spPr>
        <a:xfrm>
          <a:off x="8734320" y="14552640"/>
          <a:ext cx="5295600" cy="20484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3</xdr:col>
      <xdr:colOff>65520</xdr:colOff>
      <xdr:row>67</xdr:row>
      <xdr:rowOff>138960</xdr:rowOff>
    </xdr:from>
    <xdr:to>
      <xdr:col>6</xdr:col>
      <xdr:colOff>1191600</xdr:colOff>
      <xdr:row>70</xdr:row>
      <xdr:rowOff>50040</xdr:rowOff>
    </xdr:to>
    <xdr:pic>
      <xdr:nvPicPr>
        <xdr:cNvPr id="6" name="Imagem 2" descr=""/>
        <xdr:cNvPicPr/>
      </xdr:nvPicPr>
      <xdr:blipFill>
        <a:blip r:embed="rId7"/>
        <a:srcRect l="-2615" t="-2092" r="2967" b="-4264"/>
        <a:stretch/>
      </xdr:blipFill>
      <xdr:spPr>
        <a:xfrm>
          <a:off x="8555760" y="14150160"/>
          <a:ext cx="5616360" cy="45972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3</xdr:col>
      <xdr:colOff>695520</xdr:colOff>
      <xdr:row>66</xdr:row>
      <xdr:rowOff>85680</xdr:rowOff>
    </xdr:from>
    <xdr:to>
      <xdr:col>6</xdr:col>
      <xdr:colOff>855360</xdr:colOff>
      <xdr:row>68</xdr:row>
      <xdr:rowOff>720</xdr:rowOff>
    </xdr:to>
    <xdr:pic>
      <xdr:nvPicPr>
        <xdr:cNvPr id="7" name="Imagem 3" descr=""/>
        <xdr:cNvPicPr/>
      </xdr:nvPicPr>
      <xdr:blipFill>
        <a:blip r:embed="rId8"/>
        <a:stretch/>
      </xdr:blipFill>
      <xdr:spPr>
        <a:xfrm>
          <a:off x="9185760" y="13906440"/>
          <a:ext cx="4650120" cy="28836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4</xdr:col>
      <xdr:colOff>560160</xdr:colOff>
      <xdr:row>1</xdr:row>
      <xdr:rowOff>22320</xdr:rowOff>
    </xdr:from>
    <xdr:to>
      <xdr:col>11</xdr:col>
      <xdr:colOff>359280</xdr:colOff>
      <xdr:row>10</xdr:row>
      <xdr:rowOff>173880</xdr:rowOff>
    </xdr:to>
    <xdr:pic>
      <xdr:nvPicPr>
        <xdr:cNvPr id="8" name="Imagem 4" descr=""/>
        <xdr:cNvPicPr/>
      </xdr:nvPicPr>
      <xdr:blipFill>
        <a:blip r:embed="rId9"/>
        <a:stretch/>
      </xdr:blipFill>
      <xdr:spPr>
        <a:xfrm>
          <a:off x="10170720" y="212760"/>
          <a:ext cx="8753760" cy="180504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4</xdr:col>
      <xdr:colOff>134640</xdr:colOff>
      <xdr:row>12</xdr:row>
      <xdr:rowOff>113040</xdr:rowOff>
    </xdr:from>
    <xdr:to>
      <xdr:col>15</xdr:col>
      <xdr:colOff>110160</xdr:colOff>
      <xdr:row>16</xdr:row>
      <xdr:rowOff>133560</xdr:rowOff>
    </xdr:to>
    <xdr:pic>
      <xdr:nvPicPr>
        <xdr:cNvPr id="9" name="Imagem 5" descr=""/>
        <xdr:cNvPicPr/>
      </xdr:nvPicPr>
      <xdr:blipFill>
        <a:blip r:embed="rId10"/>
        <a:stretch/>
      </xdr:blipFill>
      <xdr:spPr>
        <a:xfrm>
          <a:off x="9745200" y="2330280"/>
          <a:ext cx="11388960" cy="759600"/>
        </a:xfrm>
        <a:prstGeom prst="rect">
          <a:avLst/>
        </a:prstGeom>
        <a:ln w="0">
          <a:noFill/>
        </a:ln>
      </xdr:spPr>
    </xdr:pic>
    <xdr:clientData/>
  </xdr:twoCellAnchor>
</xdr:wsDr>
</file>

<file path=xl/worksheets/_rels/sheet3.xml.rels><?xml version="1.0" encoding="UTF-8"?>
<Relationships xmlns="http://schemas.openxmlformats.org/package/2006/relationships"><Relationship Id="rId1" Type="http://schemas.openxmlformats.org/officeDocument/2006/relationships/comments" Target="../comments3.xml"/><Relationship Id="rId2" Type="http://schemas.openxmlformats.org/officeDocument/2006/relationships/vmlDrawing" Target="../drawings/vmlDrawing1.vml"/>
</Relationships>
</file>

<file path=xl/worksheets/_rels/sheet4.xml.rels><?xml version="1.0" encoding="UTF-8"?>
<Relationships xmlns="http://schemas.openxmlformats.org/package/2006/relationships"><Relationship Id="rId1" Type="http://schemas.openxmlformats.org/officeDocument/2006/relationships/comments" Target="../comments4.xml"/><Relationship Id="rId2" Type="http://schemas.openxmlformats.org/officeDocument/2006/relationships/drawing" Target="../drawings/drawing1.xml"/><Relationship Id="rId3" Type="http://schemas.openxmlformats.org/officeDocument/2006/relationships/vmlDrawing" Target="../drawings/vmlDrawing2.v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true"/>
  </sheetPr>
  <dimension ref="A1:K26"/>
  <sheetViews>
    <sheetView showFormulas="false" showGridLines="true" showRowColHeaders="true" showZeros="true" rightToLeft="false" tabSelected="false" showOutlineSymbols="true" defaultGridColor="true" view="normal" topLeftCell="A1" colorId="64" zoomScale="90" zoomScaleNormal="90" zoomScalePageLayoutView="100" workbookViewId="0">
      <selection pane="topLeft" activeCell="B17" activeCellId="0" sqref="B17"/>
    </sheetView>
  </sheetViews>
  <sheetFormatPr defaultColWidth="8.72265625" defaultRowHeight="14.4" zeroHeight="false" outlineLevelRow="0" outlineLevelCol="0"/>
  <cols>
    <col collapsed="false" customWidth="true" hidden="false" outlineLevel="0" max="1" min="1" style="0" width="60"/>
    <col collapsed="false" customWidth="true" hidden="false" outlineLevel="0" max="2" min="2" style="0" width="22.66"/>
    <col collapsed="false" customWidth="true" hidden="false" outlineLevel="0" max="5" min="5" style="0" width="36.45"/>
    <col collapsed="false" customWidth="true" hidden="false" outlineLevel="0" max="6" min="6" style="0" width="23.11"/>
    <col collapsed="false" customWidth="true" hidden="false" outlineLevel="0" max="8" min="8" style="0" width="28.64"/>
    <col collapsed="false" customWidth="true" hidden="false" outlineLevel="0" max="9" min="9" style="0" width="16.11"/>
  </cols>
  <sheetData>
    <row r="1" customFormat="false" ht="14.4" hidden="false" customHeight="true" outlineLevel="0" collapsed="false">
      <c r="A1" s="1" t="s">
        <v>0</v>
      </c>
      <c r="B1" s="1" t="s">
        <v>1</v>
      </c>
      <c r="E1" s="2" t="s">
        <v>2</v>
      </c>
      <c r="F1" s="2"/>
    </row>
    <row r="2" customFormat="false" ht="27" hidden="false" customHeight="true" outlineLevel="0" collapsed="false">
      <c r="A2" s="1"/>
      <c r="B2" s="1"/>
      <c r="E2" s="2"/>
      <c r="F2" s="2"/>
    </row>
    <row r="3" customFormat="false" ht="13.8" hidden="false" customHeight="false" outlineLevel="0" collapsed="false">
      <c r="A3" s="3" t="s">
        <v>3</v>
      </c>
      <c r="B3" s="4"/>
    </row>
    <row r="4" customFormat="false" ht="13.8" hidden="false" customHeight="false" outlineLevel="0" collapsed="false">
      <c r="A4" s="5" t="s">
        <v>4</v>
      </c>
      <c r="B4" s="6"/>
    </row>
    <row r="5" customFormat="false" ht="13.8" hidden="false" customHeight="false" outlineLevel="0" collapsed="false">
      <c r="A5" s="5" t="s">
        <v>5</v>
      </c>
      <c r="B5" s="6"/>
      <c r="E5" s="7" t="s">
        <v>6</v>
      </c>
      <c r="F5" s="7"/>
      <c r="H5" s="8" t="s">
        <v>7</v>
      </c>
      <c r="I5" s="8" t="s">
        <v>8</v>
      </c>
    </row>
    <row r="6" customFormat="false" ht="13.8" hidden="false" customHeight="false" outlineLevel="0" collapsed="false">
      <c r="A6" s="5"/>
      <c r="B6" s="9"/>
      <c r="E6" s="10" t="s">
        <v>9</v>
      </c>
      <c r="F6" s="11" t="n">
        <f aca="false">B12</f>
        <v>0</v>
      </c>
      <c r="H6" s="12" t="s">
        <v>10</v>
      </c>
      <c r="I6" s="13"/>
      <c r="J6" s="14" t="s">
        <v>11</v>
      </c>
      <c r="K6" s="15"/>
    </row>
    <row r="7" customFormat="false" ht="13.8" hidden="false" customHeight="false" outlineLevel="0" collapsed="false">
      <c r="A7" s="5"/>
      <c r="B7" s="9"/>
      <c r="E7" s="16" t="s">
        <v>12</v>
      </c>
      <c r="F7" s="17" t="n">
        <f aca="false">(B15+B16)/('COMPOSIÇÃO TARIFA'!E102+'COMPOSIÇÃO TARIFA'!E103)</f>
        <v>0</v>
      </c>
      <c r="H7" s="16" t="s">
        <v>13</v>
      </c>
      <c r="I7" s="18"/>
      <c r="J7" s="19" t="s">
        <v>11</v>
      </c>
    </row>
    <row r="8" customFormat="false" ht="13.8" hidden="false" customHeight="false" outlineLevel="0" collapsed="false">
      <c r="A8" s="5" t="s">
        <v>14</v>
      </c>
      <c r="B8" s="6"/>
      <c r="E8" s="20" t="s">
        <v>15</v>
      </c>
      <c r="H8" s="16" t="s">
        <v>16</v>
      </c>
      <c r="I8" s="13"/>
      <c r="J8" s="19" t="s">
        <v>11</v>
      </c>
    </row>
    <row r="9" customFormat="false" ht="13.8" hidden="false" customHeight="true" outlineLevel="0" collapsed="false">
      <c r="A9" s="5" t="s">
        <v>17</v>
      </c>
      <c r="B9" s="6"/>
      <c r="E9" s="21" t="s">
        <v>18</v>
      </c>
      <c r="F9" s="22" t="n">
        <f aca="false">SUM(F5:F8)</f>
        <v>0</v>
      </c>
      <c r="H9" s="16" t="s">
        <v>19</v>
      </c>
      <c r="I9" s="13"/>
      <c r="J9" s="19" t="s">
        <v>11</v>
      </c>
    </row>
    <row r="10" customFormat="false" ht="13.8" hidden="false" customHeight="false" outlineLevel="0" collapsed="false">
      <c r="A10" s="5" t="s">
        <v>20</v>
      </c>
      <c r="B10" s="6"/>
      <c r="E10" s="21"/>
      <c r="H10" s="23" t="s">
        <v>21</v>
      </c>
      <c r="I10" s="13"/>
      <c r="J10" s="19" t="s">
        <v>11</v>
      </c>
    </row>
    <row r="11" customFormat="false" ht="13.8" hidden="false" customHeight="false" outlineLevel="0" collapsed="false">
      <c r="A11" s="5" t="s">
        <v>22</v>
      </c>
      <c r="B11" s="6"/>
      <c r="H11" s="16" t="s">
        <v>23</v>
      </c>
      <c r="I11" s="13"/>
      <c r="J11" s="19" t="s">
        <v>11</v>
      </c>
    </row>
    <row r="12" customFormat="false" ht="13.8" hidden="false" customHeight="false" outlineLevel="0" collapsed="false">
      <c r="A12" s="5" t="s">
        <v>24</v>
      </c>
      <c r="B12" s="6"/>
      <c r="H12" s="16" t="s">
        <v>25</v>
      </c>
      <c r="I12" s="13"/>
      <c r="J12" s="19" t="s">
        <v>11</v>
      </c>
    </row>
    <row r="13" customFormat="false" ht="13.8" hidden="false" customHeight="false" outlineLevel="0" collapsed="false">
      <c r="A13" s="24" t="s">
        <v>26</v>
      </c>
      <c r="B13" s="25"/>
      <c r="E13" s="26"/>
      <c r="H13" s="16" t="s">
        <v>27</v>
      </c>
      <c r="I13" s="13"/>
      <c r="J13" s="27" t="s">
        <v>11</v>
      </c>
    </row>
    <row r="14" customFormat="false" ht="13.8" hidden="false" customHeight="false" outlineLevel="0" collapsed="false">
      <c r="A14" s="24" t="s">
        <v>28</v>
      </c>
      <c r="B14" s="25"/>
      <c r="E14" s="26"/>
      <c r="H14" s="16"/>
      <c r="I14" s="28"/>
      <c r="J14" s="29"/>
    </row>
    <row r="15" customFormat="false" ht="13.8" hidden="false" customHeight="false" outlineLevel="0" collapsed="false">
      <c r="A15" s="30" t="s">
        <v>29</v>
      </c>
      <c r="B15" s="31"/>
      <c r="H15" s="16" t="s">
        <v>30</v>
      </c>
      <c r="I15" s="13"/>
      <c r="J15" s="32" t="s">
        <v>31</v>
      </c>
      <c r="K15" s="15"/>
    </row>
    <row r="16" customFormat="false" ht="13.8" hidden="false" customHeight="false" outlineLevel="0" collapsed="false">
      <c r="A16" s="30" t="s">
        <v>32</v>
      </c>
      <c r="B16" s="31"/>
      <c r="H16" s="23" t="s">
        <v>33</v>
      </c>
      <c r="I16" s="13"/>
      <c r="J16" s="19" t="s">
        <v>31</v>
      </c>
    </row>
    <row r="17" customFormat="false" ht="13.8" hidden="false" customHeight="false" outlineLevel="0" collapsed="false">
      <c r="A17" s="30" t="s">
        <v>34</v>
      </c>
      <c r="B17" s="6" t="n">
        <f aca="false">(F8/'COMPOSIÇÃO TARIFA'!E102)+(B18/'COMPOSIÇÃO TARIFA'!E103)</f>
        <v>0</v>
      </c>
      <c r="D17" s="0" t="n">
        <f aca="false">+B10/220</f>
        <v>0</v>
      </c>
      <c r="E17" s="0" t="n">
        <f aca="false">+D17*180</f>
        <v>0</v>
      </c>
      <c r="H17" s="16" t="s">
        <v>35</v>
      </c>
      <c r="I17" s="13"/>
      <c r="J17" s="19" t="s">
        <v>31</v>
      </c>
    </row>
    <row r="18" customFormat="false" ht="13.8" hidden="false" customHeight="false" outlineLevel="0" collapsed="false">
      <c r="A18" s="30" t="s">
        <v>36</v>
      </c>
      <c r="B18" s="6"/>
      <c r="H18" s="16" t="s">
        <v>37</v>
      </c>
      <c r="I18" s="13"/>
      <c r="J18" s="19" t="s">
        <v>31</v>
      </c>
    </row>
    <row r="19" customFormat="false" ht="13.8" hidden="false" customHeight="false" outlineLevel="0" collapsed="false">
      <c r="A19" s="5" t="s">
        <v>38</v>
      </c>
      <c r="B19" s="25"/>
      <c r="H19" s="16" t="s">
        <v>39</v>
      </c>
      <c r="I19" s="13"/>
      <c r="J19" s="19" t="s">
        <v>31</v>
      </c>
    </row>
    <row r="20" customFormat="false" ht="13.8" hidden="false" customHeight="false" outlineLevel="0" collapsed="false">
      <c r="H20" s="16" t="s">
        <v>40</v>
      </c>
      <c r="I20" s="13"/>
      <c r="J20" s="19" t="s">
        <v>31</v>
      </c>
    </row>
    <row r="21" customFormat="false" ht="13.8" hidden="false" customHeight="false" outlineLevel="0" collapsed="false">
      <c r="H21" s="23" t="s">
        <v>41</v>
      </c>
      <c r="I21" s="13"/>
      <c r="J21" s="14" t="s">
        <v>31</v>
      </c>
    </row>
    <row r="22" customFormat="false" ht="13.8" hidden="false" customHeight="false" outlineLevel="0" collapsed="false">
      <c r="H22" s="16" t="s">
        <v>42</v>
      </c>
      <c r="I22" s="13"/>
      <c r="J22" s="19" t="s">
        <v>43</v>
      </c>
      <c r="K22" s="15"/>
    </row>
    <row r="23" customFormat="false" ht="13.8" hidden="false" customHeight="false" outlineLevel="0" collapsed="false">
      <c r="H23" s="16" t="s">
        <v>44</v>
      </c>
      <c r="I23" s="13"/>
      <c r="J23" s="19" t="s">
        <v>43</v>
      </c>
    </row>
    <row r="24" customFormat="false" ht="13.8" hidden="false" customHeight="false" outlineLevel="0" collapsed="false">
      <c r="B24" s="0" t="n">
        <f aca="false">+B17/16</f>
        <v>0</v>
      </c>
      <c r="H24" s="16" t="s">
        <v>45</v>
      </c>
      <c r="I24" s="13"/>
      <c r="J24" s="19" t="s">
        <v>43</v>
      </c>
    </row>
    <row r="25" customFormat="false" ht="60" hidden="false" customHeight="true" outlineLevel="0" collapsed="false">
      <c r="H25" s="33" t="s">
        <v>46</v>
      </c>
      <c r="I25" s="34" t="n">
        <f aca="false">((SUM(I6:I13)/100)*(SUM(I15:I21)/100))*100</f>
        <v>0</v>
      </c>
    </row>
    <row r="26" customFormat="false" ht="15" hidden="false" customHeight="false" outlineLevel="0" collapsed="false">
      <c r="H26" s="35" t="s">
        <v>47</v>
      </c>
      <c r="I26" s="36" t="n">
        <f aca="false">SUM(I6:I25)</f>
        <v>0</v>
      </c>
    </row>
  </sheetData>
  <mergeCells count="6">
    <mergeCell ref="A1:A2"/>
    <mergeCell ref="B1:B2"/>
    <mergeCell ref="E1:F2"/>
    <mergeCell ref="E5:F5"/>
    <mergeCell ref="H5:I5"/>
    <mergeCell ref="E9:E10"/>
  </mergeCells>
  <printOptions headings="false" gridLines="false" gridLinesSet="true" horizontalCentered="false" verticalCentered="false"/>
  <pageMargins left="0.511805555555555" right="0.511805555555555" top="0.7875" bottom="0.7875" header="0.511805555555555" footer="0.511805555555555"/>
  <pageSetup paperSize="9" scale="100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true"/>
  </sheetPr>
  <dimension ref="A1:E36"/>
  <sheetViews>
    <sheetView showFormulas="false" showGridLines="true" showRowColHeaders="true" showZeros="true" rightToLeft="false" tabSelected="false" showOutlineSymbols="true" defaultGridColor="true" view="normal" topLeftCell="A1" colorId="64" zoomScale="90" zoomScaleNormal="90" zoomScalePageLayoutView="100" workbookViewId="0">
      <selection pane="topLeft" activeCell="B17" activeCellId="0" sqref="B17"/>
    </sheetView>
  </sheetViews>
  <sheetFormatPr defaultColWidth="8.72265625" defaultRowHeight="14.4" zeroHeight="false" outlineLevelRow="0" outlineLevelCol="0"/>
  <cols>
    <col collapsed="false" customWidth="true" hidden="false" outlineLevel="0" max="1" min="1" style="0" width="35.66"/>
    <col collapsed="false" customWidth="true" hidden="false" outlineLevel="0" max="2" min="2" style="0" width="25.33"/>
    <col collapsed="false" customWidth="true" hidden="false" outlineLevel="0" max="3" min="3" style="0" width="33.11"/>
    <col collapsed="false" customWidth="true" hidden="false" outlineLevel="0" max="4" min="4" style="0" width="35"/>
    <col collapsed="false" customWidth="true" hidden="false" outlineLevel="0" max="5" min="5" style="0" width="18.66"/>
    <col collapsed="false" customWidth="true" hidden="false" outlineLevel="0" max="6" min="6" style="0" width="9.13"/>
  </cols>
  <sheetData>
    <row r="1" customFormat="false" ht="14.4" hidden="false" customHeight="true" outlineLevel="0" collapsed="false">
      <c r="A1" s="37" t="s">
        <v>48</v>
      </c>
      <c r="B1" s="37"/>
      <c r="C1" s="37"/>
      <c r="D1" s="38"/>
      <c r="E1" s="39"/>
    </row>
    <row r="2" customFormat="false" ht="15" hidden="false" customHeight="false" outlineLevel="0" collapsed="false">
      <c r="A2" s="37"/>
      <c r="B2" s="37"/>
      <c r="C2" s="37"/>
      <c r="E2" s="40"/>
    </row>
    <row r="3" customFormat="false" ht="15" hidden="false" customHeight="false" outlineLevel="0" collapsed="false">
      <c r="A3" s="41"/>
      <c r="E3" s="40"/>
    </row>
    <row r="4" customFormat="false" ht="14.4" hidden="false" customHeight="false" outlineLevel="0" collapsed="false">
      <c r="A4" s="42" t="s">
        <v>49</v>
      </c>
      <c r="B4" s="43" t="s">
        <v>50</v>
      </c>
      <c r="C4" s="44" t="s">
        <v>51</v>
      </c>
      <c r="E4" s="40"/>
    </row>
    <row r="5" customFormat="false" ht="13.8" hidden="false" customHeight="false" outlineLevel="0" collapsed="false">
      <c r="A5" s="45" t="s">
        <v>52</v>
      </c>
      <c r="B5" s="46" t="s">
        <v>53</v>
      </c>
      <c r="C5" s="47" t="s">
        <v>54</v>
      </c>
      <c r="E5" s="40"/>
    </row>
    <row r="6" customFormat="false" ht="14.4" hidden="false" customHeight="false" outlineLevel="0" collapsed="false">
      <c r="A6" s="48" t="s">
        <v>55</v>
      </c>
      <c r="B6" s="49" t="s">
        <v>56</v>
      </c>
      <c r="C6" s="50" t="s">
        <v>57</v>
      </c>
      <c r="E6" s="40"/>
    </row>
    <row r="7" customFormat="false" ht="15" hidden="false" customHeight="false" outlineLevel="0" collapsed="false">
      <c r="A7" s="51" t="s">
        <v>58</v>
      </c>
      <c r="B7" s="52" t="s">
        <v>56</v>
      </c>
      <c r="C7" s="53" t="s">
        <v>59</v>
      </c>
      <c r="E7" s="40"/>
    </row>
    <row r="8" customFormat="false" ht="15" hidden="false" customHeight="false" outlineLevel="0" collapsed="false">
      <c r="A8" s="41"/>
      <c r="E8" s="40"/>
    </row>
    <row r="9" customFormat="false" ht="14.4" hidden="false" customHeight="true" outlineLevel="0" collapsed="false">
      <c r="A9" s="54" t="s">
        <v>60</v>
      </c>
      <c r="B9" s="54"/>
      <c r="C9" s="54"/>
      <c r="D9" s="54"/>
      <c r="E9" s="40"/>
    </row>
    <row r="10" customFormat="false" ht="14.4" hidden="false" customHeight="false" outlineLevel="0" collapsed="false">
      <c r="A10" s="41"/>
      <c r="D10" s="40"/>
      <c r="E10" s="40"/>
    </row>
    <row r="11" customFormat="false" ht="14.4" hidden="false" customHeight="false" outlineLevel="0" collapsed="false">
      <c r="A11" s="55" t="s">
        <v>61</v>
      </c>
      <c r="B11" s="56" t="s">
        <v>62</v>
      </c>
      <c r="D11" s="57" t="s">
        <v>63</v>
      </c>
      <c r="E11" s="40"/>
    </row>
    <row r="12" customFormat="false" ht="13.8" hidden="false" customHeight="false" outlineLevel="0" collapsed="false">
      <c r="A12" s="58"/>
      <c r="B12" s="59"/>
      <c r="C12" s="60"/>
      <c r="D12" s="61" t="n">
        <f aca="false">A12+B12</f>
        <v>0</v>
      </c>
      <c r="E12" s="40"/>
    </row>
    <row r="13" customFormat="false" ht="15" hidden="false" customHeight="false" outlineLevel="0" collapsed="false">
      <c r="A13" s="41"/>
      <c r="E13" s="40"/>
    </row>
    <row r="14" customFormat="false" ht="14.4" hidden="false" customHeight="true" outlineLevel="0" collapsed="false">
      <c r="A14" s="54" t="s">
        <v>64</v>
      </c>
      <c r="B14" s="54"/>
      <c r="C14" s="54"/>
      <c r="D14" s="54"/>
      <c r="E14" s="54"/>
    </row>
    <row r="15" customFormat="false" ht="14.4" hidden="false" customHeight="false" outlineLevel="0" collapsed="false">
      <c r="A15" s="41"/>
      <c r="E15" s="40"/>
    </row>
    <row r="16" customFormat="false" ht="14.4" hidden="false" customHeight="false" outlineLevel="0" collapsed="false">
      <c r="A16" s="55" t="s">
        <v>65</v>
      </c>
      <c r="B16" s="56" t="s">
        <v>66</v>
      </c>
      <c r="C16" s="62"/>
      <c r="D16" s="62"/>
      <c r="E16" s="57" t="s">
        <v>67</v>
      </c>
    </row>
    <row r="17" customFormat="false" ht="13.8" hidden="false" customHeight="false" outlineLevel="0" collapsed="false">
      <c r="A17" s="63" t="n">
        <f aca="false">D12</f>
        <v>0</v>
      </c>
      <c r="B17" s="64" t="n">
        <f aca="false">INSUMOS!B4</f>
        <v>0</v>
      </c>
      <c r="C17" s="65"/>
      <c r="D17" s="65"/>
      <c r="E17" s="66" t="n">
        <f aca="false">A17-((B17+C17+D17)*6)</f>
        <v>0</v>
      </c>
    </row>
    <row r="18" customFormat="false" ht="15" hidden="false" customHeight="false" outlineLevel="0" collapsed="false"/>
    <row r="19" customFormat="false" ht="14.4" hidden="false" customHeight="true" outlineLevel="0" collapsed="false">
      <c r="A19" s="54" t="s">
        <v>68</v>
      </c>
      <c r="B19" s="54"/>
    </row>
    <row r="20" customFormat="false" ht="15" hidden="false" customHeight="false" outlineLevel="0" collapsed="false">
      <c r="A20" s="67" t="s">
        <v>69</v>
      </c>
      <c r="B20" s="68" t="s">
        <v>70</v>
      </c>
    </row>
    <row r="21" customFormat="false" ht="15" hidden="false" customHeight="false" outlineLevel="0" collapsed="false">
      <c r="A21" s="69" t="s">
        <v>71</v>
      </c>
      <c r="B21" s="70" t="n">
        <v>0</v>
      </c>
    </row>
    <row r="22" customFormat="false" ht="15" hidden="false" customHeight="false" outlineLevel="0" collapsed="false">
      <c r="A22" s="69" t="s">
        <v>72</v>
      </c>
      <c r="B22" s="70" t="n">
        <v>0</v>
      </c>
    </row>
    <row r="23" customFormat="false" ht="15" hidden="false" customHeight="false" outlineLevel="0" collapsed="false">
      <c r="A23" s="69" t="s">
        <v>73</v>
      </c>
      <c r="B23" s="70" t="n">
        <v>0</v>
      </c>
    </row>
    <row r="24" customFormat="false" ht="15" hidden="false" customHeight="false" outlineLevel="0" collapsed="false">
      <c r="A24" s="69" t="s">
        <v>74</v>
      </c>
      <c r="B24" s="70" t="n">
        <v>0</v>
      </c>
    </row>
    <row r="25" customFormat="false" ht="15" hidden="false" customHeight="false" outlineLevel="0" collapsed="false">
      <c r="A25" s="69" t="s">
        <v>75</v>
      </c>
      <c r="B25" s="70" t="n">
        <v>0</v>
      </c>
    </row>
    <row r="26" customFormat="false" ht="15" hidden="false" customHeight="false" outlineLevel="0" collapsed="false">
      <c r="A26" s="69" t="s">
        <v>76</v>
      </c>
      <c r="B26" s="70" t="n">
        <v>0</v>
      </c>
    </row>
    <row r="27" customFormat="false" ht="15" hidden="false" customHeight="false" outlineLevel="0" collapsed="false">
      <c r="A27" s="69" t="s">
        <v>77</v>
      </c>
      <c r="B27" s="70" t="n">
        <v>0</v>
      </c>
    </row>
    <row r="28" customFormat="false" ht="15" hidden="false" customHeight="false" outlineLevel="0" collapsed="false">
      <c r="A28" s="69" t="s">
        <v>78</v>
      </c>
      <c r="B28" s="70" t="n">
        <v>0</v>
      </c>
    </row>
    <row r="29" customFormat="false" ht="15" hidden="false" customHeight="false" outlineLevel="0" collapsed="false">
      <c r="A29" s="69" t="s">
        <v>79</v>
      </c>
      <c r="B29" s="70" t="n">
        <v>0</v>
      </c>
    </row>
    <row r="30" customFormat="false" ht="15" hidden="false" customHeight="false" outlineLevel="0" collapsed="false">
      <c r="A30" s="69" t="s">
        <v>80</v>
      </c>
      <c r="B30" s="70" t="n">
        <v>0</v>
      </c>
    </row>
    <row r="31" customFormat="false" ht="15" hidden="false" customHeight="false" outlineLevel="0" collapsed="false">
      <c r="A31" s="69" t="s">
        <v>81</v>
      </c>
      <c r="B31" s="70" t="n">
        <v>12</v>
      </c>
    </row>
    <row r="32" customFormat="false" ht="15" hidden="false" customHeight="false" outlineLevel="0" collapsed="false">
      <c r="A32" s="71" t="s">
        <v>82</v>
      </c>
      <c r="B32" s="70" t="n">
        <f aca="false">SUM(B21:B31)</f>
        <v>12</v>
      </c>
      <c r="C32" s="0" t="s">
        <v>83</v>
      </c>
    </row>
    <row r="33" customFormat="false" ht="15" hidden="false" customHeight="false" outlineLevel="0" collapsed="false">
      <c r="A33" s="72" t="s">
        <v>84</v>
      </c>
      <c r="B33" s="70" t="n">
        <v>3</v>
      </c>
      <c r="C33" s="0" t="s">
        <v>83</v>
      </c>
    </row>
    <row r="34" customFormat="false" ht="15" hidden="false" customHeight="false" outlineLevel="0" collapsed="false">
      <c r="A34" s="73" t="s">
        <v>85</v>
      </c>
      <c r="B34" s="70" t="n">
        <f aca="false">B32-B33</f>
        <v>9</v>
      </c>
      <c r="C34" s="0" t="s">
        <v>83</v>
      </c>
    </row>
    <row r="36" customFormat="false" ht="14.4" hidden="false" customHeight="false" outlineLevel="0" collapsed="false">
      <c r="D36" s="0" t="s">
        <v>86</v>
      </c>
    </row>
  </sheetData>
  <mergeCells count="4">
    <mergeCell ref="A1:C2"/>
    <mergeCell ref="A9:D9"/>
    <mergeCell ref="A14:E14"/>
    <mergeCell ref="A19:B19"/>
  </mergeCells>
  <printOptions headings="false" gridLines="false" gridLinesSet="true" horizontalCentered="false" verticalCentered="false"/>
  <pageMargins left="0.511805555555555" right="0.511805555555555" top="0.7875" bottom="0.7875" header="0.511805555555555" footer="0.511805555555555"/>
  <pageSetup paperSize="9" scale="100" fitToWidth="1" fitToHeight="0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true"/>
  </sheetPr>
  <dimension ref="A1:AB27"/>
  <sheetViews>
    <sheetView showFormulas="false" showGridLines="true" showRowColHeaders="true" showZeros="true" rightToLeft="false" tabSelected="true" showOutlineSymbols="true" defaultGridColor="true" view="normal" topLeftCell="A4" colorId="64" zoomScale="90" zoomScaleNormal="90" zoomScalePageLayoutView="100" workbookViewId="0">
      <selection pane="topLeft" activeCell="B15" activeCellId="0" sqref="B15"/>
    </sheetView>
  </sheetViews>
  <sheetFormatPr defaultColWidth="8.72265625" defaultRowHeight="14.4" zeroHeight="false" outlineLevelRow="0" outlineLevelCol="0"/>
  <cols>
    <col collapsed="false" customWidth="true" hidden="false" outlineLevel="0" max="1" min="1" style="0" width="50.33"/>
    <col collapsed="false" customWidth="true" hidden="false" outlineLevel="0" max="2" min="2" style="0" width="27"/>
    <col collapsed="false" customWidth="true" hidden="false" outlineLevel="0" max="3" min="3" style="0" width="37.66"/>
    <col collapsed="false" customWidth="true" hidden="false" outlineLevel="0" max="4" min="4" style="0" width="46.33"/>
    <col collapsed="false" customWidth="true" hidden="false" outlineLevel="0" max="5" min="5" style="0" width="39.89"/>
    <col collapsed="false" customWidth="true" hidden="false" outlineLevel="0" max="6" min="6" style="0" width="28.64"/>
    <col collapsed="false" customWidth="true" hidden="false" outlineLevel="0" max="7" min="7" style="0" width="18.44"/>
    <col collapsed="false" customWidth="true" hidden="false" outlineLevel="0" max="8" min="8" style="0" width="24.67"/>
    <col collapsed="false" customWidth="true" hidden="false" outlineLevel="0" max="9" min="9" style="0" width="22.43"/>
    <col collapsed="false" customWidth="true" hidden="false" outlineLevel="0" max="12" min="12" style="0" width="12.56"/>
    <col collapsed="false" customWidth="true" hidden="false" outlineLevel="0" max="19" min="19" style="0" width="16.67"/>
    <col collapsed="false" customWidth="true" hidden="false" outlineLevel="0" max="21" min="21" style="0" width="14.35"/>
    <col collapsed="false" customWidth="true" hidden="false" outlineLevel="0" max="25" min="25" style="0" width="15.11"/>
    <col collapsed="false" customWidth="true" hidden="false" outlineLevel="0" max="26" min="26" style="0" width="17"/>
  </cols>
  <sheetData>
    <row r="1" customFormat="false" ht="60.75" hidden="false" customHeight="true" outlineLevel="0" collapsed="false">
      <c r="A1" s="74" t="s">
        <v>87</v>
      </c>
      <c r="B1" s="74"/>
      <c r="J1" s="75"/>
      <c r="K1" s="76"/>
      <c r="L1" s="76"/>
      <c r="M1" s="77"/>
      <c r="N1" s="77"/>
      <c r="O1" s="77"/>
      <c r="P1" s="77"/>
      <c r="Q1" s="77"/>
      <c r="R1" s="77"/>
      <c r="S1" s="77"/>
      <c r="T1" s="78"/>
      <c r="U1" s="75"/>
      <c r="V1" s="76"/>
      <c r="W1" s="76"/>
      <c r="X1" s="76"/>
      <c r="Y1" s="76"/>
      <c r="Z1" s="76"/>
      <c r="AA1" s="76"/>
      <c r="AB1" s="76"/>
    </row>
    <row r="2" customFormat="false" ht="15.6" hidden="false" customHeight="false" outlineLevel="0" collapsed="false">
      <c r="J2" s="75"/>
      <c r="K2" s="75"/>
      <c r="L2" s="75"/>
      <c r="M2" s="75"/>
      <c r="N2" s="75"/>
      <c r="O2" s="75"/>
      <c r="P2" s="75"/>
      <c r="Q2" s="75"/>
      <c r="R2" s="75"/>
      <c r="S2" s="75"/>
      <c r="T2" s="75"/>
      <c r="U2" s="75"/>
      <c r="V2" s="75"/>
      <c r="W2" s="75"/>
      <c r="X2" s="75"/>
      <c r="Y2" s="75"/>
      <c r="Z2" s="75"/>
      <c r="AA2" s="75"/>
      <c r="AB2" s="76"/>
    </row>
    <row r="3" customFormat="false" ht="15" hidden="false" customHeight="false" outlineLevel="0" collapsed="false">
      <c r="A3" s="79" t="s">
        <v>88</v>
      </c>
      <c r="B3" s="80" t="n">
        <f aca="false">B25</f>
        <v>0</v>
      </c>
      <c r="C3" s="0" t="s">
        <v>89</v>
      </c>
      <c r="J3" s="75"/>
      <c r="K3" s="75"/>
      <c r="L3" s="75"/>
      <c r="M3" s="75"/>
      <c r="N3" s="75"/>
      <c r="O3" s="75"/>
      <c r="P3" s="75"/>
      <c r="Q3" s="75"/>
      <c r="R3" s="75"/>
      <c r="S3" s="75"/>
      <c r="T3" s="75"/>
      <c r="U3" s="75"/>
      <c r="V3" s="75"/>
      <c r="W3" s="75"/>
      <c r="X3" s="75"/>
      <c r="Y3" s="75"/>
      <c r="Z3" s="75"/>
      <c r="AA3" s="75"/>
      <c r="AB3" s="76"/>
    </row>
    <row r="4" customFormat="false" ht="15" hidden="false" customHeight="false" outlineLevel="0" collapsed="false">
      <c r="A4" s="81" t="s">
        <v>90</v>
      </c>
      <c r="B4" s="82" t="n">
        <f aca="false">A25/2</f>
        <v>0</v>
      </c>
      <c r="C4" s="0" t="s">
        <v>89</v>
      </c>
      <c r="J4" s="75"/>
      <c r="K4" s="75"/>
      <c r="L4" s="75"/>
      <c r="M4" s="75"/>
      <c r="N4" s="75"/>
      <c r="O4" s="75"/>
      <c r="P4" s="75"/>
      <c r="Q4" s="75"/>
      <c r="R4" s="75"/>
      <c r="S4" s="75"/>
      <c r="T4" s="75"/>
      <c r="U4" s="75"/>
      <c r="V4" s="75"/>
      <c r="W4" s="75"/>
      <c r="X4" s="75"/>
      <c r="Y4" s="75"/>
      <c r="Z4" s="75"/>
      <c r="AA4" s="75"/>
      <c r="AB4" s="76"/>
    </row>
    <row r="5" customFormat="false" ht="15" hidden="false" customHeight="false" outlineLevel="0" collapsed="false">
      <c r="A5" s="81" t="s">
        <v>91</v>
      </c>
      <c r="B5" s="80" t="n">
        <f aca="false">C25</f>
        <v>0</v>
      </c>
      <c r="C5" s="0" t="s">
        <v>89</v>
      </c>
      <c r="J5" s="75"/>
      <c r="K5" s="75"/>
      <c r="L5" s="75"/>
      <c r="M5" s="75"/>
      <c r="N5" s="75"/>
      <c r="O5" s="75"/>
      <c r="P5" s="75"/>
      <c r="Q5" s="75"/>
      <c r="R5" s="75"/>
      <c r="S5" s="75"/>
      <c r="T5" s="75"/>
      <c r="U5" s="75"/>
      <c r="V5" s="75"/>
      <c r="W5" s="75"/>
      <c r="X5" s="75"/>
      <c r="Y5" s="75"/>
      <c r="Z5" s="75"/>
      <c r="AA5" s="75"/>
      <c r="AB5" s="76"/>
    </row>
    <row r="6" customFormat="false" ht="15.6" hidden="false" customHeight="false" outlineLevel="0" collapsed="false">
      <c r="A6" s="83" t="s">
        <v>92</v>
      </c>
      <c r="B6" s="84" t="n">
        <f aca="false">B3+B4+B5</f>
        <v>0</v>
      </c>
      <c r="C6" s="0" t="s">
        <v>89</v>
      </c>
      <c r="H6" s="85"/>
      <c r="I6" s="85"/>
      <c r="J6" s="85"/>
      <c r="K6" s="85"/>
      <c r="L6" s="85"/>
      <c r="M6" s="75"/>
      <c r="N6" s="75"/>
      <c r="O6" s="75"/>
      <c r="P6" s="75"/>
      <c r="Q6" s="75"/>
      <c r="R6" s="75"/>
      <c r="S6" s="75"/>
      <c r="T6" s="75"/>
      <c r="U6" s="75"/>
      <c r="V6" s="75"/>
      <c r="W6" s="75"/>
      <c r="X6" s="75"/>
      <c r="Y6" s="75"/>
      <c r="Z6" s="76"/>
    </row>
    <row r="7" customFormat="false" ht="14.4" hidden="false" customHeight="false" outlineLevel="0" collapsed="false">
      <c r="B7" s="86"/>
      <c r="H7" s="85"/>
      <c r="I7" s="85"/>
      <c r="J7" s="85"/>
      <c r="K7" s="85"/>
      <c r="L7" s="85"/>
      <c r="M7" s="75"/>
      <c r="N7" s="75"/>
      <c r="O7" s="75"/>
      <c r="P7" s="75"/>
      <c r="Q7" s="75"/>
      <c r="R7" s="75"/>
      <c r="S7" s="75"/>
      <c r="T7" s="75"/>
      <c r="U7" s="75"/>
      <c r="V7" s="75"/>
      <c r="W7" s="75"/>
      <c r="X7" s="75"/>
      <c r="Y7" s="75"/>
      <c r="Z7" s="75"/>
    </row>
    <row r="8" customFormat="false" ht="15" hidden="false" customHeight="false" outlineLevel="0" collapsed="false">
      <c r="B8" s="86"/>
      <c r="J8" s="85"/>
      <c r="K8" s="85"/>
      <c r="L8" s="85"/>
      <c r="M8" s="85"/>
      <c r="N8" s="85"/>
      <c r="O8" s="75"/>
      <c r="P8" s="75"/>
      <c r="Q8" s="75"/>
      <c r="R8" s="75"/>
      <c r="S8" s="75"/>
      <c r="T8" s="75"/>
      <c r="U8" s="75"/>
      <c r="V8" s="75"/>
      <c r="W8" s="75"/>
      <c r="X8" s="75"/>
      <c r="Y8" s="75"/>
      <c r="Z8" s="75"/>
      <c r="AA8" s="75"/>
      <c r="AB8" s="75"/>
    </row>
    <row r="9" customFormat="false" ht="14.4" hidden="false" customHeight="false" outlineLevel="0" collapsed="false">
      <c r="A9" s="79" t="s">
        <v>93</v>
      </c>
      <c r="B9" s="87" t="n">
        <f aca="false">D20</f>
        <v>574276.78</v>
      </c>
      <c r="C9" s="0" t="s">
        <v>94</v>
      </c>
      <c r="J9" s="85"/>
      <c r="K9" s="85"/>
      <c r="L9" s="85"/>
      <c r="M9" s="85"/>
      <c r="N9" s="85"/>
      <c r="O9" s="75"/>
      <c r="P9" s="75"/>
      <c r="Q9" s="75"/>
      <c r="R9" s="75"/>
      <c r="S9" s="75"/>
      <c r="T9" s="75"/>
      <c r="U9" s="75"/>
      <c r="V9" s="75"/>
      <c r="W9" s="75"/>
      <c r="X9" s="75"/>
      <c r="Y9" s="75"/>
      <c r="Z9" s="75"/>
      <c r="AA9" s="75"/>
      <c r="AB9" s="75"/>
    </row>
    <row r="10" customFormat="false" ht="15" hidden="false" customHeight="true" outlineLevel="0" collapsed="false">
      <c r="A10" s="81" t="s">
        <v>95</v>
      </c>
      <c r="B10" s="87" t="n">
        <f aca="false">A20</f>
        <v>493182.5</v>
      </c>
      <c r="C10" s="0" t="s">
        <v>94</v>
      </c>
      <c r="J10" s="75"/>
      <c r="K10" s="75"/>
      <c r="L10" s="75"/>
      <c r="M10" s="75"/>
      <c r="N10" s="75"/>
      <c r="O10" s="75"/>
      <c r="P10" s="75"/>
      <c r="Q10" s="75"/>
      <c r="R10" s="75"/>
      <c r="S10" s="75"/>
      <c r="T10" s="75"/>
      <c r="U10" s="75"/>
      <c r="V10" s="75"/>
      <c r="W10" s="75"/>
      <c r="X10" s="75"/>
      <c r="Y10" s="75"/>
      <c r="Z10" s="75"/>
      <c r="AA10" s="75"/>
      <c r="AB10" s="75"/>
    </row>
    <row r="11" customFormat="false" ht="14.4" hidden="false" customHeight="false" outlineLevel="0" collapsed="false">
      <c r="A11" s="81" t="s">
        <v>96</v>
      </c>
      <c r="B11" s="87" t="n">
        <f aca="false">0.05*B10</f>
        <v>24659.125</v>
      </c>
      <c r="C11" s="0" t="s">
        <v>94</v>
      </c>
      <c r="J11" s="75"/>
      <c r="K11" s="75"/>
      <c r="L11" s="75"/>
      <c r="M11" s="75"/>
      <c r="N11" s="75"/>
      <c r="O11" s="75"/>
      <c r="P11" s="75"/>
      <c r="Q11" s="75"/>
      <c r="R11" s="75"/>
      <c r="S11" s="75"/>
      <c r="T11" s="75"/>
      <c r="U11" s="75"/>
      <c r="V11" s="75"/>
      <c r="W11" s="75"/>
      <c r="X11" s="75"/>
      <c r="Y11" s="75"/>
      <c r="Z11" s="75"/>
      <c r="AA11" s="75"/>
      <c r="AB11" s="75"/>
    </row>
    <row r="12" customFormat="false" ht="14.4" hidden="false" customHeight="false" outlineLevel="0" collapsed="false">
      <c r="A12" s="81" t="s">
        <v>97</v>
      </c>
      <c r="B12" s="87" t="n">
        <f aca="false">B20</f>
        <v>81094.28</v>
      </c>
      <c r="C12" s="0" t="s">
        <v>94</v>
      </c>
      <c r="J12" s="75"/>
      <c r="K12" s="75"/>
      <c r="L12" s="75"/>
      <c r="M12" s="75"/>
      <c r="N12" s="75"/>
      <c r="O12" s="75"/>
      <c r="P12" s="75"/>
      <c r="Q12" s="75"/>
      <c r="R12" s="75"/>
      <c r="S12" s="75"/>
      <c r="T12" s="75"/>
      <c r="U12" s="75"/>
      <c r="V12" s="75"/>
      <c r="W12" s="75"/>
      <c r="X12" s="75"/>
      <c r="AA12" s="75"/>
      <c r="AB12" s="75"/>
    </row>
    <row r="13" customFormat="false" ht="19.5" hidden="false" customHeight="true" outlineLevel="0" collapsed="false">
      <c r="A13" s="83" t="s">
        <v>98</v>
      </c>
      <c r="B13" s="87" t="n">
        <f aca="false">B10+B11</f>
        <v>517841.625</v>
      </c>
      <c r="C13" s="0" t="s">
        <v>94</v>
      </c>
      <c r="J13" s="77"/>
      <c r="K13" s="77"/>
      <c r="L13" s="75"/>
      <c r="M13" s="75"/>
      <c r="N13" s="75"/>
      <c r="O13" s="75"/>
      <c r="P13" s="75"/>
      <c r="Q13" s="75"/>
      <c r="R13" s="75"/>
      <c r="S13" s="75"/>
      <c r="T13" s="75"/>
      <c r="U13" s="75"/>
      <c r="V13" s="75"/>
      <c r="W13" s="75"/>
      <c r="X13" s="75"/>
      <c r="Y13" s="75"/>
      <c r="Z13" s="75"/>
      <c r="AA13" s="75"/>
      <c r="AB13" s="75"/>
    </row>
    <row r="14" customFormat="false" ht="16.2" hidden="false" customHeight="false" outlineLevel="0" collapsed="false">
      <c r="B14" s="86"/>
      <c r="J14" s="77"/>
      <c r="K14" s="77"/>
      <c r="L14" s="75"/>
      <c r="M14" s="75"/>
      <c r="N14" s="88"/>
      <c r="O14" s="88"/>
      <c r="P14" s="88"/>
      <c r="Q14" s="75"/>
      <c r="R14" s="75"/>
      <c r="S14" s="75"/>
      <c r="T14" s="75"/>
      <c r="U14" s="75"/>
      <c r="V14" s="75"/>
      <c r="W14" s="75"/>
      <c r="X14" s="75"/>
      <c r="Y14" s="75"/>
      <c r="Z14" s="75"/>
      <c r="AA14" s="75"/>
      <c r="AB14" s="75"/>
    </row>
    <row r="15" customFormat="false" ht="15" hidden="false" customHeight="false" outlineLevel="0" collapsed="false">
      <c r="A15" s="79" t="s">
        <v>99</v>
      </c>
      <c r="B15" s="89" t="n">
        <f aca="false">(B13/FROTA!B34)/12</f>
        <v>4794.82986111111</v>
      </c>
      <c r="C15" s="0" t="s">
        <v>100</v>
      </c>
      <c r="J15" s="76"/>
      <c r="K15" s="76"/>
      <c r="L15" s="76"/>
      <c r="M15" s="76"/>
      <c r="N15" s="76"/>
      <c r="O15" s="76"/>
      <c r="P15" s="76"/>
      <c r="Q15" s="76"/>
      <c r="R15" s="76"/>
      <c r="S15" s="76"/>
      <c r="T15" s="76"/>
      <c r="U15" s="76"/>
      <c r="V15" s="76"/>
      <c r="W15" s="76"/>
      <c r="X15" s="76"/>
      <c r="Y15" s="76"/>
      <c r="Z15" s="76"/>
      <c r="AA15" s="75"/>
      <c r="AB15" s="75"/>
    </row>
    <row r="16" customFormat="false" ht="15" hidden="false" customHeight="false" outlineLevel="0" collapsed="false">
      <c r="A16" s="83" t="s">
        <v>101</v>
      </c>
      <c r="B16" s="90" t="n">
        <f aca="false">B6/B13</f>
        <v>0</v>
      </c>
      <c r="C16" s="0" t="s">
        <v>102</v>
      </c>
      <c r="J16" s="75"/>
      <c r="K16" s="75"/>
      <c r="L16" s="75"/>
      <c r="M16" s="75"/>
      <c r="N16" s="75"/>
      <c r="O16" s="75"/>
      <c r="P16" s="75"/>
      <c r="Q16" s="75"/>
      <c r="R16" s="75"/>
      <c r="S16" s="75"/>
      <c r="T16" s="75"/>
      <c r="U16" s="75"/>
      <c r="V16" s="75"/>
      <c r="W16" s="75"/>
      <c r="X16" s="75"/>
      <c r="Y16" s="75"/>
      <c r="Z16" s="75"/>
      <c r="AA16" s="75"/>
      <c r="AB16" s="75"/>
    </row>
    <row r="18" customFormat="false" ht="48" hidden="false" customHeight="true" outlineLevel="0" collapsed="false">
      <c r="A18" s="91" t="s">
        <v>103</v>
      </c>
      <c r="B18" s="91" t="s">
        <v>104</v>
      </c>
      <c r="C18" s="92" t="s">
        <v>105</v>
      </c>
      <c r="D18" s="93" t="s">
        <v>106</v>
      </c>
      <c r="E18" s="94"/>
      <c r="F18" s="94"/>
    </row>
    <row r="19" customFormat="false" ht="16.2" hidden="false" customHeight="false" outlineLevel="0" collapsed="false">
      <c r="A19" s="91"/>
      <c r="B19" s="91"/>
      <c r="C19" s="92"/>
      <c r="D19" s="93"/>
      <c r="E19" s="94"/>
      <c r="F19" s="94"/>
    </row>
    <row r="20" customFormat="false" ht="17.4" hidden="false" customHeight="false" outlineLevel="0" collapsed="false">
      <c r="A20" s="95" t="n">
        <f aca="false">+'Projeção KM'!K19</f>
        <v>493182.5</v>
      </c>
      <c r="B20" s="95" t="n">
        <f aca="false">+'Projeção KM'!K20</f>
        <v>81094.28</v>
      </c>
      <c r="C20" s="96" t="n">
        <f aca="false">B20/A20</f>
        <v>0.164430570833312</v>
      </c>
      <c r="D20" s="97" t="n">
        <f aca="false">A20+B20</f>
        <v>574276.78</v>
      </c>
      <c r="E20" s="98"/>
      <c r="F20" s="98"/>
    </row>
    <row r="22" customFormat="false" ht="16.2" hidden="false" customHeight="false" outlineLevel="0" collapsed="false">
      <c r="K22" s="99"/>
    </row>
    <row r="23" customFormat="false" ht="15.75" hidden="false" customHeight="true" outlineLevel="0" collapsed="false">
      <c r="A23" s="100" t="s">
        <v>107</v>
      </c>
      <c r="B23" s="100"/>
      <c r="C23" s="100"/>
      <c r="D23" s="100"/>
      <c r="E23" s="100"/>
      <c r="F23" s="100"/>
      <c r="G23" s="101" t="s">
        <v>108</v>
      </c>
      <c r="H23" s="102"/>
      <c r="I23" s="103"/>
      <c r="J23" s="102"/>
      <c r="K23" s="102"/>
    </row>
    <row r="24" customFormat="false" ht="16.2" hidden="false" customHeight="false" outlineLevel="0" collapsed="false">
      <c r="A24" s="104" t="s">
        <v>109</v>
      </c>
      <c r="B24" s="104" t="s">
        <v>110</v>
      </c>
      <c r="C24" s="104" t="s">
        <v>111</v>
      </c>
      <c r="D24" s="104" t="s">
        <v>112</v>
      </c>
      <c r="E24" s="104" t="s">
        <v>113</v>
      </c>
      <c r="F24" s="104" t="s">
        <v>114</v>
      </c>
      <c r="G24" s="101"/>
      <c r="H24" s="99"/>
      <c r="I24" s="103"/>
      <c r="J24" s="99"/>
    </row>
    <row r="25" customFormat="false" ht="17.4" hidden="false" customHeight="false" outlineLevel="0" collapsed="false">
      <c r="A25" s="105"/>
      <c r="B25" s="106"/>
      <c r="C25" s="107"/>
      <c r="D25" s="108"/>
      <c r="E25" s="109"/>
      <c r="F25" s="106"/>
      <c r="G25" s="110" t="n">
        <f aca="false">D20</f>
        <v>574276.78</v>
      </c>
      <c r="H25" s="111"/>
      <c r="I25" s="112"/>
      <c r="J25" s="111"/>
      <c r="K25" s="111"/>
    </row>
    <row r="26" customFormat="false" ht="21.6" hidden="false" customHeight="false" outlineLevel="0" collapsed="false">
      <c r="G26" s="113" t="s">
        <v>115</v>
      </c>
      <c r="H26" s="114" t="n">
        <f aca="false">A25+B25+F25+E25</f>
        <v>0</v>
      </c>
      <c r="I26" s="115"/>
    </row>
    <row r="27" customFormat="false" ht="14.4" hidden="false" customHeight="false" outlineLevel="0" collapsed="false">
      <c r="G27" s="116"/>
    </row>
  </sheetData>
  <mergeCells count="9">
    <mergeCell ref="A1:B1"/>
    <mergeCell ref="N14:P14"/>
    <mergeCell ref="A18:A19"/>
    <mergeCell ref="B18:B19"/>
    <mergeCell ref="C18:C19"/>
    <mergeCell ref="D18:D19"/>
    <mergeCell ref="A23:F23"/>
    <mergeCell ref="G23:G24"/>
    <mergeCell ref="I23:I24"/>
  </mergeCells>
  <printOptions headings="false" gridLines="false" gridLinesSet="true" horizontalCentered="false" verticalCentered="false"/>
  <pageMargins left="0.511805555555555" right="0.511805555555555" top="0.7875" bottom="0.7875" header="0.511805555555555" footer="0.511805555555555"/>
  <pageSetup paperSize="9" scale="100" fitToWidth="1" fitToHeight="0" pageOrder="downThenOver" orientation="landscape" blackAndWhite="false" draft="false" cellComments="none" horizontalDpi="300" verticalDpi="300" copies="1"/>
  <headerFooter differentFirst="false" differentOddEven="false">
    <oddHeader/>
    <oddFooter/>
  </headerFooter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true"/>
  </sheetPr>
  <dimension ref="A1:CH172"/>
  <sheetViews>
    <sheetView showFormulas="false" showGridLines="true" showRowColHeaders="true" showZeros="true" rightToLeft="false" tabSelected="false" showOutlineSymbols="true" defaultGridColor="true" view="normal" topLeftCell="A19" colorId="64" zoomScale="90" zoomScaleNormal="90" zoomScalePageLayoutView="100" workbookViewId="0">
      <selection pane="topLeft" activeCell="B43" activeCellId="0" sqref="B43"/>
    </sheetView>
  </sheetViews>
  <sheetFormatPr defaultColWidth="8.72265625" defaultRowHeight="14.4" zeroHeight="false" outlineLevelRow="0" outlineLevelCol="0"/>
  <cols>
    <col collapsed="false" customWidth="true" hidden="false" outlineLevel="0" max="1" min="1" style="0" width="42.44"/>
    <col collapsed="false" customWidth="true" hidden="false" outlineLevel="0" max="2" min="2" style="0" width="57"/>
    <col collapsed="false" customWidth="true" hidden="false" outlineLevel="0" max="3" min="3" style="0" width="20.89"/>
    <col collapsed="false" customWidth="true" hidden="false" outlineLevel="0" max="4" min="4" style="0" width="15.88"/>
    <col collapsed="false" customWidth="true" hidden="false" outlineLevel="0" max="5" min="5" style="0" width="22.43"/>
    <col collapsed="false" customWidth="true" hidden="false" outlineLevel="0" max="6" min="6" style="0" width="25.33"/>
    <col collapsed="false" customWidth="true" hidden="false" outlineLevel="0" max="7" min="7" style="0" width="17.89"/>
    <col collapsed="false" customWidth="true" hidden="false" outlineLevel="0" max="8" min="8" style="0" width="21.66"/>
    <col collapsed="false" customWidth="true" hidden="false" outlineLevel="0" max="9" min="9" style="0" width="13.55"/>
    <col collapsed="false" customWidth="true" hidden="false" outlineLevel="0" max="10" min="10" style="0" width="17.33"/>
    <col collapsed="false" customWidth="true" hidden="false" outlineLevel="0" max="16" min="16" style="0" width="9.56"/>
  </cols>
  <sheetData>
    <row r="1" customFormat="false" ht="15" hidden="false" customHeight="false" outlineLevel="0" collapsed="false">
      <c r="A1" s="117" t="s">
        <v>116</v>
      </c>
      <c r="B1" s="117"/>
      <c r="C1" s="117"/>
      <c r="D1" s="117"/>
      <c r="E1" s="117"/>
      <c r="F1" s="117"/>
      <c r="G1" s="117"/>
      <c r="H1" s="117"/>
      <c r="I1" s="117"/>
      <c r="J1" s="117"/>
      <c r="K1" s="117"/>
      <c r="L1" s="117"/>
      <c r="M1" s="117"/>
      <c r="N1" s="117"/>
      <c r="O1" s="117"/>
      <c r="P1" s="117"/>
      <c r="Q1" s="117"/>
    </row>
    <row r="2" customFormat="false" ht="14.4" hidden="false" customHeight="false" outlineLevel="0" collapsed="false">
      <c r="A2" s="118" t="s">
        <v>117</v>
      </c>
      <c r="B2" s="118"/>
      <c r="C2" s="118"/>
      <c r="D2" s="118"/>
    </row>
    <row r="3" customFormat="false" ht="14.4" hidden="false" customHeight="false" outlineLevel="0" collapsed="false">
      <c r="A3" s="118"/>
      <c r="B3" s="118"/>
      <c r="C3" s="118"/>
      <c r="D3" s="118"/>
      <c r="K3" s="119"/>
      <c r="L3" s="120"/>
      <c r="M3" s="120"/>
      <c r="N3" s="120"/>
      <c r="O3" s="120"/>
      <c r="P3" s="120"/>
      <c r="Q3" s="120"/>
      <c r="R3" s="120"/>
      <c r="S3" s="120"/>
      <c r="T3" s="120"/>
      <c r="U3" s="120"/>
      <c r="V3" s="120"/>
      <c r="W3" s="120"/>
      <c r="X3" s="120"/>
      <c r="Y3" s="120"/>
      <c r="Z3" s="120"/>
      <c r="AA3" s="120"/>
      <c r="AB3" s="120"/>
      <c r="AC3" s="120"/>
      <c r="AD3" s="120"/>
      <c r="AE3" s="120"/>
      <c r="AF3" s="120"/>
      <c r="AG3" s="120"/>
      <c r="AH3" s="120"/>
      <c r="AI3" s="120"/>
      <c r="AJ3" s="120"/>
      <c r="AK3" s="120"/>
      <c r="AL3" s="120"/>
      <c r="AM3" s="120"/>
      <c r="AN3" s="120"/>
      <c r="AO3" s="120"/>
      <c r="AP3" s="120"/>
      <c r="AQ3" s="120"/>
      <c r="AR3" s="120"/>
      <c r="AS3" s="120"/>
      <c r="AT3" s="120"/>
      <c r="AU3" s="120"/>
      <c r="AV3" s="120"/>
      <c r="AW3" s="120"/>
      <c r="AX3" s="120"/>
      <c r="AY3" s="120"/>
      <c r="AZ3" s="120"/>
      <c r="BA3" s="120"/>
      <c r="BB3" s="119"/>
      <c r="BC3" s="119"/>
      <c r="BD3" s="119"/>
      <c r="BE3" s="120"/>
      <c r="BF3" s="120"/>
      <c r="BG3" s="120"/>
      <c r="BH3" s="120"/>
      <c r="BI3" s="119"/>
      <c r="BJ3" s="120"/>
      <c r="BK3" s="120"/>
      <c r="BL3" s="119"/>
      <c r="BM3" s="120"/>
      <c r="BN3" s="120"/>
      <c r="BO3" s="120"/>
      <c r="BP3" s="120"/>
      <c r="BQ3" s="120"/>
      <c r="BR3" s="120"/>
      <c r="BS3" s="120"/>
      <c r="BT3" s="120"/>
      <c r="BU3" s="120"/>
      <c r="BV3" s="120"/>
      <c r="BW3" s="120"/>
      <c r="BX3" s="119"/>
      <c r="BY3" s="119"/>
      <c r="BZ3" s="120"/>
      <c r="CA3" s="120"/>
      <c r="CB3" s="120"/>
      <c r="CC3" s="120"/>
      <c r="CD3" s="120"/>
      <c r="CE3" s="120"/>
      <c r="CF3" s="120"/>
      <c r="CG3" s="120"/>
      <c r="CH3" s="120"/>
    </row>
    <row r="4" customFormat="false" ht="14.4" hidden="false" customHeight="false" outlineLevel="0" collapsed="false">
      <c r="A4" s="121" t="s">
        <v>118</v>
      </c>
      <c r="B4" s="122" t="n">
        <f aca="false">INSUMOS!B3</f>
        <v>0</v>
      </c>
      <c r="C4" s="122"/>
      <c r="D4" s="122"/>
      <c r="K4" s="119"/>
      <c r="L4" s="120"/>
      <c r="M4" s="120"/>
      <c r="N4" s="120"/>
      <c r="O4" s="120"/>
      <c r="P4" s="120"/>
      <c r="Q4" s="120"/>
      <c r="R4" s="120"/>
      <c r="S4" s="120"/>
      <c r="T4" s="120"/>
      <c r="U4" s="120"/>
      <c r="V4" s="120"/>
      <c r="W4" s="120"/>
      <c r="X4" s="120"/>
      <c r="Y4" s="120"/>
      <c r="Z4" s="120"/>
      <c r="AA4" s="120"/>
      <c r="AB4" s="120"/>
      <c r="AC4" s="120"/>
      <c r="AD4" s="120"/>
      <c r="AE4" s="120"/>
      <c r="AF4" s="120"/>
      <c r="AG4" s="120"/>
      <c r="AH4" s="120"/>
      <c r="AI4" s="120"/>
      <c r="AJ4" s="120"/>
      <c r="AK4" s="120"/>
      <c r="AL4" s="120"/>
      <c r="AM4" s="120"/>
      <c r="AN4" s="120"/>
      <c r="AO4" s="120"/>
      <c r="AP4" s="120"/>
      <c r="AQ4" s="120"/>
      <c r="AR4" s="120"/>
      <c r="AS4" s="120"/>
      <c r="AT4" s="120"/>
      <c r="AU4" s="120"/>
      <c r="AV4" s="120"/>
      <c r="AW4" s="120"/>
      <c r="AX4" s="120"/>
      <c r="AY4" s="120"/>
      <c r="AZ4" s="120"/>
      <c r="BA4" s="120"/>
      <c r="BB4" s="120"/>
      <c r="BC4" s="120"/>
      <c r="BD4" s="120"/>
      <c r="BE4" s="120"/>
      <c r="BF4" s="120"/>
      <c r="BG4" s="120"/>
      <c r="BH4" s="120"/>
      <c r="BI4" s="120"/>
      <c r="BJ4" s="120"/>
      <c r="BK4" s="120"/>
      <c r="BL4" s="120"/>
      <c r="BM4" s="120"/>
      <c r="BN4" s="120"/>
      <c r="BO4" s="120"/>
      <c r="BP4" s="120"/>
      <c r="BQ4" s="120"/>
      <c r="BR4" s="120"/>
      <c r="BS4" s="120"/>
      <c r="BT4" s="120"/>
      <c r="BU4" s="120"/>
      <c r="BV4" s="120"/>
      <c r="BW4" s="120"/>
      <c r="BX4" s="120"/>
      <c r="BY4" s="120"/>
      <c r="BZ4" s="120"/>
      <c r="CA4" s="120"/>
      <c r="CB4" s="120"/>
      <c r="CC4" s="120"/>
      <c r="CD4" s="120"/>
      <c r="CE4" s="120"/>
      <c r="CF4" s="120"/>
      <c r="CG4" s="120"/>
      <c r="CH4" s="120"/>
    </row>
    <row r="5" customFormat="false" ht="14.4" hidden="false" customHeight="false" outlineLevel="0" collapsed="false">
      <c r="A5" s="123" t="s">
        <v>119</v>
      </c>
      <c r="B5" s="124" t="n">
        <v>0.4</v>
      </c>
      <c r="C5" s="124"/>
      <c r="D5" s="124"/>
      <c r="K5" s="119"/>
      <c r="L5" s="119"/>
      <c r="M5" s="120"/>
      <c r="N5" s="120"/>
      <c r="O5" s="120"/>
      <c r="P5" s="120"/>
      <c r="Q5" s="120"/>
      <c r="R5" s="120"/>
      <c r="S5" s="120"/>
      <c r="T5" s="120"/>
      <c r="U5" s="120"/>
      <c r="V5" s="120"/>
      <c r="W5" s="120"/>
      <c r="X5" s="120"/>
      <c r="Y5" s="120"/>
      <c r="Z5" s="120"/>
      <c r="AA5" s="120"/>
      <c r="AB5" s="120"/>
      <c r="AC5" s="120"/>
      <c r="AD5" s="120"/>
      <c r="AE5" s="120"/>
      <c r="AF5" s="120"/>
      <c r="AG5" s="120"/>
      <c r="AH5" s="120"/>
      <c r="AI5" s="120"/>
      <c r="AJ5" s="120"/>
      <c r="AK5" s="120"/>
      <c r="AL5" s="120"/>
      <c r="AM5" s="120"/>
      <c r="AN5" s="120"/>
      <c r="AO5" s="120"/>
      <c r="AP5" s="120"/>
      <c r="AQ5" s="120"/>
      <c r="AR5" s="120"/>
      <c r="AS5" s="120"/>
      <c r="AT5" s="120"/>
      <c r="AU5" s="120"/>
      <c r="AV5" s="120"/>
      <c r="AW5" s="120"/>
      <c r="AX5" s="120"/>
      <c r="AY5" s="120"/>
      <c r="AZ5" s="120"/>
      <c r="BA5" s="120"/>
      <c r="BB5" s="120"/>
      <c r="BC5" s="120"/>
      <c r="BD5" s="120"/>
      <c r="BE5" s="120"/>
      <c r="BF5" s="120"/>
      <c r="BG5" s="120"/>
      <c r="BH5" s="120"/>
      <c r="BI5" s="120"/>
      <c r="BJ5" s="120"/>
      <c r="BK5" s="120"/>
      <c r="BL5" s="120"/>
      <c r="BM5" s="120"/>
      <c r="BN5" s="120"/>
      <c r="BO5" s="120"/>
      <c r="BP5" s="120"/>
      <c r="BQ5" s="120"/>
      <c r="BR5" s="120"/>
      <c r="BS5" s="120"/>
      <c r="BT5" s="120"/>
      <c r="BU5" s="120"/>
      <c r="BV5" s="120"/>
      <c r="BW5" s="120"/>
      <c r="BX5" s="120"/>
      <c r="BY5" s="120"/>
      <c r="BZ5" s="120"/>
      <c r="CA5" s="120"/>
      <c r="CB5" s="120"/>
      <c r="CC5" s="120"/>
      <c r="CD5" s="120"/>
      <c r="CE5" s="120"/>
      <c r="CF5" s="120"/>
    </row>
    <row r="6" customFormat="false" ht="14.4" hidden="false" customHeight="false" outlineLevel="0" collapsed="false">
      <c r="A6" s="125" t="s">
        <v>120</v>
      </c>
      <c r="B6" s="126" t="n">
        <f aca="false">B4*B5</f>
        <v>0</v>
      </c>
      <c r="C6" s="126"/>
      <c r="D6" s="126"/>
    </row>
    <row r="7" customFormat="false" ht="15" hidden="false" customHeight="false" outlineLevel="0" collapsed="false">
      <c r="A7" s="127" t="s">
        <v>121</v>
      </c>
      <c r="B7" s="128" t="n">
        <f aca="false">B6*FROTA!B32</f>
        <v>0</v>
      </c>
      <c r="C7" s="128"/>
      <c r="D7" s="128"/>
      <c r="N7" s="0" t="n">
        <f aca="false">(0.402277+0.39413141+0.41438+0.41983+0.4209175+0.42274085)/6</f>
        <v>0.41237946</v>
      </c>
    </row>
    <row r="8" customFormat="false" ht="14.4" hidden="false" customHeight="false" outlineLevel="0" collapsed="false">
      <c r="A8" s="129"/>
      <c r="B8" s="129"/>
      <c r="C8" s="129"/>
      <c r="D8" s="129"/>
    </row>
    <row r="9" customFormat="false" ht="14.4" hidden="false" customHeight="false" outlineLevel="0" collapsed="false">
      <c r="A9" s="129"/>
      <c r="B9" s="129"/>
      <c r="C9" s="129"/>
      <c r="D9" s="129"/>
    </row>
    <row r="10" customFormat="false" ht="14.4" hidden="false" customHeight="false" outlineLevel="0" collapsed="false">
      <c r="A10" s="129"/>
      <c r="B10" s="129"/>
      <c r="C10" s="130"/>
      <c r="D10" s="129"/>
    </row>
    <row r="11" customFormat="false" ht="15" hidden="false" customHeight="false" outlineLevel="0" collapsed="false">
      <c r="A11" s="60"/>
      <c r="B11" s="60"/>
      <c r="C11" s="60"/>
      <c r="D11" s="60"/>
      <c r="E11" s="60"/>
      <c r="F11" s="60"/>
      <c r="G11" s="60"/>
      <c r="H11" s="60"/>
      <c r="I11" s="60"/>
      <c r="J11" s="60"/>
      <c r="K11" s="60"/>
      <c r="L11" s="60"/>
      <c r="M11" s="60"/>
      <c r="N11" s="60"/>
      <c r="O11" s="60"/>
      <c r="P11" s="60"/>
    </row>
    <row r="14" customFormat="false" ht="15" hidden="false" customHeight="false" outlineLevel="0" collapsed="false"/>
    <row r="15" customFormat="false" ht="14.4" hidden="false" customHeight="false" outlineLevel="0" collapsed="false">
      <c r="A15" s="131" t="s">
        <v>122</v>
      </c>
      <c r="B15" s="131"/>
      <c r="C15" s="131"/>
      <c r="D15" s="131"/>
    </row>
    <row r="16" customFormat="false" ht="14.4" hidden="false" customHeight="false" outlineLevel="0" collapsed="false">
      <c r="A16" s="131"/>
      <c r="B16" s="131"/>
      <c r="C16" s="131"/>
      <c r="D16" s="131"/>
      <c r="I16" s="119"/>
      <c r="J16" s="132"/>
      <c r="K16" s="132"/>
      <c r="L16" s="132"/>
      <c r="M16" s="120"/>
      <c r="N16" s="120"/>
      <c r="O16" s="120"/>
      <c r="P16" s="120"/>
      <c r="Q16" s="120"/>
      <c r="R16" s="120"/>
      <c r="S16" s="120"/>
      <c r="T16" s="120"/>
      <c r="U16" s="120"/>
      <c r="V16" s="120"/>
      <c r="W16" s="120"/>
      <c r="X16" s="120"/>
      <c r="Y16" s="120"/>
      <c r="Z16" s="120"/>
      <c r="AA16" s="120"/>
      <c r="AB16" s="120"/>
      <c r="AC16" s="120"/>
      <c r="AD16" s="120"/>
      <c r="AE16" s="120"/>
      <c r="AF16" s="120"/>
      <c r="AG16" s="120"/>
      <c r="AH16" s="120"/>
      <c r="AI16" s="120"/>
      <c r="AJ16" s="120"/>
      <c r="AK16" s="120"/>
      <c r="AL16" s="120"/>
      <c r="AM16" s="120"/>
      <c r="AN16" s="120"/>
      <c r="AO16" s="120"/>
      <c r="AP16" s="120"/>
      <c r="AQ16" s="120"/>
      <c r="AR16" s="120"/>
      <c r="AS16" s="120"/>
      <c r="AT16" s="120"/>
      <c r="AU16" s="120"/>
      <c r="AV16" s="120"/>
      <c r="AW16" s="120"/>
      <c r="AX16" s="120"/>
      <c r="AY16" s="120"/>
      <c r="AZ16" s="120"/>
      <c r="BA16" s="120"/>
      <c r="BB16" s="120"/>
      <c r="BC16" s="120"/>
      <c r="BD16" s="120"/>
      <c r="BE16" s="120"/>
      <c r="BF16" s="120"/>
      <c r="BG16" s="120"/>
      <c r="BH16" s="120"/>
      <c r="BI16" s="120"/>
      <c r="BJ16" s="120"/>
      <c r="BK16" s="120"/>
    </row>
    <row r="17" customFormat="false" ht="14.4" hidden="false" customHeight="false" outlineLevel="0" collapsed="false">
      <c r="A17" s="133" t="s">
        <v>123</v>
      </c>
      <c r="B17" s="122" t="n">
        <f aca="false">INSUMOS!B3</f>
        <v>0</v>
      </c>
      <c r="C17" s="122"/>
      <c r="D17" s="122"/>
    </row>
    <row r="18" customFormat="false" ht="15" hidden="false" customHeight="false" outlineLevel="0" collapsed="false">
      <c r="A18" s="134" t="s">
        <v>124</v>
      </c>
      <c r="B18" s="135" t="n">
        <v>0.04</v>
      </c>
      <c r="C18" s="135"/>
      <c r="D18" s="135"/>
    </row>
    <row r="19" customFormat="false" ht="26.25" hidden="false" customHeight="true" outlineLevel="0" collapsed="false">
      <c r="A19" s="136" t="s">
        <v>125</v>
      </c>
      <c r="B19" s="137" t="n">
        <f aca="false">B17*B18</f>
        <v>0</v>
      </c>
      <c r="C19" s="137"/>
      <c r="D19" s="137"/>
    </row>
    <row r="21" customFormat="false" ht="15" hidden="false" customHeight="false" outlineLevel="0" collapsed="false">
      <c r="A21" s="60"/>
      <c r="B21" s="60"/>
      <c r="C21" s="60"/>
      <c r="D21" s="60"/>
      <c r="E21" s="60"/>
      <c r="F21" s="60"/>
      <c r="G21" s="60"/>
      <c r="H21" s="60"/>
      <c r="I21" s="60"/>
      <c r="J21" s="60"/>
      <c r="K21" s="60"/>
      <c r="L21" s="60"/>
      <c r="M21" s="60"/>
      <c r="N21" s="60"/>
      <c r="O21" s="60"/>
      <c r="P21" s="60"/>
    </row>
    <row r="23" customFormat="false" ht="15" hidden="false" customHeight="false" outlineLevel="0" collapsed="false">
      <c r="M23" s="138" t="s">
        <v>126</v>
      </c>
    </row>
    <row r="24" customFormat="false" ht="14.4" hidden="false" customHeight="false" outlineLevel="0" collapsed="false">
      <c r="A24" s="139" t="s">
        <v>127</v>
      </c>
      <c r="B24" s="139" t="s">
        <v>1</v>
      </c>
      <c r="C24" s="139"/>
      <c r="D24" s="139"/>
      <c r="E24" s="139" t="s">
        <v>128</v>
      </c>
      <c r="F24" s="139"/>
      <c r="G24" s="139"/>
      <c r="H24" s="139" t="s">
        <v>129</v>
      </c>
    </row>
    <row r="25" customFormat="false" ht="15" hidden="false" customHeight="false" outlineLevel="0" collapsed="false">
      <c r="A25" s="139"/>
      <c r="B25" s="139"/>
      <c r="C25" s="139"/>
      <c r="D25" s="139"/>
      <c r="E25" s="139"/>
      <c r="F25" s="139"/>
      <c r="G25" s="139"/>
      <c r="H25" s="139"/>
    </row>
    <row r="26" customFormat="false" ht="14.4" hidden="false" customHeight="false" outlineLevel="0" collapsed="false">
      <c r="A26" s="140" t="s">
        <v>130</v>
      </c>
      <c r="B26" s="141" t="n">
        <f aca="false">INSUMOS!B4</f>
        <v>0</v>
      </c>
      <c r="C26" s="141"/>
      <c r="D26" s="141"/>
      <c r="E26" s="142" t="n">
        <v>6</v>
      </c>
      <c r="F26" s="142"/>
      <c r="G26" s="142"/>
      <c r="H26" s="11" t="n">
        <f aca="false">B26*E26</f>
        <v>0</v>
      </c>
    </row>
    <row r="27" customFormat="false" ht="15" hidden="false" customHeight="false" outlineLevel="0" collapsed="false">
      <c r="A27" s="143" t="s">
        <v>131</v>
      </c>
      <c r="B27" s="144" t="n">
        <f aca="false">INSUMOS!B5</f>
        <v>0</v>
      </c>
      <c r="C27" s="144"/>
      <c r="D27" s="144"/>
      <c r="E27" s="145" t="n">
        <v>12</v>
      </c>
      <c r="F27" s="145"/>
      <c r="G27" s="145"/>
      <c r="H27" s="146" t="n">
        <f aca="false">B27*E27</f>
        <v>0</v>
      </c>
    </row>
    <row r="30" customFormat="false" ht="15" hidden="false" customHeight="false" outlineLevel="0" collapsed="false"/>
    <row r="31" customFormat="false" ht="27.75" hidden="false" customHeight="true" outlineLevel="0" collapsed="false">
      <c r="A31" s="147" t="s">
        <v>132</v>
      </c>
      <c r="B31" s="148" t="n">
        <f aca="false">SUM(H26:H29)</f>
        <v>0</v>
      </c>
      <c r="J31" s="149" t="s">
        <v>133</v>
      </c>
      <c r="K31" s="149"/>
      <c r="L31" s="149"/>
      <c r="M31" s="149"/>
      <c r="N31" s="149"/>
      <c r="O31" s="149"/>
      <c r="P31" s="150" t="n">
        <v>54942</v>
      </c>
    </row>
    <row r="32" customFormat="false" ht="15" hidden="false" customHeight="false" outlineLevel="0" collapsed="false">
      <c r="A32" s="147"/>
      <c r="B32" s="148"/>
      <c r="C32" s="0" t="s">
        <v>134</v>
      </c>
      <c r="J32" s="149" t="s">
        <v>135</v>
      </c>
      <c r="K32" s="149"/>
      <c r="L32" s="149"/>
      <c r="M32" s="149"/>
      <c r="N32" s="149"/>
      <c r="O32" s="149"/>
      <c r="P32" s="151" t="n">
        <v>110549</v>
      </c>
    </row>
    <row r="33" customFormat="false" ht="33" hidden="false" customHeight="true" outlineLevel="0" collapsed="false">
      <c r="A33" s="152" t="s">
        <v>136</v>
      </c>
      <c r="B33" s="153" t="n">
        <f aca="false">B31/P34</f>
        <v>0</v>
      </c>
      <c r="C33" s="0" t="s">
        <v>137</v>
      </c>
      <c r="J33" s="149"/>
      <c r="K33" s="149"/>
      <c r="L33" s="149"/>
      <c r="M33" s="149"/>
      <c r="N33" s="149"/>
      <c r="O33" s="149"/>
      <c r="P33" s="151"/>
    </row>
    <row r="34" customFormat="false" ht="14.4" hidden="false" customHeight="false" outlineLevel="0" collapsed="false">
      <c r="J34" s="149" t="s">
        <v>138</v>
      </c>
      <c r="K34" s="149"/>
      <c r="L34" s="149"/>
      <c r="M34" s="149"/>
      <c r="N34" s="149"/>
      <c r="O34" s="149"/>
      <c r="P34" s="154" t="n">
        <f aca="false">P31+P32</f>
        <v>165491</v>
      </c>
    </row>
    <row r="35" customFormat="false" ht="15" hidden="false" customHeight="false" outlineLevel="0" collapsed="false">
      <c r="J35" s="149"/>
      <c r="K35" s="149"/>
      <c r="L35" s="149"/>
      <c r="M35" s="149"/>
      <c r="N35" s="149"/>
      <c r="O35" s="149"/>
      <c r="P35" s="154"/>
    </row>
    <row r="37" customFormat="false" ht="15" hidden="false" customHeight="false" outlineLevel="0" collapsed="false">
      <c r="A37" s="60"/>
      <c r="B37" s="60"/>
      <c r="C37" s="60"/>
      <c r="D37" s="60"/>
      <c r="E37" s="60"/>
      <c r="F37" s="60"/>
      <c r="G37" s="60"/>
      <c r="H37" s="60"/>
      <c r="I37" s="60"/>
      <c r="J37" s="60"/>
      <c r="K37" s="60"/>
      <c r="L37" s="60"/>
      <c r="M37" s="60"/>
      <c r="N37" s="60"/>
      <c r="O37" s="60"/>
      <c r="P37" s="60"/>
      <c r="Q37" s="60"/>
      <c r="R37" s="60"/>
    </row>
    <row r="38" customFormat="false" ht="6.75" hidden="false" customHeight="true" outlineLevel="0" collapsed="false"/>
    <row r="39" customFormat="false" ht="24.75" hidden="false" customHeight="true" outlineLevel="0" collapsed="false">
      <c r="A39" s="139" t="s">
        <v>139</v>
      </c>
      <c r="B39" s="139"/>
    </row>
    <row r="40" customFormat="false" ht="14.4" hidden="false" customHeight="false" outlineLevel="0" collapsed="false">
      <c r="A40" s="155" t="s">
        <v>140</v>
      </c>
      <c r="B40" s="156" t="n">
        <f aca="false">FROTA!D12</f>
        <v>0</v>
      </c>
    </row>
    <row r="41" customFormat="false" ht="2.25" hidden="false" customHeight="true" outlineLevel="0" collapsed="false">
      <c r="A41" s="155"/>
      <c r="B41" s="156"/>
    </row>
    <row r="42" customFormat="false" ht="14.4" hidden="false" customHeight="false" outlineLevel="0" collapsed="false">
      <c r="A42" s="157" t="s">
        <v>141</v>
      </c>
      <c r="B42" s="158" t="n">
        <v>0.0033</v>
      </c>
    </row>
    <row r="43" customFormat="false" ht="30.75" hidden="false" customHeight="true" outlineLevel="0" collapsed="false">
      <c r="A43" s="159" t="s">
        <v>142</v>
      </c>
      <c r="B43" s="160" t="n">
        <f aca="false">'IPK-PMM'!B15</f>
        <v>4794.82986111111</v>
      </c>
      <c r="D43" s="161"/>
    </row>
    <row r="44" customFormat="false" ht="15" hidden="false" customHeight="false" outlineLevel="0" collapsed="false">
      <c r="A44" s="162" t="s">
        <v>143</v>
      </c>
      <c r="B44" s="163" t="n">
        <f aca="false">((B40*B42)/B43)</f>
        <v>0</v>
      </c>
    </row>
    <row r="45" customFormat="false" ht="15" hidden="false" customHeight="false" outlineLevel="0" collapsed="false"/>
    <row r="46" customFormat="false" ht="14.4" hidden="false" customHeight="true" outlineLevel="0" collapsed="false">
      <c r="A46" s="164" t="s">
        <v>144</v>
      </c>
      <c r="B46" s="165" t="n">
        <f aca="false">B6+B19+B33+B44</f>
        <v>0</v>
      </c>
      <c r="C46" s="38"/>
      <c r="D46" s="38"/>
      <c r="E46" s="38"/>
      <c r="F46" s="38"/>
      <c r="G46" s="38"/>
      <c r="H46" s="38"/>
      <c r="I46" s="38"/>
      <c r="J46" s="38"/>
      <c r="K46" s="38"/>
      <c r="L46" s="38"/>
      <c r="M46" s="38"/>
      <c r="N46" s="38"/>
      <c r="O46" s="38"/>
      <c r="P46" s="38"/>
      <c r="Q46" s="38"/>
      <c r="R46" s="39"/>
    </row>
    <row r="47" customFormat="false" ht="14.4" hidden="false" customHeight="false" outlineLevel="0" collapsed="false">
      <c r="A47" s="164"/>
      <c r="B47" s="165"/>
      <c r="R47" s="40"/>
    </row>
    <row r="48" customFormat="false" ht="14.4" hidden="false" customHeight="false" outlineLevel="0" collapsed="false">
      <c r="A48" s="164"/>
      <c r="B48" s="165"/>
      <c r="R48" s="40"/>
    </row>
    <row r="49" customFormat="false" ht="15" hidden="false" customHeight="false" outlineLevel="0" collapsed="false">
      <c r="A49" s="164"/>
      <c r="B49" s="165"/>
      <c r="C49" s="60"/>
      <c r="D49" s="60"/>
      <c r="E49" s="60"/>
      <c r="F49" s="60"/>
      <c r="G49" s="60"/>
      <c r="H49" s="60"/>
      <c r="I49" s="60"/>
      <c r="J49" s="60"/>
      <c r="K49" s="60"/>
      <c r="L49" s="60"/>
      <c r="M49" s="60"/>
      <c r="N49" s="60"/>
      <c r="O49" s="60"/>
      <c r="P49" s="60"/>
      <c r="Q49" s="60"/>
      <c r="R49" s="166"/>
    </row>
    <row r="50" customFormat="false" ht="15" hidden="false" customHeight="false" outlineLevel="0" collapsed="false">
      <c r="A50" s="167" t="s">
        <v>145</v>
      </c>
      <c r="B50" s="167"/>
      <c r="C50" s="167"/>
      <c r="D50" s="167"/>
      <c r="E50" s="167"/>
      <c r="F50" s="167"/>
      <c r="G50" s="167"/>
      <c r="H50" s="167"/>
      <c r="I50" s="167"/>
      <c r="J50" s="167"/>
      <c r="K50" s="167"/>
      <c r="L50" s="167"/>
      <c r="M50" s="167"/>
      <c r="N50" s="167"/>
      <c r="O50" s="167"/>
      <c r="P50" s="167"/>
      <c r="Q50" s="167"/>
      <c r="R50" s="168"/>
    </row>
    <row r="51" customFormat="false" ht="15" hidden="false" customHeight="false" outlineLevel="0" collapsed="false">
      <c r="A51" s="169" t="s">
        <v>146</v>
      </c>
      <c r="B51" s="169"/>
      <c r="C51" s="169"/>
      <c r="D51" s="169"/>
      <c r="E51" s="169"/>
      <c r="F51" s="169"/>
      <c r="G51" s="169"/>
      <c r="H51" s="169"/>
      <c r="I51" s="169"/>
      <c r="J51" s="169"/>
    </row>
    <row r="52" customFormat="false" ht="14.25" hidden="false" customHeight="true" outlineLevel="0" collapsed="false">
      <c r="A52" s="170" t="s">
        <v>147</v>
      </c>
      <c r="B52" s="170"/>
      <c r="C52" s="170"/>
      <c r="D52" s="170"/>
      <c r="E52" s="38"/>
      <c r="F52" s="171"/>
      <c r="G52" s="171"/>
      <c r="H52" s="171"/>
      <c r="I52" s="171"/>
      <c r="J52" s="172"/>
    </row>
    <row r="53" customFormat="false" ht="21" hidden="false" customHeight="true" outlineLevel="0" collapsed="false">
      <c r="A53" s="173" t="s">
        <v>148</v>
      </c>
      <c r="B53" s="174" t="s">
        <v>149</v>
      </c>
      <c r="C53" s="174" t="s">
        <v>150</v>
      </c>
      <c r="D53" s="174" t="s">
        <v>151</v>
      </c>
      <c r="E53" s="175" t="s">
        <v>152</v>
      </c>
      <c r="F53" s="176"/>
      <c r="H53" s="177"/>
      <c r="I53" s="178"/>
      <c r="J53" s="179"/>
    </row>
    <row r="54" customFormat="false" ht="14.4" hidden="false" customHeight="false" outlineLevel="0" collapsed="false">
      <c r="A54" s="173"/>
      <c r="B54" s="174"/>
      <c r="C54" s="174"/>
      <c r="D54" s="174"/>
      <c r="E54" s="175"/>
      <c r="F54" s="176"/>
      <c r="H54" s="177"/>
      <c r="I54" s="178"/>
      <c r="J54" s="179"/>
    </row>
    <row r="55" customFormat="false" ht="14.4" hidden="false" customHeight="false" outlineLevel="0" collapsed="false">
      <c r="A55" s="180"/>
      <c r="B55" s="180"/>
      <c r="C55" s="180"/>
      <c r="D55" s="180"/>
      <c r="E55" s="181"/>
      <c r="H55" s="177"/>
      <c r="I55" s="178"/>
      <c r="J55" s="179"/>
    </row>
    <row r="56" customFormat="false" ht="15" hidden="false" customHeight="false" outlineLevel="0" collapsed="false">
      <c r="A56" s="182" t="s">
        <v>153</v>
      </c>
      <c r="B56" s="183" t="n">
        <f aca="false">FROTA!B31</f>
        <v>12</v>
      </c>
      <c r="C56" s="184" t="s">
        <v>154</v>
      </c>
      <c r="D56" s="184" t="s">
        <v>155</v>
      </c>
      <c r="E56" s="185"/>
      <c r="F56" s="186"/>
      <c r="H56" s="177"/>
      <c r="I56" s="177"/>
      <c r="J56" s="187"/>
    </row>
    <row r="57" customFormat="false" ht="15" hidden="false" customHeight="false" outlineLevel="0" collapsed="false">
      <c r="A57" s="188" t="s">
        <v>156</v>
      </c>
      <c r="B57" s="189"/>
      <c r="C57" s="190" t="n">
        <f aca="false">E55/(B55+B56)</f>
        <v>0</v>
      </c>
      <c r="D57" s="190"/>
      <c r="E57" s="60"/>
      <c r="F57" s="60"/>
      <c r="G57" s="60"/>
      <c r="H57" s="60"/>
      <c r="I57" s="60"/>
      <c r="J57" s="166"/>
    </row>
    <row r="58" customFormat="false" ht="15" hidden="false" customHeight="false" outlineLevel="0" collapsed="false"/>
    <row r="59" customFormat="false" ht="60" hidden="false" customHeight="true" outlineLevel="0" collapsed="false">
      <c r="A59" s="191" t="s">
        <v>157</v>
      </c>
      <c r="B59" s="191"/>
      <c r="C59" s="38"/>
      <c r="D59" s="38"/>
      <c r="E59" s="38"/>
      <c r="F59" s="38"/>
      <c r="G59" s="38"/>
      <c r="H59" s="38"/>
      <c r="I59" s="38"/>
      <c r="J59" s="39"/>
    </row>
    <row r="60" customFormat="false" ht="14.4" hidden="false" customHeight="false" outlineLevel="0" collapsed="false">
      <c r="A60" s="192" t="s">
        <v>158</v>
      </c>
      <c r="B60" s="17" t="n">
        <f aca="false">FROTA!A17</f>
        <v>0</v>
      </c>
      <c r="J60" s="40"/>
    </row>
    <row r="61" customFormat="false" ht="14.4" hidden="false" customHeight="false" outlineLevel="0" collapsed="false">
      <c r="A61" s="193" t="s">
        <v>159</v>
      </c>
      <c r="B61" s="194" t="n">
        <f aca="false">0.0001</f>
        <v>0.0001</v>
      </c>
      <c r="J61" s="40"/>
    </row>
    <row r="62" customFormat="false" ht="15" hidden="false" customHeight="false" outlineLevel="0" collapsed="false">
      <c r="A62" s="195" t="s">
        <v>160</v>
      </c>
      <c r="B62" s="196" t="n">
        <f aca="false">B60*B61</f>
        <v>0</v>
      </c>
      <c r="J62" s="40"/>
    </row>
    <row r="63" customFormat="false" ht="15" hidden="false" customHeight="false" outlineLevel="0" collapsed="false">
      <c r="A63" s="197" t="s">
        <v>161</v>
      </c>
      <c r="B63" s="198" t="n">
        <f aca="false">B62+C57</f>
        <v>0</v>
      </c>
      <c r="C63" s="60" t="s">
        <v>162</v>
      </c>
      <c r="D63" s="60"/>
      <c r="E63" s="60"/>
      <c r="F63" s="60"/>
      <c r="G63" s="60"/>
      <c r="H63" s="60"/>
      <c r="I63" s="60"/>
      <c r="J63" s="166"/>
    </row>
    <row r="64" customFormat="false" ht="21" hidden="false" customHeight="true" outlineLevel="0" collapsed="false">
      <c r="A64" s="60"/>
      <c r="B64" s="60"/>
      <c r="C64" s="60"/>
      <c r="D64" s="60"/>
      <c r="E64" s="60"/>
      <c r="F64" s="60"/>
      <c r="G64" s="60"/>
      <c r="H64" s="60"/>
      <c r="I64" s="60"/>
      <c r="J64" s="60"/>
    </row>
    <row r="65" customFormat="false" ht="15" hidden="false" customHeight="true" outlineLevel="0" collapsed="false">
      <c r="A65" s="199" t="s">
        <v>163</v>
      </c>
      <c r="B65" s="199"/>
      <c r="C65" s="38"/>
      <c r="D65" s="38"/>
      <c r="E65" s="38"/>
      <c r="F65" s="38"/>
      <c r="G65" s="38"/>
      <c r="H65" s="38"/>
      <c r="I65" s="38"/>
      <c r="J65" s="39"/>
    </row>
    <row r="66" s="200" customFormat="true" ht="28.5" hidden="false" customHeight="true" outlineLevel="0" collapsed="false">
      <c r="A66" s="199"/>
      <c r="B66" s="199"/>
      <c r="J66" s="201"/>
    </row>
    <row r="67" customFormat="false" ht="15" hidden="false" customHeight="false" outlineLevel="0" collapsed="false">
      <c r="A67" s="199"/>
      <c r="B67" s="199"/>
      <c r="J67" s="40"/>
    </row>
    <row r="68" customFormat="false" ht="14.4" hidden="false" customHeight="false" outlineLevel="0" collapsed="false">
      <c r="A68" s="202"/>
      <c r="B68" s="202"/>
      <c r="J68" s="40"/>
    </row>
    <row r="69" customFormat="false" ht="14.4" hidden="false" customHeight="false" outlineLevel="0" collapsed="false">
      <c r="A69" s="203" t="s">
        <v>164</v>
      </c>
      <c r="B69" s="194" t="n">
        <f aca="false">FROTA!B32</f>
        <v>12</v>
      </c>
      <c r="C69" s="0" t="s">
        <v>83</v>
      </c>
      <c r="J69" s="40"/>
    </row>
    <row r="70" customFormat="false" ht="14.4" hidden="false" customHeight="false" outlineLevel="0" collapsed="false">
      <c r="A70" s="204" t="s">
        <v>165</v>
      </c>
      <c r="B70" s="194" t="n">
        <v>0.018</v>
      </c>
      <c r="J70" s="40"/>
    </row>
    <row r="71" customFormat="false" ht="14.4" hidden="false" customHeight="false" outlineLevel="0" collapsed="false">
      <c r="A71" s="203" t="s">
        <v>166</v>
      </c>
      <c r="B71" s="17" t="n">
        <f aca="false">FROTA!E17</f>
        <v>0</v>
      </c>
      <c r="C71" s="0" t="s">
        <v>134</v>
      </c>
      <c r="J71" s="40"/>
    </row>
    <row r="72" customFormat="false" ht="14.4" hidden="false" customHeight="false" outlineLevel="0" collapsed="false">
      <c r="A72" s="205" t="s">
        <v>167</v>
      </c>
      <c r="B72" s="206" t="n">
        <f aca="false">B70*FROTA!B32</f>
        <v>0.216</v>
      </c>
      <c r="J72" s="40"/>
    </row>
    <row r="73" customFormat="false" ht="14.4" hidden="false" customHeight="false" outlineLevel="0" collapsed="false">
      <c r="A73" s="207" t="s">
        <v>168</v>
      </c>
      <c r="B73" s="208" t="n">
        <f aca="false">B72*B71</f>
        <v>0</v>
      </c>
      <c r="J73" s="40"/>
    </row>
    <row r="74" customFormat="false" ht="14.4" hidden="false" customHeight="false" outlineLevel="0" collapsed="false">
      <c r="A74" s="207" t="s">
        <v>169</v>
      </c>
      <c r="B74" s="208" t="n">
        <f aca="false">B73/B69</f>
        <v>0</v>
      </c>
      <c r="J74" s="40"/>
    </row>
    <row r="75" customFormat="false" ht="15" hidden="false" customHeight="false" outlineLevel="0" collapsed="false">
      <c r="A75" s="209" t="s">
        <v>170</v>
      </c>
      <c r="B75" s="210" t="n">
        <f aca="false">B74/12</f>
        <v>0</v>
      </c>
      <c r="J75" s="40"/>
    </row>
    <row r="76" customFormat="false" ht="14.4" hidden="false" customHeight="false" outlineLevel="0" collapsed="false">
      <c r="A76" s="211" t="s">
        <v>171</v>
      </c>
      <c r="B76" s="212" t="n">
        <f aca="false">B75</f>
        <v>0</v>
      </c>
      <c r="C76" s="213" t="s">
        <v>162</v>
      </c>
      <c r="J76" s="40"/>
    </row>
    <row r="77" customFormat="false" ht="15" hidden="false" customHeight="false" outlineLevel="0" collapsed="false">
      <c r="A77" s="211"/>
      <c r="B77" s="212"/>
      <c r="C77" s="213"/>
      <c r="D77" s="60"/>
      <c r="E77" s="60"/>
      <c r="F77" s="60"/>
      <c r="G77" s="60"/>
      <c r="H77" s="60"/>
      <c r="I77" s="60"/>
      <c r="J77" s="166"/>
    </row>
    <row r="78" customFormat="false" ht="15" hidden="false" customHeight="false" outlineLevel="0" collapsed="false">
      <c r="A78" s="60"/>
      <c r="B78" s="60"/>
      <c r="C78" s="60"/>
      <c r="D78" s="60"/>
      <c r="E78" s="60"/>
      <c r="F78" s="60"/>
      <c r="G78" s="60"/>
      <c r="H78" s="60"/>
      <c r="I78" s="60"/>
      <c r="J78" s="60"/>
    </row>
    <row r="79" customFormat="false" ht="14.4" hidden="false" customHeight="true" outlineLevel="0" collapsed="false">
      <c r="A79" s="170" t="s">
        <v>172</v>
      </c>
      <c r="B79" s="170"/>
      <c r="C79" s="38"/>
      <c r="D79" s="38"/>
      <c r="E79" s="38"/>
      <c r="F79" s="38"/>
      <c r="G79" s="38"/>
      <c r="H79" s="38"/>
      <c r="I79" s="38"/>
      <c r="J79" s="39"/>
    </row>
    <row r="80" customFormat="false" ht="14.4" hidden="false" customHeight="false" outlineLevel="0" collapsed="false">
      <c r="A80" s="170"/>
      <c r="B80" s="170"/>
      <c r="J80" s="40"/>
    </row>
    <row r="81" customFormat="false" ht="14.4" hidden="false" customHeight="false" outlineLevel="0" collapsed="false">
      <c r="A81" s="170"/>
      <c r="B81" s="170"/>
      <c r="D81" s="138" t="s">
        <v>173</v>
      </c>
      <c r="E81" s="214" t="s">
        <v>174</v>
      </c>
      <c r="F81" s="138"/>
      <c r="G81" s="138"/>
      <c r="H81" s="138"/>
      <c r="I81" s="138"/>
      <c r="J81" s="215"/>
    </row>
    <row r="82" customFormat="false" ht="14.4" hidden="false" customHeight="false" outlineLevel="0" collapsed="false">
      <c r="A82" s="203" t="s">
        <v>158</v>
      </c>
      <c r="B82" s="17" t="n">
        <f aca="false">FROTA!A17</f>
        <v>0</v>
      </c>
      <c r="C82" s="0" t="s">
        <v>134</v>
      </c>
      <c r="J82" s="40"/>
    </row>
    <row r="83" customFormat="false" ht="15" hidden="false" customHeight="false" outlineLevel="0" collapsed="false">
      <c r="A83" s="216" t="s">
        <v>175</v>
      </c>
      <c r="B83" s="217" t="n">
        <v>0.0004</v>
      </c>
      <c r="D83" s="0" t="s">
        <v>176</v>
      </c>
      <c r="J83" s="40"/>
    </row>
    <row r="84" customFormat="false" ht="14.4" hidden="false" customHeight="false" outlineLevel="0" collapsed="false">
      <c r="A84" s="211" t="s">
        <v>171</v>
      </c>
      <c r="B84" s="212" t="n">
        <f aca="false">B82*B83</f>
        <v>0</v>
      </c>
      <c r="C84" s="218" t="s">
        <v>162</v>
      </c>
      <c r="J84" s="40"/>
    </row>
    <row r="85" customFormat="false" ht="15" hidden="false" customHeight="false" outlineLevel="0" collapsed="false">
      <c r="A85" s="211"/>
      <c r="B85" s="212"/>
      <c r="C85" s="218"/>
      <c r="D85" s="60"/>
      <c r="E85" s="60"/>
      <c r="F85" s="60"/>
      <c r="G85" s="60"/>
      <c r="H85" s="60"/>
      <c r="I85" s="60"/>
      <c r="J85" s="166"/>
    </row>
    <row r="86" customFormat="false" ht="15" hidden="false" customHeight="false" outlineLevel="0" collapsed="false">
      <c r="A86" s="60"/>
      <c r="B86" s="60"/>
      <c r="C86" s="60"/>
      <c r="D86" s="60"/>
      <c r="E86" s="60"/>
      <c r="F86" s="60"/>
      <c r="G86" s="60"/>
      <c r="H86" s="60"/>
      <c r="I86" s="60"/>
      <c r="J86" s="60"/>
    </row>
    <row r="87" customFormat="false" ht="14.4" hidden="false" customHeight="true" outlineLevel="0" collapsed="false">
      <c r="A87" s="199" t="s">
        <v>177</v>
      </c>
      <c r="B87" s="199"/>
      <c r="C87" s="38"/>
      <c r="D87" s="38"/>
      <c r="E87" s="38"/>
      <c r="F87" s="38"/>
      <c r="G87" s="38"/>
      <c r="H87" s="38"/>
      <c r="I87" s="38"/>
      <c r="J87" s="39"/>
    </row>
    <row r="88" customFormat="false" ht="14.4" hidden="false" customHeight="false" outlineLevel="0" collapsed="false">
      <c r="A88" s="199"/>
      <c r="B88" s="199"/>
      <c r="J88" s="40"/>
    </row>
    <row r="89" customFormat="false" ht="15" hidden="false" customHeight="false" outlineLevel="0" collapsed="false">
      <c r="A89" s="199"/>
      <c r="B89" s="199"/>
      <c r="J89" s="40"/>
    </row>
    <row r="90" customFormat="false" ht="14.4" hidden="false" customHeight="false" outlineLevel="0" collapsed="false">
      <c r="A90" s="140" t="s">
        <v>158</v>
      </c>
      <c r="B90" s="11" t="n">
        <f aca="false">FROTA!A17</f>
        <v>0</v>
      </c>
      <c r="C90" s="0" t="s">
        <v>134</v>
      </c>
      <c r="D90" s="138" t="s">
        <v>178</v>
      </c>
      <c r="E90" s="138"/>
      <c r="F90" s="138"/>
      <c r="G90" s="138"/>
      <c r="H90" s="138"/>
      <c r="I90" s="138"/>
      <c r="J90" s="215"/>
    </row>
    <row r="91" customFormat="false" ht="15" hidden="false" customHeight="false" outlineLevel="0" collapsed="false">
      <c r="A91" s="216" t="s">
        <v>179</v>
      </c>
      <c r="B91" s="217" t="n">
        <v>0.0003</v>
      </c>
      <c r="J91" s="40"/>
    </row>
    <row r="92" customFormat="false" ht="14.4" hidden="false" customHeight="false" outlineLevel="0" collapsed="false">
      <c r="A92" s="211" t="s">
        <v>180</v>
      </c>
      <c r="B92" s="212" t="n">
        <f aca="false">B90*B91</f>
        <v>0</v>
      </c>
      <c r="C92" s="219" t="s">
        <v>162</v>
      </c>
      <c r="J92" s="40"/>
    </row>
    <row r="93" customFormat="false" ht="15" hidden="false" customHeight="false" outlineLevel="0" collapsed="false">
      <c r="A93" s="211"/>
      <c r="B93" s="212"/>
      <c r="C93" s="219"/>
      <c r="D93" s="60"/>
      <c r="E93" s="60"/>
      <c r="F93" s="60"/>
      <c r="G93" s="60"/>
      <c r="H93" s="60"/>
      <c r="I93" s="60"/>
      <c r="J93" s="166"/>
    </row>
    <row r="94" customFormat="false" ht="15" hidden="false" customHeight="false" outlineLevel="0" collapsed="false">
      <c r="A94" s="60"/>
      <c r="B94" s="60"/>
      <c r="C94" s="60"/>
      <c r="D94" s="60"/>
      <c r="E94" s="60"/>
      <c r="F94" s="60"/>
      <c r="G94" s="60"/>
      <c r="H94" s="60"/>
      <c r="I94" s="60"/>
      <c r="J94" s="60"/>
    </row>
    <row r="95" customFormat="false" ht="15" hidden="false" customHeight="true" outlineLevel="0" collapsed="false">
      <c r="A95" s="220" t="s">
        <v>181</v>
      </c>
      <c r="B95" s="220"/>
      <c r="C95" s="220"/>
      <c r="D95" s="220"/>
      <c r="E95" s="220"/>
      <c r="F95" s="221" t="n">
        <f aca="false">C57+B62+B76+B84+B92</f>
        <v>0</v>
      </c>
      <c r="G95" s="221"/>
      <c r="H95" s="221"/>
      <c r="I95" s="221"/>
      <c r="J95" s="221"/>
    </row>
    <row r="96" customFormat="false" ht="15" hidden="false" customHeight="true" outlineLevel="0" collapsed="false">
      <c r="A96" s="220"/>
      <c r="B96" s="220"/>
      <c r="C96" s="220"/>
      <c r="D96" s="220"/>
      <c r="E96" s="220"/>
      <c r="F96" s="221"/>
      <c r="G96" s="221"/>
      <c r="H96" s="221"/>
      <c r="I96" s="221"/>
      <c r="J96" s="221"/>
    </row>
    <row r="97" customFormat="false" ht="28.5" hidden="false" customHeight="true" outlineLevel="0" collapsed="false">
      <c r="A97" s="220"/>
      <c r="B97" s="220"/>
      <c r="C97" s="220"/>
      <c r="D97" s="220"/>
      <c r="E97" s="220"/>
      <c r="F97" s="221"/>
      <c r="G97" s="221"/>
      <c r="H97" s="221"/>
      <c r="I97" s="221"/>
      <c r="J97" s="221"/>
    </row>
    <row r="98" customFormat="false" ht="15" hidden="false" customHeight="false" outlineLevel="0" collapsed="false">
      <c r="A98" s="60"/>
      <c r="B98" s="60"/>
      <c r="C98" s="60"/>
      <c r="D98" s="60"/>
      <c r="E98" s="60"/>
      <c r="F98" s="60"/>
      <c r="G98" s="60"/>
      <c r="H98" s="60"/>
      <c r="I98" s="60"/>
      <c r="J98" s="222"/>
      <c r="K98" s="60"/>
    </row>
    <row r="99" customFormat="false" ht="15" hidden="false" customHeight="false" outlineLevel="0" collapsed="false">
      <c r="A99" s="169" t="s">
        <v>182</v>
      </c>
      <c r="B99" s="169"/>
      <c r="C99" s="169"/>
      <c r="D99" s="169"/>
      <c r="E99" s="169"/>
      <c r="F99" s="169"/>
      <c r="G99" s="169"/>
      <c r="H99" s="169"/>
      <c r="I99" s="169"/>
      <c r="J99" s="169"/>
      <c r="K99" s="169"/>
    </row>
    <row r="100" customFormat="false" ht="14.4" hidden="false" customHeight="false" outlineLevel="0" collapsed="false">
      <c r="A100" s="223" t="s">
        <v>183</v>
      </c>
      <c r="B100" s="223"/>
    </row>
    <row r="101" customFormat="false" ht="60.75" hidden="false" customHeight="true" outlineLevel="0" collapsed="false">
      <c r="A101" s="223"/>
      <c r="B101" s="223"/>
      <c r="C101" s="224" t="s">
        <v>184</v>
      </c>
      <c r="D101" s="225" t="s">
        <v>185</v>
      </c>
      <c r="E101" s="226" t="s">
        <v>186</v>
      </c>
      <c r="F101" s="227" t="s">
        <v>68</v>
      </c>
      <c r="G101" s="228" t="s">
        <v>187</v>
      </c>
      <c r="H101" s="226" t="s">
        <v>188</v>
      </c>
      <c r="I101" s="226" t="s">
        <v>189</v>
      </c>
    </row>
    <row r="102" customFormat="false" ht="14.4" hidden="false" customHeight="false" outlineLevel="0" collapsed="false">
      <c r="A102" s="229" t="s">
        <v>190</v>
      </c>
      <c r="B102" s="230" t="n">
        <f aca="false">INSUMOS!B10</f>
        <v>0</v>
      </c>
      <c r="C102" s="231" t="e">
        <f aca="false">B104*B103</f>
        <v>#DIV/0!</v>
      </c>
      <c r="D102" s="232" t="s">
        <v>191</v>
      </c>
      <c r="E102" s="233" t="n">
        <v>17</v>
      </c>
      <c r="F102" s="234" t="n">
        <f aca="false">FROTA!B32</f>
        <v>12</v>
      </c>
      <c r="G102" s="235" t="n">
        <f aca="false">E102/F102</f>
        <v>1.41666666666667</v>
      </c>
      <c r="H102" s="235" t="e">
        <f aca="false">K108</f>
        <v>#DIV/0!</v>
      </c>
      <c r="I102" s="236" t="e">
        <f aca="false">E102/F102*H102</f>
        <v>#DIV/0!</v>
      </c>
    </row>
    <row r="103" customFormat="false" ht="14.4" hidden="false" customHeight="false" outlineLevel="0" collapsed="false">
      <c r="A103" s="237" t="s">
        <v>192</v>
      </c>
      <c r="B103" s="238" t="n">
        <f aca="false">1+INSUMOS!I26/100</f>
        <v>1</v>
      </c>
      <c r="D103" s="14" t="s">
        <v>193</v>
      </c>
      <c r="E103" s="233" t="n">
        <v>3</v>
      </c>
      <c r="F103" s="234" t="n">
        <f aca="false">FROTA!B32</f>
        <v>12</v>
      </c>
      <c r="G103" s="235" t="n">
        <f aca="false">E103/F103</f>
        <v>0.25</v>
      </c>
      <c r="H103" s="235" t="e">
        <f aca="false">K115</f>
        <v>#DIV/0!</v>
      </c>
      <c r="I103" s="236" t="e">
        <f aca="false">G103*H103</f>
        <v>#DIV/0!</v>
      </c>
    </row>
    <row r="104" customFormat="false" ht="15" hidden="false" customHeight="false" outlineLevel="0" collapsed="false">
      <c r="A104" s="239" t="s">
        <v>194</v>
      </c>
      <c r="B104" s="240" t="e">
        <f aca="false">I102</f>
        <v>#DIV/0!</v>
      </c>
    </row>
    <row r="105" customFormat="false" ht="29.4" hidden="false" customHeight="false" outlineLevel="0" collapsed="false">
      <c r="A105" s="241" t="s">
        <v>195</v>
      </c>
      <c r="B105" s="242" t="e">
        <f aca="false">B102*C102</f>
        <v>#DIV/0!</v>
      </c>
      <c r="C105" s="200" t="s">
        <v>196</v>
      </c>
    </row>
    <row r="106" customFormat="false" ht="15" hidden="false" customHeight="false" outlineLevel="0" collapsed="false">
      <c r="D106" s="243" t="s">
        <v>197</v>
      </c>
    </row>
    <row r="107" customFormat="false" ht="30" hidden="false" customHeight="true" outlineLevel="0" collapsed="false">
      <c r="A107" s="244" t="s">
        <v>198</v>
      </c>
      <c r="B107" s="244"/>
      <c r="C107" s="224" t="s">
        <v>184</v>
      </c>
      <c r="D107" s="245"/>
      <c r="E107" s="246" t="s">
        <v>199</v>
      </c>
      <c r="F107" s="246" t="s">
        <v>68</v>
      </c>
      <c r="G107" s="247" t="s">
        <v>200</v>
      </c>
      <c r="H107" s="246" t="s">
        <v>201</v>
      </c>
      <c r="I107" s="246"/>
      <c r="J107" s="246"/>
      <c r="K107" s="246" t="s">
        <v>188</v>
      </c>
    </row>
    <row r="108" customFormat="false" ht="15" hidden="false" customHeight="true" outlineLevel="0" collapsed="false">
      <c r="A108" s="244"/>
      <c r="B108" s="244"/>
      <c r="C108" s="224"/>
      <c r="D108" s="248"/>
      <c r="E108" s="249" t="n">
        <v>17</v>
      </c>
      <c r="F108" s="250" t="n">
        <v>12</v>
      </c>
      <c r="G108" s="251"/>
      <c r="H108" s="252" t="n">
        <v>1000</v>
      </c>
      <c r="I108" s="253"/>
      <c r="J108" s="254"/>
      <c r="K108" s="255" t="e">
        <f aca="false">1+(H108/G108)</f>
        <v>#DIV/0!</v>
      </c>
    </row>
    <row r="109" customFormat="false" ht="14.4" hidden="false" customHeight="false" outlineLevel="0" collapsed="false">
      <c r="A109" s="229" t="s">
        <v>190</v>
      </c>
      <c r="B109" s="230" t="n">
        <f aca="false">INSUMOS!B11</f>
        <v>0</v>
      </c>
      <c r="C109" s="231" t="e">
        <f aca="false">B110*B111</f>
        <v>#DIV/0!</v>
      </c>
    </row>
    <row r="110" customFormat="false" ht="15.6" hidden="false" customHeight="false" outlineLevel="0" collapsed="false">
      <c r="A110" s="237" t="s">
        <v>192</v>
      </c>
      <c r="B110" s="256" t="n">
        <f aca="false">1+INSUMOS!I26/100</f>
        <v>1</v>
      </c>
      <c r="J110" s="257"/>
      <c r="K110" s="258"/>
    </row>
    <row r="111" customFormat="false" ht="15" hidden="false" customHeight="false" outlineLevel="0" collapsed="false">
      <c r="A111" s="239" t="s">
        <v>194</v>
      </c>
      <c r="B111" s="259" t="e">
        <f aca="false">I103</f>
        <v>#DIV/0!</v>
      </c>
    </row>
    <row r="112" customFormat="false" ht="29.4" hidden="false" customHeight="false" outlineLevel="0" collapsed="false">
      <c r="A112" s="241" t="s">
        <v>202</v>
      </c>
      <c r="B112" s="242" t="e">
        <f aca="false">B109*B110*B111</f>
        <v>#DIV/0!</v>
      </c>
      <c r="C112" s="200" t="s">
        <v>196</v>
      </c>
    </row>
    <row r="113" customFormat="false" ht="15" hidden="false" customHeight="false" outlineLevel="0" collapsed="false">
      <c r="D113" s="243" t="s">
        <v>203</v>
      </c>
    </row>
    <row r="114" customFormat="false" ht="34.5" hidden="false" customHeight="true" outlineLevel="0" collapsed="false">
      <c r="A114" s="260" t="s">
        <v>204</v>
      </c>
      <c r="B114" s="221" t="e">
        <f aca="false">B105+B112</f>
        <v>#DIV/0!</v>
      </c>
      <c r="C114" s="261" t="s">
        <v>196</v>
      </c>
      <c r="D114" s="262"/>
      <c r="E114" s="246" t="s">
        <v>199</v>
      </c>
      <c r="F114" s="246" t="s">
        <v>68</v>
      </c>
      <c r="G114" s="247" t="s">
        <v>205</v>
      </c>
      <c r="H114" s="246" t="s">
        <v>201</v>
      </c>
      <c r="I114" s="246"/>
      <c r="J114" s="246"/>
      <c r="K114" s="246" t="s">
        <v>188</v>
      </c>
    </row>
    <row r="115" customFormat="false" ht="15" hidden="false" customHeight="false" outlineLevel="0" collapsed="false">
      <c r="A115" s="260"/>
      <c r="B115" s="221"/>
      <c r="C115" s="261"/>
      <c r="D115" s="263"/>
      <c r="E115" s="249" t="n">
        <v>3</v>
      </c>
      <c r="F115" s="250" t="n">
        <v>12</v>
      </c>
      <c r="G115" s="251"/>
      <c r="H115" s="252" t="n">
        <v>94.2</v>
      </c>
      <c r="I115" s="253"/>
      <c r="J115" s="254"/>
      <c r="K115" s="255" t="e">
        <f aca="false">1+(H115/G115)</f>
        <v>#DIV/0!</v>
      </c>
    </row>
    <row r="116" customFormat="false" ht="15" hidden="false" customHeight="false" outlineLevel="0" collapsed="false">
      <c r="A116" s="60"/>
      <c r="B116" s="60"/>
      <c r="C116" s="60"/>
      <c r="D116" s="60"/>
      <c r="E116" s="60"/>
      <c r="F116" s="60"/>
      <c r="G116" s="60"/>
      <c r="H116" s="60"/>
      <c r="I116" s="60"/>
      <c r="J116" s="60"/>
      <c r="K116" s="60"/>
    </row>
    <row r="117" customFormat="false" ht="14.4" hidden="false" customHeight="false" outlineLevel="0" collapsed="false">
      <c r="A117" s="264" t="s">
        <v>206</v>
      </c>
      <c r="B117" s="264"/>
    </row>
    <row r="118" customFormat="false" ht="15" hidden="false" customHeight="false" outlineLevel="0" collapsed="false">
      <c r="A118" s="264"/>
      <c r="B118" s="264"/>
    </row>
    <row r="119" customFormat="false" ht="31.5" hidden="false" customHeight="true" outlineLevel="0" collapsed="false">
      <c r="A119" s="265" t="s">
        <v>204</v>
      </c>
      <c r="B119" s="266" t="e">
        <f aca="false">B114</f>
        <v>#DIV/0!</v>
      </c>
    </row>
    <row r="120" customFormat="false" ht="15" hidden="false" customHeight="false" outlineLevel="0" collapsed="false">
      <c r="A120" s="159" t="s">
        <v>207</v>
      </c>
      <c r="B120" s="267" t="n">
        <v>0.123</v>
      </c>
    </row>
    <row r="121" customFormat="false" ht="31.5" hidden="false" customHeight="true" outlineLevel="0" collapsed="false">
      <c r="A121" s="268" t="s">
        <v>208</v>
      </c>
      <c r="B121" s="153" t="e">
        <f aca="false">B120*B119</f>
        <v>#DIV/0!</v>
      </c>
      <c r="C121" s="200" t="s">
        <v>196</v>
      </c>
    </row>
    <row r="122" customFormat="false" ht="15" hidden="false" customHeight="false" outlineLevel="0" collapsed="false"/>
    <row r="123" customFormat="false" ht="14.4" hidden="false" customHeight="false" outlineLevel="0" collapsed="false">
      <c r="A123" s="264" t="s">
        <v>209</v>
      </c>
      <c r="B123" s="264"/>
    </row>
    <row r="124" customFormat="false" ht="15" hidden="false" customHeight="false" outlineLevel="0" collapsed="false">
      <c r="A124" s="264"/>
      <c r="B124" s="264"/>
    </row>
    <row r="125" customFormat="false" ht="14.4" hidden="false" customHeight="false" outlineLevel="0" collapsed="false">
      <c r="A125" s="269" t="s">
        <v>204</v>
      </c>
      <c r="B125" s="270" t="e">
        <f aca="false">B114</f>
        <v>#DIV/0!</v>
      </c>
    </row>
    <row r="126" customFormat="false" ht="15" hidden="false" customHeight="false" outlineLevel="0" collapsed="false">
      <c r="A126" s="271" t="s">
        <v>210</v>
      </c>
      <c r="B126" s="272" t="n">
        <v>0.084</v>
      </c>
    </row>
    <row r="127" customFormat="false" ht="30.75" hidden="false" customHeight="true" outlineLevel="0" collapsed="false">
      <c r="A127" s="268" t="s">
        <v>211</v>
      </c>
      <c r="B127" s="153" t="e">
        <f aca="false">B126*B125</f>
        <v>#DIV/0!</v>
      </c>
      <c r="C127" s="0" t="s">
        <v>196</v>
      </c>
    </row>
    <row r="128" customFormat="false" ht="15" hidden="false" customHeight="false" outlineLevel="0" collapsed="false">
      <c r="A128" s="60"/>
      <c r="B128" s="60"/>
      <c r="C128" s="60"/>
      <c r="D128" s="60"/>
      <c r="E128" s="60"/>
      <c r="F128" s="60"/>
      <c r="G128" s="60"/>
      <c r="H128" s="60"/>
      <c r="I128" s="60"/>
      <c r="J128" s="60"/>
      <c r="K128" s="60"/>
    </row>
    <row r="129" customFormat="false" ht="15.75" hidden="false" customHeight="true" outlineLevel="0" collapsed="false">
      <c r="A129" s="264" t="s">
        <v>212</v>
      </c>
      <c r="B129" s="264"/>
      <c r="D129" s="26"/>
      <c r="E129" s="7" t="s">
        <v>6</v>
      </c>
      <c r="F129" s="7"/>
    </row>
    <row r="130" customFormat="false" ht="14.4" hidden="false" customHeight="false" outlineLevel="0" collapsed="false">
      <c r="A130" s="265" t="s">
        <v>213</v>
      </c>
      <c r="B130" s="273" t="n">
        <f aca="false">INSUMOS!B19</f>
        <v>0</v>
      </c>
      <c r="E130" s="10" t="s">
        <v>9</v>
      </c>
      <c r="F130" s="11" t="n">
        <f aca="false">INSUMOS!F6</f>
        <v>0</v>
      </c>
    </row>
    <row r="131" customFormat="false" ht="15" hidden="false" customHeight="false" outlineLevel="0" collapsed="false">
      <c r="A131" s="274" t="s">
        <v>214</v>
      </c>
      <c r="B131" s="275" t="n">
        <f aca="false">FROTA!B34</f>
        <v>9</v>
      </c>
      <c r="E131" s="16" t="s">
        <v>12</v>
      </c>
      <c r="F131" s="17" t="n">
        <f aca="false">INSUMOS!F7</f>
        <v>0</v>
      </c>
    </row>
    <row r="132" customFormat="false" ht="28.5" hidden="false" customHeight="true" outlineLevel="0" collapsed="false">
      <c r="A132" s="276" t="s">
        <v>215</v>
      </c>
      <c r="B132" s="277" t="n">
        <f aca="false">B130/B131</f>
        <v>0</v>
      </c>
      <c r="C132" s="200" t="s">
        <v>196</v>
      </c>
      <c r="E132" s="20" t="s">
        <v>15</v>
      </c>
      <c r="F132" s="146" t="n">
        <f aca="false">INSUMOS!F8</f>
        <v>0</v>
      </c>
    </row>
    <row r="133" customFormat="false" ht="38.25" hidden="false" customHeight="true" outlineLevel="0" collapsed="false">
      <c r="E133" s="278" t="s">
        <v>18</v>
      </c>
      <c r="F133" s="22" t="n">
        <f aca="false">SUM(F129:F132)</f>
        <v>0</v>
      </c>
    </row>
    <row r="134" customFormat="false" ht="15.75" hidden="false" customHeight="true" outlineLevel="0" collapsed="false">
      <c r="A134" s="60"/>
      <c r="B134" s="60"/>
      <c r="C134" s="60"/>
      <c r="D134" s="60"/>
      <c r="E134" s="279"/>
      <c r="F134" s="60"/>
      <c r="G134" s="60"/>
      <c r="H134" s="60"/>
      <c r="I134" s="60"/>
      <c r="J134" s="60"/>
      <c r="K134" s="60"/>
    </row>
    <row r="135" customFormat="false" ht="14.4" hidden="false" customHeight="false" outlineLevel="0" collapsed="false">
      <c r="A135" s="280" t="s">
        <v>216</v>
      </c>
      <c r="B135" s="280"/>
    </row>
    <row r="136" customFormat="false" ht="15" hidden="false" customHeight="false" outlineLevel="0" collapsed="false">
      <c r="A136" s="280"/>
      <c r="B136" s="280"/>
    </row>
    <row r="137" customFormat="false" ht="14.4" hidden="false" customHeight="false" outlineLevel="0" collapsed="false">
      <c r="A137" s="280" t="s">
        <v>217</v>
      </c>
      <c r="B137" s="281" t="e">
        <f aca="false">B114+B121+B127+B132</f>
        <v>#DIV/0!</v>
      </c>
    </row>
    <row r="138" customFormat="false" ht="15" hidden="false" customHeight="false" outlineLevel="0" collapsed="false">
      <c r="A138" s="280"/>
      <c r="B138" s="281"/>
      <c r="C138" s="0" t="s">
        <v>196</v>
      </c>
      <c r="D138" s="282"/>
    </row>
    <row r="139" customFormat="false" ht="15" hidden="false" customHeight="false" outlineLevel="0" collapsed="false">
      <c r="A139" s="60"/>
      <c r="B139" s="60"/>
      <c r="C139" s="60"/>
      <c r="D139" s="60"/>
      <c r="E139" s="60"/>
      <c r="F139" s="60"/>
      <c r="G139" s="60"/>
      <c r="H139" s="60"/>
      <c r="I139" s="60"/>
      <c r="J139" s="60"/>
      <c r="K139" s="60"/>
    </row>
    <row r="140" customFormat="false" ht="15" hidden="false" customHeight="false" outlineLevel="0" collapsed="false">
      <c r="A140" s="264" t="s">
        <v>218</v>
      </c>
      <c r="B140" s="264"/>
    </row>
    <row r="141" customFormat="false" ht="14.4" hidden="false" customHeight="false" outlineLevel="0" collapsed="false">
      <c r="A141" s="283" t="s">
        <v>219</v>
      </c>
      <c r="B141" s="284" t="n">
        <f aca="false">INSUMOS!B14</f>
        <v>0</v>
      </c>
    </row>
    <row r="142" customFormat="false" ht="15" hidden="false" customHeight="false" outlineLevel="0" collapsed="false">
      <c r="A142" s="157" t="s">
        <v>164</v>
      </c>
      <c r="B142" s="217" t="n">
        <f aca="false">FROTA!B32</f>
        <v>12</v>
      </c>
    </row>
    <row r="143" customFormat="false" ht="32.25" hidden="false" customHeight="true" outlineLevel="0" collapsed="false">
      <c r="A143" s="268" t="s">
        <v>220</v>
      </c>
      <c r="B143" s="285" t="n">
        <f aca="false">B141/B142</f>
        <v>0</v>
      </c>
      <c r="C143" s="286" t="s">
        <v>221</v>
      </c>
      <c r="D143" s="60"/>
      <c r="E143" s="60"/>
      <c r="F143" s="60"/>
      <c r="G143" s="60"/>
      <c r="H143" s="60"/>
      <c r="I143" s="60"/>
      <c r="J143" s="60"/>
      <c r="K143" s="60"/>
    </row>
    <row r="144" customFormat="false" ht="15" hidden="false" customHeight="false" outlineLevel="0" collapsed="false">
      <c r="A144" s="60"/>
      <c r="B144" s="60"/>
      <c r="C144" s="60"/>
      <c r="D144" s="60"/>
      <c r="E144" s="60"/>
      <c r="F144" s="60"/>
      <c r="G144" s="60"/>
      <c r="H144" s="60"/>
      <c r="I144" s="60"/>
      <c r="J144" s="60"/>
      <c r="K144" s="60"/>
    </row>
    <row r="145" customFormat="false" ht="14.4" hidden="false" customHeight="false" outlineLevel="0" collapsed="false">
      <c r="A145" s="223" t="s">
        <v>222</v>
      </c>
      <c r="B145" s="223"/>
    </row>
    <row r="146" customFormat="false" ht="15" hidden="false" customHeight="false" outlineLevel="0" collapsed="false">
      <c r="A146" s="223"/>
      <c r="B146" s="223"/>
    </row>
    <row r="147" customFormat="false" ht="14.4" hidden="false" customHeight="false" outlineLevel="0" collapsed="false">
      <c r="A147" s="287" t="s">
        <v>158</v>
      </c>
      <c r="B147" s="17" t="n">
        <f aca="false">FROTA!A17</f>
        <v>0</v>
      </c>
    </row>
    <row r="148" customFormat="false" ht="13.8" hidden="false" customHeight="false" outlineLevel="0" collapsed="false">
      <c r="A148" s="274" t="s">
        <v>223</v>
      </c>
      <c r="B148" s="288" t="n">
        <v>0.0017</v>
      </c>
    </row>
    <row r="149" customFormat="false" ht="48" hidden="false" customHeight="true" outlineLevel="0" collapsed="false">
      <c r="A149" s="289" t="s">
        <v>224</v>
      </c>
      <c r="B149" s="290" t="n">
        <f aca="false">B147*B148</f>
        <v>0</v>
      </c>
      <c r="C149" s="0" t="s">
        <v>221</v>
      </c>
    </row>
    <row r="151" customFormat="false" ht="15" hidden="false" customHeight="false" outlineLevel="0" collapsed="false">
      <c r="C151" s="60"/>
      <c r="D151" s="60"/>
      <c r="E151" s="60"/>
      <c r="F151" s="60"/>
      <c r="G151" s="60"/>
      <c r="H151" s="60"/>
      <c r="I151" s="60"/>
      <c r="J151" s="60"/>
      <c r="K151" s="60"/>
    </row>
    <row r="152" customFormat="false" ht="15" hidden="false" customHeight="true" outlineLevel="0" collapsed="false">
      <c r="A152" s="280" t="s">
        <v>225</v>
      </c>
      <c r="B152" s="280"/>
    </row>
    <row r="153" customFormat="false" ht="15.75" hidden="false" customHeight="true" outlineLevel="0" collapsed="false">
      <c r="A153" s="280"/>
      <c r="B153" s="280"/>
    </row>
    <row r="154" customFormat="false" ht="15.6" hidden="false" customHeight="false" outlineLevel="0" collapsed="false">
      <c r="A154" s="291" t="s">
        <v>226</v>
      </c>
      <c r="B154" s="292" t="n">
        <f aca="false">(B149+F95+B143)*FROTA!B32*F168</f>
        <v>0</v>
      </c>
      <c r="C154" s="0" t="s">
        <v>227</v>
      </c>
    </row>
    <row r="155" customFormat="false" ht="30" hidden="false" customHeight="true" outlineLevel="0" collapsed="false">
      <c r="A155" s="291" t="s">
        <v>228</v>
      </c>
      <c r="B155" s="293" t="e">
        <f aca="false">B137*FROTA!B34*F168</f>
        <v>#DIV/0!</v>
      </c>
      <c r="C155" s="0" t="s">
        <v>227</v>
      </c>
    </row>
    <row r="156" customFormat="false" ht="30" hidden="false" customHeight="true" outlineLevel="0" collapsed="false">
      <c r="A156" s="291" t="s">
        <v>229</v>
      </c>
      <c r="B156" s="293" t="e">
        <f aca="false">(B154+B155)</f>
        <v>#DIV/0!</v>
      </c>
      <c r="C156" s="0" t="s">
        <v>230</v>
      </c>
    </row>
    <row r="157" customFormat="false" ht="30" hidden="false" customHeight="true" outlineLevel="0" collapsed="false">
      <c r="A157" s="291" t="s">
        <v>231</v>
      </c>
      <c r="B157" s="293" t="e">
        <f aca="false">B156/'IPK-PMM'!B13</f>
        <v>#DIV/0!</v>
      </c>
      <c r="C157" s="0" t="s">
        <v>137</v>
      </c>
    </row>
    <row r="158" customFormat="false" ht="30" hidden="false" customHeight="true" outlineLevel="0" collapsed="false">
      <c r="A158" s="291" t="s">
        <v>232</v>
      </c>
      <c r="B158" s="293" t="n">
        <f aca="false">B46</f>
        <v>0</v>
      </c>
      <c r="C158" s="0" t="s">
        <v>137</v>
      </c>
    </row>
    <row r="159" customFormat="false" ht="30" hidden="false" customHeight="true" outlineLevel="0" collapsed="false">
      <c r="A159" s="294" t="s">
        <v>233</v>
      </c>
      <c r="B159" s="295" t="e">
        <f aca="false">B157+B158</f>
        <v>#DIV/0!</v>
      </c>
      <c r="C159" s="0" t="s">
        <v>137</v>
      </c>
    </row>
    <row r="160" customFormat="false" ht="15" hidden="false" customHeight="false" outlineLevel="0" collapsed="false">
      <c r="A160" s="60"/>
      <c r="B160" s="60"/>
      <c r="C160" s="60"/>
      <c r="D160" s="60"/>
      <c r="E160" s="60"/>
      <c r="G160" s="60"/>
      <c r="H160" s="60"/>
      <c r="I160" s="60"/>
      <c r="J160" s="60"/>
      <c r="K160" s="60"/>
    </row>
    <row r="161" customFormat="false" ht="14.4" hidden="false" customHeight="false" outlineLevel="0" collapsed="false">
      <c r="C161" s="177"/>
      <c r="D161" s="177"/>
      <c r="E161" s="177"/>
      <c r="F161" s="182" t="s">
        <v>8</v>
      </c>
    </row>
    <row r="162" customFormat="false" ht="15.6" hidden="false" customHeight="false" outlineLevel="0" collapsed="false">
      <c r="A162" s="291" t="s">
        <v>234</v>
      </c>
      <c r="B162" s="296" t="n">
        <v>1.2</v>
      </c>
      <c r="C162" s="297" t="s">
        <v>235</v>
      </c>
      <c r="D162" s="298" t="s">
        <v>236</v>
      </c>
      <c r="E162" s="298"/>
      <c r="F162" s="299" t="n">
        <v>0</v>
      </c>
    </row>
    <row r="163" customFormat="false" ht="15.6" hidden="false" customHeight="false" outlineLevel="0" collapsed="false">
      <c r="A163" s="291" t="s">
        <v>237</v>
      </c>
      <c r="B163" s="300" t="n">
        <f aca="false">1-(B162/100)</f>
        <v>0.988</v>
      </c>
      <c r="C163" s="301"/>
      <c r="D163" s="298" t="s">
        <v>238</v>
      </c>
      <c r="E163" s="298"/>
      <c r="F163" s="302" t="n">
        <f aca="false">+B162</f>
        <v>1.2</v>
      </c>
    </row>
    <row r="164" customFormat="false" ht="15.6" hidden="false" customHeight="false" outlineLevel="0" collapsed="false">
      <c r="A164" s="291" t="s">
        <v>239</v>
      </c>
      <c r="B164" s="303" t="e">
        <f aca="false">B159/B163</f>
        <v>#DIV/0!</v>
      </c>
      <c r="C164" s="178"/>
      <c r="D164" s="298" t="s">
        <v>240</v>
      </c>
      <c r="E164" s="298"/>
      <c r="F164" s="299" t="n">
        <v>0</v>
      </c>
    </row>
    <row r="165" customFormat="false" ht="14.4" hidden="false" customHeight="false" outlineLevel="0" collapsed="false">
      <c r="A165" s="178"/>
      <c r="B165" s="178"/>
      <c r="C165" s="178"/>
      <c r="D165" s="304" t="s">
        <v>241</v>
      </c>
      <c r="E165" s="304"/>
      <c r="F165" s="299" t="n">
        <v>0</v>
      </c>
    </row>
    <row r="166" customFormat="false" ht="29.25" hidden="false" customHeight="true" outlineLevel="0" collapsed="false">
      <c r="A166" s="305" t="s">
        <v>242</v>
      </c>
      <c r="B166" s="306" t="e">
        <f aca="false">B164/'IPK-PMM'!B16</f>
        <v>#DIV/0!</v>
      </c>
      <c r="C166" s="307" t="s">
        <v>243</v>
      </c>
      <c r="D166" s="308" t="e">
        <f aca="false">B166-B167</f>
        <v>#DIV/0!</v>
      </c>
    </row>
    <row r="167" customFormat="false" ht="33" hidden="false" customHeight="true" outlineLevel="0" collapsed="false">
      <c r="A167" s="305" t="s">
        <v>244</v>
      </c>
      <c r="B167" s="309" t="n">
        <v>4.7</v>
      </c>
      <c r="C167" s="307"/>
      <c r="D167" s="308"/>
    </row>
    <row r="168" customFormat="false" ht="14.4" hidden="false" customHeight="false" outlineLevel="0" collapsed="false">
      <c r="F168" s="310" t="n">
        <v>12</v>
      </c>
      <c r="G168" s="0" t="n">
        <f aca="false">14/30</f>
        <v>0.466666666666667</v>
      </c>
    </row>
    <row r="169" customFormat="false" ht="15" hidden="false" customHeight="false" outlineLevel="0" collapsed="false"/>
    <row r="170" customFormat="false" ht="72.75" hidden="false" customHeight="true" outlineLevel="0" collapsed="false">
      <c r="A170" s="311" t="s">
        <v>245</v>
      </c>
      <c r="B170" s="312" t="n">
        <f aca="false">B167*'IPK-PMM'!B6</f>
        <v>0</v>
      </c>
    </row>
    <row r="171" customFormat="false" ht="64.5" hidden="false" customHeight="true" outlineLevel="0" collapsed="false">
      <c r="A171" s="311" t="s">
        <v>246</v>
      </c>
      <c r="B171" s="312" t="e">
        <f aca="false">B166*'IPK-PMM'!B6</f>
        <v>#DIV/0!</v>
      </c>
      <c r="C171" s="313"/>
    </row>
    <row r="172" customFormat="false" ht="61.5" hidden="false" customHeight="true" outlineLevel="0" collapsed="false">
      <c r="A172" s="314" t="s">
        <v>247</v>
      </c>
      <c r="B172" s="315" t="e">
        <f aca="false">B171-B170</f>
        <v>#DIV/0!</v>
      </c>
      <c r="C172" s="316"/>
    </row>
  </sheetData>
  <mergeCells count="79">
    <mergeCell ref="A1:Q1"/>
    <mergeCell ref="A2:D3"/>
    <mergeCell ref="B4:D4"/>
    <mergeCell ref="B5:D5"/>
    <mergeCell ref="B6:D6"/>
    <mergeCell ref="B7:D7"/>
    <mergeCell ref="A15:D16"/>
    <mergeCell ref="J16:L16"/>
    <mergeCell ref="B17:D17"/>
    <mergeCell ref="B18:D18"/>
    <mergeCell ref="B19:D19"/>
    <mergeCell ref="A24:A25"/>
    <mergeCell ref="B24:D25"/>
    <mergeCell ref="E24:G25"/>
    <mergeCell ref="H24:H25"/>
    <mergeCell ref="B26:D26"/>
    <mergeCell ref="E26:G26"/>
    <mergeCell ref="B27:D27"/>
    <mergeCell ref="E27:G27"/>
    <mergeCell ref="A31:A32"/>
    <mergeCell ref="B31:B32"/>
    <mergeCell ref="J31:O31"/>
    <mergeCell ref="J32:O33"/>
    <mergeCell ref="P32:P33"/>
    <mergeCell ref="J34:O35"/>
    <mergeCell ref="P34:P35"/>
    <mergeCell ref="A39:B39"/>
    <mergeCell ref="A40:A41"/>
    <mergeCell ref="B40:B41"/>
    <mergeCell ref="A46:A49"/>
    <mergeCell ref="B46:B49"/>
    <mergeCell ref="A50:Q50"/>
    <mergeCell ref="A51:J51"/>
    <mergeCell ref="A52:D52"/>
    <mergeCell ref="A53:A54"/>
    <mergeCell ref="B53:B54"/>
    <mergeCell ref="C53:C54"/>
    <mergeCell ref="D53:D54"/>
    <mergeCell ref="E53:E54"/>
    <mergeCell ref="C57:D57"/>
    <mergeCell ref="A59:B59"/>
    <mergeCell ref="A65:B67"/>
    <mergeCell ref="A68:B68"/>
    <mergeCell ref="A76:A77"/>
    <mergeCell ref="B76:B77"/>
    <mergeCell ref="C76:C77"/>
    <mergeCell ref="A79:B81"/>
    <mergeCell ref="A84:A85"/>
    <mergeCell ref="B84:B85"/>
    <mergeCell ref="C84:C85"/>
    <mergeCell ref="A87:B89"/>
    <mergeCell ref="A92:A93"/>
    <mergeCell ref="B92:B93"/>
    <mergeCell ref="C92:C93"/>
    <mergeCell ref="A95:E97"/>
    <mergeCell ref="F95:J97"/>
    <mergeCell ref="A99:K99"/>
    <mergeCell ref="A100:B101"/>
    <mergeCell ref="A107:B108"/>
    <mergeCell ref="C107:C108"/>
    <mergeCell ref="A114:A115"/>
    <mergeCell ref="B114:B115"/>
    <mergeCell ref="C114:C115"/>
    <mergeCell ref="A117:B118"/>
    <mergeCell ref="A123:B124"/>
    <mergeCell ref="A129:B129"/>
    <mergeCell ref="E129:F129"/>
    <mergeCell ref="A135:B136"/>
    <mergeCell ref="A137:A138"/>
    <mergeCell ref="B137:B138"/>
    <mergeCell ref="A140:B140"/>
    <mergeCell ref="A145:B146"/>
    <mergeCell ref="A152:B153"/>
    <mergeCell ref="D162:E162"/>
    <mergeCell ref="D163:E163"/>
    <mergeCell ref="D164:E164"/>
    <mergeCell ref="D165:E165"/>
    <mergeCell ref="C166:C167"/>
    <mergeCell ref="D166:D167"/>
  </mergeCells>
  <printOptions headings="false" gridLines="false" gridLinesSet="true" horizontalCentered="false" verticalCentered="false"/>
  <pageMargins left="0.511805555555555" right="0.511805555555555" top="0.7875" bottom="0.7875" header="0.511805555555555" footer="0.511805555555555"/>
  <pageSetup paperSize="9" scale="100" fitToWidth="1" fitToHeight="0" pageOrder="downThenOver" orientation="landscape" blackAndWhite="false" draft="false" cellComments="none" horizontalDpi="300" verticalDpi="300" copies="1"/>
  <headerFooter differentFirst="false" differentOddEven="false">
    <oddHeader/>
    <oddFooter/>
  </headerFooter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L67"/>
  <sheetViews>
    <sheetView showFormulas="false" showGridLines="true" showRowColHeaders="true" showZeros="true" rightToLeft="false" tabSelected="false" showOutlineSymbols="true" defaultGridColor="true" view="normal" topLeftCell="A46" colorId="64" zoomScale="90" zoomScaleNormal="90" zoomScalePageLayoutView="100" workbookViewId="0">
      <selection pane="topLeft" activeCell="O14" activeCellId="0" sqref="O14"/>
    </sheetView>
  </sheetViews>
  <sheetFormatPr defaultColWidth="8.72265625" defaultRowHeight="14.4" zeroHeight="false" outlineLevelRow="0" outlineLevelCol="0"/>
  <cols>
    <col collapsed="false" customWidth="true" hidden="false" outlineLevel="0" max="1" min="1" style="0" width="10.33"/>
    <col collapsed="false" customWidth="true" hidden="false" outlineLevel="0" max="2" min="2" style="0" width="10.58"/>
    <col collapsed="false" customWidth="true" hidden="false" outlineLevel="0" max="5" min="5" style="0" width="11.57"/>
    <col collapsed="false" customWidth="true" hidden="false" outlineLevel="0" max="6" min="6" style="0" width="11.72"/>
    <col collapsed="false" customWidth="true" hidden="false" outlineLevel="0" max="8" min="8" style="0" width="12.18"/>
    <col collapsed="false" customWidth="true" hidden="false" outlineLevel="0" max="9" min="9" style="0" width="10"/>
    <col collapsed="false" customWidth="true" hidden="false" outlineLevel="0" max="10" min="10" style="0" width="13.55"/>
    <col collapsed="false" customWidth="true" hidden="false" outlineLevel="0" max="11" min="11" style="0" width="13.02"/>
    <col collapsed="false" customWidth="true" hidden="false" outlineLevel="0" max="12" min="12" style="0" width="11.33"/>
    <col collapsed="false" customWidth="true" hidden="false" outlineLevel="0" max="13" min="13" style="0" width="13.33"/>
    <col collapsed="false" customWidth="true" hidden="false" outlineLevel="0" max="15" min="15" style="0" width="11.33"/>
    <col collapsed="false" customWidth="true" hidden="false" outlineLevel="0" max="16" min="16" style="0" width="5.1"/>
    <col collapsed="false" customWidth="true" hidden="false" outlineLevel="0" max="17" min="17" style="0" width="11.33"/>
    <col collapsed="false" customWidth="true" hidden="false" outlineLevel="0" max="19" min="19" style="0" width="3.33"/>
    <col collapsed="false" customWidth="true" hidden="false" outlineLevel="0" max="21" min="21" style="0" width="10"/>
    <col collapsed="false" customWidth="true" hidden="false" outlineLevel="0" max="254" min="254" style="0" width="9.66"/>
    <col collapsed="false" customWidth="true" hidden="false" outlineLevel="0" max="255" min="255" style="0" width="10.58"/>
    <col collapsed="false" customWidth="true" hidden="false" outlineLevel="0" max="262" min="262" style="0" width="9"/>
    <col collapsed="false" customWidth="true" hidden="false" outlineLevel="0" max="263" min="263" style="0" width="13.55"/>
    <col collapsed="false" customWidth="true" hidden="false" outlineLevel="0" max="264" min="264" style="0" width="12.89"/>
    <col collapsed="false" customWidth="true" hidden="false" outlineLevel="0" max="265" min="265" style="0" width="11.33"/>
    <col collapsed="false" customWidth="true" hidden="false" outlineLevel="0" max="268" min="268" style="0" width="11.33"/>
    <col collapsed="false" customWidth="true" hidden="false" outlineLevel="0" max="273" min="271" style="0" width="11.33"/>
    <col collapsed="false" customWidth="true" hidden="false" outlineLevel="0" max="510" min="510" style="0" width="9.66"/>
    <col collapsed="false" customWidth="true" hidden="false" outlineLevel="0" max="511" min="511" style="0" width="10.58"/>
    <col collapsed="false" customWidth="true" hidden="false" outlineLevel="0" max="518" min="518" style="0" width="9"/>
    <col collapsed="false" customWidth="true" hidden="false" outlineLevel="0" max="519" min="519" style="0" width="13.55"/>
    <col collapsed="false" customWidth="true" hidden="false" outlineLevel="0" max="520" min="520" style="0" width="12.89"/>
    <col collapsed="false" customWidth="true" hidden="false" outlineLevel="0" max="521" min="521" style="0" width="11.33"/>
    <col collapsed="false" customWidth="true" hidden="false" outlineLevel="0" max="524" min="524" style="0" width="11.33"/>
    <col collapsed="false" customWidth="true" hidden="false" outlineLevel="0" max="529" min="527" style="0" width="11.33"/>
    <col collapsed="false" customWidth="true" hidden="false" outlineLevel="0" max="766" min="766" style="0" width="9.66"/>
    <col collapsed="false" customWidth="true" hidden="false" outlineLevel="0" max="767" min="767" style="0" width="10.58"/>
    <col collapsed="false" customWidth="true" hidden="false" outlineLevel="0" max="774" min="774" style="0" width="9"/>
    <col collapsed="false" customWidth="true" hidden="false" outlineLevel="0" max="775" min="775" style="0" width="13.55"/>
    <col collapsed="false" customWidth="true" hidden="false" outlineLevel="0" max="776" min="776" style="0" width="12.89"/>
    <col collapsed="false" customWidth="true" hidden="false" outlineLevel="0" max="777" min="777" style="0" width="11.33"/>
    <col collapsed="false" customWidth="true" hidden="false" outlineLevel="0" max="780" min="780" style="0" width="11.33"/>
    <col collapsed="false" customWidth="true" hidden="false" outlineLevel="0" max="785" min="783" style="0" width="11.33"/>
    <col collapsed="false" customWidth="true" hidden="false" outlineLevel="0" max="1022" min="1022" style="0" width="9.66"/>
    <col collapsed="false" customWidth="true" hidden="false" outlineLevel="0" max="1023" min="1023" style="0" width="10.58"/>
  </cols>
  <sheetData>
    <row r="1" customFormat="false" ht="13.8" hidden="false" customHeight="false" outlineLevel="0" collapsed="false">
      <c r="E1" s="0" t="n">
        <v>6.07</v>
      </c>
      <c r="F1" s="0" t="n">
        <f aca="false">+F37</f>
        <v>1750.52</v>
      </c>
      <c r="G1" s="0" t="n">
        <v>284.66</v>
      </c>
      <c r="I1" s="0" t="n">
        <f aca="false">+J37</f>
        <v>1144.89</v>
      </c>
      <c r="J1" s="0" t="n">
        <v>199.69</v>
      </c>
    </row>
    <row r="2" customFormat="false" ht="13.8" hidden="false" customHeight="false" outlineLevel="0" collapsed="false">
      <c r="F2" s="0" t="n">
        <v>1730.52</v>
      </c>
    </row>
    <row r="3" customFormat="false" ht="46.4" hidden="false" customHeight="false" outlineLevel="0" collapsed="false">
      <c r="A3" s="317" t="s">
        <v>248</v>
      </c>
      <c r="B3" s="318" t="s">
        <v>249</v>
      </c>
      <c r="C3" s="319" t="s">
        <v>250</v>
      </c>
      <c r="D3" s="319"/>
      <c r="E3" s="319" t="s">
        <v>251</v>
      </c>
      <c r="F3" s="319" t="s">
        <v>252</v>
      </c>
      <c r="G3" s="319"/>
      <c r="H3" s="319" t="s">
        <v>253</v>
      </c>
      <c r="I3" s="319" t="s">
        <v>254</v>
      </c>
      <c r="J3" s="320" t="s">
        <v>255</v>
      </c>
      <c r="K3" s="321" t="s">
        <v>256</v>
      </c>
      <c r="L3" s="322" t="s">
        <v>257</v>
      </c>
    </row>
    <row r="4" customFormat="false" ht="13.8" hidden="false" customHeight="false" outlineLevel="0" collapsed="false">
      <c r="A4" s="323" t="s">
        <v>258</v>
      </c>
      <c r="B4" s="185" t="n">
        <v>11</v>
      </c>
      <c r="C4" s="185" t="n">
        <v>3</v>
      </c>
      <c r="D4" s="185"/>
      <c r="E4" s="296" t="n">
        <f aca="false">+$F$2*B4</f>
        <v>19035.72</v>
      </c>
      <c r="F4" s="296" t="n">
        <f aca="false">+$G$1*B4</f>
        <v>3131.26</v>
      </c>
      <c r="G4" s="296"/>
      <c r="H4" s="296" t="n">
        <f aca="false">+$I$1*C4</f>
        <v>3434.67</v>
      </c>
      <c r="I4" s="296" t="n">
        <f aca="false">+C4*$J$1</f>
        <v>599.07</v>
      </c>
      <c r="J4" s="324" t="n">
        <f aca="false">+E4+F4+H4+I4</f>
        <v>26200.72</v>
      </c>
      <c r="K4" s="325" t="n">
        <f aca="false">+E4+H4</f>
        <v>22470.39</v>
      </c>
      <c r="L4" s="326" t="n">
        <f aca="false">+K4*1.05</f>
        <v>23593.9095</v>
      </c>
    </row>
    <row r="5" customFormat="false" ht="13.8" hidden="false" customHeight="false" outlineLevel="0" collapsed="false">
      <c r="A5" s="323" t="s">
        <v>259</v>
      </c>
      <c r="B5" s="185" t="n">
        <v>21</v>
      </c>
      <c r="C5" s="185" t="n">
        <v>4</v>
      </c>
      <c r="D5" s="185"/>
      <c r="E5" s="296" t="n">
        <f aca="false">$F$1*B5</f>
        <v>36760.92</v>
      </c>
      <c r="F5" s="296" t="n">
        <f aca="false">+$G$1*B5</f>
        <v>5977.86</v>
      </c>
      <c r="G5" s="296"/>
      <c r="H5" s="296" t="n">
        <f aca="false">+$I$1*C5</f>
        <v>4579.56</v>
      </c>
      <c r="I5" s="296" t="n">
        <f aca="false">+C5*$J$1</f>
        <v>798.76</v>
      </c>
      <c r="J5" s="324" t="n">
        <f aca="false">+E5+F5+H5+I5</f>
        <v>48117.1</v>
      </c>
      <c r="K5" s="325" t="n">
        <f aca="false">+E5+H5</f>
        <v>41340.48</v>
      </c>
      <c r="L5" s="326" t="n">
        <f aca="false">+K5*1.05</f>
        <v>43407.504</v>
      </c>
    </row>
    <row r="6" customFormat="false" ht="13.8" hidden="false" customHeight="false" outlineLevel="0" collapsed="false">
      <c r="A6" s="323" t="s">
        <v>260</v>
      </c>
      <c r="B6" s="185" t="n">
        <v>23</v>
      </c>
      <c r="C6" s="185" t="n">
        <v>4</v>
      </c>
      <c r="D6" s="185"/>
      <c r="E6" s="296" t="n">
        <f aca="false">$F$1*B6</f>
        <v>40261.96</v>
      </c>
      <c r="F6" s="296" t="n">
        <f aca="false">+$G$1*B6</f>
        <v>6547.18</v>
      </c>
      <c r="G6" s="296"/>
      <c r="H6" s="296" t="n">
        <f aca="false">+$I$1*C6</f>
        <v>4579.56</v>
      </c>
      <c r="I6" s="296" t="n">
        <f aca="false">+C6*$J$1</f>
        <v>798.76</v>
      </c>
      <c r="J6" s="324" t="n">
        <f aca="false">+E6+F6+H6+I6</f>
        <v>52187.46</v>
      </c>
      <c r="K6" s="325" t="n">
        <f aca="false">+E6+H6</f>
        <v>44841.52</v>
      </c>
      <c r="L6" s="326" t="n">
        <f aca="false">+K6*1.05</f>
        <v>47083.596</v>
      </c>
    </row>
    <row r="7" customFormat="false" ht="13.8" hidden="false" customHeight="false" outlineLevel="0" collapsed="false">
      <c r="A7" s="323" t="s">
        <v>261</v>
      </c>
      <c r="B7" s="185" t="n">
        <v>21</v>
      </c>
      <c r="C7" s="185" t="n">
        <v>5</v>
      </c>
      <c r="D7" s="185"/>
      <c r="E7" s="296" t="n">
        <f aca="false">$F$1*B7</f>
        <v>36760.92</v>
      </c>
      <c r="F7" s="296" t="n">
        <f aca="false">+$G$1*B7</f>
        <v>5977.86</v>
      </c>
      <c r="G7" s="296"/>
      <c r="H7" s="296" t="n">
        <f aca="false">+$I$1*C7</f>
        <v>5724.45</v>
      </c>
      <c r="I7" s="296" t="n">
        <f aca="false">+C7*$J$1</f>
        <v>998.45</v>
      </c>
      <c r="J7" s="324" t="n">
        <f aca="false">+E7+F7+H7+I7</f>
        <v>49461.68</v>
      </c>
      <c r="K7" s="325" t="n">
        <f aca="false">+E7+H7</f>
        <v>42485.37</v>
      </c>
      <c r="L7" s="326" t="n">
        <f aca="false">+K7*1.05</f>
        <v>44609.6385</v>
      </c>
    </row>
    <row r="8" customFormat="false" ht="13.8" hidden="false" customHeight="false" outlineLevel="0" collapsed="false">
      <c r="A8" s="323" t="s">
        <v>262</v>
      </c>
      <c r="B8" s="185" t="n">
        <v>20</v>
      </c>
      <c r="C8" s="185" t="n">
        <v>4</v>
      </c>
      <c r="D8" s="185"/>
      <c r="E8" s="296" t="n">
        <f aca="false">F1*B8</f>
        <v>35010.4</v>
      </c>
      <c r="F8" s="296" t="n">
        <f aca="false">+$G$1*B8</f>
        <v>5693.2</v>
      </c>
      <c r="G8" s="296"/>
      <c r="H8" s="296" t="n">
        <f aca="false">+$I$1*C8</f>
        <v>4579.56</v>
      </c>
      <c r="I8" s="296" t="n">
        <f aca="false">+C8*$J$1</f>
        <v>798.76</v>
      </c>
      <c r="J8" s="324" t="n">
        <f aca="false">+E8+F8+H8+I8</f>
        <v>46081.92</v>
      </c>
      <c r="K8" s="325" t="n">
        <f aca="false">+E8+H8</f>
        <v>39589.96</v>
      </c>
      <c r="L8" s="326" t="n">
        <f aca="false">+K8*1.05</f>
        <v>41569.458</v>
      </c>
    </row>
    <row r="9" customFormat="false" ht="13.8" hidden="false" customHeight="false" outlineLevel="0" collapsed="false">
      <c r="A9" s="323" t="s">
        <v>263</v>
      </c>
      <c r="B9" s="185" t="n">
        <v>21</v>
      </c>
      <c r="C9" s="185" t="n">
        <v>5</v>
      </c>
      <c r="D9" s="185"/>
      <c r="E9" s="296" t="n">
        <f aca="false">$F$1*B9</f>
        <v>36760.92</v>
      </c>
      <c r="F9" s="296" t="n">
        <f aca="false">+$G$1*B9</f>
        <v>5977.86</v>
      </c>
      <c r="G9" s="296"/>
      <c r="H9" s="296" t="n">
        <f aca="false">+$I$1*C9</f>
        <v>5724.45</v>
      </c>
      <c r="I9" s="296" t="n">
        <f aca="false">+C9*$J$1</f>
        <v>998.45</v>
      </c>
      <c r="J9" s="324" t="n">
        <f aca="false">+E9+F9+H9+I9</f>
        <v>49461.68</v>
      </c>
      <c r="K9" s="325" t="n">
        <f aca="false">+E9+H9</f>
        <v>42485.37</v>
      </c>
      <c r="L9" s="326" t="n">
        <f aca="false">+K9*1.05</f>
        <v>44609.6385</v>
      </c>
    </row>
    <row r="10" customFormat="false" ht="13.8" hidden="false" customHeight="false" outlineLevel="0" collapsed="false">
      <c r="A10" s="323" t="s">
        <v>264</v>
      </c>
      <c r="B10" s="185" t="n">
        <v>19</v>
      </c>
      <c r="C10" s="185" t="n">
        <v>4</v>
      </c>
      <c r="D10" s="185"/>
      <c r="E10" s="296" t="n">
        <f aca="false">$F$1*B10</f>
        <v>33259.88</v>
      </c>
      <c r="F10" s="296" t="n">
        <f aca="false">+$G$1*B10</f>
        <v>5408.54</v>
      </c>
      <c r="G10" s="296"/>
      <c r="H10" s="296" t="n">
        <f aca="false">+$I$1*C10</f>
        <v>4579.56</v>
      </c>
      <c r="I10" s="296" t="n">
        <f aca="false">+C10*$J$1</f>
        <v>798.76</v>
      </c>
      <c r="J10" s="324" t="n">
        <f aca="false">+E10+F10+H10+I10</f>
        <v>44046.74</v>
      </c>
      <c r="K10" s="325" t="n">
        <f aca="false">+E10+H10</f>
        <v>37839.44</v>
      </c>
      <c r="L10" s="326" t="n">
        <f aca="false">+K10*1.05</f>
        <v>39731.412</v>
      </c>
    </row>
    <row r="11" customFormat="false" ht="13.8" hidden="false" customHeight="false" outlineLevel="0" collapsed="false">
      <c r="A11" s="323" t="s">
        <v>265</v>
      </c>
      <c r="B11" s="185" t="n">
        <v>20</v>
      </c>
      <c r="C11" s="185" t="n">
        <v>6</v>
      </c>
      <c r="D11" s="185"/>
      <c r="E11" s="296" t="n">
        <f aca="false">+$F$2*B11</f>
        <v>34610.4</v>
      </c>
      <c r="F11" s="296" t="n">
        <f aca="false">+$G$1*B11</f>
        <v>5693.2</v>
      </c>
      <c r="G11" s="296"/>
      <c r="H11" s="296" t="n">
        <f aca="false">+$I$1*C11</f>
        <v>6869.34</v>
      </c>
      <c r="I11" s="296" t="n">
        <f aca="false">+C11*$J$1</f>
        <v>1198.14</v>
      </c>
      <c r="J11" s="324" t="n">
        <f aca="false">+E11+F11+H11+I11</f>
        <v>48371.08</v>
      </c>
      <c r="K11" s="325" t="n">
        <f aca="false">+E11+H11</f>
        <v>41479.74</v>
      </c>
      <c r="L11" s="326" t="n">
        <f aca="false">+K11*1.05</f>
        <v>43553.727</v>
      </c>
    </row>
    <row r="12" customFormat="false" ht="13.8" hidden="false" customHeight="false" outlineLevel="0" collapsed="false">
      <c r="A12" s="323" t="s">
        <v>266</v>
      </c>
      <c r="B12" s="185" t="n">
        <v>20</v>
      </c>
      <c r="C12" s="185" t="n">
        <v>5</v>
      </c>
      <c r="D12" s="185"/>
      <c r="E12" s="296" t="n">
        <f aca="false">+$F$2*B12</f>
        <v>34610.4</v>
      </c>
      <c r="F12" s="296" t="n">
        <f aca="false">+$G$1*B12</f>
        <v>5693.2</v>
      </c>
      <c r="G12" s="296"/>
      <c r="H12" s="296" t="n">
        <f aca="false">+$I$1*C12</f>
        <v>5724.45</v>
      </c>
      <c r="I12" s="296" t="n">
        <f aca="false">+C12*$J$1</f>
        <v>998.45</v>
      </c>
      <c r="J12" s="324" t="n">
        <f aca="false">+E12+F12+H12+I12</f>
        <v>47026.5</v>
      </c>
      <c r="K12" s="325" t="n">
        <f aca="false">+E12+H12</f>
        <v>40334.85</v>
      </c>
      <c r="L12" s="326" t="n">
        <f aca="false">+K12*1.05</f>
        <v>42351.5925</v>
      </c>
    </row>
    <row r="13" customFormat="false" ht="13.8" hidden="false" customHeight="false" outlineLevel="0" collapsed="false">
      <c r="A13" s="323" t="s">
        <v>267</v>
      </c>
      <c r="B13" s="185" t="n">
        <v>18</v>
      </c>
      <c r="C13" s="185" t="n">
        <v>5</v>
      </c>
      <c r="D13" s="185"/>
      <c r="E13" s="296" t="n">
        <f aca="false">B13*$F$1</f>
        <v>31509.36</v>
      </c>
      <c r="F13" s="296" t="n">
        <f aca="false">+$G$1*B13</f>
        <v>5123.88</v>
      </c>
      <c r="G13" s="296"/>
      <c r="H13" s="296" t="n">
        <f aca="false">+$I$1*C13</f>
        <v>5724.45</v>
      </c>
      <c r="I13" s="296" t="n">
        <f aca="false">+C13*$J$1</f>
        <v>998.45</v>
      </c>
      <c r="J13" s="324" t="n">
        <f aca="false">+E13+F13+H13+I13</f>
        <v>43356.14</v>
      </c>
      <c r="K13" s="325" t="n">
        <f aca="false">+E13+H13</f>
        <v>37233.81</v>
      </c>
      <c r="L13" s="326" t="n">
        <f aca="false">+K13*1.05</f>
        <v>39095.5005</v>
      </c>
    </row>
    <row r="14" customFormat="false" ht="13.8" hidden="false" customHeight="false" outlineLevel="0" collapsed="false">
      <c r="A14" s="323" t="s">
        <v>268</v>
      </c>
      <c r="B14" s="185" t="n">
        <v>22</v>
      </c>
      <c r="C14" s="185" t="n">
        <v>4</v>
      </c>
      <c r="D14" s="185"/>
      <c r="E14" s="296" t="n">
        <f aca="false">B14*$F$1</f>
        <v>38511.44</v>
      </c>
      <c r="F14" s="296" t="n">
        <f aca="false">+$G$1*B14</f>
        <v>6262.52</v>
      </c>
      <c r="G14" s="296"/>
      <c r="H14" s="296" t="n">
        <f aca="false">+$I$1*C14</f>
        <v>4579.56</v>
      </c>
      <c r="I14" s="296" t="n">
        <f aca="false">+C14*$J$1</f>
        <v>798.76</v>
      </c>
      <c r="J14" s="324" t="n">
        <f aca="false">+E14+F14+H14+I14</f>
        <v>50152.28</v>
      </c>
      <c r="K14" s="325" t="n">
        <f aca="false">+E14+H14</f>
        <v>43091</v>
      </c>
      <c r="L14" s="326" t="n">
        <f aca="false">+K14*1.05</f>
        <v>45245.55</v>
      </c>
    </row>
    <row r="15" customFormat="false" ht="13.8" hidden="false" customHeight="false" outlineLevel="0" collapsed="false">
      <c r="A15" s="323" t="s">
        <v>269</v>
      </c>
      <c r="B15" s="185" t="n">
        <v>21</v>
      </c>
      <c r="C15" s="185" t="n">
        <v>4</v>
      </c>
      <c r="D15" s="185"/>
      <c r="E15" s="296" t="n">
        <f aca="false">B15*$F$1</f>
        <v>36760.92</v>
      </c>
      <c r="F15" s="296" t="n">
        <f aca="false">+$G$1*B15</f>
        <v>5977.86</v>
      </c>
      <c r="G15" s="296"/>
      <c r="H15" s="296" t="n">
        <f aca="false">+$I$1*C15</f>
        <v>4579.56</v>
      </c>
      <c r="I15" s="296" t="n">
        <f aca="false">+C15*$J$1</f>
        <v>798.76</v>
      </c>
      <c r="J15" s="324" t="n">
        <f aca="false">+E15+F15+H15+I15</f>
        <v>48117.1</v>
      </c>
      <c r="K15" s="325" t="n">
        <f aca="false">+E15+H15</f>
        <v>41340.48</v>
      </c>
      <c r="L15" s="326" t="n">
        <f aca="false">+K15*1.05</f>
        <v>43407.504</v>
      </c>
    </row>
    <row r="16" customFormat="false" ht="13.8" hidden="false" customHeight="false" outlineLevel="0" collapsed="false">
      <c r="A16" s="327" t="s">
        <v>258</v>
      </c>
      <c r="B16" s="328" t="n">
        <v>10</v>
      </c>
      <c r="C16" s="328" t="n">
        <v>1</v>
      </c>
      <c r="D16" s="328"/>
      <c r="E16" s="296" t="n">
        <f aca="false">B16*$F$1</f>
        <v>17505.2</v>
      </c>
      <c r="F16" s="296" t="n">
        <f aca="false">+$G$1*B16</f>
        <v>2846.6</v>
      </c>
      <c r="G16" s="329"/>
      <c r="H16" s="296" t="n">
        <f aca="false">+$I$1*C16</f>
        <v>1144.89</v>
      </c>
      <c r="I16" s="296" t="n">
        <f aca="false">+C16*$J$1</f>
        <v>199.69</v>
      </c>
      <c r="J16" s="330" t="n">
        <f aca="false">+E16+F16+H16+I16</f>
        <v>21696.38</v>
      </c>
      <c r="K16" s="331" t="n">
        <f aca="false">+E16+H16</f>
        <v>18650.09</v>
      </c>
      <c r="L16" s="332" t="n">
        <f aca="false">+K16*1.05</f>
        <v>19582.5945</v>
      </c>
    </row>
    <row r="17" customFormat="false" ht="13.8" hidden="false" customHeight="false" outlineLevel="0" collapsed="false">
      <c r="C17" s="333" t="s">
        <v>270</v>
      </c>
      <c r="D17" s="334"/>
      <c r="E17" s="335" t="n">
        <f aca="false">SUM(E4:E16)</f>
        <v>431358.44</v>
      </c>
      <c r="F17" s="335" t="n">
        <f aca="false">SUM(F4:F16)</f>
        <v>70311.02</v>
      </c>
      <c r="G17" s="335"/>
      <c r="H17" s="335" t="n">
        <f aca="false">SUM(H4:H16)</f>
        <v>61824.06</v>
      </c>
      <c r="I17" s="335" t="n">
        <f aca="false">SUM(I4:I16)</f>
        <v>10783.26</v>
      </c>
      <c r="J17" s="336" t="n">
        <f aca="false">SUM(J4:J16)</f>
        <v>574276.78</v>
      </c>
      <c r="K17" s="335" t="n">
        <f aca="false">SUM(K4:K16)</f>
        <v>493182.5</v>
      </c>
      <c r="L17" s="337" t="n">
        <f aca="false">+K17*1.05</f>
        <v>517841.625</v>
      </c>
    </row>
    <row r="18" customFormat="false" ht="13.8" hidden="false" customHeight="false" outlineLevel="0" collapsed="false">
      <c r="J18" s="41" t="s">
        <v>271</v>
      </c>
      <c r="K18" s="338" t="n">
        <f aca="false">+J17</f>
        <v>574276.78</v>
      </c>
      <c r="L18" s="339"/>
    </row>
    <row r="19" customFormat="false" ht="13.8" hidden="false" customHeight="false" outlineLevel="0" collapsed="false">
      <c r="J19" s="41" t="s">
        <v>272</v>
      </c>
      <c r="K19" s="338" t="n">
        <f aca="false">SUM(K4:K16)</f>
        <v>493182.5</v>
      </c>
      <c r="L19" s="339"/>
    </row>
    <row r="20" customFormat="false" ht="13.8" hidden="false" customHeight="false" outlineLevel="0" collapsed="false">
      <c r="J20" s="286" t="s">
        <v>273</v>
      </c>
      <c r="K20" s="340" t="n">
        <f aca="false">SUM(F4:F16,I4:I16)</f>
        <v>81094.28</v>
      </c>
      <c r="L20" s="339"/>
    </row>
    <row r="21" customFormat="false" ht="13.8" hidden="false" customHeight="false" outlineLevel="0" collapsed="false">
      <c r="E21" s="0" t="n">
        <v>6.07</v>
      </c>
      <c r="F21" s="0" t="n">
        <f aca="false">+F57</f>
        <v>0</v>
      </c>
      <c r="G21" s="0" t="n">
        <v>284.66</v>
      </c>
      <c r="I21" s="0" t="n">
        <f aca="false">+J57</f>
        <v>0</v>
      </c>
      <c r="J21" s="0" t="n">
        <v>199.69</v>
      </c>
    </row>
    <row r="25" customFormat="false" ht="14.4" hidden="false" customHeight="false" outlineLevel="0" collapsed="false">
      <c r="C25" s="185"/>
      <c r="D25" s="185" t="s">
        <v>274</v>
      </c>
      <c r="E25" s="185" t="s">
        <v>275</v>
      </c>
      <c r="F25" s="185" t="s">
        <v>276</v>
      </c>
      <c r="H25" s="185" t="s">
        <v>277</v>
      </c>
      <c r="I25" s="185" t="s">
        <v>275</v>
      </c>
      <c r="J25" s="185" t="s">
        <v>276</v>
      </c>
    </row>
    <row r="26" customFormat="false" ht="14.4" hidden="false" customHeight="false" outlineLevel="0" collapsed="false">
      <c r="C26" s="185" t="s">
        <v>278</v>
      </c>
      <c r="D26" s="185" t="n">
        <v>9</v>
      </c>
      <c r="E26" s="185" t="n">
        <v>42200</v>
      </c>
      <c r="F26" s="185" t="n">
        <f aca="false">+E26*D26</f>
        <v>379800</v>
      </c>
      <c r="H26" s="185" t="n">
        <v>3</v>
      </c>
      <c r="I26" s="185" t="n">
        <f aca="false">+E26</f>
        <v>42200</v>
      </c>
      <c r="J26" s="185" t="n">
        <f aca="false">+I26*H26</f>
        <v>126600</v>
      </c>
    </row>
    <row r="27" customFormat="false" ht="14.4" hidden="false" customHeight="false" outlineLevel="0" collapsed="false">
      <c r="C27" s="185" t="s">
        <v>279</v>
      </c>
      <c r="D27" s="185" t="n">
        <v>0</v>
      </c>
      <c r="E27" s="185" t="n">
        <v>4700</v>
      </c>
      <c r="F27" s="185" t="n">
        <f aca="false">+E27*D27</f>
        <v>0</v>
      </c>
      <c r="H27" s="185" t="n">
        <v>0</v>
      </c>
      <c r="I27" s="185" t="n">
        <f aca="false">+E27</f>
        <v>4700</v>
      </c>
      <c r="J27" s="185" t="n">
        <f aca="false">+I27*H27</f>
        <v>0</v>
      </c>
    </row>
    <row r="28" customFormat="false" ht="14.4" hidden="false" customHeight="false" outlineLevel="0" collapsed="false">
      <c r="C28" s="185" t="s">
        <v>280</v>
      </c>
      <c r="D28" s="185" t="n">
        <v>8</v>
      </c>
      <c r="E28" s="185" t="n">
        <v>27400</v>
      </c>
      <c r="F28" s="185" t="n">
        <f aca="false">+E28*D28</f>
        <v>219200</v>
      </c>
      <c r="H28" s="185" t="n">
        <v>6</v>
      </c>
      <c r="I28" s="185" t="n">
        <f aca="false">+E28</f>
        <v>27400</v>
      </c>
      <c r="J28" s="185" t="n">
        <f aca="false">+I28*H28</f>
        <v>164400</v>
      </c>
    </row>
    <row r="29" customFormat="false" ht="14.4" hidden="false" customHeight="false" outlineLevel="0" collapsed="false">
      <c r="C29" s="185" t="s">
        <v>280</v>
      </c>
      <c r="D29" s="185" t="n">
        <v>7</v>
      </c>
      <c r="E29" s="185" t="n">
        <v>28960</v>
      </c>
      <c r="F29" s="185" t="n">
        <f aca="false">+E29*D29</f>
        <v>202720</v>
      </c>
      <c r="H29" s="185" t="n">
        <v>4</v>
      </c>
      <c r="I29" s="185" t="n">
        <f aca="false">+E29</f>
        <v>28960</v>
      </c>
      <c r="J29" s="185" t="n">
        <f aca="false">+I29*H29</f>
        <v>115840</v>
      </c>
    </row>
    <row r="30" customFormat="false" ht="14.4" hidden="false" customHeight="false" outlineLevel="0" collapsed="false">
      <c r="C30" s="185" t="s">
        <v>281</v>
      </c>
      <c r="D30" s="185" t="n">
        <v>9</v>
      </c>
      <c r="E30" s="185" t="n">
        <v>20000</v>
      </c>
      <c r="F30" s="185" t="n">
        <f aca="false">+E30*D30</f>
        <v>180000</v>
      </c>
      <c r="H30" s="185" t="n">
        <v>7</v>
      </c>
      <c r="I30" s="185" t="n">
        <f aca="false">+E30</f>
        <v>20000</v>
      </c>
      <c r="J30" s="185" t="n">
        <f aca="false">+I30*H30</f>
        <v>140000</v>
      </c>
    </row>
    <row r="31" customFormat="false" ht="15" hidden="false" customHeight="false" outlineLevel="0" collapsed="false">
      <c r="C31" s="185" t="s">
        <v>282</v>
      </c>
      <c r="D31" s="185" t="n">
        <v>6</v>
      </c>
      <c r="E31" s="185" t="n">
        <v>26850</v>
      </c>
      <c r="F31" s="185" t="n">
        <f aca="false">+E31*D31</f>
        <v>161100</v>
      </c>
      <c r="H31" s="185" t="n">
        <v>5</v>
      </c>
      <c r="I31" s="185" t="n">
        <f aca="false">+E31</f>
        <v>26850</v>
      </c>
      <c r="J31" s="185" t="n">
        <f aca="false">+I31*H31</f>
        <v>134250</v>
      </c>
    </row>
    <row r="32" customFormat="false" ht="14.4" hidden="false" customHeight="true" outlineLevel="0" collapsed="false">
      <c r="A32" s="317"/>
      <c r="C32" s="185" t="s">
        <v>283</v>
      </c>
      <c r="D32" s="185" t="n">
        <v>1</v>
      </c>
      <c r="E32" s="185" t="n">
        <v>22400</v>
      </c>
      <c r="F32" s="185" t="n">
        <f aca="false">+E32*D32</f>
        <v>22400</v>
      </c>
      <c r="H32" s="185" t="n">
        <v>0</v>
      </c>
      <c r="I32" s="185" t="n">
        <f aca="false">+E32</f>
        <v>22400</v>
      </c>
      <c r="J32" s="185" t="n">
        <f aca="false">+I32*H32</f>
        <v>0</v>
      </c>
    </row>
    <row r="33" customFormat="false" ht="14.4" hidden="false" customHeight="false" outlineLevel="0" collapsed="false">
      <c r="A33" s="323"/>
      <c r="C33" s="185" t="s">
        <v>284</v>
      </c>
      <c r="D33" s="185" t="n">
        <v>13</v>
      </c>
      <c r="E33" s="185" t="n">
        <v>23700</v>
      </c>
      <c r="F33" s="185" t="n">
        <f aca="false">+E33*D33</f>
        <v>308100</v>
      </c>
      <c r="H33" s="185" t="n">
        <v>10</v>
      </c>
      <c r="I33" s="185" t="n">
        <f aca="false">+E33</f>
        <v>23700</v>
      </c>
      <c r="J33" s="185" t="n">
        <f aca="false">+I33*H33</f>
        <v>237000</v>
      </c>
    </row>
    <row r="34" customFormat="false" ht="14.4" hidden="false" customHeight="false" outlineLevel="0" collapsed="false">
      <c r="A34" s="323"/>
      <c r="C34" s="185" t="s">
        <v>285</v>
      </c>
      <c r="D34" s="185" t="n">
        <v>11</v>
      </c>
      <c r="E34" s="185" t="n">
        <v>12600</v>
      </c>
      <c r="F34" s="185" t="n">
        <f aca="false">+E34*D34</f>
        <v>138600</v>
      </c>
      <c r="H34" s="185" t="n">
        <v>9</v>
      </c>
      <c r="I34" s="185" t="n">
        <f aca="false">+E34</f>
        <v>12600</v>
      </c>
      <c r="J34" s="185" t="n">
        <f aca="false">+I34*H34</f>
        <v>113400</v>
      </c>
    </row>
    <row r="35" customFormat="false" ht="14.4" hidden="false" customHeight="false" outlineLevel="0" collapsed="false">
      <c r="A35" s="323"/>
      <c r="C35" s="185" t="s">
        <v>285</v>
      </c>
      <c r="D35" s="185" t="n">
        <v>11</v>
      </c>
      <c r="E35" s="185" t="n">
        <v>12600</v>
      </c>
      <c r="F35" s="185" t="n">
        <f aca="false">+E35*D35</f>
        <v>138600</v>
      </c>
      <c r="H35" s="185" t="n">
        <v>9</v>
      </c>
      <c r="I35" s="185" t="n">
        <f aca="false">+E35</f>
        <v>12600</v>
      </c>
      <c r="J35" s="185" t="n">
        <f aca="false">+I35*H35</f>
        <v>113400</v>
      </c>
    </row>
    <row r="36" customFormat="false" ht="14.4" hidden="false" customHeight="false" outlineLevel="0" collapsed="false">
      <c r="A36" s="323"/>
      <c r="C36" s="341" t="s">
        <v>286</v>
      </c>
      <c r="D36" s="341" t="n">
        <f aca="false">SUM(D26:D35)</f>
        <v>75</v>
      </c>
      <c r="E36" s="185"/>
      <c r="F36" s="185" t="n">
        <f aca="false">SUM(F26:F35)</f>
        <v>1750520</v>
      </c>
      <c r="H36" s="341" t="n">
        <f aca="false">SUM(H26:H35)</f>
        <v>53</v>
      </c>
      <c r="I36" s="185"/>
      <c r="J36" s="185" t="n">
        <f aca="false">SUM(J26:J35)</f>
        <v>1144890</v>
      </c>
    </row>
    <row r="37" customFormat="false" ht="14.4" hidden="false" customHeight="false" outlineLevel="0" collapsed="false">
      <c r="A37" s="323"/>
      <c r="C37" s="185"/>
      <c r="D37" s="185"/>
      <c r="E37" s="185" t="s">
        <v>287</v>
      </c>
      <c r="F37" s="185" t="n">
        <f aca="false">+F36/1000</f>
        <v>1750.52</v>
      </c>
      <c r="H37" s="185"/>
      <c r="I37" s="185" t="s">
        <v>288</v>
      </c>
      <c r="J37" s="185" t="n">
        <f aca="false">+J36/1000</f>
        <v>1144.89</v>
      </c>
    </row>
    <row r="38" customFormat="false" ht="14.4" hidden="false" customHeight="false" outlineLevel="0" collapsed="false">
      <c r="A38" s="323"/>
    </row>
    <row r="39" customFormat="false" ht="14.4" hidden="false" customHeight="false" outlineLevel="0" collapsed="false">
      <c r="A39" s="323"/>
    </row>
    <row r="40" customFormat="false" ht="14.4" hidden="false" customHeight="false" outlineLevel="0" collapsed="false">
      <c r="A40" s="323"/>
    </row>
    <row r="41" customFormat="false" ht="14.4" hidden="false" customHeight="false" outlineLevel="0" collapsed="false">
      <c r="A41" s="323"/>
    </row>
    <row r="42" customFormat="false" ht="14.4" hidden="false" customHeight="false" outlineLevel="0" collapsed="false">
      <c r="A42" s="323"/>
    </row>
    <row r="43" customFormat="false" ht="14.4" hidden="false" customHeight="false" outlineLevel="0" collapsed="false">
      <c r="A43" s="323"/>
    </row>
    <row r="44" customFormat="false" ht="14.4" hidden="false" customHeight="false" outlineLevel="0" collapsed="false">
      <c r="A44" s="323"/>
    </row>
    <row r="45" customFormat="false" ht="15" hidden="false" customHeight="false" outlineLevel="0" collapsed="false">
      <c r="A45" s="327"/>
    </row>
    <row r="52" customFormat="false" ht="15" hidden="false" customHeight="false" outlineLevel="0" collapsed="false"/>
    <row r="53" customFormat="false" ht="28.8" hidden="false" customHeight="false" outlineLevel="0" collapsed="false">
      <c r="A53" s="317" t="s">
        <v>248</v>
      </c>
      <c r="B53" s="342" t="s">
        <v>289</v>
      </c>
      <c r="C53" s="319" t="s">
        <v>290</v>
      </c>
      <c r="D53" s="318" t="s">
        <v>249</v>
      </c>
      <c r="E53" s="319" t="s">
        <v>291</v>
      </c>
      <c r="F53" s="319"/>
    </row>
    <row r="54" customFormat="false" ht="14.4" hidden="false" customHeight="false" outlineLevel="0" collapsed="false">
      <c r="A54" s="323" t="s">
        <v>258</v>
      </c>
      <c r="B54" s="343"/>
      <c r="C54" s="185"/>
      <c r="D54" s="185"/>
      <c r="E54" s="185"/>
      <c r="F54" s="185"/>
    </row>
    <row r="55" customFormat="false" ht="14.4" hidden="false" customHeight="false" outlineLevel="0" collapsed="false">
      <c r="A55" s="323" t="s">
        <v>259</v>
      </c>
      <c r="B55" s="343"/>
      <c r="C55" s="185"/>
      <c r="D55" s="185"/>
      <c r="E55" s="185"/>
      <c r="F55" s="185"/>
    </row>
    <row r="56" customFormat="false" ht="14.4" hidden="false" customHeight="false" outlineLevel="0" collapsed="false">
      <c r="A56" s="323" t="s">
        <v>260</v>
      </c>
      <c r="B56" s="343" t="n">
        <f aca="false">+D56+E56</f>
        <v>23</v>
      </c>
      <c r="C56" s="185" t="n">
        <v>4</v>
      </c>
      <c r="D56" s="185" t="n">
        <v>23</v>
      </c>
      <c r="E56" s="185" t="n">
        <v>0</v>
      </c>
      <c r="F56" s="185"/>
    </row>
    <row r="57" customFormat="false" ht="14.4" hidden="false" customHeight="false" outlineLevel="0" collapsed="false">
      <c r="A57" s="323" t="s">
        <v>261</v>
      </c>
      <c r="B57" s="343" t="n">
        <f aca="false">+D57+E57</f>
        <v>21</v>
      </c>
      <c r="C57" s="185" t="n">
        <v>5</v>
      </c>
      <c r="D57" s="185" t="n">
        <v>21</v>
      </c>
      <c r="E57" s="185" t="n">
        <v>0</v>
      </c>
      <c r="F57" s="185"/>
    </row>
    <row r="58" customFormat="false" ht="14.4" hidden="false" customHeight="false" outlineLevel="0" collapsed="false">
      <c r="A58" s="323" t="s">
        <v>262</v>
      </c>
      <c r="B58" s="343" t="n">
        <f aca="false">+D58+E58</f>
        <v>21</v>
      </c>
      <c r="C58" s="185" t="n">
        <v>3</v>
      </c>
      <c r="D58" s="185" t="n">
        <v>21</v>
      </c>
      <c r="E58" s="185" t="n">
        <v>0</v>
      </c>
      <c r="F58" s="185"/>
    </row>
    <row r="59" customFormat="false" ht="14.4" hidden="false" customHeight="false" outlineLevel="0" collapsed="false">
      <c r="A59" s="323" t="s">
        <v>263</v>
      </c>
      <c r="B59" s="343" t="n">
        <f aca="false">+D59+E59</f>
        <v>23</v>
      </c>
      <c r="C59" s="185" t="n">
        <v>4</v>
      </c>
      <c r="D59" s="185" t="n">
        <v>23</v>
      </c>
      <c r="E59" s="185" t="n">
        <v>0</v>
      </c>
      <c r="F59" s="185"/>
    </row>
    <row r="60" customFormat="false" ht="14.4" hidden="false" customHeight="false" outlineLevel="0" collapsed="false">
      <c r="A60" s="323" t="s">
        <v>264</v>
      </c>
      <c r="B60" s="343" t="n">
        <f aca="false">+D60+E60</f>
        <v>19</v>
      </c>
      <c r="C60" s="185" t="n">
        <v>4</v>
      </c>
      <c r="D60" s="185" t="n">
        <v>18</v>
      </c>
      <c r="E60" s="185" t="n">
        <v>1</v>
      </c>
      <c r="F60" s="185"/>
    </row>
    <row r="61" customFormat="false" ht="14.4" hidden="false" customHeight="false" outlineLevel="0" collapsed="false">
      <c r="A61" s="323" t="s">
        <v>265</v>
      </c>
      <c r="B61" s="343" t="n">
        <f aca="false">+D61+E61</f>
        <v>22</v>
      </c>
      <c r="C61" s="185" t="n">
        <v>4</v>
      </c>
      <c r="D61" s="185" t="n">
        <v>21</v>
      </c>
      <c r="E61" s="185" t="n">
        <v>1</v>
      </c>
      <c r="F61" s="185"/>
    </row>
    <row r="62" customFormat="false" ht="14.4" hidden="false" customHeight="false" outlineLevel="0" collapsed="false">
      <c r="A62" s="323" t="s">
        <v>266</v>
      </c>
      <c r="B62" s="343" t="n">
        <f aca="false">+D62+E62</f>
        <v>21</v>
      </c>
      <c r="C62" s="185" t="n">
        <v>5</v>
      </c>
      <c r="D62" s="185" t="n">
        <v>20</v>
      </c>
      <c r="E62" s="185" t="n">
        <v>1</v>
      </c>
      <c r="F62" s="185"/>
    </row>
    <row r="63" customFormat="false" ht="14.4" hidden="false" customHeight="false" outlineLevel="0" collapsed="false">
      <c r="A63" s="323" t="s">
        <v>267</v>
      </c>
      <c r="B63" s="343" t="n">
        <f aca="false">+D63+E63</f>
        <v>18</v>
      </c>
      <c r="C63" s="185" t="n">
        <v>4</v>
      </c>
      <c r="D63" s="185" t="n">
        <v>18</v>
      </c>
      <c r="E63" s="185" t="n">
        <v>0</v>
      </c>
      <c r="F63" s="185"/>
    </row>
    <row r="64" customFormat="false" ht="14.4" hidden="false" customHeight="false" outlineLevel="0" collapsed="false">
      <c r="A64" s="323" t="s">
        <v>268</v>
      </c>
      <c r="B64" s="343" t="n">
        <f aca="false">+D64+E64</f>
        <v>22</v>
      </c>
      <c r="C64" s="185" t="n">
        <v>4</v>
      </c>
      <c r="D64" s="185" t="n">
        <v>22</v>
      </c>
      <c r="E64" s="185" t="n">
        <v>0</v>
      </c>
      <c r="F64" s="185"/>
    </row>
    <row r="65" customFormat="false" ht="14.4" hidden="false" customHeight="false" outlineLevel="0" collapsed="false">
      <c r="A65" s="323" t="s">
        <v>269</v>
      </c>
      <c r="B65" s="343" t="n">
        <f aca="false">+D65+E65</f>
        <v>20</v>
      </c>
      <c r="C65" s="185" t="n">
        <v>4</v>
      </c>
      <c r="D65" s="185" t="n">
        <v>19</v>
      </c>
      <c r="E65" s="185" t="n">
        <v>1</v>
      </c>
      <c r="F65" s="185"/>
    </row>
    <row r="66" customFormat="false" ht="15" hidden="false" customHeight="false" outlineLevel="0" collapsed="false">
      <c r="A66" s="327" t="s">
        <v>258</v>
      </c>
      <c r="B66" s="343" t="n">
        <f aca="false">+D66+E66</f>
        <v>5</v>
      </c>
      <c r="C66" s="328" t="n">
        <v>2</v>
      </c>
      <c r="D66" s="328" t="n">
        <v>5</v>
      </c>
      <c r="E66" s="328" t="n">
        <v>0</v>
      </c>
      <c r="F66" s="328"/>
    </row>
    <row r="67" customFormat="false" ht="14.4" hidden="false" customHeight="false" outlineLevel="0" collapsed="false">
      <c r="A67" s="134" t="s">
        <v>271</v>
      </c>
      <c r="B67" s="344" t="n">
        <f aca="false">SUM(B54:B66)</f>
        <v>215</v>
      </c>
      <c r="C67" s="344" t="n">
        <f aca="false">SUM(C54:C66)</f>
        <v>43</v>
      </c>
    </row>
  </sheetData>
  <printOptions headings="false" gridLines="false" gridLinesSet="true" horizontalCentered="false" verticalCentered="false"/>
  <pageMargins left="0.511805555555555" right="0.511805555555555" top="0.7875" bottom="0.7875" header="0.511805555555555" footer="0.51180555555555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"/>
  <sheetViews>
    <sheetView showFormulas="false" showGridLines="true" showRowColHeaders="true" showZeros="true" rightToLeft="false" tabSelected="false" showOutlineSymbols="true" defaultGridColor="true" view="normal" topLeftCell="A1" colorId="64" zoomScale="90" zoomScaleNormal="90" zoomScalePageLayoutView="100" workbookViewId="0">
      <selection pane="topLeft" activeCell="A1" activeCellId="0" sqref="A1"/>
    </sheetView>
  </sheetViews>
  <sheetFormatPr defaultColWidth="8.72265625" defaultRowHeight="14.4" zeroHeight="false" outlineLevelRow="0" outlineLevelCol="0"/>
  <sheetData/>
  <printOptions headings="false" gridLines="false" gridLinesSet="true" horizontalCentered="false" verticalCentered="false"/>
  <pageMargins left="0.511805555555555" right="0.511805555555555" top="0.7875" bottom="0.7875" header="0.511805555555555" footer="0.51180555555555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21</TotalTime>
  <Application>LibreOffice/7.1.4.2$Windows_X86_64 LibreOffice_project/a529a4fab45b75fefc5b6226684193eb000654f6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2023-02-16T18:49:38Z</dcterms:created>
  <dc:creator>SMSMU</dc:creator>
  <dc:description/>
  <dc:language>pt-BR</dc:language>
  <cp:lastModifiedBy/>
  <cp:lastPrinted>2025-05-07T14:33:51Z</cp:lastPrinted>
  <dcterms:modified xsi:type="dcterms:W3CDTF">2026-04-08T10:07:58Z</dcterms:modified>
  <cp:revision>4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