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J:\DOCUMENTOS\VIVIANE\PE 070.2026 - ANEXOS\"/>
    </mc:Choice>
  </mc:AlternateContent>
  <xr:revisionPtr revIDLastSave="0" documentId="8_{075DAB90-B22B-4A87-8138-04C14B56F742}" xr6:coauthVersionLast="47" xr6:coauthVersionMax="47" xr10:uidLastSave="{00000000-0000-0000-0000-000000000000}"/>
  <bookViews>
    <workbookView xWindow="-120" yWindow="-120" windowWidth="24240" windowHeight="13140" tabRatio="886" activeTab="6" xr2:uid="{00000000-000D-0000-FFFF-FFFF00000000}"/>
  </bookViews>
  <sheets>
    <sheet name="Resumo Orçamento" sheetId="1" r:id="rId1"/>
    <sheet name="Planilha Orçamentária" sheetId="2" r:id="rId2"/>
    <sheet name="BDI" sheetId="3" r:id="rId3"/>
    <sheet name="Composições CCU" sheetId="4" r:id="rId4"/>
    <sheet name="Composição de MO" sheetId="5" r:id="rId5"/>
    <sheet name="Encargos Sociais" sheetId="6" r:id="rId6"/>
    <sheet name="ETP - Equipes e Produtiv.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4" i="2"/>
  <c r="F5" i="1"/>
  <c r="F6" i="1"/>
  <c r="F7" i="1"/>
  <c r="F8" i="1"/>
  <c r="F4" i="1"/>
  <c r="I51" i="4"/>
  <c r="H51" i="4"/>
  <c r="H16" i="4"/>
  <c r="H50" i="4"/>
  <c r="H25" i="4"/>
  <c r="H49" i="4"/>
  <c r="H13" i="4"/>
  <c r="H48" i="4"/>
  <c r="H10" i="4"/>
  <c r="I16" i="4"/>
  <c r="H11" i="4" l="1"/>
  <c r="J53" i="4"/>
  <c r="I53" i="4"/>
  <c r="H36" i="4"/>
  <c r="I36" i="4" s="1"/>
  <c r="J36" i="4" s="1"/>
  <c r="I37" i="4"/>
  <c r="J37" i="4" s="1"/>
  <c r="I18" i="4"/>
  <c r="J18" i="4" s="1"/>
  <c r="J38" i="4" l="1"/>
  <c r="G7" i="2" s="1"/>
  <c r="I7" i="2" s="1"/>
  <c r="I38" i="4"/>
  <c r="H45" i="4"/>
  <c r="I52" i="4"/>
  <c r="J52" i="4" s="1"/>
  <c r="F52" i="4"/>
  <c r="F17" i="4"/>
  <c r="I17" i="4" s="1"/>
  <c r="J17" i="4" s="1"/>
  <c r="D5" i="1" l="1"/>
  <c r="D6" i="1"/>
  <c r="D7" i="1"/>
  <c r="D8" i="1"/>
  <c r="D4" i="1"/>
  <c r="G6" i="2"/>
  <c r="I6" i="2" s="1"/>
  <c r="J51" i="4"/>
  <c r="I32" i="4"/>
  <c r="E6" i="1" l="1"/>
  <c r="H47" i="4"/>
  <c r="H44" i="4"/>
  <c r="H8" i="4"/>
  <c r="H43" i="4"/>
  <c r="F27" i="4" l="1"/>
  <c r="I27" i="4" s="1"/>
  <c r="J27" i="4" s="1"/>
  <c r="I26" i="4"/>
  <c r="J26" i="4" s="1"/>
  <c r="J16" i="4"/>
  <c r="H23" i="4"/>
  <c r="G11" i="5"/>
  <c r="H15" i="4"/>
  <c r="I15" i="4" s="1"/>
  <c r="J15" i="4" s="1"/>
  <c r="H14" i="4"/>
  <c r="I13" i="4" l="1"/>
  <c r="J13" i="4" s="1"/>
  <c r="I12" i="4"/>
  <c r="J12" i="4" s="1"/>
  <c r="I11" i="4"/>
  <c r="J11" i="4" s="1"/>
  <c r="I10" i="4"/>
  <c r="J10" i="4" s="1"/>
  <c r="I25" i="4"/>
  <c r="J25" i="4" s="1"/>
  <c r="D17" i="7" a="1"/>
  <c r="C17" i="7" a="1"/>
  <c r="B17" i="7" a="1"/>
  <c r="F21" i="6"/>
  <c r="E21" i="6"/>
  <c r="D21" i="6"/>
  <c r="C21" i="6"/>
  <c r="F18" i="6"/>
  <c r="E18" i="6"/>
  <c r="D18" i="6"/>
  <c r="C18" i="6"/>
  <c r="F13" i="6"/>
  <c r="E13" i="6"/>
  <c r="D13" i="6"/>
  <c r="C13" i="6"/>
  <c r="I50" i="4"/>
  <c r="J50" i="4" s="1"/>
  <c r="I49" i="4"/>
  <c r="J49" i="4" s="1"/>
  <c r="I48" i="4"/>
  <c r="J48" i="4" s="1"/>
  <c r="I14" i="4"/>
  <c r="F12" i="3"/>
  <c r="E12" i="3"/>
  <c r="D12" i="3"/>
  <c r="J14" i="4" l="1"/>
  <c r="I8" i="4"/>
  <c r="C17" i="7"/>
  <c r="F23" i="6"/>
  <c r="E23" i="6"/>
  <c r="D23" i="6"/>
  <c r="C23" i="6"/>
  <c r="D17" i="7"/>
  <c r="B17" i="7"/>
  <c r="F24" i="6"/>
  <c r="E24" i="6"/>
  <c r="D24" i="6"/>
  <c r="J8" i="4" l="1"/>
  <c r="E4" i="5"/>
  <c r="E7" i="5"/>
  <c r="F7" i="5" s="1"/>
  <c r="G7" i="5" s="1"/>
  <c r="E5" i="5"/>
  <c r="F5" i="5" s="1"/>
  <c r="E6" i="5"/>
  <c r="F6" i="5" s="1"/>
  <c r="E8" i="5"/>
  <c r="F8" i="5" s="1"/>
  <c r="G8" i="5" s="1"/>
  <c r="I23" i="4" s="1"/>
  <c r="C24" i="6"/>
  <c r="J23" i="4" l="1"/>
  <c r="G6" i="5"/>
  <c r="H6" i="4"/>
  <c r="I6" i="4" s="1"/>
  <c r="J6" i="4" s="1"/>
  <c r="G5" i="5"/>
  <c r="H7" i="4"/>
  <c r="I7" i="4" s="1"/>
  <c r="F4" i="5"/>
  <c r="I47" i="4"/>
  <c r="J47" i="4" s="1"/>
  <c r="J7" i="4" l="1"/>
  <c r="I45" i="4"/>
  <c r="J45" i="4" s="1"/>
  <c r="I46" i="4"/>
  <c r="J46" i="4" s="1"/>
  <c r="J54" i="4" s="1"/>
  <c r="I9" i="4"/>
  <c r="H5" i="4"/>
  <c r="I5" i="4" s="1"/>
  <c r="J5" i="4" s="1"/>
  <c r="I24" i="4"/>
  <c r="G4" i="5"/>
  <c r="J24" i="4" l="1"/>
  <c r="J28" i="4" s="1"/>
  <c r="I28" i="4"/>
  <c r="J9" i="4"/>
  <c r="J19" i="4" s="1"/>
  <c r="I19" i="4"/>
  <c r="G5" i="2"/>
  <c r="I5" i="2" s="1"/>
  <c r="I44" i="4"/>
  <c r="J44" i="4" s="1"/>
  <c r="E7" i="1" l="1"/>
  <c r="E5" i="1"/>
  <c r="G4" i="2"/>
  <c r="I4" i="2" s="1"/>
  <c r="I43" i="4"/>
  <c r="J43" i="4" s="1"/>
  <c r="G8" i="2" s="1"/>
  <c r="I8" i="2" s="1"/>
  <c r="E4" i="1" l="1"/>
  <c r="E8" i="1"/>
  <c r="I54" i="4"/>
  <c r="F9" i="1" l="1"/>
  <c r="F11" i="1" s="1"/>
  <c r="J9" i="2"/>
  <c r="F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G4" authorId="0" shapeId="0" xr:uid="{00000000-0006-0000-0100-000002000000}">
      <text>
        <r>
          <rPr>
            <sz val="11"/>
            <color theme="1"/>
            <rFont val="Calibri"/>
            <family val="2"/>
            <charset val="1"/>
          </rPr>
          <t>DELL:
Custo unit. bottom-up = total da CCU (Composições CCU I40). Antes: alvo cravado 2.082,14.</t>
        </r>
      </text>
    </comment>
    <comment ref="G5" authorId="0" shapeId="0" xr:uid="{00000000-0006-0000-0100-000004000000}">
      <text>
        <r>
          <rPr>
            <sz val="11"/>
            <color theme="1"/>
            <rFont val="Calibri"/>
            <family val="2"/>
            <charset val="1"/>
          </rPr>
          <t>DELL:
Custo unit. bottom-up = total da CCU (I41). Antes: 241,01.</t>
        </r>
      </text>
    </comment>
    <comment ref="G7" authorId="0" shapeId="0" xr:uid="{00000000-0006-0000-0100-000006000000}">
      <text>
        <r>
          <rPr>
            <sz val="11"/>
            <color theme="1"/>
            <rFont val="Calibri"/>
            <family val="2"/>
            <charset val="1"/>
          </rPr>
          <t>DELL:
Custo unit. bottom-up = total da CCU (I42). Antes: 829,01.</t>
        </r>
      </text>
    </comment>
    <comment ref="G8" authorId="0" shapeId="0" xr:uid="{00000000-0006-0000-0100-000008000000}">
      <text>
        <r>
          <rPr>
            <sz val="11"/>
            <color theme="1"/>
            <rFont val="Calibri"/>
            <family val="2"/>
            <charset val="1"/>
          </rPr>
          <t>DELL:
Custo unit. bottom-up = total da CCU (I43). Antes: 0,40.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C12" authorId="0" shapeId="0" xr:uid="{00000000-0006-0000-0200-000001000000}">
      <text>
        <r>
          <rPr>
            <sz val="11"/>
            <color theme="1"/>
            <rFont val="Calibri"/>
            <family val="2"/>
            <charset val="1"/>
          </rPr>
          <t>DELL:
BDI adotado fixo: 26,01%. Decisão do usuário (jun/2026). Componentes nas linhas 4-11 são referência; valor final cravado.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E4" authorId="0" shapeId="0" xr:uid="{00000000-0006-0000-0400-000001000000}">
      <text>
        <r>
          <rPr>
            <sz val="11"/>
            <color theme="1"/>
            <rFont val="Calibri"/>
            <family val="2"/>
            <charset val="1"/>
          </rPr>
          <t>DELL:
Encargos sociais s/desoneração horista = aba Encargos Sociais E24 (96,88%). Antes: 111,95% cravado.</t>
        </r>
      </text>
    </comment>
    <comment ref="D6" authorId="0" shapeId="0" xr:uid="{00000000-0006-0000-0400-000002000000}">
      <text>
        <r>
          <rPr>
            <sz val="11"/>
            <color theme="1"/>
            <rFont val="Calibri"/>
            <family val="2"/>
            <charset val="1"/>
          </rPr>
          <t>DELL:
Piso SINDASSEIO/SEEAC RS CCT 2026 (RS000041/2026) — Aux. de limpeza / servente CBO 5143. Fonte: 3.SEEAC 2026.pdf</t>
        </r>
      </text>
    </comment>
    <comment ref="D7" authorId="0" shapeId="0" xr:uid="{00000000-0006-0000-0400-000003000000}">
      <text>
        <r>
          <rPr>
            <sz val="11"/>
            <color theme="1"/>
            <rFont val="Calibri"/>
            <family val="2"/>
            <charset val="1"/>
          </rPr>
          <t>DELL:
Piso SINDASSEIO/SEEAC RS CCT 2026 (RS000041/2026) — Aux. pintor CBO 5143. Fonte: 3.SEEAC 2026.pdf</t>
        </r>
      </text>
    </comment>
  </commentList>
</comments>
</file>

<file path=xl/sharedStrings.xml><?xml version="1.0" encoding="utf-8"?>
<sst xmlns="http://schemas.openxmlformats.org/spreadsheetml/2006/main" count="482" uniqueCount="281">
  <si>
    <t>RESUMO DO ORÇAMENTO — LIMPEZA URBANA ALVORADA/RS</t>
  </si>
  <si>
    <t>It.</t>
  </si>
  <si>
    <t>Descrição</t>
  </si>
  <si>
    <t>Unid.</t>
  </si>
  <si>
    <t>Preço Unit. (R$)</t>
  </si>
  <si>
    <t>Qtd. Anual</t>
  </si>
  <si>
    <t>Valor Anual (R$)</t>
  </si>
  <si>
    <t>Capina e roçada manual e mecanizada de vias públicas</t>
  </si>
  <si>
    <t>km</t>
  </si>
  <si>
    <t>Pintura de meio-fio</t>
  </si>
  <si>
    <t>Limpeza de praças, parques e áreas públicas</t>
  </si>
  <si>
    <t>m²</t>
  </si>
  <si>
    <t>VALOR TOTAL ANUAL ESTIMADO</t>
  </si>
  <si>
    <t>VALOR MENSAL MÉDIO (÷12)</t>
  </si>
  <si>
    <t>VALOR DECENAL ESTIMADO (×10)</t>
  </si>
  <si>
    <t>PLANILHA ORÇAMENTÁRIA — LIMPEZA URBANA — ALVORADA/RS</t>
  </si>
  <si>
    <t>Código</t>
  </si>
  <si>
    <t>Fonte</t>
  </si>
  <si>
    <t>Descrição do Serviço</t>
  </si>
  <si>
    <t>Qtd. Mensal</t>
  </si>
  <si>
    <t>Custo Unit.
s/BDI (R$)</t>
  </si>
  <si>
    <t>BDI (%)</t>
  </si>
  <si>
    <t>Preço Unit.
c/BDI (R$)</t>
  </si>
  <si>
    <t>Valor Mensal (R$)</t>
  </si>
  <si>
    <t>SINAPI RS abr/2026 + SEEAC RS 2026</t>
  </si>
  <si>
    <t>Capina e roçada manual e mecanizada de vias públicas
(roçadeiras costais + capinadeira + retroescavadeira + caminhão 12m³ + varrição mec. — MO, combustível, EPIs e destinação final)</t>
  </si>
  <si>
    <t>SINAPI RS abr/2026 (CBO 5142 — Varredor)</t>
  </si>
  <si>
    <t>Varrição manual
(varredores, carrinhos de varrição, recolhimento de resíduos de lixeiras, sacos de lixo 100L e destinação final no Transbordo Municipal; inclui fornecimento e instalação de lixeiras metálicas duplas 60L — SINAPI 103307 Af_11/2021)</t>
  </si>
  <si>
    <t>SINAPI RS abr/2026 (CBOP 5143 — Pintor)</t>
  </si>
  <si>
    <t>Pintura de meio-fio
(pintores, cal hidratada, tinta acrílica para sinalização viária, caminhão toco e destinação de resíduos)</t>
  </si>
  <si>
    <t>SINAPI RS abr/2026 (CBO 6220 — Op. Roçadeira) + SEEAC RS 2026</t>
  </si>
  <si>
    <t>Limpeza de praças, parques e áreas públicas
(trator roçadeira + roçadeiras costais + auxiliares + caminhão 12m³ — corte, rastelamento, recolhimento e destinação final)</t>
  </si>
  <si>
    <t>TOTAL MENSAL</t>
  </si>
  <si>
    <t>PREFEITURA MUNICIPAL DE ALVORADA — SMOPSU</t>
  </si>
  <si>
    <t>BDI — BENEFÍCIOS E DESPESAS INDIRETAS</t>
  </si>
  <si>
    <t>Parcela</t>
  </si>
  <si>
    <t>BDI Adotado</t>
  </si>
  <si>
    <t>1° Quartil</t>
  </si>
  <si>
    <t>Mediano</t>
  </si>
  <si>
    <t>3° Quartil</t>
  </si>
  <si>
    <t>AC</t>
  </si>
  <si>
    <t>Administração Central</t>
  </si>
  <si>
    <t>S+G</t>
  </si>
  <si>
    <t>Seguro + Garantia</t>
  </si>
  <si>
    <t>R</t>
  </si>
  <si>
    <t>Risco (absenteísmo MO)</t>
  </si>
  <si>
    <t>DF</t>
  </si>
  <si>
    <t>Despesas Financeiras (capital giro)</t>
  </si>
  <si>
    <t>L</t>
  </si>
  <si>
    <t>Lucro</t>
  </si>
  <si>
    <t>T1</t>
  </si>
  <si>
    <t>PIS</t>
  </si>
  <si>
    <t>T2</t>
  </si>
  <si>
    <t>COFINS</t>
  </si>
  <si>
    <t>T3</t>
  </si>
  <si>
    <t>ISSQN</t>
  </si>
  <si>
    <t>BDI</t>
  </si>
  <si>
    <t>BDI TOTAL (fórmula TCU 2622/2013)</t>
  </si>
  <si>
    <t>Ref.</t>
  </si>
  <si>
    <t>BDI ADOTADO: 26,01% — valor fixo adotado para o contrato (referência TCE/RS limpeza urbana).</t>
  </si>
  <si>
    <t>BDI adotado fixo = 26,01%. Fórmula TCU 2622/2013 nos componentes (linhas 4-11) mantida como referência. Base: SINAPI RS abr/2026 | SEEAC/RS 2026</t>
  </si>
  <si>
    <t>COMPOSIÇÕES DE CUSTO UNITÁRIO (CCU) — LIMPEZA URBANA — ALVORADA/RS</t>
  </si>
  <si>
    <t>Item ETP</t>
  </si>
  <si>
    <t>Descrição do Insumo</t>
  </si>
  <si>
    <t>Quant.</t>
  </si>
  <si>
    <t>Tipo</t>
  </si>
  <si>
    <t>Item 1
Capina e Roçada</t>
  </si>
  <si>
    <t>SINAPI RS</t>
  </si>
  <si>
    <t>MO</t>
  </si>
  <si>
    <t>CBO 6220</t>
  </si>
  <si>
    <t>CBO 5143</t>
  </si>
  <si>
    <t>Equip.</t>
  </si>
  <si>
    <t>Mat.</t>
  </si>
  <si>
    <t>Item 2
Varrição</t>
  </si>
  <si>
    <t>91386/91387</t>
  </si>
  <si>
    <t>CBO 5142</t>
  </si>
  <si>
    <t>CBOP 5143</t>
  </si>
  <si>
    <t>Cal hidratada para pintura</t>
  </si>
  <si>
    <t>Auxiliar de limpeza urbana (5 — ETP E13)</t>
  </si>
  <si>
    <t>Encarregado (1 — ETP E8)</t>
  </si>
  <si>
    <t>TOTAL</t>
  </si>
  <si>
    <t>1</t>
  </si>
  <si>
    <t>—</t>
  </si>
  <si>
    <t>Insalubridade grau máximo 40% | CCT RS 000041/2026 | Encargos s/desoneração horista: vinculado à aba Encargos Sociais (96,88%)</t>
  </si>
  <si>
    <t>CBO</t>
  </si>
  <si>
    <t>Categoria</t>
  </si>
  <si>
    <t>Insalubridade</t>
  </si>
  <si>
    <t>Salário Base (R$)</t>
  </si>
  <si>
    <t>Encargos s.d.h. (%)</t>
  </si>
  <si>
    <t>Custo c/Encargos (R$)</t>
  </si>
  <si>
    <t>Custo/hora (R$)</t>
  </si>
  <si>
    <t>Observação</t>
  </si>
  <si>
    <t>Operador de roçadeira intercostal / capinadeira</t>
  </si>
  <si>
    <t>40%</t>
  </si>
  <si>
    <t>Salário piso SINDASSEIO CCT 2026</t>
  </si>
  <si>
    <t>CBO 6220S</t>
  </si>
  <si>
    <t>Operador de soprador</t>
  </si>
  <si>
    <t>Auxiliar de serviços gerais / limpeza urbana</t>
  </si>
  <si>
    <t>Auxiliar pintor</t>
  </si>
  <si>
    <t>Varredor</t>
  </si>
  <si>
    <t>SINAPI 88324</t>
  </si>
  <si>
    <t>Fonte:</t>
  </si>
  <si>
    <t>COMPOSIÇÃO DOS ENCARGOS SOCIAIS SOBRE A MÃO DE OBRA</t>
  </si>
  <si>
    <t>Metodologia SINAPI | Decreto Municipal nº 23.379/2025 | Sem Desoneração — Horista</t>
  </si>
  <si>
    <t>Cód.</t>
  </si>
  <si>
    <t>C/Desonera. Horista</t>
  </si>
  <si>
    <t>C/Desonera. Mensalista</t>
  </si>
  <si>
    <t>S/Desonera. Horista</t>
  </si>
  <si>
    <t>S/Desonera. Mensalista</t>
  </si>
  <si>
    <t>GRUPO A — Encargos Básicos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</si>
  <si>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</si>
  <si>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</si>
  <si>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</si>
  <si>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</si>
  <si>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</si>
  <si>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</si>
  <si>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</si>
  <si>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</si>
  <si>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</si>
  <si>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</si>
  <si>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</si>
  <si>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</si>
  <si>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</si>
  <si>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</t>
  </si>
  <si>
    <t>A8</t>
  </si>
  <si>
    <t>FGTS</t>
  </si>
  <si>
    <t>A</t>
  </si>
  <si>
    <t>TOTAL GRUPO A (soma acima)</t>
  </si>
  <si>
    <t>GRUPO B — Encargos Trabalhistas</t>
  </si>
  <si>
    <t>B1</t>
  </si>
  <si>
    <t>Repouso Semanal Remunerado</t>
  </si>
  <si>
    <t>B4</t>
  </si>
  <si>
    <t>13º Salário</t>
  </si>
  <si>
    <t>B9</t>
  </si>
  <si>
    <t>Férias Gozadas</t>
  </si>
  <si>
    <t>B</t>
  </si>
  <si>
    <t>TOTAL GRUPO B</t>
  </si>
  <si>
    <t>GRUPO C — Rescisão</t>
  </si>
  <si>
    <t>C1</t>
  </si>
  <si>
    <t>Aviso Prévio Indenizado</t>
  </si>
  <si>
    <t>C</t>
  </si>
  <si>
    <t>TOTAL GRUPO C</t>
  </si>
  <si>
    <t>GRUPO D — Incidências Cumulativas</t>
  </si>
  <si>
    <t>D</t>
  </si>
  <si>
    <t>TOTAL GRUPO D  (A×B + A×C)</t>
  </si>
  <si>
    <t>TOTAL GERAL  A+B+C+D</t>
  </si>
  <si>
    <t>ETP R02 — EQUIPES REFERENCIAIS E PARÂMETROS DE PRODUTIVIDADE</t>
  </si>
  <si>
    <t>Processo Adm. 23.887/2026 — SMOPSU — Alvorada/RS</t>
  </si>
  <si>
    <t>COMPOSIÇÃO REFERENCIAL DE MÃO DE OBRA (Tabela 2 — ETP R02)</t>
  </si>
  <si>
    <t>Função / Composição</t>
  </si>
  <si>
    <t>Capina e Roçada
de Vias</t>
  </si>
  <si>
    <t>Varrição Manual</t>
  </si>
  <si>
    <t>Pintura de Meio-Fio</t>
  </si>
  <si>
    <t>Limpeza de Praças</t>
  </si>
  <si>
    <t>Supervisor de campo</t>
  </si>
  <si>
    <t>1 (comp.)</t>
  </si>
  <si>
    <t>Compartilhado entre todas as frentes</t>
  </si>
  <si>
    <t>Técnico em segurança do trabalho</t>
  </si>
  <si>
    <t>Compartilhado — custo incluso no BDI (AC)</t>
  </si>
  <si>
    <t>Responsável técnico (Eng. Civil)</t>
  </si>
  <si>
    <t>Encarregado</t>
  </si>
  <si>
    <t>Dedicado por frente</t>
  </si>
  <si>
    <t>Roçador (roçadeira costal / capinadeira)</t>
  </si>
  <si>
    <t>5</t>
  </si>
  <si>
    <t>Capina vias: 5; Praças: 8</t>
  </si>
  <si>
    <t>Operador de capinadeira mecânica</t>
  </si>
  <si>
    <t>Capina sarjetas/bordos</t>
  </si>
  <si>
    <t>Operador de trator roçadeira</t>
  </si>
  <si>
    <t>Áreas extensas em praças</t>
  </si>
  <si>
    <t>Operador de retroescavadeira</t>
  </si>
  <si>
    <t>Carregamento de resíduos</t>
  </si>
  <si>
    <t>Auxiliar de Limpeza Urbana</t>
  </si>
  <si>
    <t>Incl. sopradores e sinaleiros</t>
  </si>
  <si>
    <t>Pintor</t>
  </si>
  <si>
    <t>Motorista</t>
  </si>
  <si>
    <t>Transp. funcionários + caçambas</t>
  </si>
  <si>
    <t>TOTAL OPERACIONAL</t>
  </si>
  <si>
    <t>Total por frente de serviço</t>
  </si>
  <si>
    <t>PARÂMETROS DE PRODUTIVIDADE (ETP R02)</t>
  </si>
  <si>
    <t>Serviço</t>
  </si>
  <si>
    <t>Parâmetro</t>
  </si>
  <si>
    <t>Valor Adotado</t>
  </si>
  <si>
    <t>Capina e Roçada Vias</t>
  </si>
  <si>
    <t>Extensão mensal</t>
  </si>
  <si>
    <t>150.000 m lineares (150 km)</t>
  </si>
  <si>
    <t>Produtividade capinadeira mecânica</t>
  </si>
  <si>
    <t>5 km/dia</t>
  </si>
  <si>
    <t>Produtividade capinador/roçador manual</t>
  </si>
  <si>
    <t>0,450 km/dia</t>
  </si>
  <si>
    <t>Eficiência mecânica / manual</t>
  </si>
  <si>
    <t>70% / 75%</t>
  </si>
  <si>
    <t>1.300.000 m (1.300 km)</t>
  </si>
  <si>
    <t>Produtividade por varredor</t>
  </si>
  <si>
    <t>2,00 km/dia (285,71 m/h líquido)</t>
  </si>
  <si>
    <t>Horas produtivas mensais/varredor</t>
  </si>
  <si>
    <t>170 h (22×7h + 4×4h sáb.)</t>
  </si>
  <si>
    <t>Produção mensal/varredor</t>
  </si>
  <si>
    <t>~48.571 m/mês → 27 varredores</t>
  </si>
  <si>
    <t>150.000 m (150 km)</t>
  </si>
  <si>
    <t>Produtividade por pintor</t>
  </si>
  <si>
    <t>757,58 m/dia = 108,23 m/h (7h líq.)</t>
  </si>
  <si>
    <t>Capacidade da equipe (9 pintores)</t>
  </si>
  <si>
    <t>165.600 m/mês (folga ~10%)</t>
  </si>
  <si>
    <t>Área mensal</t>
  </si>
  <si>
    <t>350.000 m² (26 dias úteis/mês)</t>
  </si>
  <si>
    <t>Produtividade trator roçadeira</t>
  </si>
  <si>
    <t>4.000 m²/dia</t>
  </si>
  <si>
    <t>Produtividade roçadeira costal</t>
  </si>
  <si>
    <t>700 m²/dia por roçador</t>
  </si>
  <si>
    <t>Capacidade da frente</t>
  </si>
  <si>
    <t>353.600 m²/mês (folga ~1,0%)</t>
  </si>
  <si>
    <t>homem/mês</t>
  </si>
  <si>
    <t>SINAPI 88284</t>
  </si>
  <si>
    <t>TRATORISTA COM ENCARGOS COMPLEMENTARES</t>
  </si>
  <si>
    <t>MOTORISTA DE VEÍCULO LEVE COM ENCARGOS COMPLEMENTARES</t>
  </si>
  <si>
    <t>Motorista Transporte de Funcionários</t>
  </si>
  <si>
    <t>Operadores de trator (capinadeira + roçadeira articulado)</t>
  </si>
  <si>
    <t>Roçador c/ roçadeira costal</t>
  </si>
  <si>
    <t xml:space="preserve">Auxiliar de limpeza urbana </t>
  </si>
  <si>
    <t>COMPOSIÇÃO DE MÃO DE OBRA — SINAPI RS maio/2026 + CCT RS 2026</t>
  </si>
  <si>
    <t>Encarregado especializado - mensalista</t>
  </si>
  <si>
    <t>Roçadeira costal - 1,40 Kw</t>
  </si>
  <si>
    <t>Soprador de ar costal - 2,6 kW</t>
  </si>
  <si>
    <t>SINAPI RS maio/2026 | SICRO janeiro/2026 | CCT 2026 RS000041/2026 | Insalubridade grau máximo 40% — NR-15 Anexo 14 | Auxílio Alimentação: R$ 21,99/mês | VT: R$ 4,70/vale</t>
  </si>
  <si>
    <t>Tela de proteção para roçada em tubo galvanizado 4,0 X 1,5 m - confecção</t>
  </si>
  <si>
    <t>Custo Unit. (R$)</t>
  </si>
  <si>
    <t>Unid/mês</t>
  </si>
  <si>
    <t>Trator agrícola sobre pneus com roçadeira articulada e capacidade de 1,12 m - 77 kW (contempla trator com capinadeira também)</t>
  </si>
  <si>
    <t>Equip. + MO</t>
  </si>
  <si>
    <t>unidade/mês</t>
  </si>
  <si>
    <t>CAMINHÃO BASCULANTE 10 M3, TRUCADO CABINE SIMPLES, PESO BRUTO TOTAL 23.000 KG, CARGA ÚTIL
MÁXIMA 15.935 KG, DISTÂNCIA ENTRE EIXOS 4,80 M, POTÊNCIA 230 CV INCLUSIVE CAÇAMBA METÁLICA - CHP
DIURNO. AF_06/2014 (inclui motorista, CHP e CHI)</t>
  </si>
  <si>
    <t>SINAPI</t>
  </si>
  <si>
    <t>SICRO</t>
  </si>
  <si>
    <t>5680/5681</t>
  </si>
  <si>
    <t>Custo Total/mês (R$)</t>
  </si>
  <si>
    <t>Total</t>
  </si>
  <si>
    <t>Custo por KM (R$)</t>
  </si>
  <si>
    <t>RETROESCAVADEIRA SOBRE RODAS COM CARREGADEIRA, TRAÇÃO 4X2, POTÊNCIA LÍQ. 79 HP, CAÇAMBA
CARREG. CAP. MÍN. 1 M3, CAÇAMBA RETRO CAP. 0,20 M3, PESO OPERACIONAL MÍN. 6.570 KG, PROFUNDIDADE
ESCAVAÇÃO MÁX. 4,37 M - CHP DIURNO. AF_06/2014 (inclui operador, CHP e CHI)</t>
  </si>
  <si>
    <t>E9742</t>
  </si>
  <si>
    <t xml:space="preserve"> E9089</t>
  </si>
  <si>
    <t xml:space="preserve"> E9156</t>
  </si>
  <si>
    <t>CCT 2026 RS000041/2026</t>
  </si>
  <si>
    <t>CCT 2026 RS000041/2027</t>
  </si>
  <si>
    <t>SICRO P9875</t>
  </si>
  <si>
    <t>P9875</t>
  </si>
  <si>
    <t>capacidade de produção da equipe</t>
  </si>
  <si>
    <t xml:space="preserve">Varredor </t>
  </si>
  <si>
    <t>CAPINA E ROÇADA</t>
  </si>
  <si>
    <t>VARRIÇÃO</t>
  </si>
  <si>
    <t>KM</t>
  </si>
  <si>
    <t>E9131</t>
  </si>
  <si>
    <t xml:space="preserve">Veículo tipo van furgão com capacidade de 1,38 t - 100 kW </t>
  </si>
  <si>
    <t>un</t>
  </si>
  <si>
    <t xml:space="preserve"> INSTALAÇÃO DE LIXEIRA METÁLICA DUPLA, CAPACIDADE DE 60 L, EM TUBO DE AÇO CARBONO E CESTOS EM CHAPA DE AÇO COM PINTURA ELETROSTÁTICA, SOBRE PISO DE CONCRETO EXISTENTE. AF_11/2021</t>
  </si>
  <si>
    <t xml:space="preserve">	Lixeira de plástico capacidade 240 Lt com tampa e rodinhas</t>
  </si>
  <si>
    <t>ORSE</t>
  </si>
  <si>
    <t>PINTURA DE MEIO FIO</t>
  </si>
  <si>
    <t>Caminhão compactador ≥5m³, motor diesel ≥200CV CHP+CHI (recolhimento e transporte varrição) (inclui motorista, CHP e CHI)</t>
  </si>
  <si>
    <t/>
  </si>
  <si>
    <t>LIMPEZA DE PRAÇAS, PARQUES E ÁREAS PÚBLICAS</t>
  </si>
  <si>
    <r>
      <t>m</t>
    </r>
    <r>
      <rPr>
        <sz val="9"/>
        <rFont val="Arial"/>
        <family val="2"/>
      </rPr>
      <t>²</t>
    </r>
  </si>
  <si>
    <t xml:space="preserve">Roçador c/ roçadeira costal </t>
  </si>
  <si>
    <t>Operador de trator roçadeira (trator roçadeira traseira e roçadeira articulada)</t>
  </si>
  <si>
    <t>descrição</t>
  </si>
  <si>
    <t>Fornecimento e instalação de lixeiras metálicas duplas 60L</t>
  </si>
  <si>
    <t xml:space="preserve">Varrição manual </t>
  </si>
  <si>
    <t>Item 3 Lixeiras</t>
  </si>
  <si>
    <t>Item 5
Limpeza Praças</t>
  </si>
  <si>
    <t>UNIDADES/MêS</t>
  </si>
  <si>
    <t>Custo Unitário (R$)</t>
  </si>
  <si>
    <t>Custo por M² (R$)</t>
  </si>
  <si>
    <t>m³*km/mês</t>
  </si>
  <si>
    <t>TRANSPORTE COM CAMINHÃO BASCULANTE DE 10 M³, EM VIA URBANA EM REVESTIMENTO PRIMÁRIO (UNIDADE:
M3XKM). AF_02/2026 (Transporte final dos resíduos (1.428 m³/mês) )</t>
  </si>
  <si>
    <t>TRANSPORTE COM CAMINHÃO BASCULANTE DE 10 M³, EM VIA URBANA EM REVESTIMENTO PRIMÁRIO (UNIDADE:
M3XKM). AF_02/2026 (Transporte final dos resíduos (1.056 m³/mês) )</t>
  </si>
  <si>
    <t>SINAPI RS abr/2026</t>
  </si>
  <si>
    <t>Trator agrícola sobre pneus com roçadeira articulada e capacidade de 1,12 m - 77 kW (trator roçadeira traseira e roçadeira articulada)</t>
  </si>
  <si>
    <t>FORNECIMENTO E INSTALAÇÃO DE LIXEIRAS DUPLAS 60L</t>
  </si>
  <si>
    <t>item 4 - Pintura de meio-fio</t>
  </si>
  <si>
    <t>Aluguel de banheiro químico, com limpeza diária</t>
  </si>
  <si>
    <t>km/mês</t>
  </si>
  <si>
    <t>Base: SINAPI RS maio/2026 | SEEAC/RS 2026 | SICRO abril/2026 | Processo Adm. 23.887/2026 — SMOPSU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</si>
</sst>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"/>
    <numFmt numFmtId="166" formatCode="_-[$R$-416]\ * #,##0.00_-;\-[$R$-416]\ * #,##0.00_-;_-[$R$-416]\ * &quot;-&quot;??_-;_-@_-"/>
    <numFmt numFmtId="167" formatCode="#,##0.0000"/>
  </numFmts>
  <fonts count="38">
    <font>
      <sz val="11"/>
      <color theme="1"/>
      <name val="Calibri"/>
      <family val="2"/>
      <charset val="1"/>
    </font>
    <font>
      <b/>
      <sz val="13"/>
      <color rgb="FFFFFFFF"/>
      <name val="Arial"/>
      <charset val="1"/>
    </font>
    <font>
      <b/>
      <sz val="9"/>
      <color rgb="FFFFFFFF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  <font>
      <sz val="9"/>
      <color rgb="FF008000"/>
      <name val="Arial"/>
      <charset val="1"/>
    </font>
    <font>
      <b/>
      <sz val="10"/>
      <color rgb="FFFFFFFF"/>
      <name val="Arial"/>
      <charset val="1"/>
    </font>
    <font>
      <b/>
      <sz val="11"/>
      <color rgb="FFFFFFFF"/>
      <name val="Arial"/>
      <charset val="1"/>
    </font>
    <font>
      <b/>
      <sz val="12"/>
      <color rgb="FFFFFFFF"/>
      <name val="Arial"/>
      <charset val="1"/>
    </font>
    <font>
      <sz val="9"/>
      <color rgb="FF808080"/>
      <name val="Arial"/>
      <charset val="1"/>
    </font>
    <font>
      <b/>
      <sz val="9"/>
      <name val="Arial"/>
      <charset val="1"/>
    </font>
    <font>
      <b/>
      <sz val="9"/>
      <color rgb="FFFF0000"/>
      <name val="Arial"/>
      <charset val="1"/>
    </font>
    <font>
      <sz val="9"/>
      <color rgb="FF000000"/>
      <name val="Arial"/>
      <family val="2"/>
    </font>
    <font>
      <sz val="11"/>
      <color theme="1"/>
      <name val="Calibri"/>
      <family val="2"/>
      <charset val="1"/>
    </font>
    <font>
      <sz val="9"/>
      <name val="Arial"/>
      <family val="2"/>
    </font>
    <font>
      <b/>
      <sz val="9"/>
      <color rgb="FFFFFFFF"/>
      <name val="Arial"/>
      <family val="2"/>
    </font>
    <font>
      <sz val="9"/>
      <color rgb="FF80808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9"/>
      <color rgb="FFFF0000"/>
      <name val="Arial"/>
      <family val="2"/>
    </font>
    <font>
      <b/>
      <sz val="10"/>
      <color rgb="FF000000"/>
      <name val="Arial"/>
      <family val="2"/>
    </font>
    <font>
      <b/>
      <sz val="12"/>
      <color rgb="FFFFFFFF"/>
      <name val="Arial"/>
      <family val="2"/>
    </font>
    <font>
      <sz val="8"/>
      <name val="Calibri"/>
      <family val="2"/>
      <charset val="1"/>
    </font>
    <font>
      <sz val="9"/>
      <color rgb="FF000000"/>
      <name val="ArialMT"/>
    </font>
    <font>
      <sz val="9"/>
      <color theme="1"/>
      <name val="Arial"/>
      <family val="2"/>
    </font>
    <font>
      <b/>
      <sz val="11"/>
      <color theme="1"/>
      <name val="Calibri"/>
      <family val="2"/>
      <charset val="1"/>
    </font>
    <font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color rgb="FF000000"/>
      <name val="CAIXAStd"/>
    </font>
    <font>
      <b/>
      <sz val="11"/>
      <color theme="1"/>
      <name val="Calibri"/>
      <family val="2"/>
    </font>
    <font>
      <sz val="9"/>
      <color theme="1"/>
      <name val="Arial "/>
    </font>
    <font>
      <sz val="9"/>
      <color rgb="FF000000"/>
      <name val="Arial "/>
    </font>
    <font>
      <sz val="9"/>
      <color rgb="FFFF0000"/>
      <name val="Arial "/>
    </font>
    <font>
      <b/>
      <sz val="9"/>
      <color rgb="FF000000"/>
      <name val="Arial "/>
    </font>
    <font>
      <b/>
      <sz val="9"/>
      <color theme="1"/>
      <name val="Arial "/>
    </font>
    <font>
      <b/>
      <sz val="9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6DCE4"/>
        <bgColor rgb="FFD9E2F3"/>
      </patternFill>
    </fill>
    <fill>
      <patternFill patternType="solid">
        <fgColor rgb="FFD9E2F3"/>
        <bgColor rgb="FFD6DCE4"/>
      </patternFill>
    </fill>
    <fill>
      <patternFill patternType="solid">
        <fgColor rgb="FFE2EFDA"/>
        <bgColor rgb="FFD9E2F3"/>
      </patternFill>
    </fill>
    <fill>
      <patternFill patternType="solid">
        <fgColor rgb="FFED7D31"/>
        <bgColor rgb="FFFF8080"/>
      </patternFill>
    </fill>
    <fill>
      <patternFill patternType="solid">
        <fgColor rgb="FFFFC000"/>
        <bgColor rgb="FFFF9900"/>
      </patternFill>
    </fill>
    <fill>
      <patternFill patternType="solid">
        <fgColor theme="6" tint="0.79998168889431442"/>
        <bgColor rgb="FFD6DCE4"/>
      </patternFill>
    </fill>
    <fill>
      <patternFill patternType="solid">
        <fgColor theme="3" tint="0.79998168889431442"/>
        <bgColor rgb="FFD6DCE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rgb="FFD9E2F3"/>
      </patternFill>
    </fill>
    <fill>
      <patternFill patternType="solid">
        <fgColor theme="0" tint="-0.249977111117893"/>
        <bgColor rgb="FF333333"/>
      </patternFill>
    </fill>
    <fill>
      <patternFill patternType="solid">
        <fgColor theme="7" tint="0.79998168889431442"/>
        <bgColor rgb="FFD6DCE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3" tint="0.79998168889431442"/>
        <bgColor rgb="FFD9E2F3"/>
      </patternFill>
    </fill>
    <fill>
      <patternFill patternType="solid">
        <fgColor theme="5" tint="0.79998168889431442"/>
        <bgColor rgb="FFD9E2F3"/>
      </patternFill>
    </fill>
    <fill>
      <patternFill patternType="solid">
        <fgColor theme="6" tint="0.79998168889431442"/>
        <bgColor rgb="FFFCE4D6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6DCE4"/>
      </patternFill>
    </fill>
  </fills>
  <borders count="17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/>
      <right/>
      <top style="thin">
        <color rgb="FFB0B0B0"/>
      </top>
      <bottom style="thin">
        <color rgb="FFB0B0B0"/>
      </bottom>
      <diagonal/>
    </border>
    <border>
      <left/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0B0B0"/>
      </left>
      <right style="thin">
        <color rgb="FFB0B0B0"/>
      </right>
      <top style="thin">
        <color rgb="FFB0B0B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0B0B0"/>
      </left>
      <right style="thin">
        <color rgb="FFB0B0B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B0B0B0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259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8" fillId="6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0" fontId="5" fillId="0" borderId="1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0" fontId="3" fillId="7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0" fontId="11" fillId="0" borderId="1" xfId="0" applyNumberFormat="1" applyFont="1" applyBorder="1" applyAlignment="1">
      <alignment horizontal="center"/>
    </xf>
    <xf numFmtId="10" fontId="12" fillId="7" borderId="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4" fontId="13" fillId="0" borderId="4" xfId="0" applyNumberFormat="1" applyFont="1" applyBorder="1" applyAlignment="1">
      <alignment horizontal="center" vertical="center"/>
    </xf>
    <xf numFmtId="10" fontId="13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3" fillId="0" borderId="4" xfId="0" applyFont="1" applyBorder="1"/>
    <xf numFmtId="0" fontId="17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/>
    </xf>
    <xf numFmtId="166" fontId="13" fillId="0" borderId="4" xfId="0" applyNumberFormat="1" applyFont="1" applyBorder="1" applyAlignment="1">
      <alignment horizontal="center" vertical="center"/>
    </xf>
    <xf numFmtId="166" fontId="15" fillId="0" borderId="4" xfId="0" applyNumberFormat="1" applyFont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4" fontId="18" fillId="9" borderId="4" xfId="0" applyNumberFormat="1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164" fontId="5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4" fontId="18" fillId="8" borderId="4" xfId="0" applyNumberFormat="1" applyFont="1" applyFill="1" applyBorder="1" applyAlignment="1">
      <alignment horizontal="right" vertical="center"/>
    </xf>
    <xf numFmtId="0" fontId="27" fillId="13" borderId="10" xfId="0" applyFont="1" applyFill="1" applyBorder="1" applyAlignment="1">
      <alignment horizontal="right" vertical="center"/>
    </xf>
    <xf numFmtId="4" fontId="28" fillId="13" borderId="10" xfId="0" applyNumberFormat="1" applyFont="1" applyFill="1" applyBorder="1" applyAlignment="1">
      <alignment vertical="center"/>
    </xf>
    <xf numFmtId="0" fontId="28" fillId="13" borderId="11" xfId="0" applyFont="1" applyFill="1" applyBorder="1" applyAlignment="1">
      <alignment vertical="center"/>
    </xf>
    <xf numFmtId="0" fontId="28" fillId="13" borderId="10" xfId="0" applyFont="1" applyFill="1" applyBorder="1" applyAlignment="1">
      <alignment vertical="center"/>
    </xf>
    <xf numFmtId="0" fontId="3" fillId="12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0" fillId="0" borderId="0" xfId="0" applyFont="1"/>
    <xf numFmtId="0" fontId="24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3" fontId="0" fillId="0" borderId="0" xfId="1" applyFont="1" applyFill="1" applyBorder="1"/>
    <xf numFmtId="0" fontId="5" fillId="14" borderId="4" xfId="0" applyFont="1" applyFill="1" applyBorder="1" applyAlignment="1">
      <alignment horizontal="center" vertical="center"/>
    </xf>
    <xf numFmtId="44" fontId="0" fillId="0" borderId="0" xfId="2" applyFont="1"/>
    <xf numFmtId="44" fontId="0" fillId="0" borderId="0" xfId="0" applyNumberFormat="1"/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4" fontId="18" fillId="14" borderId="4" xfId="0" applyNumberFormat="1" applyFont="1" applyFill="1" applyBorder="1" applyAlignment="1">
      <alignment horizontal="right" vertical="center"/>
    </xf>
    <xf numFmtId="0" fontId="27" fillId="13" borderId="4" xfId="0" applyFont="1" applyFill="1" applyBorder="1" applyAlignment="1">
      <alignment horizontal="right" vertical="center"/>
    </xf>
    <xf numFmtId="4" fontId="28" fillId="13" borderId="4" xfId="0" applyNumberFormat="1" applyFont="1" applyFill="1" applyBorder="1" applyAlignment="1">
      <alignment vertical="center"/>
    </xf>
    <xf numFmtId="0" fontId="28" fillId="13" borderId="4" xfId="0" applyFont="1" applyFill="1" applyBorder="1" applyAlignment="1">
      <alignment vertical="center"/>
    </xf>
    <xf numFmtId="0" fontId="4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left" vertical="center"/>
    </xf>
    <xf numFmtId="0" fontId="5" fillId="16" borderId="1" xfId="0" applyFont="1" applyFill="1" applyBorder="1" applyAlignment="1">
      <alignment horizontal="center" vertical="center"/>
    </xf>
    <xf numFmtId="4" fontId="6" fillId="16" borderId="1" xfId="0" applyNumberFormat="1" applyFont="1" applyFill="1" applyBorder="1" applyAlignment="1">
      <alignment horizontal="center"/>
    </xf>
    <xf numFmtId="3" fontId="5" fillId="16" borderId="1" xfId="0" applyNumberFormat="1" applyFont="1" applyFill="1" applyBorder="1" applyAlignment="1">
      <alignment horizontal="center" vertical="center"/>
    </xf>
    <xf numFmtId="4" fontId="4" fillId="16" borderId="1" xfId="0" applyNumberFormat="1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left" vertical="center"/>
    </xf>
    <xf numFmtId="0" fontId="5" fillId="17" borderId="1" xfId="0" applyFont="1" applyFill="1" applyBorder="1" applyAlignment="1">
      <alignment horizontal="center" vertical="center"/>
    </xf>
    <xf numFmtId="3" fontId="5" fillId="17" borderId="1" xfId="0" applyNumberFormat="1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left" vertical="center"/>
    </xf>
    <xf numFmtId="0" fontId="5" fillId="18" borderId="1" xfId="0" applyFont="1" applyFill="1" applyBorder="1" applyAlignment="1">
      <alignment horizontal="center" vertical="center"/>
    </xf>
    <xf numFmtId="3" fontId="5" fillId="18" borderId="1" xfId="0" applyNumberFormat="1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left" vertical="center"/>
    </xf>
    <xf numFmtId="0" fontId="5" fillId="19" borderId="1" xfId="0" applyFont="1" applyFill="1" applyBorder="1" applyAlignment="1">
      <alignment horizontal="center" vertical="center"/>
    </xf>
    <xf numFmtId="3" fontId="5" fillId="19" borderId="1" xfId="0" applyNumberFormat="1" applyFont="1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left" vertical="center"/>
    </xf>
    <xf numFmtId="0" fontId="5" fillId="20" borderId="1" xfId="0" applyFont="1" applyFill="1" applyBorder="1" applyAlignment="1">
      <alignment horizontal="center" vertical="center"/>
    </xf>
    <xf numFmtId="3" fontId="5" fillId="20" borderId="1" xfId="0" applyNumberFormat="1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left" vertical="center" wrapText="1"/>
    </xf>
    <xf numFmtId="0" fontId="5" fillId="16" borderId="1" xfId="0" applyFont="1" applyFill="1" applyBorder="1" applyAlignment="1">
      <alignment horizontal="left" vertical="justify" wrapText="1"/>
    </xf>
    <xf numFmtId="4" fontId="5" fillId="16" borderId="1" xfId="0" applyNumberFormat="1" applyFont="1" applyFill="1" applyBorder="1" applyAlignment="1">
      <alignment horizontal="center" vertical="center"/>
    </xf>
    <xf numFmtId="10" fontId="6" fillId="16" borderId="1" xfId="0" applyNumberFormat="1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left" vertical="center" wrapText="1"/>
    </xf>
    <xf numFmtId="0" fontId="5" fillId="17" borderId="1" xfId="0" applyFont="1" applyFill="1" applyBorder="1" applyAlignment="1">
      <alignment horizontal="left" vertical="justify" wrapText="1"/>
    </xf>
    <xf numFmtId="4" fontId="5" fillId="17" borderId="1" xfId="0" applyNumberFormat="1" applyFont="1" applyFill="1" applyBorder="1" applyAlignment="1">
      <alignment horizontal="center" vertical="center"/>
    </xf>
    <xf numFmtId="10" fontId="6" fillId="17" borderId="1" xfId="0" applyNumberFormat="1" applyFont="1" applyFill="1" applyBorder="1" applyAlignment="1">
      <alignment horizontal="center" vertical="center"/>
    </xf>
    <xf numFmtId="4" fontId="5" fillId="18" borderId="1" xfId="0" applyNumberFormat="1" applyFont="1" applyFill="1" applyBorder="1" applyAlignment="1">
      <alignment horizontal="center" vertical="center"/>
    </xf>
    <xf numFmtId="10" fontId="6" fillId="18" borderId="1" xfId="0" applyNumberFormat="1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left" vertical="justify" wrapText="1"/>
    </xf>
    <xf numFmtId="4" fontId="5" fillId="19" borderId="1" xfId="0" applyNumberFormat="1" applyFont="1" applyFill="1" applyBorder="1" applyAlignment="1">
      <alignment horizontal="center" vertical="center"/>
    </xf>
    <xf numFmtId="10" fontId="6" fillId="19" borderId="1" xfId="0" applyNumberFormat="1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left" vertical="center" wrapText="1"/>
    </xf>
    <xf numFmtId="0" fontId="5" fillId="20" borderId="1" xfId="0" applyFont="1" applyFill="1" applyBorder="1" applyAlignment="1">
      <alignment horizontal="left" vertical="justify" wrapText="1"/>
    </xf>
    <xf numFmtId="4" fontId="5" fillId="20" borderId="1" xfId="0" applyNumberFormat="1" applyFont="1" applyFill="1" applyBorder="1" applyAlignment="1">
      <alignment horizontal="center" vertical="center"/>
    </xf>
    <xf numFmtId="10" fontId="6" fillId="20" borderId="1" xfId="0" applyNumberFormat="1" applyFont="1" applyFill="1" applyBorder="1" applyAlignment="1">
      <alignment horizontal="center" vertical="center"/>
    </xf>
    <xf numFmtId="4" fontId="18" fillId="0" borderId="0" xfId="0" applyNumberFormat="1" applyFont="1" applyAlignment="1">
      <alignment horizontal="right" vertical="center"/>
    </xf>
    <xf numFmtId="43" fontId="26" fillId="0" borderId="0" xfId="0" applyNumberFormat="1" applyFont="1" applyAlignment="1">
      <alignment horizontal="right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25" fillId="23" borderId="4" xfId="0" applyFont="1" applyFill="1" applyBorder="1" applyAlignment="1">
      <alignment horizontal="center" vertical="center"/>
    </xf>
    <xf numFmtId="0" fontId="24" fillId="22" borderId="4" xfId="0" applyFont="1" applyFill="1" applyBorder="1" applyAlignment="1">
      <alignment horizontal="left" wrapText="1"/>
    </xf>
    <xf numFmtId="0" fontId="13" fillId="18" borderId="4" xfId="0" applyFont="1" applyFill="1" applyBorder="1" applyAlignment="1">
      <alignment horizontal="center" vertical="center"/>
    </xf>
    <xf numFmtId="4" fontId="5" fillId="23" borderId="1" xfId="0" applyNumberFormat="1" applyFont="1" applyFill="1" applyBorder="1" applyAlignment="1">
      <alignment horizontal="center" vertical="center"/>
    </xf>
    <xf numFmtId="4" fontId="5" fillId="9" borderId="1" xfId="0" applyNumberFormat="1" applyFont="1" applyFill="1" applyBorder="1" applyAlignment="1">
      <alignment horizontal="center" vertical="center"/>
    </xf>
    <xf numFmtId="4" fontId="5" fillId="8" borderId="1" xfId="0" applyNumberFormat="1" applyFont="1" applyFill="1" applyBorder="1" applyAlignment="1">
      <alignment horizontal="center" vertical="center"/>
    </xf>
    <xf numFmtId="4" fontId="5" fillId="14" borderId="1" xfId="0" applyNumberFormat="1" applyFont="1" applyFill="1" applyBorder="1" applyAlignment="1">
      <alignment horizontal="center" vertical="center"/>
    </xf>
    <xf numFmtId="4" fontId="6" fillId="9" borderId="1" xfId="0" applyNumberFormat="1" applyFont="1" applyFill="1" applyBorder="1" applyAlignment="1">
      <alignment horizontal="center"/>
    </xf>
    <xf numFmtId="4" fontId="6" fillId="23" borderId="1" xfId="0" applyNumberFormat="1" applyFont="1" applyFill="1" applyBorder="1" applyAlignment="1">
      <alignment horizontal="center"/>
    </xf>
    <xf numFmtId="4" fontId="6" fillId="8" borderId="1" xfId="0" applyNumberFormat="1" applyFont="1" applyFill="1" applyBorder="1" applyAlignment="1">
      <alignment horizontal="center"/>
    </xf>
    <xf numFmtId="4" fontId="6" fillId="14" borderId="1" xfId="0" applyNumberFormat="1" applyFont="1" applyFill="1" applyBorder="1" applyAlignment="1">
      <alignment horizontal="center"/>
    </xf>
    <xf numFmtId="3" fontId="5" fillId="9" borderId="1" xfId="0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3" fontId="5" fillId="23" borderId="1" xfId="0" applyNumberFormat="1" applyFont="1" applyFill="1" applyBorder="1" applyAlignment="1">
      <alignment horizontal="center" vertical="center"/>
    </xf>
    <xf numFmtId="4" fontId="4" fillId="23" borderId="1" xfId="0" applyNumberFormat="1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4" fontId="4" fillId="8" borderId="1" xfId="0" applyNumberFormat="1" applyFont="1" applyFill="1" applyBorder="1" applyAlignment="1">
      <alignment horizontal="center" vertical="center"/>
    </xf>
    <xf numFmtId="3" fontId="5" fillId="14" borderId="1" xfId="0" applyNumberFormat="1" applyFont="1" applyFill="1" applyBorder="1" applyAlignment="1">
      <alignment horizontal="center" vertical="center"/>
    </xf>
    <xf numFmtId="4" fontId="4" fillId="14" borderId="1" xfId="0" applyNumberFormat="1" applyFont="1" applyFill="1" applyBorder="1" applyAlignment="1">
      <alignment horizontal="center" vertical="center"/>
    </xf>
    <xf numFmtId="0" fontId="13" fillId="18" borderId="1" xfId="0" applyFont="1" applyFill="1" applyBorder="1" applyAlignment="1">
      <alignment horizontal="left" vertical="center" wrapText="1"/>
    </xf>
    <xf numFmtId="0" fontId="13" fillId="19" borderId="1" xfId="0" applyFont="1" applyFill="1" applyBorder="1" applyAlignment="1">
      <alignment horizontal="left" vertical="center" wrapText="1"/>
    </xf>
    <xf numFmtId="0" fontId="13" fillId="17" borderId="4" xfId="0" applyFont="1" applyFill="1" applyBorder="1" applyAlignment="1">
      <alignment horizontal="left" vertical="center" wrapText="1"/>
    </xf>
    <xf numFmtId="0" fontId="13" fillId="17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left" vertical="center" wrapText="1"/>
    </xf>
    <xf numFmtId="164" fontId="5" fillId="19" borderId="4" xfId="0" applyNumberFormat="1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25" fillId="14" borderId="4" xfId="0" applyFont="1" applyFill="1" applyBorder="1" applyAlignment="1">
      <alignment horizontal="center" vertical="center"/>
    </xf>
    <xf numFmtId="0" fontId="5" fillId="20" borderId="4" xfId="0" applyFont="1" applyFill="1" applyBorder="1" applyAlignment="1">
      <alignment horizontal="left" vertical="center" wrapText="1"/>
    </xf>
    <xf numFmtId="164" fontId="5" fillId="20" borderId="4" xfId="0" applyNumberFormat="1" applyFont="1" applyFill="1" applyBorder="1" applyAlignment="1">
      <alignment horizontal="center" vertical="center"/>
    </xf>
    <xf numFmtId="0" fontId="5" fillId="20" borderId="4" xfId="0" applyFont="1" applyFill="1" applyBorder="1" applyAlignment="1">
      <alignment horizontal="center" vertical="center"/>
    </xf>
    <xf numFmtId="0" fontId="13" fillId="14" borderId="4" xfId="0" applyFont="1" applyFill="1" applyBorder="1" applyAlignment="1">
      <alignment horizontal="left" vertical="center" wrapText="1"/>
    </xf>
    <xf numFmtId="164" fontId="5" fillId="14" borderId="4" xfId="0" applyNumberFormat="1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left" vertical="center" wrapText="1"/>
    </xf>
    <xf numFmtId="0" fontId="13" fillId="14" borderId="4" xfId="0" applyFont="1" applyFill="1" applyBorder="1" applyAlignment="1">
      <alignment horizontal="center" vertical="center"/>
    </xf>
    <xf numFmtId="0" fontId="13" fillId="15" borderId="4" xfId="0" applyFont="1" applyFill="1" applyBorder="1"/>
    <xf numFmtId="0" fontId="13" fillId="15" borderId="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4" fillId="15" borderId="4" xfId="0" applyFont="1" applyFill="1" applyBorder="1" applyAlignment="1">
      <alignment wrapText="1"/>
    </xf>
    <xf numFmtId="0" fontId="33" fillId="16" borderId="4" xfId="0" applyFont="1" applyFill="1" applyBorder="1" applyAlignment="1">
      <alignment horizontal="left" vertical="center" wrapText="1"/>
    </xf>
    <xf numFmtId="0" fontId="33" fillId="16" borderId="4" xfId="0" applyFont="1" applyFill="1" applyBorder="1" applyAlignment="1">
      <alignment horizontal="center" vertical="center"/>
    </xf>
    <xf numFmtId="164" fontId="33" fillId="16" borderId="4" xfId="0" applyNumberFormat="1" applyFont="1" applyFill="1" applyBorder="1" applyAlignment="1">
      <alignment horizontal="center" vertical="center"/>
    </xf>
    <xf numFmtId="4" fontId="33" fillId="16" borderId="4" xfId="0" applyNumberFormat="1" applyFont="1" applyFill="1" applyBorder="1" applyAlignment="1">
      <alignment horizontal="center" vertical="center"/>
    </xf>
    <xf numFmtId="0" fontId="32" fillId="16" borderId="4" xfId="0" applyFont="1" applyFill="1" applyBorder="1" applyAlignment="1">
      <alignment horizontal="center" vertical="center"/>
    </xf>
    <xf numFmtId="0" fontId="32" fillId="16" borderId="7" xfId="0" applyFont="1" applyFill="1" applyBorder="1" applyAlignment="1">
      <alignment horizontal="center" vertical="center"/>
    </xf>
    <xf numFmtId="0" fontId="33" fillId="16" borderId="7" xfId="0" applyFont="1" applyFill="1" applyBorder="1" applyAlignment="1">
      <alignment horizontal="left" vertical="center" wrapText="1"/>
    </xf>
    <xf numFmtId="0" fontId="33" fillId="16" borderId="7" xfId="0" applyFont="1" applyFill="1" applyBorder="1" applyAlignment="1">
      <alignment horizontal="center" vertical="center"/>
    </xf>
    <xf numFmtId="4" fontId="33" fillId="16" borderId="7" xfId="0" applyNumberFormat="1" applyFont="1" applyFill="1" applyBorder="1" applyAlignment="1">
      <alignment horizontal="center" vertical="center"/>
    </xf>
    <xf numFmtId="0" fontId="33" fillId="21" borderId="4" xfId="0" applyFont="1" applyFill="1" applyBorder="1" applyAlignment="1">
      <alignment wrapText="1"/>
    </xf>
    <xf numFmtId="0" fontId="33" fillId="21" borderId="0" xfId="0" applyFont="1" applyFill="1"/>
    <xf numFmtId="0" fontId="33" fillId="21" borderId="4" xfId="0" applyFont="1" applyFill="1" applyBorder="1"/>
    <xf numFmtId="0" fontId="33" fillId="21" borderId="4" xfId="0" applyFont="1" applyFill="1" applyBorder="1" applyAlignment="1">
      <alignment horizontal="center" vertical="center"/>
    </xf>
    <xf numFmtId="0" fontId="34" fillId="16" borderId="4" xfId="0" applyFont="1" applyFill="1" applyBorder="1" applyAlignment="1">
      <alignment horizontal="center" vertical="center"/>
    </xf>
    <xf numFmtId="4" fontId="35" fillId="16" borderId="4" xfId="0" applyNumberFormat="1" applyFont="1" applyFill="1" applyBorder="1" applyAlignment="1">
      <alignment horizontal="right" vertical="center"/>
    </xf>
    <xf numFmtId="0" fontId="33" fillId="21" borderId="0" xfId="0" applyFont="1" applyFill="1" applyAlignment="1">
      <alignment wrapText="1"/>
    </xf>
    <xf numFmtId="0" fontId="13" fillId="9" borderId="4" xfId="0" applyFont="1" applyFill="1" applyBorder="1" applyAlignment="1">
      <alignment horizontal="center" vertical="center"/>
    </xf>
    <xf numFmtId="164" fontId="13" fillId="17" borderId="4" xfId="0" applyNumberFormat="1" applyFont="1" applyFill="1" applyBorder="1" applyAlignment="1">
      <alignment horizontal="center" vertical="center"/>
    </xf>
    <xf numFmtId="0" fontId="13" fillId="10" borderId="4" xfId="0" applyFont="1" applyFill="1" applyBorder="1"/>
    <xf numFmtId="43" fontId="37" fillId="10" borderId="4" xfId="0" applyNumberFormat="1" applyFont="1" applyFill="1" applyBorder="1" applyAlignment="1">
      <alignment horizontal="right"/>
    </xf>
    <xf numFmtId="0" fontId="13" fillId="22" borderId="4" xfId="0" applyFont="1" applyFill="1" applyBorder="1" applyAlignment="1">
      <alignment horizontal="center" vertical="center" wrapText="1"/>
    </xf>
    <xf numFmtId="0" fontId="13" fillId="22" borderId="4" xfId="0" applyFont="1" applyFill="1" applyBorder="1" applyAlignment="1">
      <alignment horizontal="left" wrapText="1"/>
    </xf>
    <xf numFmtId="164" fontId="13" fillId="18" borderId="4" xfId="0" applyNumberFormat="1" applyFont="1" applyFill="1" applyBorder="1" applyAlignment="1">
      <alignment horizontal="center" vertical="center"/>
    </xf>
    <xf numFmtId="0" fontId="13" fillId="22" borderId="4" xfId="0" applyFont="1" applyFill="1" applyBorder="1" applyAlignment="1">
      <alignment horizontal="center" vertical="center"/>
    </xf>
    <xf numFmtId="0" fontId="32" fillId="9" borderId="4" xfId="0" applyFont="1" applyFill="1" applyBorder="1" applyAlignment="1">
      <alignment horizontal="center" vertical="center"/>
    </xf>
    <xf numFmtId="0" fontId="33" fillId="10" borderId="4" xfId="0" applyFont="1" applyFill="1" applyBorder="1" applyAlignment="1">
      <alignment horizontal="center" vertical="center"/>
    </xf>
    <xf numFmtId="0" fontId="33" fillId="9" borderId="4" xfId="0" applyFont="1" applyFill="1" applyBorder="1" applyAlignment="1">
      <alignment horizontal="left" vertical="center" wrapText="1"/>
    </xf>
    <xf numFmtId="0" fontId="33" fillId="9" borderId="4" xfId="0" applyFont="1" applyFill="1" applyBorder="1" applyAlignment="1">
      <alignment horizontal="center" vertical="center"/>
    </xf>
    <xf numFmtId="4" fontId="33" fillId="9" borderId="4" xfId="0" applyNumberFormat="1" applyFont="1" applyFill="1" applyBorder="1" applyAlignment="1">
      <alignment horizontal="center" vertical="center"/>
    </xf>
    <xf numFmtId="0" fontId="32" fillId="8" borderId="4" xfId="0" applyFont="1" applyFill="1" applyBorder="1" applyAlignment="1">
      <alignment horizontal="center" vertical="center"/>
    </xf>
    <xf numFmtId="0" fontId="33" fillId="11" borderId="4" xfId="0" applyFont="1" applyFill="1" applyBorder="1" applyAlignment="1">
      <alignment horizontal="center" vertical="center"/>
    </xf>
    <xf numFmtId="0" fontId="33" fillId="8" borderId="4" xfId="0" applyFont="1" applyFill="1" applyBorder="1" applyAlignment="1">
      <alignment horizontal="left" vertical="center" wrapText="1"/>
    </xf>
    <xf numFmtId="0" fontId="33" fillId="8" borderId="4" xfId="0" applyFont="1" applyFill="1" applyBorder="1" applyAlignment="1">
      <alignment horizontal="center" vertical="center"/>
    </xf>
    <xf numFmtId="4" fontId="33" fillId="8" borderId="4" xfId="0" applyNumberFormat="1" applyFont="1" applyFill="1" applyBorder="1" applyAlignment="1">
      <alignment horizontal="center" vertical="center"/>
    </xf>
    <xf numFmtId="0" fontId="13" fillId="19" borderId="4" xfId="0" applyFont="1" applyFill="1" applyBorder="1" applyAlignment="1">
      <alignment horizontal="center" vertical="center"/>
    </xf>
    <xf numFmtId="0" fontId="32" fillId="14" borderId="4" xfId="0" applyFont="1" applyFill="1" applyBorder="1" applyAlignment="1">
      <alignment horizontal="center" vertical="center"/>
    </xf>
    <xf numFmtId="0" fontId="33" fillId="15" borderId="4" xfId="0" applyFont="1" applyFill="1" applyBorder="1" applyAlignment="1">
      <alignment horizontal="center" vertical="center"/>
    </xf>
    <xf numFmtId="0" fontId="33" fillId="14" borderId="4" xfId="0" applyFont="1" applyFill="1" applyBorder="1" applyAlignment="1">
      <alignment horizontal="left" vertical="center" wrapText="1"/>
    </xf>
    <xf numFmtId="0" fontId="33" fillId="14" borderId="4" xfId="0" applyFont="1" applyFill="1" applyBorder="1" applyAlignment="1">
      <alignment horizontal="center" vertical="center"/>
    </xf>
    <xf numFmtId="4" fontId="33" fillId="14" borderId="4" xfId="0" applyNumberFormat="1" applyFont="1" applyFill="1" applyBorder="1" applyAlignment="1">
      <alignment horizontal="center" vertical="center"/>
    </xf>
    <xf numFmtId="4" fontId="33" fillId="16" borderId="4" xfId="0" applyNumberFormat="1" applyFont="1" applyFill="1" applyBorder="1" applyAlignment="1">
      <alignment horizontal="right" vertical="center"/>
    </xf>
    <xf numFmtId="4" fontId="33" fillId="16" borderId="7" xfId="0" applyNumberFormat="1" applyFont="1" applyFill="1" applyBorder="1" applyAlignment="1">
      <alignment horizontal="right" vertical="center"/>
    </xf>
    <xf numFmtId="0" fontId="33" fillId="21" borderId="0" xfId="0" applyFont="1" applyFill="1" applyAlignment="1">
      <alignment horizontal="right" vertical="center"/>
    </xf>
    <xf numFmtId="43" fontId="32" fillId="21" borderId="4" xfId="1" applyFont="1" applyFill="1" applyBorder="1" applyAlignment="1">
      <alignment horizontal="right" vertical="center"/>
    </xf>
    <xf numFmtId="43" fontId="32" fillId="21" borderId="4" xfId="0" applyNumberFormat="1" applyFont="1" applyFill="1" applyBorder="1" applyAlignment="1">
      <alignment horizontal="right" vertical="center"/>
    </xf>
    <xf numFmtId="43" fontId="32" fillId="21" borderId="7" xfId="1" applyFont="1" applyFill="1" applyBorder="1" applyAlignment="1">
      <alignment horizontal="right" vertical="center"/>
    </xf>
    <xf numFmtId="43" fontId="32" fillId="21" borderId="7" xfId="0" applyNumberFormat="1" applyFont="1" applyFill="1" applyBorder="1" applyAlignment="1">
      <alignment horizontal="right" vertical="center"/>
    </xf>
    <xf numFmtId="43" fontId="36" fillId="21" borderId="4" xfId="0" applyNumberFormat="1" applyFont="1" applyFill="1" applyBorder="1" applyAlignment="1">
      <alignment horizontal="right" vertical="center"/>
    </xf>
    <xf numFmtId="4" fontId="5" fillId="20" borderId="4" xfId="0" applyNumberFormat="1" applyFont="1" applyFill="1" applyBorder="1" applyAlignment="1">
      <alignment horizontal="right" vertical="center"/>
    </xf>
    <xf numFmtId="4" fontId="5" fillId="14" borderId="4" xfId="0" applyNumberFormat="1" applyFont="1" applyFill="1" applyBorder="1" applyAlignment="1">
      <alignment horizontal="right" vertical="center"/>
    </xf>
    <xf numFmtId="4" fontId="33" fillId="14" borderId="4" xfId="0" applyNumberFormat="1" applyFont="1" applyFill="1" applyBorder="1" applyAlignment="1">
      <alignment horizontal="right" vertical="center"/>
    </xf>
    <xf numFmtId="4" fontId="0" fillId="15" borderId="4" xfId="0" applyNumberFormat="1" applyFill="1" applyBorder="1" applyAlignment="1">
      <alignment horizontal="right" vertical="center"/>
    </xf>
    <xf numFmtId="4" fontId="26" fillId="15" borderId="4" xfId="2" applyNumberFormat="1" applyFont="1" applyFill="1" applyBorder="1" applyAlignment="1">
      <alignment horizontal="right" vertical="center"/>
    </xf>
    <xf numFmtId="167" fontId="0" fillId="15" borderId="4" xfId="0" applyNumberFormat="1" applyFill="1" applyBorder="1" applyAlignment="1">
      <alignment horizontal="right" vertical="center"/>
    </xf>
    <xf numFmtId="4" fontId="13" fillId="18" borderId="4" xfId="0" applyNumberFormat="1" applyFont="1" applyFill="1" applyBorder="1" applyAlignment="1">
      <alignment horizontal="right" vertical="center"/>
    </xf>
    <xf numFmtId="4" fontId="5" fillId="19" borderId="4" xfId="0" applyNumberFormat="1" applyFont="1" applyFill="1" applyBorder="1" applyAlignment="1">
      <alignment horizontal="right" vertical="center"/>
    </xf>
    <xf numFmtId="0" fontId="0" fillId="11" borderId="4" xfId="0" applyFill="1" applyBorder="1" applyAlignment="1">
      <alignment horizontal="right"/>
    </xf>
    <xf numFmtId="4" fontId="33" fillId="8" borderId="4" xfId="0" applyNumberFormat="1" applyFont="1" applyFill="1" applyBorder="1" applyAlignment="1">
      <alignment horizontal="right" vertical="center"/>
    </xf>
    <xf numFmtId="4" fontId="0" fillId="11" borderId="4" xfId="0" applyNumberFormat="1" applyFill="1" applyBorder="1" applyAlignment="1">
      <alignment horizontal="right"/>
    </xf>
    <xf numFmtId="2" fontId="0" fillId="11" borderId="4" xfId="0" applyNumberFormat="1" applyFill="1" applyBorder="1" applyAlignment="1">
      <alignment horizontal="right"/>
    </xf>
    <xf numFmtId="43" fontId="31" fillId="11" borderId="4" xfId="1" applyFont="1" applyFill="1" applyBorder="1" applyAlignment="1">
      <alignment horizontal="right"/>
    </xf>
    <xf numFmtId="4" fontId="13" fillId="17" borderId="4" xfId="0" applyNumberFormat="1" applyFont="1" applyFill="1" applyBorder="1" applyAlignment="1">
      <alignment horizontal="right" vertical="center"/>
    </xf>
    <xf numFmtId="43" fontId="25" fillId="10" borderId="4" xfId="1" applyFont="1" applyFill="1" applyBorder="1" applyAlignment="1">
      <alignment horizontal="right"/>
    </xf>
    <xf numFmtId="4" fontId="33" fillId="9" borderId="4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6" fillId="2" borderId="9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5" fillId="14" borderId="4" xfId="0" applyFont="1" applyFill="1" applyBorder="1" applyAlignment="1">
      <alignment horizontal="center" vertical="center"/>
    </xf>
    <xf numFmtId="0" fontId="5" fillId="20" borderId="14" xfId="0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horizontal="center" vertical="center" wrapText="1"/>
    </xf>
    <xf numFmtId="0" fontId="5" fillId="20" borderId="7" xfId="0" applyFont="1" applyFill="1" applyBorder="1" applyAlignment="1">
      <alignment horizontal="center" vertical="center" wrapText="1"/>
    </xf>
    <xf numFmtId="0" fontId="29" fillId="12" borderId="13" xfId="0" applyFont="1" applyFill="1" applyBorder="1" applyAlignment="1">
      <alignment horizontal="center" vertical="center"/>
    </xf>
    <xf numFmtId="0" fontId="29" fillId="12" borderId="11" xfId="0" applyFont="1" applyFill="1" applyBorder="1" applyAlignment="1">
      <alignment horizontal="center" vertical="center"/>
    </xf>
    <xf numFmtId="0" fontId="29" fillId="12" borderId="10" xfId="0" applyFont="1" applyFill="1" applyBorder="1" applyAlignment="1">
      <alignment horizontal="center" vertical="center"/>
    </xf>
    <xf numFmtId="0" fontId="29" fillId="12" borderId="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0" fontId="33" fillId="16" borderId="14" xfId="0" applyFont="1" applyFill="1" applyBorder="1" applyAlignment="1">
      <alignment horizontal="center" vertical="center" wrapText="1"/>
    </xf>
    <xf numFmtId="0" fontId="33" fillId="16" borderId="6" xfId="0" applyFont="1" applyFill="1" applyBorder="1" applyAlignment="1">
      <alignment horizontal="center" vertical="center" wrapText="1"/>
    </xf>
    <xf numFmtId="0" fontId="33" fillId="16" borderId="7" xfId="0" applyFont="1" applyFill="1" applyBorder="1" applyAlignment="1">
      <alignment horizontal="center" vertical="center" wrapText="1"/>
    </xf>
    <xf numFmtId="0" fontId="21" fillId="12" borderId="10" xfId="0" applyFont="1" applyFill="1" applyBorder="1" applyAlignment="1">
      <alignment horizontal="center" vertical="center"/>
    </xf>
    <xf numFmtId="0" fontId="21" fillId="12" borderId="11" xfId="0" applyFont="1" applyFill="1" applyBorder="1" applyAlignment="1">
      <alignment horizontal="center" vertical="center"/>
    </xf>
    <xf numFmtId="44" fontId="37" fillId="22" borderId="10" xfId="2" applyFont="1" applyFill="1" applyBorder="1" applyAlignment="1">
      <alignment horizontal="right" vertical="center"/>
    </xf>
    <xf numFmtId="44" fontId="37" fillId="22" borderId="11" xfId="2" applyFont="1" applyFill="1" applyBorder="1" applyAlignment="1">
      <alignment horizontal="right" vertical="center"/>
    </xf>
    <xf numFmtId="0" fontId="13" fillId="17" borderId="14" xfId="0" applyFont="1" applyFill="1" applyBorder="1" applyAlignment="1">
      <alignment horizontal="center" vertical="center" wrapText="1"/>
    </xf>
    <xf numFmtId="0" fontId="13" fillId="17" borderId="6" xfId="0" applyFont="1" applyFill="1" applyBorder="1" applyAlignment="1">
      <alignment horizontal="center" vertical="center" wrapText="1"/>
    </xf>
    <xf numFmtId="0" fontId="13" fillId="17" borderId="7" xfId="0" applyFont="1" applyFill="1" applyBorder="1" applyAlignment="1">
      <alignment horizontal="center" vertical="center" wrapText="1"/>
    </xf>
    <xf numFmtId="0" fontId="5" fillId="19" borderId="6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2" fillId="16" borderId="10" xfId="0" applyFont="1" applyFill="1" applyBorder="1" applyAlignment="1">
      <alignment horizontal="center" vertical="center"/>
    </xf>
    <xf numFmtId="0" fontId="32" fillId="16" borderId="11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9" fillId="0" borderId="0" xfId="0" applyFont="1"/>
    <xf numFmtId="0" fontId="3" fillId="4" borderId="1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0" borderId="0" xfId="0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FF2CC"/>
      <rgbColor rgb="FFD9E2F3"/>
      <rgbColor rgb="FF660066"/>
      <rgbColor rgb="FFFF8080"/>
      <rgbColor rgb="FF0066CC"/>
      <rgbColor rgb="FFD6D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000"/>
      <rgbColor rgb="FFFF9900"/>
      <rgbColor rgb="FFED7D31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showGridLines="0" zoomScaleNormal="100" workbookViewId="0">
      <pane ySplit="3" topLeftCell="A4" activePane="bottomLeft" state="frozen"/>
      <selection pane="bottomLeft" activeCell="F18" sqref="F18"/>
    </sheetView>
  </sheetViews>
  <sheetFormatPr defaultColWidth="8.7109375" defaultRowHeight="15"/>
  <cols>
    <col min="1" max="1" width="5" customWidth="1"/>
    <col min="2" max="2" width="52" customWidth="1"/>
    <col min="3" max="3" width="8" customWidth="1"/>
    <col min="4" max="4" width="10.5703125" bestFit="1" customWidth="1"/>
    <col min="5" max="5" width="18" customWidth="1"/>
    <col min="6" max="6" width="22" customWidth="1"/>
    <col min="7" max="7" width="15.85546875" bestFit="1" customWidth="1"/>
  </cols>
  <sheetData>
    <row r="1" spans="1:7" ht="24" customHeight="1">
      <c r="A1" s="216" t="s">
        <v>0</v>
      </c>
      <c r="B1" s="215"/>
      <c r="C1" s="215"/>
      <c r="D1" s="215"/>
      <c r="E1" s="215"/>
      <c r="F1" s="215"/>
    </row>
    <row r="2" spans="1:7" ht="15" customHeight="1">
      <c r="A2" s="221" t="s">
        <v>280</v>
      </c>
      <c r="B2" s="221"/>
      <c r="C2" s="221"/>
      <c r="D2" s="221"/>
      <c r="E2" s="221"/>
      <c r="F2" s="221"/>
    </row>
    <row r="3" spans="1:7" ht="15" customHeight="1">
      <c r="A3" s="2" t="s">
        <v>1</v>
      </c>
      <c r="B3" s="2" t="s">
        <v>2</v>
      </c>
      <c r="C3" s="2" t="s">
        <v>3</v>
      </c>
      <c r="D3" s="2" t="s">
        <v>5</v>
      </c>
      <c r="E3" s="148" t="s">
        <v>4</v>
      </c>
      <c r="F3" s="2" t="s">
        <v>6</v>
      </c>
    </row>
    <row r="4" spans="1:7" ht="18" customHeight="1">
      <c r="A4" s="68">
        <v>1</v>
      </c>
      <c r="B4" s="69" t="s">
        <v>7</v>
      </c>
      <c r="C4" s="70" t="s">
        <v>8</v>
      </c>
      <c r="D4" s="72">
        <f>('Planilha Orçamentária'!F4)*12</f>
        <v>1800</v>
      </c>
      <c r="E4" s="71">
        <f>'Planilha Orçamentária'!I4</f>
        <v>2503.8927878230925</v>
      </c>
      <c r="F4" s="73">
        <f>D4*ROUND(E4,2)</f>
        <v>4507002</v>
      </c>
      <c r="G4" s="60"/>
    </row>
    <row r="5" spans="1:7" ht="18" customHeight="1">
      <c r="A5" s="74">
        <v>2</v>
      </c>
      <c r="B5" s="75" t="s">
        <v>265</v>
      </c>
      <c r="C5" s="76" t="s">
        <v>8</v>
      </c>
      <c r="D5" s="123">
        <f>('Planilha Orçamentária'!F5)*12</f>
        <v>15600</v>
      </c>
      <c r="E5" s="119">
        <f>'Planilha Orçamentária'!I5</f>
        <v>189.30514296895225</v>
      </c>
      <c r="F5" s="124">
        <f t="shared" ref="F5:F8" si="0">D5*ROUND(E5,2)</f>
        <v>2953236</v>
      </c>
      <c r="G5" s="60"/>
    </row>
    <row r="6" spans="1:7" ht="18" customHeight="1">
      <c r="A6" s="78">
        <v>3</v>
      </c>
      <c r="B6" s="79" t="s">
        <v>264</v>
      </c>
      <c r="C6" s="80" t="s">
        <v>3</v>
      </c>
      <c r="D6" s="125">
        <f>('Planilha Orçamentária'!F6)*12</f>
        <v>216</v>
      </c>
      <c r="E6" s="120">
        <f>'Planilha Orçamentária'!I6</f>
        <v>1699.9253039999999</v>
      </c>
      <c r="F6" s="126">
        <f t="shared" si="0"/>
        <v>367184.88</v>
      </c>
    </row>
    <row r="7" spans="1:7" ht="18" customHeight="1">
      <c r="A7" s="82">
        <v>4</v>
      </c>
      <c r="B7" s="83" t="s">
        <v>9</v>
      </c>
      <c r="C7" s="84" t="s">
        <v>8</v>
      </c>
      <c r="D7" s="127">
        <f>('Planilha Orçamentária'!F7)*12</f>
        <v>1800</v>
      </c>
      <c r="E7" s="121">
        <f>'Planilha Orçamentária'!I7</f>
        <v>2185.5932140133332</v>
      </c>
      <c r="F7" s="128">
        <f t="shared" si="0"/>
        <v>3934062.0000000005</v>
      </c>
    </row>
    <row r="8" spans="1:7" ht="18" customHeight="1">
      <c r="A8" s="86">
        <v>5</v>
      </c>
      <c r="B8" s="87" t="s">
        <v>10</v>
      </c>
      <c r="C8" s="88" t="s">
        <v>11</v>
      </c>
      <c r="D8" s="129">
        <f>('Planilha Orçamentária'!F8)*12</f>
        <v>4200000</v>
      </c>
      <c r="E8" s="122">
        <f>'Planilha Orçamentária'!I8</f>
        <v>1.0624422418560839</v>
      </c>
      <c r="F8" s="130">
        <f t="shared" si="0"/>
        <v>4452000</v>
      </c>
    </row>
    <row r="9" spans="1:7" ht="18" customHeight="1">
      <c r="A9" s="218" t="s">
        <v>12</v>
      </c>
      <c r="B9" s="219"/>
      <c r="C9" s="219"/>
      <c r="D9" s="219"/>
      <c r="E9" s="219"/>
      <c r="F9" s="6">
        <f>SUM(F4:F8)</f>
        <v>16213484.880000001</v>
      </c>
    </row>
    <row r="10" spans="1:7" ht="21.75" customHeight="1">
      <c r="A10" s="222" t="s">
        <v>13</v>
      </c>
      <c r="B10" s="219"/>
      <c r="C10" s="219"/>
      <c r="D10" s="219"/>
      <c r="E10" s="219"/>
      <c r="F10" s="7">
        <f>F9/12</f>
        <v>1351123.74</v>
      </c>
    </row>
    <row r="11" spans="1:7" ht="19.5" customHeight="1">
      <c r="A11" s="222" t="s">
        <v>14</v>
      </c>
      <c r="B11" s="219"/>
      <c r="C11" s="219"/>
      <c r="D11" s="219"/>
      <c r="E11" s="219"/>
      <c r="F11" s="7">
        <f>F9*10</f>
        <v>162134848.80000001</v>
      </c>
    </row>
    <row r="12" spans="1:7" ht="19.5" customHeight="1">
      <c r="A12" s="215"/>
      <c r="B12" s="215"/>
      <c r="C12" s="215"/>
      <c r="D12" s="215"/>
      <c r="E12" s="215"/>
    </row>
  </sheetData>
  <mergeCells count="6">
    <mergeCell ref="A2:F2"/>
    <mergeCell ref="A11:E11"/>
    <mergeCell ref="A1:F1"/>
    <mergeCell ref="A12:E12"/>
    <mergeCell ref="A9:E9"/>
    <mergeCell ref="A10:E10"/>
  </mergeCells>
  <printOptions horizontalCentered="1"/>
  <pageMargins left="0.74803149606299213" right="0.74803149606299213" top="0.98425196850393704" bottom="0.98425196850393704" header="0.51181102362204722" footer="0.51181102362204722"/>
  <pageSetup paperSize="9" fitToHeight="1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0"/>
  <sheetViews>
    <sheetView showGridLines="0" topLeftCell="D1" zoomScaleNormal="100" workbookViewId="0">
      <pane ySplit="3" topLeftCell="A4" activePane="bottomLeft" state="frozen"/>
      <selection pane="bottomLeft" activeCell="D18" sqref="D18"/>
    </sheetView>
  </sheetViews>
  <sheetFormatPr defaultColWidth="8.7109375" defaultRowHeight="15"/>
  <cols>
    <col min="1" max="1" width="5" customWidth="1"/>
    <col min="2" max="2" width="47.85546875" customWidth="1"/>
    <col min="3" max="3" width="22" customWidth="1"/>
    <col min="4" max="4" width="48" customWidth="1"/>
    <col min="5" max="5" width="7" customWidth="1"/>
    <col min="6" max="6" width="12" customWidth="1"/>
    <col min="7" max="7" width="16" customWidth="1"/>
    <col min="8" max="8" width="10" customWidth="1"/>
    <col min="9" max="9" width="42.140625" customWidth="1"/>
    <col min="10" max="10" width="18" customWidth="1"/>
    <col min="11" max="11" width="16.85546875" bestFit="1" customWidth="1"/>
  </cols>
  <sheetData>
    <row r="1" spans="1:10" ht="24" customHeight="1">
      <c r="A1" s="216" t="s">
        <v>15</v>
      </c>
      <c r="B1" s="215"/>
      <c r="C1" s="215"/>
      <c r="D1" s="215"/>
      <c r="E1" s="215"/>
      <c r="F1" s="215"/>
      <c r="G1" s="215"/>
      <c r="H1" s="215"/>
      <c r="I1" s="215"/>
      <c r="J1" s="215"/>
    </row>
    <row r="2" spans="1:10" ht="15" customHeight="1">
      <c r="A2" s="214" t="s">
        <v>280</v>
      </c>
      <c r="B2" s="215"/>
      <c r="C2" s="215"/>
      <c r="D2" s="215"/>
      <c r="E2" s="215"/>
      <c r="F2" s="215"/>
      <c r="G2" s="215"/>
      <c r="H2" s="215"/>
      <c r="I2" s="215"/>
      <c r="J2" s="215"/>
    </row>
    <row r="3" spans="1:10" ht="31.5" customHeight="1">
      <c r="A3" s="8" t="s">
        <v>1</v>
      </c>
      <c r="B3" s="8" t="s">
        <v>263</v>
      </c>
      <c r="C3" s="8" t="s">
        <v>17</v>
      </c>
      <c r="D3" s="8" t="s">
        <v>18</v>
      </c>
      <c r="E3" s="8" t="s">
        <v>3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</row>
    <row r="4" spans="1:10" ht="48" customHeight="1">
      <c r="A4" s="68">
        <v>1</v>
      </c>
      <c r="B4" s="69" t="s">
        <v>7</v>
      </c>
      <c r="C4" s="90" t="s">
        <v>24</v>
      </c>
      <c r="D4" s="91" t="s">
        <v>25</v>
      </c>
      <c r="E4" s="70" t="s">
        <v>8</v>
      </c>
      <c r="F4" s="72">
        <v>150</v>
      </c>
      <c r="G4" s="92">
        <f>'Composições CCU'!J19</f>
        <v>1987.0587951933121</v>
      </c>
      <c r="H4" s="93">
        <v>0.2601</v>
      </c>
      <c r="I4" s="92">
        <f>G4*(1+H4)</f>
        <v>2503.8927878230925</v>
      </c>
      <c r="J4" s="73">
        <f>I4*ROUND(F4,2)</f>
        <v>375583.9181734639</v>
      </c>
    </row>
    <row r="5" spans="1:10" ht="72" customHeight="1">
      <c r="A5" s="74">
        <v>2</v>
      </c>
      <c r="B5" s="75" t="s">
        <v>265</v>
      </c>
      <c r="C5" s="94" t="s">
        <v>26</v>
      </c>
      <c r="D5" s="95" t="s">
        <v>27</v>
      </c>
      <c r="E5" s="76" t="s">
        <v>8</v>
      </c>
      <c r="F5" s="77">
        <v>1300</v>
      </c>
      <c r="G5" s="96">
        <f>'Composições CCU'!J28</f>
        <v>150.23025392346025</v>
      </c>
      <c r="H5" s="97">
        <v>0.2601</v>
      </c>
      <c r="I5" s="116">
        <f t="shared" ref="I5:I8" si="0">G5*(1+H5)</f>
        <v>189.30514296895225</v>
      </c>
      <c r="J5" s="124">
        <f t="shared" ref="J5:J8" si="1">I5*ROUND(F5,2)</f>
        <v>246096.68585963792</v>
      </c>
    </row>
    <row r="6" spans="1:10" ht="60.75">
      <c r="A6" s="78">
        <v>3</v>
      </c>
      <c r="B6" s="79" t="s">
        <v>264</v>
      </c>
      <c r="C6" s="131" t="s">
        <v>274</v>
      </c>
      <c r="D6" s="113" t="s">
        <v>253</v>
      </c>
      <c r="E6" s="80" t="s">
        <v>3</v>
      </c>
      <c r="F6" s="81">
        <v>18</v>
      </c>
      <c r="G6" s="98">
        <f>'Composições CCU'!H32</f>
        <v>1349.04</v>
      </c>
      <c r="H6" s="99">
        <v>0.2601</v>
      </c>
      <c r="I6" s="115">
        <f t="shared" si="0"/>
        <v>1699.9253039999999</v>
      </c>
      <c r="J6" s="126">
        <f t="shared" si="1"/>
        <v>30598.655471999999</v>
      </c>
    </row>
    <row r="7" spans="1:10" ht="39.75" customHeight="1">
      <c r="A7" s="82">
        <v>4</v>
      </c>
      <c r="B7" s="83" t="s">
        <v>9</v>
      </c>
      <c r="C7" s="132" t="s">
        <v>28</v>
      </c>
      <c r="D7" s="100" t="s">
        <v>29</v>
      </c>
      <c r="E7" s="84" t="s">
        <v>8</v>
      </c>
      <c r="F7" s="85">
        <v>150</v>
      </c>
      <c r="G7" s="101">
        <f>'Composições CCU'!J38</f>
        <v>1734.4601333333333</v>
      </c>
      <c r="H7" s="102">
        <v>0.2601</v>
      </c>
      <c r="I7" s="117">
        <f>G7*(1+H7)</f>
        <v>2185.5932140133332</v>
      </c>
      <c r="J7" s="128">
        <f t="shared" si="1"/>
        <v>327838.98210199998</v>
      </c>
    </row>
    <row r="8" spans="1:10" ht="48" customHeight="1">
      <c r="A8" s="86">
        <v>5</v>
      </c>
      <c r="B8" s="87" t="s">
        <v>10</v>
      </c>
      <c r="C8" s="103" t="s">
        <v>30</v>
      </c>
      <c r="D8" s="104" t="s">
        <v>31</v>
      </c>
      <c r="E8" s="88" t="s">
        <v>11</v>
      </c>
      <c r="F8" s="89">
        <v>350000</v>
      </c>
      <c r="G8" s="105">
        <f>'Composições CCU'!J54</f>
        <v>0.84314121248796436</v>
      </c>
      <c r="H8" s="106">
        <v>0.2601</v>
      </c>
      <c r="I8" s="118">
        <f t="shared" si="0"/>
        <v>1.0624422418560839</v>
      </c>
      <c r="J8" s="130">
        <f t="shared" si="1"/>
        <v>371854.78464962938</v>
      </c>
    </row>
    <row r="9" spans="1:10" ht="39.75" customHeight="1">
      <c r="A9" s="218" t="s">
        <v>32</v>
      </c>
      <c r="B9" s="219"/>
      <c r="C9" s="219"/>
      <c r="D9" s="219"/>
      <c r="E9" s="219"/>
      <c r="F9" s="219"/>
      <c r="G9" s="219"/>
      <c r="H9" s="219"/>
      <c r="I9" s="220"/>
      <c r="J9" s="6">
        <f>SUM(J4:J8)</f>
        <v>1351973.0262567312</v>
      </c>
    </row>
    <row r="10" spans="1:10" ht="21.75" customHeight="1">
      <c r="A10" s="217"/>
      <c r="B10" s="215"/>
      <c r="C10" s="215"/>
      <c r="D10" s="215"/>
      <c r="E10" s="215"/>
      <c r="F10" s="215"/>
      <c r="G10" s="215"/>
      <c r="H10" s="215"/>
      <c r="I10" s="215"/>
    </row>
  </sheetData>
  <mergeCells count="4">
    <mergeCell ref="A2:J2"/>
    <mergeCell ref="A1:J1"/>
    <mergeCell ref="A10:I10"/>
    <mergeCell ref="A9:I9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57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showGridLines="0" zoomScaleNormal="100" workbookViewId="0">
      <selection activeCell="E29" sqref="E29"/>
    </sheetView>
  </sheetViews>
  <sheetFormatPr defaultColWidth="8.7109375" defaultRowHeight="15"/>
  <cols>
    <col min="1" max="1" width="7" customWidth="1"/>
    <col min="2" max="2" width="38" customWidth="1"/>
    <col min="3" max="6" width="14" customWidth="1"/>
  </cols>
  <sheetData>
    <row r="1" spans="1:6" ht="21.75" customHeight="1">
      <c r="A1" s="225" t="s">
        <v>33</v>
      </c>
      <c r="B1" s="215"/>
      <c r="C1" s="215"/>
      <c r="D1" s="215"/>
      <c r="E1" s="215"/>
      <c r="F1" s="215"/>
    </row>
    <row r="2" spans="1:6" ht="19.5" customHeight="1">
      <c r="A2" s="224" t="s">
        <v>34</v>
      </c>
      <c r="B2" s="215"/>
      <c r="C2" s="215"/>
      <c r="D2" s="215"/>
      <c r="E2" s="215"/>
      <c r="F2" s="215"/>
    </row>
    <row r="3" spans="1:6" ht="15" customHeight="1">
      <c r="A3" s="2" t="s">
        <v>16</v>
      </c>
      <c r="B3" s="2" t="s">
        <v>35</v>
      </c>
      <c r="C3" s="2" t="s">
        <v>36</v>
      </c>
      <c r="D3" s="2" t="s">
        <v>37</v>
      </c>
      <c r="E3" s="2" t="s">
        <v>38</v>
      </c>
      <c r="F3" s="2" t="s">
        <v>39</v>
      </c>
    </row>
    <row r="4" spans="1:6" ht="15" customHeight="1">
      <c r="A4" s="9" t="s">
        <v>40</v>
      </c>
      <c r="B4" s="10" t="s">
        <v>41</v>
      </c>
      <c r="C4" s="11">
        <v>0.04</v>
      </c>
      <c r="D4" s="11">
        <v>0.03</v>
      </c>
      <c r="E4" s="11">
        <v>0.04</v>
      </c>
      <c r="F4" s="11">
        <v>5.5E-2</v>
      </c>
    </row>
    <row r="5" spans="1:6" ht="15" customHeight="1">
      <c r="A5" s="9" t="s">
        <v>42</v>
      </c>
      <c r="B5" s="10" t="s">
        <v>43</v>
      </c>
      <c r="C5" s="11">
        <v>0.01</v>
      </c>
      <c r="D5" s="11">
        <v>8.0000000000000002E-3</v>
      </c>
      <c r="E5" s="11">
        <v>8.0000000000000002E-3</v>
      </c>
      <c r="F5" s="11">
        <v>0.01</v>
      </c>
    </row>
    <row r="6" spans="1:6" ht="15" customHeight="1">
      <c r="A6" s="9" t="s">
        <v>44</v>
      </c>
      <c r="B6" s="10" t="s">
        <v>45</v>
      </c>
      <c r="C6" s="11">
        <v>1.2699999999999999E-2</v>
      </c>
      <c r="D6" s="11">
        <v>9.7000000000000003E-3</v>
      </c>
      <c r="E6" s="11">
        <v>1.2699999999999999E-2</v>
      </c>
      <c r="F6" s="11">
        <v>1.2699999999999999E-2</v>
      </c>
    </row>
    <row r="7" spans="1:6" ht="15" customHeight="1">
      <c r="A7" s="9" t="s">
        <v>46</v>
      </c>
      <c r="B7" s="10" t="s">
        <v>47</v>
      </c>
      <c r="C7" s="11">
        <v>1.3899999999999999E-2</v>
      </c>
      <c r="D7" s="11">
        <v>5.8999999999999999E-3</v>
      </c>
      <c r="E7" s="11">
        <v>1.23E-2</v>
      </c>
      <c r="F7" s="11">
        <v>1.3899999999999999E-2</v>
      </c>
    </row>
    <row r="8" spans="1:6" ht="15" customHeight="1">
      <c r="A8" s="9" t="s">
        <v>48</v>
      </c>
      <c r="B8" s="10" t="s">
        <v>49</v>
      </c>
      <c r="C8" s="11">
        <v>0.08</v>
      </c>
      <c r="D8" s="11">
        <v>6.1600000000000002E-2</v>
      </c>
      <c r="E8" s="11">
        <v>7.3999999999999996E-2</v>
      </c>
      <c r="F8" s="11">
        <v>8.9599999999999999E-2</v>
      </c>
    </row>
    <row r="9" spans="1:6" ht="15" customHeight="1">
      <c r="A9" s="9" t="s">
        <v>50</v>
      </c>
      <c r="B9" s="10" t="s">
        <v>51</v>
      </c>
      <c r="C9" s="11">
        <v>6.4999999999999997E-3</v>
      </c>
      <c r="D9" s="11">
        <v>6.4999999999999997E-3</v>
      </c>
      <c r="E9" s="11">
        <v>6.4999999999999997E-3</v>
      </c>
      <c r="F9" s="11">
        <v>6.4999999999999997E-3</v>
      </c>
    </row>
    <row r="10" spans="1:6" ht="15" customHeight="1">
      <c r="A10" s="9" t="s">
        <v>52</v>
      </c>
      <c r="B10" s="10" t="s">
        <v>53</v>
      </c>
      <c r="C10" s="11">
        <v>0.03</v>
      </c>
      <c r="D10" s="11">
        <v>0.03</v>
      </c>
      <c r="E10" s="11">
        <v>0.03</v>
      </c>
      <c r="F10" s="11">
        <v>0.03</v>
      </c>
    </row>
    <row r="11" spans="1:6" ht="15" customHeight="1">
      <c r="A11" s="9" t="s">
        <v>54</v>
      </c>
      <c r="B11" s="10" t="s">
        <v>55</v>
      </c>
      <c r="C11" s="11">
        <v>0.04</v>
      </c>
      <c r="D11" s="11">
        <v>0.04</v>
      </c>
      <c r="E11" s="11">
        <v>2.5000000000000001E-2</v>
      </c>
      <c r="F11" s="11">
        <v>2.5000000000000001E-2</v>
      </c>
    </row>
    <row r="12" spans="1:6" ht="15" customHeight="1">
      <c r="A12" s="12" t="s">
        <v>56</v>
      </c>
      <c r="B12" s="12" t="s">
        <v>57</v>
      </c>
      <c r="C12" s="13">
        <v>0.2601</v>
      </c>
      <c r="D12" s="13">
        <f>((1+(D4+D6+D5))*(1+D7)*(1+D8))/(1-(D9+D10+D11))-1</f>
        <v>0.21147864221765067</v>
      </c>
      <c r="E12" s="13">
        <f>((1+(E4+E6+E5))*(1+E7)*(1+E8))/(1-(E9+E10+E11))-1</f>
        <v>0.22877342476291962</v>
      </c>
      <c r="F12" s="13">
        <f>((1+(F4+F6+F5))*(1+F7)*(1+F8))/(1-(F9+F10+F11))-1</f>
        <v>0.26860326125519451</v>
      </c>
    </row>
    <row r="13" spans="1:6" ht="36" customHeight="1">
      <c r="A13" s="14" t="s">
        <v>58</v>
      </c>
      <c r="B13" s="1" t="s">
        <v>59</v>
      </c>
      <c r="C13" s="223" t="s">
        <v>60</v>
      </c>
      <c r="D13" s="219"/>
      <c r="E13" s="219"/>
      <c r="F13" s="220"/>
    </row>
  </sheetData>
  <mergeCells count="3">
    <mergeCell ref="C13:F13"/>
    <mergeCell ref="A2:F2"/>
    <mergeCell ref="A1:F1"/>
  </mergeCells>
  <pageMargins left="0.75" right="0.75" top="1" bottom="1" header="0.511811023622047" footer="0.511811023622047"/>
  <pageSetup paperSize="9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9"/>
  <sheetViews>
    <sheetView showGridLines="0" zoomScaleNormal="100" workbookViewId="0">
      <selection activeCell="A2" sqref="A2:J2"/>
    </sheetView>
  </sheetViews>
  <sheetFormatPr defaultColWidth="8.7109375" defaultRowHeight="15"/>
  <cols>
    <col min="1" max="1" width="14" customWidth="1"/>
    <col min="2" max="2" width="12.7109375" bestFit="1" customWidth="1"/>
    <col min="3" max="3" width="15.42578125" bestFit="1" customWidth="1"/>
    <col min="4" max="4" width="52" customWidth="1"/>
    <col min="5" max="5" width="11.140625" bestFit="1" customWidth="1"/>
    <col min="6" max="6" width="12.85546875" bestFit="1" customWidth="1"/>
    <col min="7" max="7" width="10" hidden="1" customWidth="1"/>
    <col min="8" max="8" width="38" customWidth="1"/>
    <col min="9" max="9" width="19.7109375" bestFit="1" customWidth="1"/>
    <col min="10" max="10" width="17.28515625" bestFit="1" customWidth="1"/>
  </cols>
  <sheetData>
    <row r="1" spans="1:10" ht="15" customHeight="1">
      <c r="A1" s="234" t="s">
        <v>61</v>
      </c>
      <c r="B1" s="225"/>
      <c r="C1" s="225"/>
      <c r="D1" s="225"/>
      <c r="E1" s="225"/>
      <c r="F1" s="225"/>
      <c r="G1" s="225"/>
      <c r="H1" s="225"/>
      <c r="I1" s="225"/>
      <c r="J1" s="225"/>
    </row>
    <row r="2" spans="1:10">
      <c r="A2" s="221" t="s">
        <v>280</v>
      </c>
      <c r="B2" s="221"/>
      <c r="C2" s="221"/>
      <c r="D2" s="221"/>
      <c r="E2" s="221"/>
      <c r="F2" s="221"/>
      <c r="G2" s="221"/>
      <c r="H2" s="221"/>
      <c r="I2" s="221"/>
      <c r="J2" s="221"/>
    </row>
    <row r="3" spans="1:10" ht="15" customHeight="1">
      <c r="A3" s="248" t="s">
        <v>247</v>
      </c>
      <c r="B3" s="248"/>
      <c r="C3" s="248"/>
      <c r="D3" s="248"/>
      <c r="E3" s="248"/>
      <c r="F3" s="248"/>
      <c r="G3" s="249"/>
      <c r="H3" s="44" t="s">
        <v>245</v>
      </c>
      <c r="I3" s="47">
        <v>159.5</v>
      </c>
      <c r="J3" s="46" t="s">
        <v>8</v>
      </c>
    </row>
    <row r="4" spans="1:10" ht="15" customHeight="1">
      <c r="A4" s="48" t="s">
        <v>62</v>
      </c>
      <c r="B4" s="48" t="s">
        <v>17</v>
      </c>
      <c r="C4" s="49" t="s">
        <v>16</v>
      </c>
      <c r="D4" s="48" t="s">
        <v>63</v>
      </c>
      <c r="E4" s="48" t="s">
        <v>3</v>
      </c>
      <c r="F4" s="48" t="s">
        <v>64</v>
      </c>
      <c r="G4" s="48" t="s">
        <v>65</v>
      </c>
      <c r="H4" s="49" t="s">
        <v>269</v>
      </c>
      <c r="I4" s="49" t="s">
        <v>234</v>
      </c>
      <c r="J4" s="49" t="s">
        <v>236</v>
      </c>
    </row>
    <row r="5" spans="1:10" ht="15" customHeight="1">
      <c r="A5" s="236" t="s">
        <v>66</v>
      </c>
      <c r="B5" s="250" t="s">
        <v>241</v>
      </c>
      <c r="C5" s="251"/>
      <c r="D5" s="150" t="s">
        <v>217</v>
      </c>
      <c r="E5" s="151" t="s">
        <v>211</v>
      </c>
      <c r="F5" s="153">
        <v>5</v>
      </c>
      <c r="G5" s="151" t="s">
        <v>68</v>
      </c>
      <c r="H5" s="190">
        <f>'Composição de MO'!F4</f>
        <v>4960.5584781312</v>
      </c>
      <c r="I5" s="193">
        <f>F5*H5</f>
        <v>24802.792390655999</v>
      </c>
      <c r="J5" s="194">
        <f>I5/$I$3</f>
        <v>155.50340056837618</v>
      </c>
    </row>
    <row r="6" spans="1:10" ht="15" customHeight="1">
      <c r="A6" s="237"/>
      <c r="B6" s="250" t="s">
        <v>242</v>
      </c>
      <c r="C6" s="251"/>
      <c r="D6" s="150" t="s">
        <v>218</v>
      </c>
      <c r="E6" s="151" t="s">
        <v>211</v>
      </c>
      <c r="F6" s="153">
        <v>14</v>
      </c>
      <c r="G6" s="151" t="s">
        <v>68</v>
      </c>
      <c r="H6" s="190">
        <f>'Composição de MO'!F6</f>
        <v>4867.3385236223994</v>
      </c>
      <c r="I6" s="193">
        <f>F6*H6</f>
        <v>68142.739330713594</v>
      </c>
      <c r="J6" s="194">
        <f>I6/$I$3</f>
        <v>427.22720583519492</v>
      </c>
    </row>
    <row r="7" spans="1:10" ht="15" customHeight="1">
      <c r="A7" s="237"/>
      <c r="B7" s="154" t="s">
        <v>231</v>
      </c>
      <c r="C7" s="154">
        <v>88284</v>
      </c>
      <c r="D7" s="150" t="s">
        <v>215</v>
      </c>
      <c r="E7" s="151" t="s">
        <v>211</v>
      </c>
      <c r="F7" s="153">
        <v>1</v>
      </c>
      <c r="G7" s="151" t="s">
        <v>68</v>
      </c>
      <c r="H7" s="190">
        <f>'Composição de MO'!$F$5</f>
        <v>4960.5584781312</v>
      </c>
      <c r="I7" s="193">
        <f>F7*H7</f>
        <v>4960.5584781312</v>
      </c>
      <c r="J7" s="194">
        <f>I7/$I$3</f>
        <v>31.100680113675235</v>
      </c>
    </row>
    <row r="8" spans="1:10">
      <c r="A8" s="237"/>
      <c r="B8" s="155" t="s">
        <v>231</v>
      </c>
      <c r="C8" s="155">
        <v>88324</v>
      </c>
      <c r="D8" s="156" t="s">
        <v>216</v>
      </c>
      <c r="E8" s="157" t="s">
        <v>211</v>
      </c>
      <c r="F8" s="158">
        <v>1</v>
      </c>
      <c r="G8" s="157" t="s">
        <v>68</v>
      </c>
      <c r="H8" s="191">
        <f>'Composição de MO'!G10*220</f>
        <v>7860.5999999999995</v>
      </c>
      <c r="I8" s="195">
        <f t="shared" ref="I8:I11" si="0">F8*H8</f>
        <v>7860.5999999999995</v>
      </c>
      <c r="J8" s="196">
        <f t="shared" ref="J8:J18" si="1">I8/$I$3</f>
        <v>49.282758620689648</v>
      </c>
    </row>
    <row r="9" spans="1:10">
      <c r="A9" s="237"/>
      <c r="B9" s="154" t="s">
        <v>232</v>
      </c>
      <c r="C9" s="154" t="s">
        <v>244</v>
      </c>
      <c r="D9" s="150" t="s">
        <v>160</v>
      </c>
      <c r="E9" s="151" t="s">
        <v>211</v>
      </c>
      <c r="F9" s="151">
        <v>1</v>
      </c>
      <c r="G9" s="151" t="s">
        <v>68</v>
      </c>
      <c r="H9" s="190">
        <v>5779.65</v>
      </c>
      <c r="I9" s="193">
        <f t="shared" si="0"/>
        <v>5779.65</v>
      </c>
      <c r="J9" s="194">
        <f t="shared" si="1"/>
        <v>36.236050156739807</v>
      </c>
    </row>
    <row r="10" spans="1:10">
      <c r="A10" s="237"/>
      <c r="B10" s="154" t="s">
        <v>232</v>
      </c>
      <c r="C10" s="154" t="s">
        <v>239</v>
      </c>
      <c r="D10" s="150" t="s">
        <v>221</v>
      </c>
      <c r="E10" s="151" t="s">
        <v>226</v>
      </c>
      <c r="F10" s="153">
        <v>5</v>
      </c>
      <c r="G10" s="151" t="s">
        <v>71</v>
      </c>
      <c r="H10" s="190">
        <f>((9.3679*0.75)+(0.5286*0.25))*220</f>
        <v>1574.7765000000002</v>
      </c>
      <c r="I10" s="193">
        <f t="shared" si="0"/>
        <v>7873.8825000000006</v>
      </c>
      <c r="J10" s="194">
        <f t="shared" si="1"/>
        <v>49.366034482758621</v>
      </c>
    </row>
    <row r="11" spans="1:10">
      <c r="A11" s="237"/>
      <c r="B11" s="154" t="s">
        <v>232</v>
      </c>
      <c r="C11" s="154" t="s">
        <v>240</v>
      </c>
      <c r="D11" s="150" t="s">
        <v>222</v>
      </c>
      <c r="E11" s="151" t="s">
        <v>226</v>
      </c>
      <c r="F11" s="153">
        <v>3</v>
      </c>
      <c r="G11" s="151" t="s">
        <v>71</v>
      </c>
      <c r="H11" s="190">
        <f>((5.8678*0.75)+(0.4846*0.25))*220</f>
        <v>994.84</v>
      </c>
      <c r="I11" s="193">
        <f t="shared" si="0"/>
        <v>2984.52</v>
      </c>
      <c r="J11" s="194">
        <f t="shared" si="1"/>
        <v>18.711724137931036</v>
      </c>
    </row>
    <row r="12" spans="1:10" ht="24.75">
      <c r="A12" s="237"/>
      <c r="B12" s="154" t="s">
        <v>232</v>
      </c>
      <c r="C12" s="154">
        <v>4919547</v>
      </c>
      <c r="D12" s="165" t="s">
        <v>224</v>
      </c>
      <c r="E12" s="151" t="s">
        <v>226</v>
      </c>
      <c r="F12" s="153">
        <v>2</v>
      </c>
      <c r="G12" s="151" t="s">
        <v>71</v>
      </c>
      <c r="H12" s="192">
        <v>506.24</v>
      </c>
      <c r="I12" s="193">
        <f>H12*F12/12</f>
        <v>84.373333333333335</v>
      </c>
      <c r="J12" s="194">
        <f t="shared" si="1"/>
        <v>0.52898641588296758</v>
      </c>
    </row>
    <row r="13" spans="1:10" ht="36.75">
      <c r="A13" s="237"/>
      <c r="B13" s="154" t="s">
        <v>232</v>
      </c>
      <c r="C13" s="154" t="s">
        <v>238</v>
      </c>
      <c r="D13" s="159" t="s">
        <v>227</v>
      </c>
      <c r="E13" s="151" t="s">
        <v>226</v>
      </c>
      <c r="F13" s="153">
        <v>1</v>
      </c>
      <c r="G13" s="151" t="s">
        <v>71</v>
      </c>
      <c r="H13" s="190">
        <f>((0.7*267.7279)+(0.3*113.4234))*220</f>
        <v>48716.04099999999</v>
      </c>
      <c r="I13" s="193">
        <f>F13*H13</f>
        <v>48716.04099999999</v>
      </c>
      <c r="J13" s="194">
        <f t="shared" si="1"/>
        <v>305.42972413793098</v>
      </c>
    </row>
    <row r="14" spans="1:10" ht="60">
      <c r="A14" s="237"/>
      <c r="B14" s="154" t="s">
        <v>231</v>
      </c>
      <c r="C14" s="154" t="s">
        <v>74</v>
      </c>
      <c r="D14" s="150" t="s">
        <v>230</v>
      </c>
      <c r="E14" s="151" t="s">
        <v>229</v>
      </c>
      <c r="F14" s="153">
        <v>2</v>
      </c>
      <c r="G14" s="151" t="s">
        <v>228</v>
      </c>
      <c r="H14" s="190">
        <f>((0.7*303.81)+(0.3*80.97))*220</f>
        <v>52130.76</v>
      </c>
      <c r="I14" s="193">
        <f>F14*H14</f>
        <v>104261.52</v>
      </c>
      <c r="J14" s="194">
        <f t="shared" si="1"/>
        <v>653.67724137931032</v>
      </c>
    </row>
    <row r="15" spans="1:10" ht="72">
      <c r="A15" s="237"/>
      <c r="B15" s="154" t="s">
        <v>231</v>
      </c>
      <c r="C15" s="154" t="s">
        <v>233</v>
      </c>
      <c r="D15" s="150" t="s">
        <v>237</v>
      </c>
      <c r="E15" s="151" t="s">
        <v>229</v>
      </c>
      <c r="F15" s="153">
        <v>1</v>
      </c>
      <c r="G15" s="151" t="s">
        <v>228</v>
      </c>
      <c r="H15" s="190">
        <f>(143.2*0.7+0.3*62.34)*220</f>
        <v>26167.239999999994</v>
      </c>
      <c r="I15" s="193">
        <f>F15*H15</f>
        <v>26167.239999999994</v>
      </c>
      <c r="J15" s="194">
        <f>I15/$I$3</f>
        <v>164.05793103448272</v>
      </c>
    </row>
    <row r="16" spans="1:10">
      <c r="A16" s="237"/>
      <c r="B16" s="154" t="s">
        <v>232</v>
      </c>
      <c r="C16" s="160" t="s">
        <v>250</v>
      </c>
      <c r="D16" s="161" t="s">
        <v>251</v>
      </c>
      <c r="E16" s="151" t="s">
        <v>229</v>
      </c>
      <c r="F16" s="153">
        <v>1</v>
      </c>
      <c r="G16" s="151" t="s">
        <v>71</v>
      </c>
      <c r="H16" s="190">
        <f>(66.6203*0.75+20.3833*0.25)*220</f>
        <v>12113.431</v>
      </c>
      <c r="I16" s="193">
        <f>H16</f>
        <v>12113.431</v>
      </c>
      <c r="J16" s="194">
        <f t="shared" si="1"/>
        <v>75.946275862068973</v>
      </c>
    </row>
    <row r="17" spans="1:10" ht="48">
      <c r="A17" s="237"/>
      <c r="B17" s="154" t="s">
        <v>231</v>
      </c>
      <c r="C17" s="162">
        <v>93589</v>
      </c>
      <c r="D17" s="150" t="s">
        <v>273</v>
      </c>
      <c r="E17" s="151" t="s">
        <v>271</v>
      </c>
      <c r="F17" s="153">
        <f>1056*30</f>
        <v>31680</v>
      </c>
      <c r="G17" s="151"/>
      <c r="H17" s="190">
        <v>3.17</v>
      </c>
      <c r="I17" s="193">
        <f>H17*F17</f>
        <v>100425.59999999999</v>
      </c>
      <c r="J17" s="194">
        <f t="shared" si="1"/>
        <v>629.62758620689647</v>
      </c>
    </row>
    <row r="18" spans="1:10">
      <c r="A18" s="237"/>
      <c r="B18" s="154" t="s">
        <v>255</v>
      </c>
      <c r="C18" s="162">
        <v>10390</v>
      </c>
      <c r="D18" s="150" t="s">
        <v>278</v>
      </c>
      <c r="E18" s="151" t="s">
        <v>229</v>
      </c>
      <c r="F18" s="153">
        <v>1</v>
      </c>
      <c r="G18" s="151"/>
      <c r="H18" s="190">
        <v>669.02</v>
      </c>
      <c r="I18" s="193">
        <f>H18</f>
        <v>669.02</v>
      </c>
      <c r="J18" s="194">
        <f t="shared" si="1"/>
        <v>4.1944827586206896</v>
      </c>
    </row>
    <row r="19" spans="1:10">
      <c r="A19" s="238"/>
      <c r="B19" s="163"/>
      <c r="C19" s="163"/>
      <c r="D19" s="150"/>
      <c r="E19" s="151"/>
      <c r="F19" s="152"/>
      <c r="G19" s="151"/>
      <c r="H19" s="164" t="s">
        <v>235</v>
      </c>
      <c r="I19" s="197">
        <f>SUM(I8:I18)</f>
        <v>316935.87783333333</v>
      </c>
      <c r="J19" s="197">
        <f>SUM(J8:J18)</f>
        <v>1987.0587951933121</v>
      </c>
    </row>
    <row r="20" spans="1:10">
      <c r="A20" s="38"/>
      <c r="B20" s="39"/>
      <c r="C20" s="39"/>
      <c r="D20" s="40"/>
      <c r="E20" s="37"/>
      <c r="F20" s="41"/>
      <c r="G20" s="37"/>
      <c r="H20" s="42"/>
    </row>
    <row r="21" spans="1:10">
      <c r="A21" s="230" t="s">
        <v>248</v>
      </c>
      <c r="B21" s="230"/>
      <c r="C21" s="230"/>
      <c r="D21" s="230"/>
      <c r="E21" s="230"/>
      <c r="F21" s="230"/>
      <c r="G21" s="231"/>
      <c r="H21" s="44" t="s">
        <v>245</v>
      </c>
      <c r="I21" s="45">
        <v>1311.4169999999999</v>
      </c>
      <c r="J21" s="46" t="s">
        <v>249</v>
      </c>
    </row>
    <row r="22" spans="1:10">
      <c r="A22" s="48" t="s">
        <v>62</v>
      </c>
      <c r="B22" s="48" t="s">
        <v>17</v>
      </c>
      <c r="C22" s="49" t="s">
        <v>16</v>
      </c>
      <c r="D22" s="48" t="s">
        <v>63</v>
      </c>
      <c r="E22" s="48" t="s">
        <v>3</v>
      </c>
      <c r="F22" s="48" t="s">
        <v>64</v>
      </c>
      <c r="G22" s="48" t="s">
        <v>65</v>
      </c>
      <c r="H22" s="49" t="s">
        <v>269</v>
      </c>
      <c r="I22" s="49" t="s">
        <v>234</v>
      </c>
      <c r="J22" s="49" t="s">
        <v>236</v>
      </c>
    </row>
    <row r="23" spans="1:10">
      <c r="A23" s="243" t="s">
        <v>73</v>
      </c>
      <c r="B23" s="235" t="s">
        <v>241</v>
      </c>
      <c r="C23" s="235"/>
      <c r="D23" s="133" t="s">
        <v>246</v>
      </c>
      <c r="E23" s="166" t="s">
        <v>211</v>
      </c>
      <c r="F23" s="167">
        <v>27</v>
      </c>
      <c r="G23" s="134" t="s">
        <v>68</v>
      </c>
      <c r="H23" s="211">
        <f>'Composição de MO'!F8</f>
        <v>4960.5584781312</v>
      </c>
      <c r="I23" s="212">
        <f>F23*H23</f>
        <v>133935.07890954241</v>
      </c>
      <c r="J23" s="212">
        <f>I23/$I$21</f>
        <v>102.13004628546254</v>
      </c>
    </row>
    <row r="24" spans="1:10">
      <c r="A24" s="244"/>
      <c r="B24" s="35" t="s">
        <v>232</v>
      </c>
      <c r="C24" s="35" t="s">
        <v>244</v>
      </c>
      <c r="D24" s="133" t="s">
        <v>160</v>
      </c>
      <c r="E24" s="166" t="s">
        <v>211</v>
      </c>
      <c r="F24" s="167">
        <v>1</v>
      </c>
      <c r="G24" s="134" t="s">
        <v>68</v>
      </c>
      <c r="H24" s="211">
        <v>5779.65</v>
      </c>
      <c r="I24" s="212">
        <f>F24*H24</f>
        <v>5779.65</v>
      </c>
      <c r="J24" s="212">
        <f t="shared" ref="J24:J27" si="2">I24/$I$21</f>
        <v>4.4071794097529615</v>
      </c>
    </row>
    <row r="25" spans="1:10" ht="27.75" customHeight="1">
      <c r="A25" s="244"/>
      <c r="B25" s="35" t="s">
        <v>231</v>
      </c>
      <c r="C25" s="35" t="s">
        <v>74</v>
      </c>
      <c r="D25" s="133" t="s">
        <v>257</v>
      </c>
      <c r="E25" s="166" t="s">
        <v>229</v>
      </c>
      <c r="F25" s="167">
        <v>1</v>
      </c>
      <c r="G25" s="134" t="s">
        <v>71</v>
      </c>
      <c r="H25" s="211">
        <f>((0.7*303.81)+(0.3*80.97))*220</f>
        <v>52130.76</v>
      </c>
      <c r="I25" s="212">
        <f>F25*H25</f>
        <v>52130.76</v>
      </c>
      <c r="J25" s="212">
        <f t="shared" si="2"/>
        <v>39.75147493131476</v>
      </c>
    </row>
    <row r="26" spans="1:10">
      <c r="A26" s="244"/>
      <c r="B26" s="174" t="s">
        <v>255</v>
      </c>
      <c r="C26" s="175">
        <v>10390</v>
      </c>
      <c r="D26" s="176" t="s">
        <v>278</v>
      </c>
      <c r="E26" s="177" t="s">
        <v>229</v>
      </c>
      <c r="F26" s="178">
        <v>1</v>
      </c>
      <c r="G26" s="177"/>
      <c r="H26" s="213">
        <v>669.02</v>
      </c>
      <c r="I26" s="212">
        <f>F26*H26</f>
        <v>669.02</v>
      </c>
      <c r="J26" s="212">
        <f t="shared" si="2"/>
        <v>0.51015047082659448</v>
      </c>
    </row>
    <row r="27" spans="1:10">
      <c r="A27" s="244"/>
      <c r="B27" s="35" t="s">
        <v>255</v>
      </c>
      <c r="C27" s="134">
        <v>14009</v>
      </c>
      <c r="D27" s="168" t="s">
        <v>254</v>
      </c>
      <c r="E27" s="134" t="s">
        <v>252</v>
      </c>
      <c r="F27" s="167">
        <f>F23/3</f>
        <v>9</v>
      </c>
      <c r="G27" s="134" t="s">
        <v>71</v>
      </c>
      <c r="H27" s="211">
        <v>500</v>
      </c>
      <c r="I27" s="212">
        <f>F27*H27</f>
        <v>4500</v>
      </c>
      <c r="J27" s="212">
        <f t="shared" si="2"/>
        <v>3.4314028261033678</v>
      </c>
    </row>
    <row r="28" spans="1:10">
      <c r="A28" s="245"/>
      <c r="B28" s="134"/>
      <c r="C28" s="134"/>
      <c r="D28" s="133"/>
      <c r="E28" s="134"/>
      <c r="F28" s="167"/>
      <c r="G28" s="134"/>
      <c r="H28" s="36" t="s">
        <v>235</v>
      </c>
      <c r="I28" s="169">
        <f>SUM(I23:I27)</f>
        <v>197014.5089095424</v>
      </c>
      <c r="J28" s="169">
        <f>SUM(J23:J27)</f>
        <v>150.23025392346025</v>
      </c>
    </row>
    <row r="29" spans="1:10">
      <c r="A29" s="109"/>
      <c r="B29" s="110"/>
      <c r="C29" s="110"/>
      <c r="D29" s="111"/>
      <c r="E29" s="110"/>
      <c r="F29" s="56"/>
      <c r="G29" s="50"/>
      <c r="H29" s="107"/>
      <c r="I29" s="108"/>
      <c r="J29" s="108"/>
    </row>
    <row r="30" spans="1:10" ht="27.75" customHeight="1">
      <c r="A30" s="233" t="s">
        <v>276</v>
      </c>
      <c r="B30" s="233"/>
      <c r="C30" s="233"/>
      <c r="D30" s="233"/>
      <c r="E30" s="233"/>
      <c r="F30" s="233"/>
      <c r="G30" s="233"/>
      <c r="H30" s="65"/>
      <c r="I30" s="66">
        <v>18</v>
      </c>
      <c r="J30" s="67" t="s">
        <v>268</v>
      </c>
    </row>
    <row r="31" spans="1:10" ht="27.75" customHeight="1">
      <c r="A31" s="48" t="s">
        <v>62</v>
      </c>
      <c r="B31" s="48" t="s">
        <v>17</v>
      </c>
      <c r="C31" s="49" t="s">
        <v>16</v>
      </c>
      <c r="D31" s="48" t="s">
        <v>63</v>
      </c>
      <c r="E31" s="48" t="s">
        <v>3</v>
      </c>
      <c r="F31" s="48" t="s">
        <v>64</v>
      </c>
      <c r="G31" s="48" t="s">
        <v>65</v>
      </c>
      <c r="H31" s="49" t="s">
        <v>269</v>
      </c>
      <c r="I31" s="239" t="s">
        <v>234</v>
      </c>
      <c r="J31" s="240"/>
    </row>
    <row r="32" spans="1:10" ht="48.75">
      <c r="A32" s="170" t="s">
        <v>266</v>
      </c>
      <c r="B32" s="112" t="s">
        <v>231</v>
      </c>
      <c r="C32" s="173">
        <v>103307</v>
      </c>
      <c r="D32" s="171" t="s">
        <v>253</v>
      </c>
      <c r="E32" s="114" t="s">
        <v>229</v>
      </c>
      <c r="F32" s="172">
        <v>18</v>
      </c>
      <c r="G32" s="114" t="s">
        <v>71</v>
      </c>
      <c r="H32" s="204">
        <v>1349.04</v>
      </c>
      <c r="I32" s="241">
        <f>F32*H32</f>
        <v>24282.720000000001</v>
      </c>
      <c r="J32" s="242"/>
    </row>
    <row r="33" spans="1:10">
      <c r="A33" s="51"/>
      <c r="B33" s="52"/>
      <c r="C33" s="53"/>
      <c r="D33" s="54"/>
      <c r="E33" s="55"/>
      <c r="F33" s="56"/>
      <c r="G33" s="55"/>
      <c r="H33" s="57"/>
      <c r="I33" s="58"/>
      <c r="J33" s="58"/>
    </row>
    <row r="34" spans="1:10">
      <c r="A34" s="230" t="s">
        <v>256</v>
      </c>
      <c r="B34" s="230"/>
      <c r="C34" s="230"/>
      <c r="D34" s="230"/>
      <c r="E34" s="230"/>
      <c r="F34" s="230"/>
      <c r="G34" s="231"/>
      <c r="H34" s="44"/>
      <c r="I34" s="45">
        <v>150</v>
      </c>
      <c r="J34" s="46" t="s">
        <v>279</v>
      </c>
    </row>
    <row r="35" spans="1:10" ht="27.75" customHeight="1">
      <c r="A35" s="48" t="s">
        <v>62</v>
      </c>
      <c r="B35" s="48" t="s">
        <v>17</v>
      </c>
      <c r="C35" s="49" t="s">
        <v>16</v>
      </c>
      <c r="D35" s="48" t="s">
        <v>63</v>
      </c>
      <c r="E35" s="48" t="s">
        <v>3</v>
      </c>
      <c r="F35" s="48" t="s">
        <v>64</v>
      </c>
      <c r="G35" s="48" t="s">
        <v>65</v>
      </c>
      <c r="H35" s="49" t="s">
        <v>269</v>
      </c>
      <c r="I35" s="49" t="s">
        <v>234</v>
      </c>
      <c r="J35" s="49" t="s">
        <v>236</v>
      </c>
    </row>
    <row r="36" spans="1:10">
      <c r="A36" s="246" t="s">
        <v>277</v>
      </c>
      <c r="B36" s="137" t="s">
        <v>67</v>
      </c>
      <c r="C36" s="137">
        <v>102498</v>
      </c>
      <c r="D36" s="135" t="s">
        <v>77</v>
      </c>
      <c r="E36" s="184" t="s">
        <v>279</v>
      </c>
      <c r="F36" s="136">
        <v>150</v>
      </c>
      <c r="G36" s="137" t="s">
        <v>72</v>
      </c>
      <c r="H36" s="205">
        <f>1.73*1000</f>
        <v>1730</v>
      </c>
      <c r="I36" s="206">
        <f>F36*H36</f>
        <v>259500</v>
      </c>
      <c r="J36" s="206">
        <f>I36/$I$34</f>
        <v>1730</v>
      </c>
    </row>
    <row r="37" spans="1:10">
      <c r="A37" s="246"/>
      <c r="B37" s="179" t="s">
        <v>255</v>
      </c>
      <c r="C37" s="180">
        <v>10390</v>
      </c>
      <c r="D37" s="181" t="s">
        <v>278</v>
      </c>
      <c r="E37" s="182" t="s">
        <v>229</v>
      </c>
      <c r="F37" s="183">
        <v>1</v>
      </c>
      <c r="G37" s="182"/>
      <c r="H37" s="207">
        <v>669.02</v>
      </c>
      <c r="I37" s="208">
        <f>H37</f>
        <v>669.02</v>
      </c>
      <c r="J37" s="209">
        <f>I37/$I$34</f>
        <v>4.4601333333333333</v>
      </c>
    </row>
    <row r="38" spans="1:10" ht="27.75" customHeight="1">
      <c r="A38" s="247"/>
      <c r="B38" s="137"/>
      <c r="C38" s="137"/>
      <c r="D38" s="135"/>
      <c r="E38" s="137"/>
      <c r="F38" s="136"/>
      <c r="G38" s="137"/>
      <c r="H38" s="43" t="s">
        <v>235</v>
      </c>
      <c r="I38" s="210">
        <f>SUM(I36:I37)</f>
        <v>260169.02</v>
      </c>
      <c r="J38" s="210">
        <f>SUM(J36:J37)</f>
        <v>1734.4601333333333</v>
      </c>
    </row>
    <row r="39" spans="1:10" ht="27.75" customHeight="1">
      <c r="A39" s="51"/>
      <c r="B39" s="50"/>
      <c r="C39" s="50"/>
      <c r="D39" s="62"/>
      <c r="E39" s="50"/>
      <c r="F39" s="56"/>
      <c r="G39" s="50"/>
      <c r="H39" s="57"/>
      <c r="I39" s="58"/>
      <c r="J39" s="58"/>
    </row>
    <row r="40" spans="1:10" ht="27.75" customHeight="1">
      <c r="A40" s="51"/>
      <c r="B40" s="50"/>
      <c r="C40" s="50"/>
      <c r="D40" s="63" t="s">
        <v>258</v>
      </c>
      <c r="E40" s="50"/>
      <c r="F40" s="56"/>
      <c r="G40" s="50"/>
      <c r="H40" s="57"/>
      <c r="I40" s="58"/>
      <c r="J40" s="58"/>
    </row>
    <row r="41" spans="1:10" ht="27.75" customHeight="1">
      <c r="A41" s="232" t="s">
        <v>259</v>
      </c>
      <c r="B41" s="230"/>
      <c r="C41" s="230"/>
      <c r="D41" s="230"/>
      <c r="E41" s="230"/>
      <c r="F41" s="230"/>
      <c r="G41" s="231"/>
      <c r="H41" s="65" t="s">
        <v>245</v>
      </c>
      <c r="I41" s="66">
        <v>360000</v>
      </c>
      <c r="J41" s="67" t="s">
        <v>260</v>
      </c>
    </row>
    <row r="42" spans="1:10" ht="27.75" customHeight="1">
      <c r="A42" s="48" t="s">
        <v>62</v>
      </c>
      <c r="B42" s="48" t="s">
        <v>17</v>
      </c>
      <c r="C42" s="49" t="s">
        <v>16</v>
      </c>
      <c r="D42" s="48" t="s">
        <v>63</v>
      </c>
      <c r="E42" s="48" t="s">
        <v>3</v>
      </c>
      <c r="F42" s="48" t="s">
        <v>64</v>
      </c>
      <c r="G42" s="48" t="s">
        <v>65</v>
      </c>
      <c r="H42" s="49" t="s">
        <v>225</v>
      </c>
      <c r="I42" s="49" t="s">
        <v>234</v>
      </c>
      <c r="J42" s="49" t="s">
        <v>270</v>
      </c>
    </row>
    <row r="43" spans="1:10">
      <c r="A43" s="227" t="s">
        <v>267</v>
      </c>
      <c r="B43" s="226" t="s">
        <v>241</v>
      </c>
      <c r="C43" s="226"/>
      <c r="D43" s="139" t="s">
        <v>261</v>
      </c>
      <c r="E43" s="59" t="s">
        <v>211</v>
      </c>
      <c r="F43" s="140">
        <v>10</v>
      </c>
      <c r="G43" s="141" t="s">
        <v>68</v>
      </c>
      <c r="H43" s="198">
        <f>'Composição de MO'!F4</f>
        <v>4960.5584781312</v>
      </c>
      <c r="I43" s="201">
        <f t="shared" ref="I43:I50" si="3">F43*H43</f>
        <v>49605.584781311998</v>
      </c>
      <c r="J43" s="201">
        <f t="shared" ref="J43:J51" si="4">I43/$I$41</f>
        <v>0.13779329105919999</v>
      </c>
    </row>
    <row r="44" spans="1:10" ht="27.75" customHeight="1">
      <c r="A44" s="228"/>
      <c r="B44" s="138" t="s">
        <v>231</v>
      </c>
      <c r="C44" s="138">
        <v>88324</v>
      </c>
      <c r="D44" s="139" t="s">
        <v>262</v>
      </c>
      <c r="E44" s="59" t="s">
        <v>211</v>
      </c>
      <c r="F44" s="140">
        <v>2</v>
      </c>
      <c r="G44" s="141" t="s">
        <v>68</v>
      </c>
      <c r="H44" s="198">
        <f>'Composição de MO'!G10*220</f>
        <v>7860.5999999999995</v>
      </c>
      <c r="I44" s="201">
        <f t="shared" si="3"/>
        <v>15721.199999999999</v>
      </c>
      <c r="J44" s="201">
        <f t="shared" si="4"/>
        <v>4.3669999999999994E-2</v>
      </c>
    </row>
    <row r="45" spans="1:10">
      <c r="A45" s="228"/>
      <c r="B45" s="226" t="s">
        <v>241</v>
      </c>
      <c r="C45" s="226"/>
      <c r="D45" s="139" t="s">
        <v>78</v>
      </c>
      <c r="E45" s="59" t="s">
        <v>211</v>
      </c>
      <c r="F45" s="140">
        <v>10</v>
      </c>
      <c r="G45" s="141" t="s">
        <v>68</v>
      </c>
      <c r="H45" s="198">
        <f>'Composição de MO'!F6</f>
        <v>4867.3385236223994</v>
      </c>
      <c r="I45" s="201">
        <f t="shared" si="3"/>
        <v>48673.385236223992</v>
      </c>
      <c r="J45" s="201">
        <f t="shared" si="4"/>
        <v>0.13520384787839998</v>
      </c>
    </row>
    <row r="46" spans="1:10">
      <c r="A46" s="228"/>
      <c r="B46" s="138" t="s">
        <v>232</v>
      </c>
      <c r="C46" s="138" t="s">
        <v>244</v>
      </c>
      <c r="D46" s="139" t="s">
        <v>79</v>
      </c>
      <c r="E46" s="59" t="s">
        <v>211</v>
      </c>
      <c r="F46" s="140">
        <v>1</v>
      </c>
      <c r="G46" s="141" t="s">
        <v>68</v>
      </c>
      <c r="H46" s="198">
        <v>5779.65</v>
      </c>
      <c r="I46" s="201">
        <f t="shared" si="3"/>
        <v>5779.65</v>
      </c>
      <c r="J46" s="201">
        <f t="shared" si="4"/>
        <v>1.6054583333333334E-2</v>
      </c>
    </row>
    <row r="47" spans="1:10">
      <c r="A47" s="228"/>
      <c r="B47" s="138" t="s">
        <v>231</v>
      </c>
      <c r="C47" s="138">
        <v>88284</v>
      </c>
      <c r="D47" s="142" t="s">
        <v>215</v>
      </c>
      <c r="E47" s="59" t="s">
        <v>211</v>
      </c>
      <c r="F47" s="143">
        <v>1</v>
      </c>
      <c r="G47" s="59" t="s">
        <v>68</v>
      </c>
      <c r="H47" s="199">
        <f>'Composição de MO'!$F$5</f>
        <v>4960.5584781312</v>
      </c>
      <c r="I47" s="201">
        <f t="shared" si="3"/>
        <v>4960.5584781312</v>
      </c>
      <c r="J47" s="201">
        <f t="shared" si="4"/>
        <v>1.377932910592E-2</v>
      </c>
    </row>
    <row r="48" spans="1:10">
      <c r="A48" s="228"/>
      <c r="B48" s="138" t="s">
        <v>232</v>
      </c>
      <c r="C48" s="138" t="s">
        <v>239</v>
      </c>
      <c r="D48" s="144" t="s">
        <v>221</v>
      </c>
      <c r="E48" s="145" t="s">
        <v>226</v>
      </c>
      <c r="F48" s="143">
        <v>10</v>
      </c>
      <c r="G48" s="59" t="s">
        <v>71</v>
      </c>
      <c r="H48" s="199">
        <f>((9.3679*0.75)+(0.5286*0.25))*220</f>
        <v>1574.7765000000002</v>
      </c>
      <c r="I48" s="201">
        <f t="shared" si="3"/>
        <v>15747.765000000001</v>
      </c>
      <c r="J48" s="201">
        <f t="shared" si="4"/>
        <v>4.374379166666667E-2</v>
      </c>
    </row>
    <row r="49" spans="1:10" ht="36.75">
      <c r="A49" s="228"/>
      <c r="B49" s="138" t="s">
        <v>232</v>
      </c>
      <c r="C49" s="138" t="s">
        <v>238</v>
      </c>
      <c r="D49" s="149" t="s">
        <v>275</v>
      </c>
      <c r="E49" s="145" t="s">
        <v>226</v>
      </c>
      <c r="F49" s="143">
        <v>2</v>
      </c>
      <c r="G49" s="59" t="s">
        <v>71</v>
      </c>
      <c r="H49" s="199">
        <f>((0.7*267.7279)+(0.3*113.4234))*220</f>
        <v>48716.04099999999</v>
      </c>
      <c r="I49" s="201">
        <f t="shared" si="3"/>
        <v>97432.08199999998</v>
      </c>
      <c r="J49" s="201">
        <f t="shared" si="4"/>
        <v>0.27064467222222216</v>
      </c>
    </row>
    <row r="50" spans="1:10" ht="60">
      <c r="A50" s="228"/>
      <c r="B50" s="138" t="s">
        <v>231</v>
      </c>
      <c r="C50" s="138" t="s">
        <v>74</v>
      </c>
      <c r="D50" s="142" t="s">
        <v>230</v>
      </c>
      <c r="E50" s="59" t="s">
        <v>229</v>
      </c>
      <c r="F50" s="143">
        <v>1</v>
      </c>
      <c r="G50" s="145" t="s">
        <v>228</v>
      </c>
      <c r="H50" s="199">
        <f>((0.7*303.81)+(0.3*80.97))*220</f>
        <v>52130.76</v>
      </c>
      <c r="I50" s="201">
        <f t="shared" si="3"/>
        <v>52130.76</v>
      </c>
      <c r="J50" s="201">
        <f t="shared" si="4"/>
        <v>0.14480766666666667</v>
      </c>
    </row>
    <row r="51" spans="1:10">
      <c r="A51" s="228"/>
      <c r="B51" s="138" t="s">
        <v>232</v>
      </c>
      <c r="C51" s="146" t="s">
        <v>250</v>
      </c>
      <c r="D51" s="146" t="s">
        <v>251</v>
      </c>
      <c r="E51" s="59" t="s">
        <v>229</v>
      </c>
      <c r="F51" s="143">
        <v>1</v>
      </c>
      <c r="G51" s="59" t="s">
        <v>71</v>
      </c>
      <c r="H51" s="199">
        <f>(66.6203*0.75+20.3833*0.25)*220</f>
        <v>12113.431</v>
      </c>
      <c r="I51" s="201">
        <f>H51*F51</f>
        <v>12113.431</v>
      </c>
      <c r="J51" s="201">
        <f t="shared" si="4"/>
        <v>3.3648419444444445E-2</v>
      </c>
    </row>
    <row r="52" spans="1:10" ht="48">
      <c r="A52" s="228"/>
      <c r="B52" s="138" t="s">
        <v>231</v>
      </c>
      <c r="C52" s="147">
        <v>93589</v>
      </c>
      <c r="D52" s="142" t="s">
        <v>272</v>
      </c>
      <c r="E52" s="59" t="s">
        <v>271</v>
      </c>
      <c r="F52" s="143">
        <f>1428*30</f>
        <v>42840</v>
      </c>
      <c r="G52" s="145"/>
      <c r="H52" s="199">
        <v>3.17</v>
      </c>
      <c r="I52" s="201">
        <f>H52*220</f>
        <v>697.4</v>
      </c>
      <c r="J52" s="203">
        <f>I52/$I$41</f>
        <v>1.9372222222222221E-3</v>
      </c>
    </row>
    <row r="53" spans="1:10">
      <c r="A53" s="228"/>
      <c r="B53" s="185" t="s">
        <v>255</v>
      </c>
      <c r="C53" s="186">
        <v>10390</v>
      </c>
      <c r="D53" s="187" t="s">
        <v>278</v>
      </c>
      <c r="E53" s="188" t="s">
        <v>229</v>
      </c>
      <c r="F53" s="189">
        <v>1</v>
      </c>
      <c r="G53" s="188"/>
      <c r="H53" s="200">
        <v>669.02</v>
      </c>
      <c r="I53" s="201">
        <f>H53</f>
        <v>669.02</v>
      </c>
      <c r="J53" s="203">
        <f>I53/$I$41</f>
        <v>1.8583888888888888E-3</v>
      </c>
    </row>
    <row r="54" spans="1:10" ht="27.75" customHeight="1">
      <c r="A54" s="229"/>
      <c r="B54" s="141"/>
      <c r="C54" s="141"/>
      <c r="D54" s="139"/>
      <c r="E54" s="141"/>
      <c r="F54" s="140"/>
      <c r="G54" s="141"/>
      <c r="H54" s="64" t="s">
        <v>235</v>
      </c>
      <c r="I54" s="202">
        <f>SUM(I43:I52)</f>
        <v>302861.81649566721</v>
      </c>
      <c r="J54" s="202">
        <f>SUM(J43:J53)</f>
        <v>0.84314121248796436</v>
      </c>
    </row>
    <row r="59" spans="1:10">
      <c r="I59" s="61"/>
    </row>
  </sheetData>
  <mergeCells count="18">
    <mergeCell ref="A1:J1"/>
    <mergeCell ref="A21:G21"/>
    <mergeCell ref="B23:C23"/>
    <mergeCell ref="A5:A19"/>
    <mergeCell ref="B43:C43"/>
    <mergeCell ref="I31:J31"/>
    <mergeCell ref="I32:J32"/>
    <mergeCell ref="A23:A28"/>
    <mergeCell ref="A36:A38"/>
    <mergeCell ref="A2:J2"/>
    <mergeCell ref="A3:G3"/>
    <mergeCell ref="B5:C5"/>
    <mergeCell ref="B6:C6"/>
    <mergeCell ref="B45:C45"/>
    <mergeCell ref="A43:A54"/>
    <mergeCell ref="A34:G34"/>
    <mergeCell ref="A41:G41"/>
    <mergeCell ref="A30:G30"/>
  </mergeCells>
  <phoneticPr fontId="23" type="noConversion"/>
  <pageMargins left="0.75" right="0.75" top="1" bottom="1" header="0.511811023622047" footer="0.511811023622047"/>
  <pageSetup paperSize="9" scale="67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2"/>
  <sheetViews>
    <sheetView showGridLines="0" zoomScaleNormal="100" workbookViewId="0">
      <selection activeCell="D22" sqref="D22"/>
    </sheetView>
  </sheetViews>
  <sheetFormatPr defaultColWidth="8.7109375" defaultRowHeight="15"/>
  <cols>
    <col min="1" max="1" width="14" customWidth="1"/>
    <col min="2" max="2" width="58.7109375" bestFit="1" customWidth="1"/>
    <col min="3" max="3" width="14" customWidth="1"/>
    <col min="4" max="5" width="18" customWidth="1"/>
    <col min="6" max="6" width="22" customWidth="1"/>
    <col min="7" max="7" width="14" customWidth="1"/>
    <col min="8" max="8" width="38" customWidth="1"/>
  </cols>
  <sheetData>
    <row r="1" spans="1:8" ht="15" customHeight="1">
      <c r="A1" s="252" t="s">
        <v>219</v>
      </c>
      <c r="B1" s="215"/>
      <c r="C1" s="215"/>
      <c r="D1" s="215"/>
      <c r="E1" s="215"/>
      <c r="F1" s="215"/>
      <c r="G1" s="215"/>
      <c r="H1" s="215"/>
    </row>
    <row r="2" spans="1:8" ht="15" customHeight="1">
      <c r="A2" s="214" t="s">
        <v>83</v>
      </c>
      <c r="B2" s="215"/>
      <c r="C2" s="215"/>
      <c r="D2" s="215"/>
      <c r="E2" s="215"/>
      <c r="F2" s="215"/>
      <c r="G2" s="215"/>
      <c r="H2" s="215"/>
    </row>
    <row r="3" spans="1:8" ht="15" customHeight="1">
      <c r="A3" s="23" t="s">
        <v>84</v>
      </c>
      <c r="B3" s="23" t="s">
        <v>85</v>
      </c>
      <c r="C3" s="23" t="s">
        <v>86</v>
      </c>
      <c r="D3" s="23" t="s">
        <v>87</v>
      </c>
      <c r="E3" s="23" t="s">
        <v>88</v>
      </c>
      <c r="F3" s="23" t="s">
        <v>89</v>
      </c>
      <c r="G3" s="23" t="s">
        <v>90</v>
      </c>
      <c r="H3" s="23" t="s">
        <v>91</v>
      </c>
    </row>
    <row r="4" spans="1:8" ht="15" customHeight="1">
      <c r="A4" s="24" t="s">
        <v>69</v>
      </c>
      <c r="B4" s="25" t="s">
        <v>92</v>
      </c>
      <c r="C4" s="24" t="s">
        <v>93</v>
      </c>
      <c r="D4" s="26">
        <v>1799.68</v>
      </c>
      <c r="E4" s="27">
        <f>'Encargos Sociais'!$E$24</f>
        <v>0.96882560000000006</v>
      </c>
      <c r="F4" s="33">
        <f>D4*(1+E4)*(1+IF(C4="40%",0.4,IF(C4="20%",0.2,IF(C4="10%",0.1,0))))</f>
        <v>4960.5584781312</v>
      </c>
      <c r="G4" s="33">
        <f t="shared" ref="G4:G8" si="0">F4/220</f>
        <v>22.547993082414546</v>
      </c>
      <c r="H4" s="28" t="s">
        <v>94</v>
      </c>
    </row>
    <row r="5" spans="1:8" ht="15" customHeight="1">
      <c r="A5" s="24" t="s">
        <v>95</v>
      </c>
      <c r="B5" s="25" t="s">
        <v>96</v>
      </c>
      <c r="C5" s="24" t="s">
        <v>93</v>
      </c>
      <c r="D5" s="26">
        <v>1799.68</v>
      </c>
      <c r="E5" s="27">
        <f>'Encargos Sociais'!$E$24</f>
        <v>0.96882560000000006</v>
      </c>
      <c r="F5" s="33">
        <f>D5*(1+E5)*(1+IF(C5="40%",0.4,IF(C5="20%",0.2,IF(C5="10%",0.1,0))))</f>
        <v>4960.5584781312</v>
      </c>
      <c r="G5" s="33">
        <f t="shared" si="0"/>
        <v>22.547993082414546</v>
      </c>
      <c r="H5" s="28" t="s">
        <v>94</v>
      </c>
    </row>
    <row r="6" spans="1:8" ht="15" customHeight="1">
      <c r="A6" s="24" t="s">
        <v>70</v>
      </c>
      <c r="B6" s="25" t="s">
        <v>97</v>
      </c>
      <c r="C6" s="24" t="s">
        <v>93</v>
      </c>
      <c r="D6" s="26">
        <v>1765.86</v>
      </c>
      <c r="E6" s="27">
        <f>'Encargos Sociais'!$E$24</f>
        <v>0.96882560000000006</v>
      </c>
      <c r="F6" s="33">
        <f>D6*(1+E6)*(1+IF(C6="40%",0.4,IF(C6="20%",0.2,IF(C6="10%",0.1,0))))</f>
        <v>4867.3385236223994</v>
      </c>
      <c r="G6" s="33">
        <f t="shared" si="0"/>
        <v>22.124266016465452</v>
      </c>
      <c r="H6" s="28" t="s">
        <v>94</v>
      </c>
    </row>
    <row r="7" spans="1:8" ht="15" customHeight="1">
      <c r="A7" s="24" t="s">
        <v>76</v>
      </c>
      <c r="B7" s="25" t="s">
        <v>98</v>
      </c>
      <c r="C7" s="24" t="s">
        <v>93</v>
      </c>
      <c r="D7" s="26">
        <v>1765.86</v>
      </c>
      <c r="E7" s="27">
        <f>'Encargos Sociais'!$E$24</f>
        <v>0.96882560000000006</v>
      </c>
      <c r="F7" s="33">
        <f>D7*(1+E7)*(1+IF(C7="40%",0.4,IF(C7="20%",0.2,IF(C7="10%",0.1,0))))</f>
        <v>4867.3385236223994</v>
      </c>
      <c r="G7" s="33">
        <f t="shared" si="0"/>
        <v>22.124266016465452</v>
      </c>
      <c r="H7" s="28" t="s">
        <v>94</v>
      </c>
    </row>
    <row r="8" spans="1:8" ht="15" customHeight="1">
      <c r="A8" s="24" t="s">
        <v>75</v>
      </c>
      <c r="B8" s="25" t="s">
        <v>99</v>
      </c>
      <c r="C8" s="24" t="s">
        <v>93</v>
      </c>
      <c r="D8" s="26">
        <v>1799.68</v>
      </c>
      <c r="E8" s="27">
        <f>'Encargos Sociais'!$E$24</f>
        <v>0.96882560000000006</v>
      </c>
      <c r="F8" s="33">
        <f>D8*(1+E8)*(1+IF(C8="40%",0.4,IF(C8="20%",0.2,IF(C8="10%",0.1,0))))</f>
        <v>4960.5584781312</v>
      </c>
      <c r="G8" s="33">
        <f t="shared" si="0"/>
        <v>22.547993082414546</v>
      </c>
      <c r="H8" s="28" t="s">
        <v>94</v>
      </c>
    </row>
    <row r="9" spans="1:8" ht="15" customHeight="1">
      <c r="A9" s="24" t="s">
        <v>212</v>
      </c>
      <c r="B9" s="29" t="s">
        <v>214</v>
      </c>
      <c r="C9" s="24" t="s">
        <v>82</v>
      </c>
      <c r="D9" s="30"/>
      <c r="E9" s="30"/>
      <c r="F9" s="34"/>
      <c r="G9" s="34">
        <v>25.68</v>
      </c>
      <c r="H9" s="28"/>
    </row>
    <row r="10" spans="1:8" ht="15" customHeight="1">
      <c r="A10" s="24" t="s">
        <v>100</v>
      </c>
      <c r="B10" s="29" t="s">
        <v>213</v>
      </c>
      <c r="C10" s="24" t="s">
        <v>82</v>
      </c>
      <c r="D10" s="31"/>
      <c r="E10" s="31"/>
      <c r="F10" s="34"/>
      <c r="G10" s="34">
        <v>35.729999999999997</v>
      </c>
      <c r="H10" s="32"/>
    </row>
    <row r="11" spans="1:8" ht="15" customHeight="1">
      <c r="A11" s="24" t="s">
        <v>243</v>
      </c>
      <c r="B11" s="29" t="s">
        <v>220</v>
      </c>
      <c r="C11" s="24" t="s">
        <v>82</v>
      </c>
      <c r="D11" s="31"/>
      <c r="E11" s="31"/>
      <c r="F11" s="34">
        <v>5778.4354999999996</v>
      </c>
      <c r="G11" s="34">
        <f>F11/220</f>
        <v>26.265615909090908</v>
      </c>
      <c r="H11" s="32"/>
    </row>
    <row r="12" spans="1:8" ht="27.75" customHeight="1">
      <c r="A12" s="22" t="s">
        <v>101</v>
      </c>
      <c r="B12" s="253" t="s">
        <v>223</v>
      </c>
      <c r="C12" s="254"/>
      <c r="D12" s="254"/>
      <c r="E12" s="254"/>
      <c r="F12" s="254"/>
      <c r="G12" s="254"/>
      <c r="H12" s="254"/>
    </row>
  </sheetData>
  <mergeCells count="3">
    <mergeCell ref="A1:H1"/>
    <mergeCell ref="A2:H2"/>
    <mergeCell ref="B12:H12"/>
  </mergeCells>
  <pageMargins left="0.75" right="0.75" top="1" bottom="1" header="0.511811023622047" footer="0.511811023622047"/>
  <pageSetup paperSize="9" scale="66" fitToHeight="0" orientation="landscape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4"/>
  <sheetViews>
    <sheetView showGridLines="0" zoomScaleNormal="100" workbookViewId="0">
      <selection activeCell="E29" sqref="E29"/>
    </sheetView>
  </sheetViews>
  <sheetFormatPr defaultColWidth="8.7109375" defaultRowHeight="15"/>
  <cols>
    <col min="1" max="1" width="9" customWidth="1"/>
    <col min="2" max="2" width="38" customWidth="1"/>
    <col min="3" max="4" width="20" customWidth="1"/>
    <col min="5" max="5" width="19.140625" bestFit="1" customWidth="1"/>
    <col min="6" max="6" width="22.5703125" bestFit="1" customWidth="1"/>
  </cols>
  <sheetData>
    <row r="1" spans="1:6" ht="21.75" customHeight="1">
      <c r="A1" s="225" t="s">
        <v>102</v>
      </c>
      <c r="B1" s="225"/>
      <c r="C1" s="225"/>
      <c r="D1" s="225"/>
      <c r="E1" s="225"/>
      <c r="F1" s="225"/>
    </row>
    <row r="2" spans="1:6" ht="15" customHeight="1">
      <c r="A2" s="256" t="s">
        <v>103</v>
      </c>
      <c r="B2" s="256"/>
      <c r="C2" s="256"/>
      <c r="D2" s="256"/>
      <c r="E2" s="256"/>
      <c r="F2" s="256"/>
    </row>
    <row r="3" spans="1:6" ht="15" customHeight="1">
      <c r="A3" s="2" t="s">
        <v>104</v>
      </c>
      <c r="B3" s="2" t="s">
        <v>2</v>
      </c>
      <c r="C3" s="2" t="s">
        <v>105</v>
      </c>
      <c r="D3" s="2" t="s">
        <v>106</v>
      </c>
      <c r="E3" s="2" t="s">
        <v>107</v>
      </c>
      <c r="F3" s="2" t="s">
        <v>108</v>
      </c>
    </row>
    <row r="4" spans="1:6" ht="15.75" customHeight="1">
      <c r="A4" s="255" t="s">
        <v>109</v>
      </c>
      <c r="B4" s="219"/>
      <c r="C4" s="219"/>
      <c r="D4" s="219"/>
      <c r="E4" s="220"/>
      <c r="F4" s="15"/>
    </row>
    <row r="5" spans="1:6" ht="15" customHeight="1">
      <c r="A5" s="14" t="s">
        <v>110</v>
      </c>
      <c r="B5" s="10" t="s">
        <v>111</v>
      </c>
      <c r="C5" s="11">
        <v>0.1</v>
      </c>
      <c r="D5" s="11">
        <v>0.1</v>
      </c>
      <c r="E5" s="11">
        <v>0.2</v>
      </c>
      <c r="F5" s="11">
        <v>0.2</v>
      </c>
    </row>
    <row r="6" spans="1:6" ht="15" customHeight="1">
      <c r="A6" s="14" t="s">
        <v>112</v>
      </c>
      <c r="B6" s="10" t="s">
        <v>113</v>
      </c>
      <c r="C6" s="11">
        <v>1.4999999999999999E-2</v>
      </c>
      <c r="D6" s="11">
        <v>1.4999999999999999E-2</v>
      </c>
      <c r="E6" s="11">
        <v>1.4999999999999999E-2</v>
      </c>
      <c r="F6" s="11">
        <v>1.4999999999999999E-2</v>
      </c>
    </row>
    <row r="7" spans="1:6" ht="15" customHeight="1">
      <c r="A7" s="14" t="s">
        <v>114</v>
      </c>
      <c r="B7" s="10" t="s">
        <v>115</v>
      </c>
      <c r="C7" s="11">
        <v>0.01</v>
      </c>
      <c r="D7" s="11">
        <v>0.01</v>
      </c>
      <c r="E7" s="11">
        <v>0.01</v>
      </c>
      <c r="F7" s="11">
        <v>0.01</v>
      </c>
    </row>
    <row r="8" spans="1:6" ht="15" customHeight="1">
      <c r="A8" s="14" t="s">
        <v>116</v>
      </c>
      <c r="B8" s="10" t="s">
        <v>117</v>
      </c>
      <c r="C8" s="11">
        <v>2E-3</v>
      </c>
      <c r="D8" s="11">
        <v>2E-3</v>
      </c>
      <c r="E8" s="11">
        <v>2E-3</v>
      </c>
      <c r="F8" s="11">
        <v>2E-3</v>
      </c>
    </row>
    <row r="9" spans="1:6" ht="15" customHeight="1">
      <c r="A9" s="14" t="s">
        <v>118</v>
      </c>
      <c r="B9" s="10" t="s">
        <v>119</v>
      </c>
      <c r="C9" s="11">
        <v>6.0000000000000001E-3</v>
      </c>
      <c r="D9" s="11">
        <v>6.0000000000000001E-3</v>
      </c>
      <c r="E9" s="11">
        <v>6.0000000000000001E-3</v>
      </c>
      <c r="F9" s="11">
        <v>6.0000000000000001E-3</v>
      </c>
    </row>
    <row r="10" spans="1:6" ht="15" customHeight="1">
      <c r="A10" s="14" t="s">
        <v>120</v>
      </c>
      <c r="B10" s="10" t="s">
        <v>121</v>
      </c>
      <c r="C10" s="11">
        <v>2.5000000000000001E-2</v>
      </c>
      <c r="D10" s="11">
        <v>2.5000000000000001E-2</v>
      </c>
      <c r="E10" s="11">
        <v>2.5000000000000001E-2</v>
      </c>
      <c r="F10" s="11">
        <v>2.5000000000000001E-2</v>
      </c>
    </row>
    <row r="11" spans="1:6" ht="15" customHeight="1">
      <c r="A11" s="14" t="s">
        <v>122</v>
      </c>
      <c r="B11" s="10" t="s">
        <v>123</v>
      </c>
      <c r="C11" s="11">
        <v>0.03</v>
      </c>
      <c r="D11" s="11">
        <v>0.03</v>
      </c>
      <c r="E11" s="11">
        <v>0.03</v>
      </c>
      <c r="F11" s="11">
        <v>0.03</v>
      </c>
    </row>
    <row r="12" spans="1:6" ht="15" customHeight="1">
      <c r="A12" s="14" t="s">
        <v>124</v>
      </c>
      <c r="B12" s="10" t="s">
        <v>125</v>
      </c>
      <c r="C12" s="11">
        <v>0.08</v>
      </c>
      <c r="D12" s="11">
        <v>0.08</v>
      </c>
      <c r="E12" s="11">
        <v>0.08</v>
      </c>
      <c r="F12" s="11">
        <v>0.08</v>
      </c>
    </row>
    <row r="13" spans="1:6" ht="15" customHeight="1">
      <c r="A13" s="5" t="s">
        <v>126</v>
      </c>
      <c r="B13" s="17" t="s">
        <v>127</v>
      </c>
      <c r="C13" s="18">
        <f>C5+C6+C7+C8+C9+C10+C11+C12</f>
        <v>0.26800000000000002</v>
      </c>
      <c r="D13" s="18">
        <f>D5+D6+D7+D8+D9+D10+D11+D12</f>
        <v>0.26800000000000002</v>
      </c>
      <c r="E13" s="18">
        <f>E5+E6+E7+E8+E9+E10+E11+E12</f>
        <v>0.36800000000000005</v>
      </c>
      <c r="F13" s="18">
        <f>F5+F6+F7+F8+F9+F10+F11+F12</f>
        <v>0.36800000000000005</v>
      </c>
    </row>
    <row r="14" spans="1:6" ht="15.75" customHeight="1">
      <c r="A14" s="255" t="s">
        <v>128</v>
      </c>
      <c r="B14" s="219"/>
      <c r="C14" s="219"/>
      <c r="D14" s="219"/>
      <c r="E14" s="220"/>
      <c r="F14" s="15"/>
    </row>
    <row r="15" spans="1:6" ht="15" customHeight="1">
      <c r="A15" s="14" t="s">
        <v>129</v>
      </c>
      <c r="B15" s="10" t="s">
        <v>130</v>
      </c>
      <c r="C15" s="11">
        <v>0.17780000000000001</v>
      </c>
      <c r="D15" s="11">
        <v>0</v>
      </c>
      <c r="E15" s="11">
        <v>0.17780000000000001</v>
      </c>
      <c r="F15" s="11">
        <v>0</v>
      </c>
    </row>
    <row r="16" spans="1:6" ht="15" customHeight="1">
      <c r="A16" s="14" t="s">
        <v>131</v>
      </c>
      <c r="B16" s="10" t="s">
        <v>132</v>
      </c>
      <c r="C16" s="11">
        <v>0.10920000000000001</v>
      </c>
      <c r="D16" s="11">
        <v>8.2900000000000001E-2</v>
      </c>
      <c r="E16" s="11">
        <v>0.10920000000000001</v>
      </c>
      <c r="F16" s="11">
        <v>8.2900000000000001E-2</v>
      </c>
    </row>
    <row r="17" spans="1:6" ht="15" customHeight="1">
      <c r="A17" s="14" t="s">
        <v>133</v>
      </c>
      <c r="B17" s="10" t="s">
        <v>134</v>
      </c>
      <c r="C17" s="11">
        <v>0.1104</v>
      </c>
      <c r="D17" s="11">
        <v>8.3799999999999999E-2</v>
      </c>
      <c r="E17" s="11">
        <v>0.1104</v>
      </c>
      <c r="F17" s="11">
        <v>8.3799999999999999E-2</v>
      </c>
    </row>
    <row r="18" spans="1:6" ht="15" customHeight="1">
      <c r="A18" s="5" t="s">
        <v>135</v>
      </c>
      <c r="B18" s="17" t="s">
        <v>136</v>
      </c>
      <c r="C18" s="18">
        <f>C15+C16+C17</f>
        <v>0.39740000000000003</v>
      </c>
      <c r="D18" s="18">
        <f>D15+D16+D17</f>
        <v>0.16670000000000001</v>
      </c>
      <c r="E18" s="18">
        <f>E15+E16+E17</f>
        <v>0.39740000000000003</v>
      </c>
      <c r="F18" s="18">
        <f>F15+F16+F17</f>
        <v>0.16670000000000001</v>
      </c>
    </row>
    <row r="19" spans="1:6" ht="15.75" customHeight="1">
      <c r="A19" s="255" t="s">
        <v>137</v>
      </c>
      <c r="B19" s="219"/>
      <c r="C19" s="219"/>
      <c r="D19" s="219"/>
      <c r="E19" s="220"/>
      <c r="F19" s="15"/>
    </row>
    <row r="20" spans="1:6" ht="15" customHeight="1">
      <c r="A20" s="14" t="s">
        <v>138</v>
      </c>
      <c r="B20" s="10" t="s">
        <v>139</v>
      </c>
      <c r="C20" s="11">
        <v>4.1799999999999997E-2</v>
      </c>
      <c r="D20" s="11">
        <v>3.1699999999999999E-2</v>
      </c>
      <c r="E20" s="11">
        <v>4.1799999999999997E-2</v>
      </c>
      <c r="F20" s="11">
        <v>3.1699999999999999E-2</v>
      </c>
    </row>
    <row r="21" spans="1:6" ht="15" customHeight="1">
      <c r="A21" s="5" t="s">
        <v>140</v>
      </c>
      <c r="B21" s="17" t="s">
        <v>141</v>
      </c>
      <c r="C21" s="18">
        <f>C20</f>
        <v>4.1799999999999997E-2</v>
      </c>
      <c r="D21" s="18">
        <f>D20</f>
        <v>3.1699999999999999E-2</v>
      </c>
      <c r="E21" s="18">
        <f>E20</f>
        <v>4.1799999999999997E-2</v>
      </c>
      <c r="F21" s="18">
        <f>F20</f>
        <v>3.1699999999999999E-2</v>
      </c>
    </row>
    <row r="22" spans="1:6" ht="15.75" customHeight="1">
      <c r="A22" s="255" t="s">
        <v>142</v>
      </c>
      <c r="B22" s="219"/>
      <c r="C22" s="219"/>
      <c r="D22" s="219"/>
      <c r="E22" s="220"/>
      <c r="F22" s="15"/>
    </row>
    <row r="23" spans="1:6" ht="15" customHeight="1">
      <c r="A23" s="5" t="s">
        <v>143</v>
      </c>
      <c r="B23" s="17" t="s">
        <v>144</v>
      </c>
      <c r="C23" s="18">
        <f>C13*C18+C13*C21</f>
        <v>0.11770560000000002</v>
      </c>
      <c r="D23" s="18">
        <f>D13*D18+D13*D21</f>
        <v>5.3171200000000009E-2</v>
      </c>
      <c r="E23" s="18">
        <f>E13*E18+E13*E21</f>
        <v>0.16162560000000001</v>
      </c>
      <c r="F23" s="18">
        <f>F13*F18+F13*F21</f>
        <v>7.3011200000000012E-2</v>
      </c>
    </row>
    <row r="24" spans="1:6" ht="15" customHeight="1">
      <c r="A24" s="5" t="s">
        <v>80</v>
      </c>
      <c r="B24" s="17" t="s">
        <v>145</v>
      </c>
      <c r="C24" s="19">
        <f>C13+C18+C21+C23</f>
        <v>0.82490559999999991</v>
      </c>
      <c r="D24" s="19">
        <f>D13+D18+D21+D23</f>
        <v>0.51957120000000001</v>
      </c>
      <c r="E24" s="19">
        <f>E13+E18+E21+E23</f>
        <v>0.96882560000000006</v>
      </c>
      <c r="F24" s="19">
        <f>F13+F18+F21+F23</f>
        <v>0.63941120000000007</v>
      </c>
    </row>
  </sheetData>
  <mergeCells count="6">
    <mergeCell ref="A22:E22"/>
    <mergeCell ref="A4:E4"/>
    <mergeCell ref="A19:E19"/>
    <mergeCell ref="A14:E14"/>
    <mergeCell ref="A1:F1"/>
    <mergeCell ref="A2:F2"/>
  </mergeCells>
  <pageMargins left="0.74803149606299213" right="0.74803149606299213" top="0.98425196850393704" bottom="0.98425196850393704" header="0.51181102362204722" footer="0.51181102362204722"/>
  <pageSetup paperSize="9" scale="67" fitToHeight="15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35"/>
  <sheetViews>
    <sheetView showGridLines="0" tabSelected="1" zoomScale="85" zoomScaleNormal="85" workbookViewId="0">
      <selection activeCell="B17" sqref="B17"/>
    </sheetView>
  </sheetViews>
  <sheetFormatPr defaultColWidth="8.7109375" defaultRowHeight="15"/>
  <cols>
    <col min="1" max="2" width="36" customWidth="1"/>
    <col min="3" max="3" width="34" customWidth="1"/>
    <col min="4" max="4" width="10" bestFit="1" customWidth="1"/>
    <col min="5" max="5" width="36.140625" bestFit="1" customWidth="1"/>
    <col min="9" max="9" width="15.85546875" bestFit="1" customWidth="1"/>
  </cols>
  <sheetData>
    <row r="1" spans="1:5" ht="15" customHeight="1">
      <c r="A1" s="225" t="s">
        <v>146</v>
      </c>
      <c r="B1" s="215"/>
      <c r="C1" s="215"/>
      <c r="D1" s="215"/>
      <c r="E1" s="215"/>
    </row>
    <row r="2" spans="1:5" ht="15" customHeight="1">
      <c r="A2" s="214" t="s">
        <v>147</v>
      </c>
      <c r="B2" s="215"/>
      <c r="C2" s="215"/>
      <c r="D2" s="215"/>
      <c r="E2" s="215"/>
    </row>
    <row r="3" spans="1:5" ht="15" customHeight="1">
      <c r="A3" s="257" t="s">
        <v>148</v>
      </c>
      <c r="B3" s="215"/>
      <c r="C3" s="215"/>
      <c r="D3" s="215"/>
      <c r="E3" s="215"/>
    </row>
    <row r="4" spans="1:5" ht="31.5" customHeight="1">
      <c r="A4" s="8" t="s">
        <v>149</v>
      </c>
      <c r="B4" s="8" t="s">
        <v>150</v>
      </c>
      <c r="C4" s="8" t="s">
        <v>151</v>
      </c>
      <c r="D4" s="8" t="s">
        <v>153</v>
      </c>
      <c r="E4" s="8" t="s">
        <v>91</v>
      </c>
    </row>
    <row r="5" spans="1:5" ht="15" customHeight="1">
      <c r="A5" s="10" t="s">
        <v>154</v>
      </c>
      <c r="B5" s="14" t="s">
        <v>155</v>
      </c>
      <c r="C5" s="14" t="s">
        <v>155</v>
      </c>
      <c r="D5" s="14" t="s">
        <v>155</v>
      </c>
      <c r="E5" s="16" t="s">
        <v>156</v>
      </c>
    </row>
    <row r="6" spans="1:5" ht="15" customHeight="1">
      <c r="A6" s="3" t="s">
        <v>157</v>
      </c>
      <c r="B6" s="4" t="s">
        <v>155</v>
      </c>
      <c r="C6" s="4" t="s">
        <v>155</v>
      </c>
      <c r="D6" s="4" t="s">
        <v>155</v>
      </c>
      <c r="E6" s="20" t="s">
        <v>158</v>
      </c>
    </row>
    <row r="7" spans="1:5" ht="15" customHeight="1">
      <c r="A7" s="10" t="s">
        <v>159</v>
      </c>
      <c r="B7" s="14" t="s">
        <v>155</v>
      </c>
      <c r="C7" s="14" t="s">
        <v>155</v>
      </c>
      <c r="D7" s="14" t="s">
        <v>155</v>
      </c>
      <c r="E7" s="16" t="s">
        <v>158</v>
      </c>
    </row>
    <row r="8" spans="1:5" ht="15" customHeight="1">
      <c r="A8" s="3" t="s">
        <v>160</v>
      </c>
      <c r="B8" s="4" t="s">
        <v>81</v>
      </c>
      <c r="C8" s="4" t="s">
        <v>81</v>
      </c>
      <c r="D8" s="4" t="s">
        <v>81</v>
      </c>
      <c r="E8" s="20" t="s">
        <v>161</v>
      </c>
    </row>
    <row r="9" spans="1:5" ht="15" customHeight="1">
      <c r="A9" s="10" t="s">
        <v>162</v>
      </c>
      <c r="B9" s="14" t="s">
        <v>163</v>
      </c>
      <c r="C9" s="14" t="s">
        <v>82</v>
      </c>
      <c r="D9" s="14">
        <v>10</v>
      </c>
      <c r="E9" s="16" t="s">
        <v>164</v>
      </c>
    </row>
    <row r="10" spans="1:5" ht="15" customHeight="1">
      <c r="A10" s="3" t="s">
        <v>165</v>
      </c>
      <c r="B10" s="4" t="s">
        <v>81</v>
      </c>
      <c r="C10" s="4" t="s">
        <v>82</v>
      </c>
      <c r="D10" s="4" t="s">
        <v>82</v>
      </c>
      <c r="E10" s="20" t="s">
        <v>166</v>
      </c>
    </row>
    <row r="11" spans="1:5" ht="15" customHeight="1">
      <c r="A11" s="10" t="s">
        <v>167</v>
      </c>
      <c r="B11" s="14">
        <v>1</v>
      </c>
      <c r="C11" s="14" t="s">
        <v>82</v>
      </c>
      <c r="D11" s="14">
        <v>2</v>
      </c>
      <c r="E11" s="16" t="s">
        <v>168</v>
      </c>
    </row>
    <row r="12" spans="1:5" ht="15" customHeight="1">
      <c r="A12" s="3" t="s">
        <v>169</v>
      </c>
      <c r="B12" s="4" t="s">
        <v>81</v>
      </c>
      <c r="C12" s="4" t="s">
        <v>82</v>
      </c>
      <c r="D12" s="4" t="s">
        <v>82</v>
      </c>
      <c r="E12" s="20" t="s">
        <v>170</v>
      </c>
    </row>
    <row r="13" spans="1:5" ht="15" customHeight="1">
      <c r="A13" s="10" t="s">
        <v>171</v>
      </c>
      <c r="B13" s="14">
        <v>14</v>
      </c>
      <c r="C13" s="14" t="s">
        <v>82</v>
      </c>
      <c r="D13" s="14">
        <v>10</v>
      </c>
      <c r="E13" s="16" t="s">
        <v>172</v>
      </c>
    </row>
    <row r="14" spans="1:5" ht="15" customHeight="1">
      <c r="A14" s="3" t="s">
        <v>99</v>
      </c>
      <c r="B14" s="4" t="s">
        <v>82</v>
      </c>
      <c r="C14" s="4">
        <v>27</v>
      </c>
      <c r="D14" s="4" t="s">
        <v>82</v>
      </c>
      <c r="E14" s="20"/>
    </row>
    <row r="15" spans="1:5" ht="15" customHeight="1">
      <c r="A15" s="10" t="s">
        <v>173</v>
      </c>
      <c r="B15" s="14" t="s">
        <v>82</v>
      </c>
      <c r="C15" s="14" t="s">
        <v>82</v>
      </c>
      <c r="D15" s="14" t="s">
        <v>82</v>
      </c>
      <c r="E15" s="16"/>
    </row>
    <row r="16" spans="1:5" ht="15" customHeight="1">
      <c r="A16" s="3" t="s">
        <v>174</v>
      </c>
      <c r="B16" s="4">
        <v>3</v>
      </c>
      <c r="C16" s="4" t="s">
        <v>82</v>
      </c>
      <c r="D16" s="4">
        <v>2</v>
      </c>
      <c r="E16" s="20" t="s">
        <v>175</v>
      </c>
    </row>
    <row r="17" spans="1:9" ht="15" customHeight="1">
      <c r="A17" s="12" t="s">
        <v>176</v>
      </c>
      <c r="B17" s="12">
        <f t="array" ref="B17">SUMPRODUCT(--ISNUMBER(--B5:B16),IFERROR(--B5:B16,0))</f>
        <v>26</v>
      </c>
      <c r="C17" s="12">
        <f t="array" ref="C17">SUMPRODUCT(--ISNUMBER(--C5:C16),IFERROR(--C5:C16,0))</f>
        <v>28</v>
      </c>
      <c r="D17" s="12">
        <f t="array" ref="D17">SUMPRODUCT(--ISNUMBER(--D5:D16),IFERROR(--D5:D16,0))</f>
        <v>25</v>
      </c>
      <c r="E17" s="12" t="s">
        <v>177</v>
      </c>
    </row>
    <row r="18" spans="1:9" ht="15" customHeight="1">
      <c r="A18" s="15"/>
      <c r="B18" s="15"/>
      <c r="C18" s="15"/>
      <c r="D18" s="15"/>
      <c r="E18" s="15"/>
    </row>
    <row r="19" spans="1:9" ht="15" customHeight="1">
      <c r="A19" s="255" t="s">
        <v>178</v>
      </c>
      <c r="B19" s="219"/>
      <c r="C19" s="219"/>
      <c r="D19" s="219"/>
      <c r="E19" s="220"/>
    </row>
    <row r="20" spans="1:9" ht="15" customHeight="1">
      <c r="A20" s="2" t="s">
        <v>179</v>
      </c>
      <c r="B20" s="2" t="s">
        <v>180</v>
      </c>
      <c r="C20" s="2" t="s">
        <v>181</v>
      </c>
      <c r="D20" s="15"/>
      <c r="E20" s="15"/>
    </row>
    <row r="21" spans="1:9" ht="15" customHeight="1">
      <c r="A21" s="21" t="s">
        <v>182</v>
      </c>
      <c r="B21" s="10" t="s">
        <v>183</v>
      </c>
      <c r="C21" s="17" t="s">
        <v>184</v>
      </c>
      <c r="D21" s="15"/>
      <c r="E21" s="15"/>
    </row>
    <row r="22" spans="1:9" ht="15" customHeight="1">
      <c r="A22" s="10"/>
      <c r="B22" s="10" t="s">
        <v>185</v>
      </c>
      <c r="C22" s="17" t="s">
        <v>186</v>
      </c>
      <c r="D22" s="15"/>
      <c r="E22" s="15"/>
    </row>
    <row r="23" spans="1:9" ht="15" customHeight="1">
      <c r="A23" s="10"/>
      <c r="B23" s="10" t="s">
        <v>187</v>
      </c>
      <c r="C23" s="17" t="s">
        <v>188</v>
      </c>
      <c r="D23" s="15"/>
      <c r="E23" s="15"/>
    </row>
    <row r="24" spans="1:9" ht="15" customHeight="1">
      <c r="A24" s="10"/>
      <c r="B24" s="10" t="s">
        <v>189</v>
      </c>
      <c r="C24" s="17" t="s">
        <v>190</v>
      </c>
      <c r="D24" s="15"/>
      <c r="E24" s="15"/>
      <c r="G24" s="258"/>
      <c r="H24" s="258"/>
      <c r="I24" s="258"/>
    </row>
    <row r="25" spans="1:9" ht="15" customHeight="1">
      <c r="A25" s="21" t="s">
        <v>151</v>
      </c>
      <c r="B25" s="10" t="s">
        <v>183</v>
      </c>
      <c r="C25" s="17" t="s">
        <v>191</v>
      </c>
      <c r="D25" s="15"/>
      <c r="E25" s="15"/>
      <c r="I25" s="60"/>
    </row>
    <row r="26" spans="1:9" ht="15" customHeight="1">
      <c r="A26" s="10"/>
      <c r="B26" s="10" t="s">
        <v>192</v>
      </c>
      <c r="C26" s="17" t="s">
        <v>193</v>
      </c>
      <c r="D26" s="15"/>
      <c r="E26" s="15"/>
    </row>
    <row r="27" spans="1:9" ht="15" customHeight="1">
      <c r="A27" s="10"/>
      <c r="B27" s="10" t="s">
        <v>194</v>
      </c>
      <c r="C27" s="17" t="s">
        <v>195</v>
      </c>
      <c r="D27" s="15"/>
      <c r="E27" s="15"/>
    </row>
    <row r="28" spans="1:9" ht="15" customHeight="1">
      <c r="A28" s="10"/>
      <c r="B28" s="10" t="s">
        <v>196</v>
      </c>
      <c r="C28" s="17" t="s">
        <v>197</v>
      </c>
      <c r="D28" s="15"/>
      <c r="E28" s="15"/>
      <c r="I28" s="61"/>
    </row>
    <row r="29" spans="1:9" ht="15" customHeight="1">
      <c r="A29" s="21" t="s">
        <v>152</v>
      </c>
      <c r="B29" s="10" t="s">
        <v>183</v>
      </c>
      <c r="C29" s="17" t="s">
        <v>198</v>
      </c>
      <c r="D29" s="15"/>
      <c r="E29" s="15"/>
    </row>
    <row r="30" spans="1:9" ht="15" customHeight="1">
      <c r="A30" s="10"/>
      <c r="B30" s="10" t="s">
        <v>199</v>
      </c>
      <c r="C30" s="17" t="s">
        <v>200</v>
      </c>
      <c r="D30" s="15"/>
      <c r="E30" s="15"/>
    </row>
    <row r="31" spans="1:9" ht="15" customHeight="1">
      <c r="A31" s="10"/>
      <c r="B31" s="10" t="s">
        <v>201</v>
      </c>
      <c r="C31" s="17" t="s">
        <v>202</v>
      </c>
      <c r="D31" s="15"/>
      <c r="E31" s="15"/>
    </row>
    <row r="32" spans="1:9" ht="15" customHeight="1">
      <c r="A32" s="21" t="s">
        <v>153</v>
      </c>
      <c r="B32" s="10" t="s">
        <v>203</v>
      </c>
      <c r="C32" s="17" t="s">
        <v>204</v>
      </c>
      <c r="D32" s="15"/>
      <c r="E32" s="15"/>
    </row>
    <row r="33" spans="1:5" ht="15" customHeight="1">
      <c r="A33" s="10"/>
      <c r="B33" s="10" t="s">
        <v>205</v>
      </c>
      <c r="C33" s="17" t="s">
        <v>206</v>
      </c>
      <c r="D33" s="15"/>
      <c r="E33" s="15"/>
    </row>
    <row r="34" spans="1:5" ht="15" customHeight="1">
      <c r="A34" s="10"/>
      <c r="B34" s="10" t="s">
        <v>207</v>
      </c>
      <c r="C34" s="17" t="s">
        <v>208</v>
      </c>
      <c r="D34" s="15"/>
      <c r="E34" s="15"/>
    </row>
    <row r="35" spans="1:5" ht="15" customHeight="1">
      <c r="A35" s="10"/>
      <c r="B35" s="10" t="s">
        <v>209</v>
      </c>
      <c r="C35" s="17" t="s">
        <v>210</v>
      </c>
      <c r="D35" s="15"/>
      <c r="E35" s="15"/>
    </row>
  </sheetData>
  <mergeCells count="5">
    <mergeCell ref="A3:E3"/>
    <mergeCell ref="A2:E2"/>
    <mergeCell ref="A19:E19"/>
    <mergeCell ref="A1:E1"/>
    <mergeCell ref="G24:I24"/>
  </mergeCells>
  <pageMargins left="0.75" right="0.75" top="1" bottom="1" header="0.511811023622047" footer="0.511811023622047"/>
  <pageSetup paperSize="9" scale="6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Resumo Orçamento</vt:lpstr>
      <vt:lpstr>Planilha Orçamentária</vt:lpstr>
      <vt:lpstr>BDI</vt:lpstr>
      <vt:lpstr>Composições CCU</vt:lpstr>
      <vt:lpstr>Composição de MO</vt:lpstr>
      <vt:lpstr>Encargos Sociais</vt:lpstr>
      <vt:lpstr>ETP - Equipes e Produtiv.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Compras Alvorada</cp:lastModifiedBy>
  <cp:revision>0</cp:revision>
  <cp:lastPrinted>2026-07-17T13:03:00Z</cp:lastPrinted>
  <dcterms:created xsi:type="dcterms:W3CDTF">2026-06-03T20:25:46Z</dcterms:created>
  <dcterms:modified xsi:type="dcterms:W3CDTF">2026-08-27T11:44:13Z</dcterms:modified>
  <dc:language>en-US</dc:language>
</cp:coreProperties>
</file>