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5.xml.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2.xml" ContentType="application/vnd.openxmlformats-officedocument.spreadsheetml.comments+xml"/>
  <Override PartName="/xl/drawings/vmlDrawing1.vml" ContentType="application/vnd.openxmlformats-officedocument.vmlDrawing"/>
  <Override PartName="/xl/drawings/vmlDrawing2.vml" ContentType="application/vnd.openxmlformats-officedocument.vmlDrawing"/>
  <Override PartName="/xl/drawings/vmlDrawing3.vml" ContentType="application/vnd.openxmlformats-officedocument.vmlDrawing"/>
  <Override PartName="/xl/comments5.xml" ContentType="application/vnd.openxmlformats-officedocument.spreadsheetml.comment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sumo" sheetId="1" state="visible" r:id="rId2"/>
    <sheet name="Anexo A" sheetId="2" state="visible" r:id="rId3"/>
    <sheet name="Anexo B" sheetId="3" state="visible" r:id="rId4"/>
    <sheet name="Depreciação" sheetId="4" state="visible" r:id="rId5"/>
    <sheet name="Leia" sheetId="5" state="visible" r:id="rId6"/>
  </sheets>
  <definedNames>
    <definedName function="false" hidden="false" localSheetId="1" name="_xlnm.Print_Area" vbProcedure="false">'Anexo A'!$B$1:$G$430</definedName>
    <definedName function="false" hidden="false" localSheetId="1" name="_xlnm.Print_Titles" vbProcedure="false">'Anexo A'!$1:$7</definedName>
    <definedName function="false" hidden="false" localSheetId="2" name="_xlnm.Print_Area" vbProcedure="false">'Anexo B'!$A$1:$I$57</definedName>
    <definedName function="false" hidden="false" localSheetId="2" name="_xlnm.Print_Titles" vbProcedure="false">'Anexo B'!$1:$3</definedName>
    <definedName function="false" hidden="false" localSheetId="3" name="_xlnm.Print_Area" vbProcedure="false">Depreciação!$A$1:$G$21</definedName>
    <definedName function="false" hidden="false" localSheetId="0" name="_xlnm.Print_Area" vbProcedure="false">Resumo!$A$1:$F$15</definedName>
    <definedName function="false" hidden="false" localSheetId="3" name="AbaDeprec" vbProcedure="false">Depreciação!$A$2</definedName>
    <definedName function="false" hidden="false" localSheetId="3" name="Print_Area_2_1" vbProcedure="false">#REF!</definedName>
    <definedName function="false" hidden="false" localSheetId="3" name="Print_Area_4_1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2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D318" authorId="0">
      <text>
        <r>
          <rPr>
            <sz val="11"/>
            <color rgb="FF000000"/>
            <rFont val="Calibri"/>
            <family val="2"/>
            <charset val="1"/>
          </rPr>
          <t xml:space="preserve">Informar a taxa de juros anual para remuneração do capital. Recomenda-se o uso da Taxa SELIC.
</t>
        </r>
      </text>
    </comment>
  </commentList>
</comments>
</file>

<file path=xl/comments3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I8" authorId="0">
      <text>
        <r>
          <rPr>
            <sz val="11"/>
            <color rgb="FF000000"/>
            <rFont val="Calibri"/>
            <family val="2"/>
            <charset val="1"/>
          </rPr>
          <t xml:space="preserve">Admite-se utilizar a SELIC
</t>
        </r>
      </text>
    </comment>
    <comment ref="I9" authorId="0">
      <text>
        <r>
          <rPr>
            <sz val="11"/>
            <color rgb="FF000000"/>
            <rFont val="Calibri"/>
            <family val="2"/>
            <charset val="1"/>
          </rPr>
          <t xml:space="preserve">Informar a média de dias úteis entre data de pagamento prevista no contrato e a data final do período de adimplemento da parcela
</t>
        </r>
      </text>
    </comment>
  </commentList>
</comments>
</file>

<file path=xl/comments5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E10" authorId="0">
      <text>
        <r>
          <rPr>
            <sz val="11"/>
            <color rgb="FF000000"/>
            <rFont val="Calibri"/>
            <family val="2"/>
            <charset val="1"/>
          </rPr>
          <t xml:space="preserve">de ago/25 a jul/26</t>
        </r>
      </text>
    </comment>
  </commentList>
</comments>
</file>

<file path=xl/sharedStrings.xml><?xml version="1.0" encoding="utf-8"?>
<sst xmlns="http://schemas.openxmlformats.org/spreadsheetml/2006/main" count="740" uniqueCount="368">
  <si>
    <t xml:space="preserve">RESUMO</t>
  </si>
  <si>
    <t xml:space="preserve">PARTICIPANTE</t>
  </si>
  <si>
    <t xml:space="preserve">Item</t>
  </si>
  <si>
    <t xml:space="preserve">Descrição – Características Técnicas</t>
  </si>
  <si>
    <t xml:space="preserve">Valor Unit. (R$)</t>
  </si>
  <si>
    <t xml:space="preserve">Quantidade</t>
  </si>
  <si>
    <t xml:space="preserve">Valor Total</t>
  </si>
  <si>
    <t xml:space="preserve">COLETA DE RESÍDUOS DOMICILIARES</t>
  </si>
  <si>
    <t xml:space="preserve">Mensal</t>
  </si>
  <si>
    <t xml:space="preserve">Coleta de segunda à sexta das 7h às 23h40min. e aos domingos nas principais Avenidas. Incluso 40 contêineres na Av. Getúlio Vargas.</t>
  </si>
  <si>
    <t xml:space="preserve">Anual</t>
  </si>
  <si>
    <t xml:space="preserve">ANEXO A</t>
  </si>
  <si>
    <t xml:space="preserve">COLETA DOMICILIAR DO MUNICÍPIO DE ALVORADA</t>
  </si>
  <si>
    <t xml:space="preserve">Planilha de Composição de Custos</t>
  </si>
  <si>
    <t xml:space="preserve">Orçamento Sintético</t>
  </si>
  <si>
    <t xml:space="preserve">Descrição do Item</t>
  </si>
  <si>
    <t xml:space="preserve">Custo (R$/mês)</t>
  </si>
  <si>
    <t xml:space="preserve">%</t>
  </si>
  <si>
    <t xml:space="preserve">Quantitativos</t>
  </si>
  <si>
    <t xml:space="preserve">Mão de obra</t>
  </si>
  <si>
    <t xml:space="preserve">Total de mão de obra (postos de trabalho)</t>
  </si>
  <si>
    <t xml:space="preserve">Veículos e Equipamentos</t>
  </si>
  <si>
    <t xml:space="preserve">Veículos Coletores Compactadores</t>
  </si>
  <si>
    <t xml:space="preserve">Contêineres de PEAD</t>
  </si>
  <si>
    <t xml:space="preserve">Fator de utilização (FU)</t>
  </si>
  <si>
    <t xml:space="preserve">LEGENDA:</t>
  </si>
  <si>
    <t xml:space="preserve">Indicar valores</t>
  </si>
  <si>
    <t xml:space="preserve">Quantidade Mínima Indicada</t>
  </si>
  <si>
    <t xml:space="preserve">1. Mão de obra</t>
  </si>
  <si>
    <t xml:space="preserve">CATEGORIA</t>
  </si>
  <si>
    <t xml:space="preserve">INSALUBRIDADE</t>
  </si>
  <si>
    <t xml:space="preserve">SALÁRIO¹</t>
  </si>
  <si>
    <t xml:space="preserve">Lixeiros/Coletores - SINDIASSEIO</t>
  </si>
  <si>
    <t xml:space="preserve">Motorista - SETCERGS-SINECARGA</t>
  </si>
  <si>
    <t xml:space="preserve">Encarregado/Gerente Operacional</t>
  </si>
  <si>
    <t xml:space="preserve">Salário Mínimo Nacional</t>
  </si>
  <si>
    <t xml:space="preserve">¹ Os valores discriminados devem respeitar aos determinados nas respectivas Convenções Coletivas de cada categoria.</t>
  </si>
  <si>
    <t xml:space="preserve">1.1. Lixeiros/Coletores</t>
  </si>
  <si>
    <t xml:space="preserve">DISCRIMINAÇÃO</t>
  </si>
  <si>
    <t xml:space="preserve">UNIDADE</t>
  </si>
  <si>
    <t xml:space="preserve">QUANTIDADE</t>
  </si>
  <si>
    <t xml:space="preserve">PREÇO UNITÁRIO</t>
  </si>
  <si>
    <t xml:space="preserve">SUBTOTAL</t>
  </si>
  <si>
    <t xml:space="preserve">Piso da categoria</t>
  </si>
  <si>
    <t xml:space="preserve">mês</t>
  </si>
  <si>
    <t xml:space="preserve">Horas Extras (100%)²</t>
  </si>
  <si>
    <t xml:space="preserve">hora</t>
  </si>
  <si>
    <t xml:space="preserve">Horas Extras (50%)</t>
  </si>
  <si>
    <t xml:space="preserve">Descanso Semanal Remunerado (DSR) - hora extra 50%</t>
  </si>
  <si>
    <t xml:space="preserve">R$</t>
  </si>
  <si>
    <t xml:space="preserve">Descanso Semanal Remunerado (DSR) - hora extra 100%</t>
  </si>
  <si>
    <t xml:space="preserve">Adicional de Insalubridade</t>
  </si>
  <si>
    <t xml:space="preserve">Soma</t>
  </si>
  <si>
    <t xml:space="preserve">Encargos Sociais</t>
  </si>
  <si>
    <t xml:space="preserve">Custo Total por Coletor</t>
  </si>
  <si>
    <t xml:space="preserve">Total do Efetivo</t>
  </si>
  <si>
    <t xml:space="preserve">pessoas</t>
  </si>
  <si>
    <t xml:space="preserve">COLETA NA AV. PRESIDENTE GETÚLIO VARGAS AOS DOMINGOS</t>
  </si>
  <si>
    <t xml:space="preserve">DSR - hora extra</t>
  </si>
  <si>
    <t xml:space="preserve">Encargos Sociais - hora extra</t>
  </si>
  <si>
    <t xml:space="preserve">Total por Coletor aos domingos</t>
  </si>
  <si>
    <t xml:space="preserve">Fator de Utilização</t>
  </si>
  <si>
    <t xml:space="preserve">Adicional noturno</t>
  </si>
  <si>
    <t xml:space="preserve">hrs trabalhadas</t>
  </si>
  <si>
    <t xml:space="preserve">hr contabilizada</t>
  </si>
  <si>
    <t xml:space="preserve">Horas Extras (100%)³</t>
  </si>
  <si>
    <t xml:space="preserve">Horas Extras Noturnas (100%)</t>
  </si>
  <si>
    <t xml:space="preserve">Horas Extras Noturnas (50%)</t>
  </si>
  <si>
    <t xml:space="preserve">Descanso Semanal Remunerado (DSR) -Adicional Noturno</t>
  </si>
  <si>
    <t xml:space="preserve">Total Lixeiros/Coletores</t>
  </si>
  <si>
    <t xml:space="preserve">1.2. Motoristas</t>
  </si>
  <si>
    <t xml:space="preserve">Piso da categoria (2)</t>
  </si>
  <si>
    <t xml:space="preserve">Salário mínimo nacional (1)</t>
  </si>
  <si>
    <t xml:space="preserve">Horas Extras (100%)</t>
  </si>
  <si>
    <t xml:space="preserve">Base de cálculo da Insalubridade</t>
  </si>
  <si>
    <t xml:space="preserve">Total por Motorista</t>
  </si>
  <si>
    <t xml:space="preserve">DSR - hora extra 100%</t>
  </si>
  <si>
    <t xml:space="preserve">Total por Motorista aos domingos</t>
  </si>
  <si>
    <t xml:space="preserve">Custo Total por Motorista</t>
  </si>
  <si>
    <t xml:space="preserve">Total Motoristas</t>
  </si>
  <si>
    <t xml:space="preserve">1.3. Encarregado/Gerente Operacional</t>
  </si>
  <si>
    <t xml:space="preserve">Descanso Semanal Remunerado (DSR) - hora extra</t>
  </si>
  <si>
    <t xml:space="preserve">Total por Encarregado/Gerente Operacional</t>
  </si>
  <si>
    <t xml:space="preserve">Total Encarregado/Gerente Operacional</t>
  </si>
  <si>
    <t xml:space="preserve">1.4. Vale Transporte</t>
  </si>
  <si>
    <r>
      <rPr>
        <b val="true"/>
        <sz val="10"/>
        <rFont val="Calibri"/>
        <family val="2"/>
        <charset val="1"/>
      </rPr>
      <t xml:space="preserve">PREÇO UNITÁRIO</t>
    </r>
    <r>
      <rPr>
        <b val="true"/>
        <vertAlign val="superscript"/>
        <sz val="9"/>
        <rFont val="Calibri"/>
        <family val="2"/>
        <charset val="1"/>
      </rPr>
      <t xml:space="preserve">4</t>
    </r>
  </si>
  <si>
    <t xml:space="preserve">TOTAL</t>
  </si>
  <si>
    <t xml:space="preserve">Vale transporte</t>
  </si>
  <si>
    <t xml:space="preserve">Dias Trabalhados por mês</t>
  </si>
  <si>
    <t xml:space="preserve">dias</t>
  </si>
  <si>
    <t xml:space="preserve">Lixeiro/Coletor</t>
  </si>
  <si>
    <t xml:space="preserve">vale</t>
  </si>
  <si>
    <t xml:space="preserve">Motoristas</t>
  </si>
  <si>
    <r>
      <rPr>
        <vertAlign val="superscript"/>
        <sz val="8"/>
        <rFont val="Calibri"/>
        <family val="2"/>
        <charset val="1"/>
      </rPr>
      <t xml:space="preserve">4</t>
    </r>
    <r>
      <rPr>
        <sz val="8"/>
        <rFont val="Calibri"/>
        <family val="2"/>
        <charset val="1"/>
      </rPr>
      <t xml:space="preserve">Com desconto aplicado</t>
    </r>
  </si>
  <si>
    <t xml:space="preserve">Total Mensal</t>
  </si>
  <si>
    <t xml:space="preserve">Os valores discriminados devem respeitar as determinações das respectivas Convenções Coletivas de cada categoria, quanto ao valor e desconto máximo aplicável. Para os demais, valor médio de mercado.</t>
  </si>
  <si>
    <t xml:space="preserve">DESCONTO</t>
  </si>
  <si>
    <t xml:space="preserve">V.A. Motorista - SETCERGS-SINECARGA</t>
  </si>
  <si>
    <t xml:space="preserve">V.R. SINDIASSEIO</t>
  </si>
  <si>
    <t xml:space="preserve">V.R. Motorista - SETCERGS-SINECARGA</t>
  </si>
  <si>
    <t xml:space="preserve">1.5. Vale-refeição - VR</t>
  </si>
  <si>
    <r>
      <rPr>
        <b val="true"/>
        <sz val="10"/>
        <rFont val="Calibri"/>
        <family val="2"/>
        <charset val="1"/>
      </rPr>
      <t xml:space="preserve">PREÇO UNITÁRIO</t>
    </r>
    <r>
      <rPr>
        <b val="true"/>
        <vertAlign val="superscript"/>
        <sz val="9"/>
        <rFont val="Calibri"/>
        <family val="2"/>
        <charset val="1"/>
      </rPr>
      <t xml:space="preserve">5</t>
    </r>
  </si>
  <si>
    <r>
      <rPr>
        <vertAlign val="superscript"/>
        <sz val="8"/>
        <rFont val="Calibri"/>
        <family val="2"/>
        <charset val="1"/>
      </rPr>
      <t xml:space="preserve">5</t>
    </r>
    <r>
      <rPr>
        <sz val="8"/>
        <rFont val="Calibri"/>
        <family val="2"/>
        <charset val="1"/>
      </rPr>
      <t xml:space="preserve">Com desconto aplicado</t>
    </r>
  </si>
  <si>
    <t xml:space="preserve">1.6. Auxílio Alimentação - VA</t>
  </si>
  <si>
    <r>
      <rPr>
        <b val="true"/>
        <sz val="10"/>
        <rFont val="Calibri"/>
        <family val="2"/>
        <charset val="1"/>
      </rPr>
      <t xml:space="preserve">PREÇO UNITÁRIO</t>
    </r>
    <r>
      <rPr>
        <b val="true"/>
        <vertAlign val="superscript"/>
        <sz val="9"/>
        <rFont val="Calibri"/>
        <family val="2"/>
        <charset val="1"/>
      </rPr>
      <t xml:space="preserve">6</t>
    </r>
  </si>
  <si>
    <t xml:space="preserve">Unidade</t>
  </si>
  <si>
    <r>
      <rPr>
        <vertAlign val="superscript"/>
        <sz val="8"/>
        <rFont val="Calibri"/>
        <family val="2"/>
        <charset val="1"/>
      </rPr>
      <t xml:space="preserve">6</t>
    </r>
    <r>
      <rPr>
        <sz val="8"/>
        <rFont val="Calibri"/>
        <family val="2"/>
        <charset val="1"/>
      </rPr>
      <t xml:space="preserve">Com desconto aplicado</t>
    </r>
  </si>
  <si>
    <t xml:space="preserve">1.7. Outros Auxílios</t>
  </si>
  <si>
    <t xml:space="preserve">Plano de Benfício Social Familiar</t>
  </si>
  <si>
    <t xml:space="preserve">Coletores e Encarregado</t>
  </si>
  <si>
    <t xml:space="preserve">mensal</t>
  </si>
  <si>
    <t xml:space="preserve">Auxilio Doença/Invalidez</t>
  </si>
  <si>
    <t xml:space="preserve">Despesas com Funeral e Sepultamento</t>
  </si>
  <si>
    <t xml:space="preserve">Seguro de vida</t>
  </si>
  <si>
    <t xml:space="preserve">Motorista Coletor de Lixo Urbano</t>
  </si>
  <si>
    <t xml:space="preserve">anual</t>
  </si>
  <si>
    <t xml:space="preserve">Abono Indenizatório</t>
  </si>
  <si>
    <t xml:space="preserve">1. Custo Mensal com Mão de obra (R$/mês)</t>
  </si>
  <si>
    <t xml:space="preserve">2. Uniformes e Equipamentos de Proteção Individual e Proteção Coletiva</t>
  </si>
  <si>
    <t xml:space="preserve">2.1. Uniformes</t>
  </si>
  <si>
    <t xml:space="preserve">QUANTIDADE POR FUN. /ANO</t>
  </si>
  <si>
    <t xml:space="preserve">Nº FUNCION.</t>
  </si>
  <si>
    <t xml:space="preserve">VALOR UNITÁRIO</t>
  </si>
  <si>
    <t xml:space="preserve">Lixeiros/Coletores</t>
  </si>
  <si>
    <t xml:space="preserve">Calça</t>
  </si>
  <si>
    <t xml:space="preserve">unidade</t>
  </si>
  <si>
    <t xml:space="preserve">Camiseta/camisa em algodão com mangas curtas (para verão) e longas (para inverno) com tarjas reflexivas</t>
  </si>
  <si>
    <t xml:space="preserve">Meia de algodão com cano alto</t>
  </si>
  <si>
    <t xml:space="preserve">par</t>
  </si>
  <si>
    <t xml:space="preserve">Total Ano</t>
  </si>
  <si>
    <t xml:space="preserve">Total Mês Uniformes  Lixeiros/Coletores</t>
  </si>
  <si>
    <t xml:space="preserve">Motoristas e encarregado</t>
  </si>
  <si>
    <t xml:space="preserve">Total Mês Uniformes  Motoristas e encarregado</t>
  </si>
  <si>
    <t xml:space="preserve">2.2. Equipamentos de Proteção Individual - EPI's</t>
  </si>
  <si>
    <t xml:space="preserve">Agasalho ou vestimenta de proteção contra frio em algodão com mangas longas e tarjas reflexivas</t>
  </si>
  <si>
    <t xml:space="preserve">Calçado</t>
  </si>
  <si>
    <t xml:space="preserve">Capa de Chuva</t>
  </si>
  <si>
    <t xml:space="preserve">Chapéu ou boné tipo árabe</t>
  </si>
  <si>
    <t xml:space="preserve">Colete reflexivo tipo X</t>
  </si>
  <si>
    <t xml:space="preserve">Creme de proteção solar com FPS 30 (frasco de 120 g)</t>
  </si>
  <si>
    <t xml:space="preserve">Luva de proteção com suporte têxtil e banho em borracha nitrílica</t>
  </si>
  <si>
    <t xml:space="preserve">Óculos de proteção contra luminosidade intensa</t>
  </si>
  <si>
    <t xml:space="preserve">Total Mês EPI's  Lixeiros/Coletores</t>
  </si>
  <si>
    <t xml:space="preserve">Calçado selecionado de acordo com os riscos ocupacionais identificados no Programa de Gerenciamento de Riscos - PGR (até 21/04/2026). Após essa data, deverá ser calçado de segurança do tipo tênis aprovado, no mínimo, para proteção contra impactos de quedas sobre os artelhos e contra agentes abrasivos, escoriantes e perfurantes, com absorção de energia na área do salto (calcanhar) e com resistência ao escorregamento.</t>
  </si>
  <si>
    <t xml:space="preserve">Luva de segurança aprovada para proteção das mãos do usuário contra agentes abrasivos, escoriantes, cortantes e perfurantes.</t>
  </si>
  <si>
    <t xml:space="preserve">14  Motoristas e  Encarregado/Gerente Operacional </t>
  </si>
  <si>
    <t xml:space="preserve">Botina de segurança</t>
  </si>
  <si>
    <t xml:space="preserve">Total Mês EPI's  Motoristas e  Encarregado/Gerente Operacional </t>
  </si>
  <si>
    <t xml:space="preserve">2.3. Equipamentos de Proteção Coletiva - EPC</t>
  </si>
  <si>
    <t xml:space="preserve">QUANTIDADE POR VEÍCULO</t>
  </si>
  <si>
    <t xml:space="preserve">Cone de Sinalização</t>
  </si>
  <si>
    <t xml:space="preserve">Total Mês</t>
  </si>
  <si>
    <t xml:space="preserve">2. Custo Mensal Uniformes, EPI's E EPC's (R$/mês)</t>
  </si>
  <si>
    <t xml:space="preserve">3. Veículos e Equipamentos</t>
  </si>
  <si>
    <t xml:space="preserve">3.1. Veículos Coletores Compactadores</t>
  </si>
  <si>
    <t xml:space="preserve">3.1.1. Depreciação</t>
  </si>
  <si>
    <t xml:space="preserve">CUSTO UNITÁRIO</t>
  </si>
  <si>
    <r>
      <rPr>
        <sz val="10"/>
        <rFont val="Calibri"/>
        <family val="2"/>
        <charset val="1"/>
      </rPr>
      <t xml:space="preserve">Custo de aquisição do chassis</t>
    </r>
    <r>
      <rPr>
        <vertAlign val="superscript"/>
        <sz val="9"/>
        <rFont val="Calibri"/>
        <family val="2"/>
        <charset val="1"/>
      </rPr>
      <t xml:space="preserve">12</t>
    </r>
  </si>
  <si>
    <t xml:space="preserve">Vida útil do chassis</t>
  </si>
  <si>
    <t xml:space="preserve">anos</t>
  </si>
  <si>
    <t xml:space="preserve">Idade do chassis</t>
  </si>
  <si>
    <t xml:space="preserve">Depreciação do chassis</t>
  </si>
  <si>
    <t xml:space="preserve">Depreciação mensal dos chassis</t>
  </si>
  <si>
    <t xml:space="preserve">12 Considerando veículos dotados de cabine que comportem 1 (um) motorista e 3 (três) passageiros.</t>
  </si>
  <si>
    <t xml:space="preserve">Custo de aquisição do dimp</t>
  </si>
  <si>
    <t xml:space="preserve">Vida útil do dimp</t>
  </si>
  <si>
    <t xml:space="preserve">Idade do dimp</t>
  </si>
  <si>
    <t xml:space="preserve">Depreciação do dimp</t>
  </si>
  <si>
    <t xml:space="preserve">Depreciação mensal do dimp</t>
  </si>
  <si>
    <t xml:space="preserve">Custo de aquisição do compactador 15 m³</t>
  </si>
  <si>
    <t xml:space="preserve">Vida útil do compactador</t>
  </si>
  <si>
    <t xml:space="preserve">Idade do compactador</t>
  </si>
  <si>
    <t xml:space="preserve">Depreciação do compactador</t>
  </si>
  <si>
    <t xml:space="preserve">Depreciação mensal do compactador</t>
  </si>
  <si>
    <t xml:space="preserve">Total por veículo de 15m³</t>
  </si>
  <si>
    <t xml:space="preserve">Total da frota</t>
  </si>
  <si>
    <t xml:space="preserve">Fator de utilização</t>
  </si>
  <si>
    <t xml:space="preserve">3.1.2. Remuneração do Capital  Investido</t>
  </si>
  <si>
    <t xml:space="preserve">Custo do chassis</t>
  </si>
  <si>
    <r>
      <rPr>
        <sz val="10"/>
        <rFont val="Calibri"/>
        <family val="2"/>
        <charset val="1"/>
      </rPr>
      <t xml:space="preserve">Taxa de juros anual nominal</t>
    </r>
    <r>
      <rPr>
        <vertAlign val="superscript"/>
        <sz val="10"/>
        <rFont val="Calibri"/>
        <family val="2"/>
        <charset val="1"/>
      </rPr>
      <t xml:space="preserve">13</t>
    </r>
  </si>
  <si>
    <t xml:space="preserve">Valor do chassis proposto</t>
  </si>
  <si>
    <t xml:space="preserve">Investimento médio total do chassis</t>
  </si>
  <si>
    <t xml:space="preserve">Remuneração mensal de capital do chassis</t>
  </si>
  <si>
    <t xml:space="preserve">Custo do dimp</t>
  </si>
  <si>
    <t xml:space="preserve">Taxa de juros anual nominal</t>
  </si>
  <si>
    <t xml:space="preserve">Valor do dimp proposto</t>
  </si>
  <si>
    <t xml:space="preserve">Investimento médio total do dimp</t>
  </si>
  <si>
    <t xml:space="preserve">Remuneração mensal de capital do dimp</t>
  </si>
  <si>
    <t xml:space="preserve">Custo do compactador 15m³</t>
  </si>
  <si>
    <t xml:space="preserve">Valor do compactador proposto</t>
  </si>
  <si>
    <t xml:space="preserve">Investimento médio total do compactador</t>
  </si>
  <si>
    <t xml:space="preserve">Remuneração mensal de capital do compactador 15m³</t>
  </si>
  <si>
    <r>
      <rPr>
        <vertAlign val="superscript"/>
        <sz val="8"/>
        <rFont val="Calibri"/>
        <family val="2"/>
        <charset val="1"/>
      </rPr>
      <t xml:space="preserve">13</t>
    </r>
    <r>
      <rPr>
        <sz val="8"/>
        <rFont val="Calibri"/>
        <family val="2"/>
        <charset val="1"/>
      </rPr>
      <t xml:space="preserve"> 272ª Reunião COPOM - Banco Central do Brasil - Taxa Selic</t>
    </r>
  </si>
  <si>
    <t xml:space="preserve">3.1.3. Impostos e Seguros</t>
  </si>
  <si>
    <t xml:space="preserve">VALOR ANUAL</t>
  </si>
  <si>
    <t xml:space="preserve">VALOR MENSAL</t>
  </si>
  <si>
    <t xml:space="preserve">IPVA</t>
  </si>
  <si>
    <t xml:space="preserve">Licenciamento e Seguro obrigatório</t>
  </si>
  <si>
    <t xml:space="preserve">Seguro contra terceiros</t>
  </si>
  <si>
    <t xml:space="preserve">3.1.4. Consumo dos veículos</t>
  </si>
  <si>
    <t xml:space="preserve">Quilometragem Mensal:</t>
  </si>
  <si>
    <t xml:space="preserve">km</t>
  </si>
  <si>
    <t xml:space="preserve">SUB-TOTAL</t>
  </si>
  <si>
    <t xml:space="preserve">Custo de óleo diesel / km rodado</t>
  </si>
  <si>
    <t xml:space="preserve">km/l</t>
  </si>
  <si>
    <t xml:space="preserve">Custo mensal com óleo diesel</t>
  </si>
  <si>
    <t xml:space="preserve">Custo de arla 32 / km rodado</t>
  </si>
  <si>
    <t xml:space="preserve">Custo mensal com arla 32</t>
  </si>
  <si>
    <t xml:space="preserve">C. de óleo do motor /1.000 km rodados</t>
  </si>
  <si>
    <t xml:space="preserve">l/1.000 km</t>
  </si>
  <si>
    <t xml:space="preserve">Custo mensal com óleo do motor</t>
  </si>
  <si>
    <t xml:space="preserve">C. de óleo da transmissão /1.000 km</t>
  </si>
  <si>
    <t xml:space="preserve">Custo mensal com óleo da transmissão</t>
  </si>
  <si>
    <t xml:space="preserve">C. de óleo hidráulico / 1.000 km</t>
  </si>
  <si>
    <t xml:space="preserve">Custo mensal com óleo hidráulico</t>
  </si>
  <si>
    <t xml:space="preserve">Custo de graxa /1.000 km rodados</t>
  </si>
  <si>
    <t xml:space="preserve">kg/1.000 km</t>
  </si>
  <si>
    <t xml:space="preserve">Custo mensal com graxa</t>
  </si>
  <si>
    <t xml:space="preserve">Custo com consumo / km rodado</t>
  </si>
  <si>
    <t xml:space="preserve">R$/ km rodado</t>
  </si>
  <si>
    <t xml:space="preserve">3.1.5. Manutenção</t>
  </si>
  <si>
    <t xml:space="preserve">CUSTO ESTIMADO MANUT.</t>
  </si>
  <si>
    <t xml:space="preserve">CUSTO DE MANUT. / MÊS</t>
  </si>
  <si>
    <t xml:space="preserve">Custo de manutenção por km rodado</t>
  </si>
  <si>
    <t xml:space="preserve">R$/km</t>
  </si>
  <si>
    <t xml:space="preserve">3.1.6. Pneus </t>
  </si>
  <si>
    <t xml:space="preserve">Custo do jogo de pneus</t>
  </si>
  <si>
    <t xml:space="preserve">Numero de recapagens por pneus</t>
  </si>
  <si>
    <t xml:space="preserve">Custo de recapagem</t>
  </si>
  <si>
    <t xml:space="preserve">km/jogo</t>
  </si>
  <si>
    <t xml:space="preserve">Custo mensal com pneus</t>
  </si>
  <si>
    <t xml:space="preserve">3.2. Locação contêineres</t>
  </si>
  <si>
    <r>
      <rPr>
        <sz val="10"/>
        <rFont val="Calibri"/>
        <family val="2"/>
        <charset val="1"/>
      </rPr>
      <t xml:space="preserve">Custo de locação de Contêineres em PEAD com capacidade volumétrica de 1 m³, com quatro rodízios e compatível com sistema de elevação e basculamento traseiro.
</t>
    </r>
    <r>
      <rPr>
        <sz val="7"/>
        <rFont val="Calibri"/>
        <family val="2"/>
        <charset val="1"/>
      </rPr>
      <t xml:space="preserve">Incluído os custos com fornecimento, distribuição e manutenção (higienização, manutenção e reposição por perdas, furtos e depredação)</t>
    </r>
  </si>
  <si>
    <t xml:space="preserve">3. Custo Mensal Veículos e Equipamentos (R$/mês)</t>
  </si>
  <si>
    <t xml:space="preserve">4. Monitoramento da Frota</t>
  </si>
  <si>
    <t xml:space="preserve">Implantação dos equipamentos "GPS"</t>
  </si>
  <si>
    <t xml:space="preserve">cj</t>
  </si>
  <si>
    <t xml:space="preserve">Manutenção dos equipamentos "GPS"</t>
  </si>
  <si>
    <t xml:space="preserve">unidade/ mês</t>
  </si>
  <si>
    <t xml:space="preserve">                                                                                                                                                                                                                                    </t>
  </si>
  <si>
    <t xml:space="preserve">4. Custo Mensal Monitoramento de Frota (R$/mês)</t>
  </si>
  <si>
    <t xml:space="preserve">5. Ferramentas e Materiais de consumo</t>
  </si>
  <si>
    <t xml:space="preserve">QUANTIDADE/ ANO</t>
  </si>
  <si>
    <r>
      <rPr>
        <sz val="10"/>
        <rFont val="Calibri"/>
        <family val="2"/>
        <charset val="1"/>
      </rPr>
      <t xml:space="preserve">Dessedentação
</t>
    </r>
    <r>
      <rPr>
        <sz val="7"/>
        <rFont val="Calibri"/>
        <family val="2"/>
        <charset val="1"/>
      </rPr>
      <t xml:space="preserve">Para fins de determinação do custo de referência será considerado o uso de recipiente térmico para água individual (5L)</t>
    </r>
  </si>
  <si>
    <t xml:space="preserve">Pá de lixo redonda com cabo de madeira/metal</t>
  </si>
  <si>
    <t xml:space="preserve">Vassoura com cerdas duras, como as de piaçava ou nylon</t>
  </si>
  <si>
    <r>
      <rPr>
        <sz val="10"/>
        <rFont val="Calibri"/>
        <family val="2"/>
        <charset val="1"/>
      </rPr>
      <t xml:space="preserve">Publicidade (adesivos veículos)</t>
    </r>
    <r>
      <rPr>
        <vertAlign val="superscript"/>
        <sz val="10"/>
        <rFont val="Calibri"/>
        <family val="2"/>
        <charset val="1"/>
      </rPr>
      <t xml:space="preserve">14</t>
    </r>
  </si>
  <si>
    <r>
      <rPr>
        <vertAlign val="superscript"/>
        <sz val="8"/>
        <rFont val="Calibri"/>
        <family val="2"/>
        <charset val="1"/>
      </rPr>
      <t xml:space="preserve">14</t>
    </r>
    <r>
      <rPr>
        <sz val="8"/>
        <rFont val="Calibri"/>
        <family val="2"/>
        <charset val="1"/>
      </rPr>
      <t xml:space="preserve"> Coletores</t>
    </r>
  </si>
  <si>
    <t xml:space="preserve">5. Custo Mensal com Ferramentas e Materiais de Consumo (R$/mês)</t>
  </si>
  <si>
    <t xml:space="preserve">6. Administração Local</t>
  </si>
  <si>
    <t xml:space="preserve">Aluguel garagem e escritório</t>
  </si>
  <si>
    <t xml:space="preserve">Mês</t>
  </si>
  <si>
    <t xml:space="preserve">Despesas mensais para manutenção da sede no município.</t>
  </si>
  <si>
    <t xml:space="preserve">6. Custo Mensal com Administração Local (R$/mês)</t>
  </si>
  <si>
    <t xml:space="preserve">CUSTO TOTAL MENSAL COM DESPESAS OPERACIONAIS (R$/mês)</t>
  </si>
  <si>
    <t xml:space="preserve">7. Benefícios e Despesas Indiretas – BDI</t>
  </si>
  <si>
    <t xml:space="preserve">Benefícios e despesas indiretas</t>
  </si>
  <si>
    <t xml:space="preserve">7. Custo Mensal do BDI (R$/mês)</t>
  </si>
  <si>
    <t xml:space="preserve">CUSTO TOTAL MENSAL (R$/mês)</t>
  </si>
  <si>
    <t xml:space="preserve">QUANTIDADE MENSAL (ton)</t>
  </si>
  <si>
    <t xml:space="preserve">CUSTO TOTAL UNITÁRIO  (R$/ton)</t>
  </si>
  <si>
    <t xml:space="preserve">ANEXO B</t>
  </si>
  <si>
    <t xml:space="preserve">BDI E ENCARGOS SOCIAIS</t>
  </si>
  <si>
    <t xml:space="preserve">Composição do BDI - Benefícios e Despesas Indiretas</t>
  </si>
  <si>
    <t xml:space="preserve">i</t>
  </si>
  <si>
    <t xml:space="preserve">Informar o valor anual da taxa financeira, em percentual</t>
  </si>
  <si>
    <t xml:space="preserve">DU</t>
  </si>
  <si>
    <t xml:space="preserve">Informar a média de dias úteis entre data de pagamento prevista no contrato e a data final do período de adimplemento da parcela</t>
  </si>
  <si>
    <t xml:space="preserve">Código</t>
  </si>
  <si>
    <t xml:space="preserve">Descrição</t>
  </si>
  <si>
    <t xml:space="preserve">Valor</t>
  </si>
  <si>
    <t xml:space="preserve">AC</t>
  </si>
  <si>
    <t xml:space="preserve">Administração Central</t>
  </si>
  <si>
    <t xml:space="preserve">SRG</t>
  </si>
  <si>
    <t xml:space="preserve">Seguros/Riscos/Garantias</t>
  </si>
  <si>
    <t xml:space="preserve">L</t>
  </si>
  <si>
    <t xml:space="preserve">Lucro</t>
  </si>
  <si>
    <t xml:space="preserve">DF</t>
  </si>
  <si>
    <t xml:space="preserve">Despesas Financeiras</t>
  </si>
  <si>
    <t xml:space="preserve">T</t>
  </si>
  <si>
    <t xml:space="preserve">Tributos - ISS</t>
  </si>
  <si>
    <t xml:space="preserve">Tributos - PIS/COFINS</t>
  </si>
  <si>
    <t xml:space="preserve">Fórmula para o cálculo do BDI: 
{[(1+AC+SRG) x (1+L) x (1+DF)] / (1-T)} -1</t>
  </si>
  <si>
    <t xml:space="preserve">Resultado do cálculo do BDI:</t>
  </si>
  <si>
    <t xml:space="preserve">Grupo A</t>
  </si>
  <si>
    <t xml:space="preserve">A1</t>
  </si>
  <si>
    <t xml:space="preserve">INSS</t>
  </si>
  <si>
    <t xml:space="preserve">A2</t>
  </si>
  <si>
    <t xml:space="preserve">Sesi/Sesc/DPC/Faer</t>
  </si>
  <si>
    <t xml:space="preserve">A3</t>
  </si>
  <si>
    <t xml:space="preserve">Senai/Senac/DPC/Faer</t>
  </si>
  <si>
    <t xml:space="preserve">A4</t>
  </si>
  <si>
    <t xml:space="preserve">Incra</t>
  </si>
  <si>
    <t xml:space="preserve">A5</t>
  </si>
  <si>
    <t xml:space="preserve">Sebrae</t>
  </si>
  <si>
    <t xml:space="preserve">A6</t>
  </si>
  <si>
    <t xml:space="preserve">Salário Educação</t>
  </si>
  <si>
    <t xml:space="preserve">A7</t>
  </si>
  <si>
    <t xml:space="preserve">Seg. Acid. Trabalho</t>
  </si>
  <si>
    <t xml:space="preserve">A8</t>
  </si>
  <si>
    <t xml:space="preserve">FGTS</t>
  </si>
  <si>
    <t xml:space="preserve">Sub-total</t>
  </si>
  <si>
    <t xml:space="preserve">Grupo B</t>
  </si>
  <si>
    <t xml:space="preserve">B1</t>
  </si>
  <si>
    <t xml:space="preserve">Férias gozadas</t>
  </si>
  <si>
    <t xml:space="preserve">B2</t>
  </si>
  <si>
    <t xml:space="preserve">13° Salário</t>
  </si>
  <si>
    <t xml:space="preserve">B3</t>
  </si>
  <si>
    <t xml:space="preserve">Licença Paternidade</t>
  </si>
  <si>
    <t xml:space="preserve">B4</t>
  </si>
  <si>
    <t xml:space="preserve">Faltas Justificadas</t>
  </si>
  <si>
    <t xml:space="preserve">B5</t>
  </si>
  <si>
    <t xml:space="preserve">Auxílio acidente de trabalho</t>
  </si>
  <si>
    <t xml:space="preserve">B6</t>
  </si>
  <si>
    <t xml:space="preserve">Auxílio Doença</t>
  </si>
  <si>
    <t xml:space="preserve">Grupo C</t>
  </si>
  <si>
    <t xml:space="preserve">C1</t>
  </si>
  <si>
    <t xml:space="preserve">Aviso Prévio indenizado</t>
  </si>
  <si>
    <t xml:space="preserve">C2</t>
  </si>
  <si>
    <t xml:space="preserve">Férias Indenizadas</t>
  </si>
  <si>
    <t xml:space="preserve">C3</t>
  </si>
  <si>
    <t xml:space="preserve">Férias Indenizadas s/ aviso prévio inden.</t>
  </si>
  <si>
    <t xml:space="preserve">C4</t>
  </si>
  <si>
    <t xml:space="preserve">Depósito Recisão sem justa causa</t>
  </si>
  <si>
    <t xml:space="preserve">C5</t>
  </si>
  <si>
    <t xml:space="preserve">Indenização adicional</t>
  </si>
  <si>
    <t xml:space="preserve">Incidência cumulativa</t>
  </si>
  <si>
    <t xml:space="preserve">D1</t>
  </si>
  <si>
    <t xml:space="preserve">Reincidência do Grupo A sobre Grupo B</t>
  </si>
  <si>
    <t xml:space="preserve">D2</t>
  </si>
  <si>
    <t xml:space="preserve">Reincidência do FGTS sobre aviso prévio indenizado</t>
  </si>
  <si>
    <t xml:space="preserve">Total para Encargos Sociais</t>
  </si>
  <si>
    <t xml:space="preserve">Depreciação Referencial TCE/RS (%)</t>
  </si>
  <si>
    <t xml:space="preserve">Idade do veículo (ano)</t>
  </si>
  <si>
    <t xml:space="preserve">Depreciação Média</t>
  </si>
  <si>
    <t xml:space="preserve">ORIENTAÇÕES PARA PREENCHIMENTO:</t>
  </si>
  <si>
    <t xml:space="preserve">1) preencher as células em amarelo (A), conforme a legenda;</t>
  </si>
  <si>
    <t xml:space="preserve">2) as células em verde (B) são valores/quantidades mínimas indicadas, conforme TR.</t>
  </si>
  <si>
    <t xml:space="preserve">DADOS / PREMISSAS UTILIZADAS</t>
  </si>
  <si>
    <t xml:space="preserve">Coleta</t>
  </si>
  <si>
    <t xml:space="preserve">Turnos</t>
  </si>
  <si>
    <t xml:space="preserve">Total de domingos (a.a):</t>
  </si>
  <si>
    <t xml:space="preserve">Horas de trabalho aos domingos:</t>
  </si>
  <si>
    <t xml:space="preserve">Início</t>
  </si>
  <si>
    <t xml:space="preserve">Fim</t>
  </si>
  <si>
    <t xml:space="preserve">h</t>
  </si>
  <si>
    <t xml:space="preserve">Manhã</t>
  </si>
  <si>
    <t xml:space="preserve">Total de Feriados (a.a.):</t>
  </si>
  <si>
    <t xml:space="preserve">Feriados de seg. à sab. (a.a.):</t>
  </si>
  <si>
    <t xml:space="preserve">intervalo almoço:</t>
  </si>
  <si>
    <t xml:space="preserve">Feriados aos domingos (a.a.):</t>
  </si>
  <si>
    <t xml:space="preserve">duração dia:</t>
  </si>
  <si>
    <t xml:space="preserve">Noite</t>
  </si>
  <si>
    <t xml:space="preserve">Dias úteis / mês:</t>
  </si>
  <si>
    <t xml:space="preserve">Distância média percorrida pelos veículos coletores, nos dois turnos (km/dia):</t>
  </si>
  <si>
    <t xml:space="preserve">Adicional Noturno</t>
  </si>
  <si>
    <t xml:space="preserve">Horas mensais:</t>
  </si>
  <si>
    <t xml:space="preserve">entre 22h e 5h</t>
  </si>
  <si>
    <t xml:space="preserve">até as 22h</t>
  </si>
  <si>
    <t xml:space="preserve">intervalo:</t>
  </si>
  <si>
    <t xml:space="preserve">Duração noite:</t>
  </si>
  <si>
    <t xml:space="preserve">DIURNO:</t>
  </si>
  <si>
    <t xml:space="preserve">Total de feriados por mês - seg a sáb.</t>
  </si>
  <si>
    <t xml:space="preserve">Horas Extras por feriados</t>
  </si>
  <si>
    <t xml:space="preserve">Total de domingos por mês</t>
  </si>
  <si>
    <t xml:space="preserve">Horas Extras Domingos</t>
  </si>
  <si>
    <t xml:space="preserve">NOTURNO:</t>
  </si>
  <si>
    <t xml:space="preserve">Horas Extras noturnas por feriados</t>
  </si>
</sst>
</file>

<file path=xl/styles.xml><?xml version="1.0" encoding="utf-8"?>
<styleSheet xmlns="http://schemas.openxmlformats.org/spreadsheetml/2006/main">
  <numFmts count="17">
    <numFmt numFmtId="164" formatCode="General"/>
    <numFmt numFmtId="165" formatCode="0%"/>
    <numFmt numFmtId="166" formatCode="_-* #,##0.00_-;\-* #,##0.00_-;_-* \-??_-;_-@_-"/>
    <numFmt numFmtId="167" formatCode="_-&quot;R$ &quot;* #,##0.00_-;&quot;-R$ &quot;* #,##0.00_-;_-&quot;R$ &quot;* \-??_-;_-@_-"/>
    <numFmt numFmtId="168" formatCode="#,##0.00&quot; ton.&quot;"/>
    <numFmt numFmtId="169" formatCode="General"/>
    <numFmt numFmtId="170" formatCode="_(* #,##0.00_);_(* \(#,##0.00\);_(* \-??_);_(@_)"/>
    <numFmt numFmtId="171" formatCode="&quot;R$ &quot;#,##0.00"/>
    <numFmt numFmtId="172" formatCode="0.00%"/>
    <numFmt numFmtId="173" formatCode="#,##0.00"/>
    <numFmt numFmtId="174" formatCode="0"/>
    <numFmt numFmtId="175" formatCode="0.00"/>
    <numFmt numFmtId="176" formatCode="#,##0"/>
    <numFmt numFmtId="177" formatCode="0.0000"/>
    <numFmt numFmtId="178" formatCode="0.000%"/>
    <numFmt numFmtId="179" formatCode="hh:mm"/>
    <numFmt numFmtId="180" formatCode="[h]:mm:ss;@"/>
  </numFmts>
  <fonts count="4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11"/>
      <color rgb="FF000000"/>
      <name val="Times New Roman"/>
      <family val="1"/>
      <charset val="1"/>
    </font>
    <font>
      <b val="true"/>
      <sz val="14"/>
      <color rgb="FF000000"/>
      <name val="Times New Roman"/>
      <family val="1"/>
      <charset val="1"/>
    </font>
    <font>
      <b val="true"/>
      <sz val="10"/>
      <color rgb="FFFFFFFF"/>
      <name val="Times New Roman"/>
      <family val="1"/>
      <charset val="1"/>
    </font>
    <font>
      <sz val="10"/>
      <color rgb="FF000000"/>
      <name val="Times New Roman"/>
      <family val="1"/>
      <charset val="1"/>
    </font>
    <font>
      <b val="true"/>
      <i val="true"/>
      <sz val="10"/>
      <color rgb="FFFF0000"/>
      <name val="Times New Roman"/>
      <family val="1"/>
      <charset val="1"/>
    </font>
    <font>
      <b val="true"/>
      <sz val="10"/>
      <name val="Times New Roman"/>
      <family val="1"/>
      <charset val="1"/>
    </font>
    <font>
      <b val="true"/>
      <sz val="12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1"/>
      <color rgb="FFC00000"/>
      <name val="Calibri"/>
      <family val="2"/>
      <charset val="1"/>
    </font>
    <font>
      <sz val="10"/>
      <color rgb="FFC00000"/>
      <name val="Calibri"/>
      <family val="2"/>
      <charset val="1"/>
    </font>
    <font>
      <sz val="11"/>
      <name val="Calibri"/>
      <family val="2"/>
      <charset val="1"/>
    </font>
    <font>
      <b val="true"/>
      <sz val="14"/>
      <name val="Times New Roman"/>
      <family val="1"/>
      <charset val="1"/>
    </font>
    <font>
      <sz val="10"/>
      <name val="Calibri"/>
      <family val="2"/>
      <charset val="1"/>
    </font>
    <font>
      <b val="true"/>
      <sz val="10"/>
      <color rgb="FFFFFFFF"/>
      <name val="Calibri"/>
      <family val="2"/>
      <charset val="1"/>
    </font>
    <font>
      <b val="true"/>
      <i val="true"/>
      <sz val="14"/>
      <color rgb="FFFF0000"/>
      <name val="Times New Roman"/>
      <family val="1"/>
      <charset val="1"/>
    </font>
    <font>
      <b val="true"/>
      <sz val="10"/>
      <name val="Calibri"/>
      <family val="2"/>
      <charset val="1"/>
    </font>
    <font>
      <b val="true"/>
      <sz val="10"/>
      <color rgb="FFC00000"/>
      <name val="Calibri"/>
      <family val="2"/>
      <charset val="1"/>
    </font>
    <font>
      <sz val="8"/>
      <name val="Calibri"/>
      <family val="2"/>
      <charset val="1"/>
    </font>
    <font>
      <sz val="8"/>
      <color rgb="FFC00000"/>
      <name val="Calibri"/>
      <family val="2"/>
      <charset val="1"/>
    </font>
    <font>
      <b val="true"/>
      <vertAlign val="superscript"/>
      <sz val="9"/>
      <name val="Calibri"/>
      <family val="2"/>
      <charset val="1"/>
    </font>
    <font>
      <vertAlign val="superscript"/>
      <sz val="8"/>
      <name val="Calibri"/>
      <family val="2"/>
      <charset val="1"/>
    </font>
    <font>
      <b val="true"/>
      <sz val="8"/>
      <name val="Calibri"/>
      <family val="2"/>
      <charset val="1"/>
    </font>
    <font>
      <vertAlign val="superscript"/>
      <sz val="9"/>
      <name val="Calibri"/>
      <family val="2"/>
      <charset val="1"/>
    </font>
    <font>
      <b val="true"/>
      <sz val="8"/>
      <color rgb="FFC00000"/>
      <name val="Calibri"/>
      <family val="2"/>
      <charset val="1"/>
    </font>
    <font>
      <vertAlign val="superscript"/>
      <sz val="10"/>
      <name val="Calibri"/>
      <family val="2"/>
      <charset val="1"/>
    </font>
    <font>
      <sz val="9.5"/>
      <name val="Calibri"/>
      <family val="2"/>
      <charset val="1"/>
    </font>
    <font>
      <sz val="7"/>
      <name val="Calibri"/>
      <family val="2"/>
      <charset val="1"/>
    </font>
    <font>
      <sz val="11"/>
      <color rgb="FFFFFFFF"/>
      <name val="Calibri"/>
      <family val="2"/>
      <charset val="1"/>
    </font>
    <font>
      <sz val="10"/>
      <color rgb="FFFFFFFF"/>
      <name val="Calibri"/>
      <family val="2"/>
      <charset val="1"/>
    </font>
    <font>
      <sz val="10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C55A11"/>
      <name val="Calibri"/>
      <family val="2"/>
      <charset val="1"/>
    </font>
    <font>
      <b val="true"/>
      <i val="true"/>
      <sz val="10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u val="single"/>
      <sz val="11"/>
      <color rgb="FF0563C1"/>
      <name val="Calibri"/>
      <family val="2"/>
      <charset val="1"/>
    </font>
    <font>
      <b val="true"/>
      <sz val="11"/>
      <name val="Calibri"/>
      <family val="2"/>
      <charset val="1"/>
    </font>
    <font>
      <sz val="10"/>
      <color rgb="FF0070C0"/>
      <name val="Calibri"/>
      <family val="2"/>
      <charset val="1"/>
    </font>
    <font>
      <b val="true"/>
      <sz val="10"/>
      <color rgb="FF0070C0"/>
      <name val="Calibri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rgb="FF535353"/>
        <bgColor rgb="FF385724"/>
      </patternFill>
    </fill>
    <fill>
      <patternFill patternType="solid">
        <fgColor rgb="FFD9D9D9"/>
        <bgColor rgb="FFE7E6E6"/>
      </patternFill>
    </fill>
    <fill>
      <patternFill patternType="solid">
        <fgColor rgb="FFAFABAB"/>
        <bgColor rgb="FFA6A6A6"/>
      </patternFill>
    </fill>
    <fill>
      <patternFill patternType="solid">
        <fgColor rgb="FFC5E0B4"/>
        <bgColor rgb="FFD9D9D9"/>
      </patternFill>
    </fill>
    <fill>
      <patternFill patternType="solid">
        <fgColor rgb="FFFFE699"/>
        <bgColor rgb="FFFFF2CC"/>
      </patternFill>
    </fill>
    <fill>
      <patternFill patternType="solid">
        <fgColor rgb="FFFFF2CC"/>
        <bgColor rgb="FFF2F2F2"/>
      </patternFill>
    </fill>
    <fill>
      <patternFill patternType="solid">
        <fgColor rgb="FFC9C9C9"/>
        <bgColor rgb="FFD9D9D9"/>
      </patternFill>
    </fill>
    <fill>
      <patternFill patternType="solid">
        <fgColor rgb="FFEDEDED"/>
        <bgColor rgb="FFF2F2F2"/>
      </patternFill>
    </fill>
    <fill>
      <patternFill patternType="solid">
        <fgColor rgb="FFA6A6A6"/>
        <bgColor rgb="FFAFABAB"/>
      </patternFill>
    </fill>
    <fill>
      <patternFill patternType="solid">
        <fgColor rgb="FF000000"/>
        <bgColor rgb="FF003300"/>
      </patternFill>
    </fill>
    <fill>
      <patternFill patternType="solid">
        <fgColor rgb="FFF2F2F2"/>
        <bgColor rgb="FFEDEDED"/>
      </patternFill>
    </fill>
    <fill>
      <patternFill patternType="solid">
        <fgColor rgb="FFE7E6E6"/>
        <bgColor rgb="FFEDEDED"/>
      </patternFill>
    </fill>
    <fill>
      <patternFill patternType="solid">
        <fgColor rgb="FFBDD7EE"/>
        <bgColor rgb="FFD9D9D9"/>
      </patternFill>
    </fill>
  </fills>
  <borders count="3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 style="hair"/>
      <diagonal/>
    </border>
    <border diagonalUp="false" diagonalDown="false">
      <left/>
      <right/>
      <top style="thin"/>
      <bottom style="hair"/>
      <diagonal/>
    </border>
    <border diagonalUp="false" diagonalDown="false">
      <left/>
      <right style="thin"/>
      <top style="thin"/>
      <bottom style="hair"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 style="thin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thin"/>
      <top style="hair"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 style="thin"/>
      <top style="hair"/>
      <bottom/>
      <diagonal/>
    </border>
    <border diagonalUp="false" diagonalDown="false">
      <left style="thin"/>
      <right/>
      <top style="hair"/>
      <bottom style="thin"/>
      <diagonal/>
    </border>
    <border diagonalUp="false" diagonalDown="false">
      <left/>
      <right/>
      <top style="hair"/>
      <bottom style="thin"/>
      <diagonal/>
    </border>
    <border diagonalUp="false" diagonalDown="false">
      <left/>
      <right style="thin"/>
      <top style="hair"/>
      <bottom style="thin"/>
      <diagonal/>
    </border>
    <border diagonalUp="false" diagonalDown="false">
      <left style="thin"/>
      <right style="thin"/>
      <top style="hair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thin">
        <color rgb="FF7C7C7C"/>
      </left>
      <right style="thin">
        <color rgb="FF7C7C7C"/>
      </right>
      <top style="thin">
        <color rgb="FF7C7C7C"/>
      </top>
      <bottom style="thin">
        <color rgb="FF7C7C7C"/>
      </bottom>
      <diagonal/>
    </border>
    <border diagonalUp="false" diagonalDown="false">
      <left style="thin"/>
      <right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thin"/>
      <top/>
      <bottom style="hair"/>
      <diagonal/>
    </border>
    <border diagonalUp="false" diagonalDown="false">
      <left style="thin">
        <color rgb="FF535353"/>
      </left>
      <right style="thin">
        <color rgb="FF535353"/>
      </right>
      <top style="thin">
        <color rgb="FF535353"/>
      </top>
      <bottom style="thin">
        <color rgb="FF535353"/>
      </bottom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/>
      <bottom style="hair"/>
      <diagonal/>
    </border>
    <border diagonalUp="false" diagonalDown="false">
      <left style="thin">
        <color rgb="FF385724"/>
      </left>
      <right style="thin">
        <color rgb="FF385724"/>
      </right>
      <top style="thin">
        <color rgb="FF385724"/>
      </top>
      <bottom style="thin">
        <color rgb="FF385724"/>
      </bottom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41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0" fillId="3" borderId="0" xfId="1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2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8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0" fillId="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0" fillId="3" borderId="1" xfId="1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0" fillId="0" borderId="4" xfId="15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7" fillId="0" borderId="5" xfId="1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0" fillId="0" borderId="6" xfId="1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0" fillId="0" borderId="1" xfId="1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0" fillId="0" borderId="1" xfId="1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0" fillId="0" borderId="7" xfId="1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20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0" fillId="0" borderId="8" xfId="1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0" fillId="0" borderId="9" xfId="1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20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2" fontId="20" fillId="0" borderId="10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7" fillId="0" borderId="11" xfId="1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7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7" fillId="0" borderId="12" xfId="1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7" fillId="0" borderId="13" xfId="1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17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2" fontId="17" fillId="0" borderId="14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20" fillId="0" borderId="11" xfId="1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0" fillId="0" borderId="12" xfId="1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0" fillId="0" borderId="13" xfId="1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2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2" fontId="20" fillId="0" borderId="14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7" fillId="0" borderId="11" xfId="15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3" fontId="17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0" fillId="0" borderId="11" xfId="15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7" fillId="0" borderId="12" xfId="15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3" fontId="2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3" fontId="2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0" fillId="0" borderId="15" xfId="1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0" fillId="0" borderId="16" xfId="1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3" fontId="1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20" fillId="0" borderId="17" xfId="15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3" fontId="2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0" fillId="0" borderId="18" xfId="1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0" fillId="0" borderId="19" xfId="1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1" fontId="2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2" fontId="20" fillId="0" borderId="20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1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20" fillId="0" borderId="4" xfId="1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0" fillId="0" borderId="5" xfId="1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7" fillId="0" borderId="7" xfId="1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7" fillId="0" borderId="8" xfId="1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7" fillId="0" borderId="9" xfId="1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4" fontId="17" fillId="5" borderId="10" xfId="1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17" fillId="5" borderId="14" xfId="1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20" fillId="0" borderId="1" xfId="1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7" fillId="0" borderId="4" xfId="1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7" fillId="0" borderId="6" xfId="15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4" fontId="17" fillId="0" borderId="1" xfId="1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2" fontId="20" fillId="0" borderId="1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17" fillId="0" borderId="0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21" fillId="0" borderId="0" xfId="15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72" fontId="21" fillId="0" borderId="0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14" fillId="0" borderId="0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75" fontId="20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5" fontId="20" fillId="7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0" fillId="5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0" fillId="8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7" fillId="8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0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0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7" fillId="0" borderId="9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7" fillId="6" borderId="1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7" fillId="6" borderId="1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7" fillId="0" borderId="13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7" fillId="6" borderId="14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7" fillId="6" borderId="1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7" fillId="0" borderId="19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7" fillId="6" borderId="2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7" fillId="6" borderId="2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2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2" fontId="1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7" fontId="14" fillId="0" borderId="0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21" fillId="0" borderId="0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7" fillId="9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0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7" fillId="7" borderId="10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17" fillId="0" borderId="10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7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1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7" fillId="0" borderId="14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7" fillId="0" borderId="1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2" fontId="17" fillId="7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0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20" fillId="0" borderId="14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2" fontId="17" fillId="7" borderId="14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7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20" fillId="5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7" fillId="0" borderId="20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1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0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20" fillId="0" borderId="14" xfId="15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2" fontId="17" fillId="0" borderId="14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2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17" fillId="0" borderId="0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7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7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7" fillId="0" borderId="1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20" fillId="0" borderId="1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75" fontId="17" fillId="0" borderId="14" xfId="15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7" fillId="0" borderId="14" xfId="15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5" fontId="17" fillId="0" borderId="1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17" fillId="0" borderId="1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0" fillId="5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1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20" fillId="0" borderId="20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20" fillId="9" borderId="22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7" fillId="7" borderId="10" xfId="15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7" fillId="0" borderId="10" xfId="15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0" borderId="1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4" fontId="17" fillId="6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7" fillId="0" borderId="20" xfId="15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4" fontId="20" fillId="5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4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14" fillId="0" borderId="5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21" fillId="0" borderId="5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2" fontId="17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7" fontId="20" fillId="0" borderId="0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7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2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7" fillId="0" borderId="1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17" fillId="0" borderId="14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7" fillId="6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0" fillId="0" borderId="14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4" fontId="20" fillId="5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21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17" fillId="9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7" fillId="0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1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7" fillId="0" borderId="1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17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1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6" fontId="17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7" fillId="0" borderId="2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2" fontId="22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7" fontId="22" fillId="0" borderId="0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26" fillId="0" borderId="0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7" fillId="7" borderId="1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7" fillId="7" borderId="14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2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7" fillId="7" borderId="2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17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7" fillId="0" borderId="1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20" fillId="0" borderId="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73" fontId="17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17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7" fillId="0" borderId="2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0" fillId="0" borderId="2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0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0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2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7" fillId="0" borderId="2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7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17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2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7" fillId="0" borderId="25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0" fillId="0" borderId="2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1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20" fillId="8" borderId="26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17" fillId="8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20" fillId="0" borderId="1" xfId="15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4" fontId="17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4" fontId="17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4" fontId="17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2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2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7" fillId="0" borderId="2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7" fillId="0" borderId="19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20" fillId="0" borderId="0" xfId="15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17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1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6" fontId="17" fillId="0" borderId="10" xfId="1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7" fillId="6" borderId="1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6" fontId="17" fillId="0" borderId="14" xfId="1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7" fillId="6" borderId="14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7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2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2" fillId="0" borderId="2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20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2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0" fillId="5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7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7" fillId="6" borderId="10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17" fillId="0" borderId="10" xfId="17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17" fillId="0" borderId="14" xfId="1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2" fillId="0" borderId="5" xfId="15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6" fontId="14" fillId="0" borderId="0" xfId="15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14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4" fontId="20" fillId="5" borderId="14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0" fillId="0" borderId="1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0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7" fillId="0" borderId="1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17" fillId="0" borderId="2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0" fillId="0" borderId="2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23" fillId="0" borderId="0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28" fillId="0" borderId="0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5" fontId="17" fillId="6" borderId="14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7" fillId="0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1" fillId="0" borderId="0" xfId="15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21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7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0" fillId="0" borderId="2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5" fillId="0" borderId="21" xfId="15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7" fontId="17" fillId="6" borderId="2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6" fontId="1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75" fontId="17" fillId="6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17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17" fillId="0" borderId="14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7" fillId="0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17" fillId="6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7" fillId="0" borderId="14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0" fillId="0" borderId="1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6" fontId="20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0" fillId="0" borderId="2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2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4" fontId="1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7" fillId="6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17" fillId="0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22" fillId="0" borderId="0" xfId="15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76" fontId="17" fillId="6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17" fillId="5" borderId="1" xfId="1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17" fillId="5" borderId="20" xfId="15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7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17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17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20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7" fontId="17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0" fillId="1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20" fillId="10" borderId="29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7" fontId="1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2" fontId="17" fillId="0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7" fillId="0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1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7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7" fillId="1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5" fontId="20" fillId="10" borderId="29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11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3" fontId="18" fillId="11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7" fontId="3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5" fillId="8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2" fontId="17" fillId="0" borderId="10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4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2" fontId="34" fillId="6" borderId="10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4" fillId="0" borderId="2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5" fontId="34" fillId="6" borderId="20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20" fillId="0" borderId="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5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5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2" fontId="34" fillId="6" borderId="14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8" fontId="34" fillId="0" borderId="14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5" fillId="8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8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2" fontId="34" fillId="8" borderId="1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5" fillId="12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5" fillId="12" borderId="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5" fillId="12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2" fontId="35" fillId="12" borderId="1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4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1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1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1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5" fillId="12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5" fillId="12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5" fillId="12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4" fillId="0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4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4" fillId="0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4" fillId="0" borderId="1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4" fillId="0" borderId="1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4" fillId="0" borderId="1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4" fillId="0" borderId="1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4" fillId="0" borderId="1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4" fillId="0" borderId="1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4" fillId="0" borderId="2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4" fillId="0" borderId="2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2" fontId="34" fillId="0" borderId="14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4" fillId="0" borderId="1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4" fillId="0" borderId="1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2" fontId="34" fillId="0" borderId="20" xfId="19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72" fontId="35" fillId="8" borderId="1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9" fillId="8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0" fillId="0" borderId="0" xfId="2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39" fillId="0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9" fillId="13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1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0" fillId="13" borderId="1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3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5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4" fillId="0" borderId="2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5" fillId="0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9" fontId="42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2" fillId="0" borderId="3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9" fontId="42" fillId="6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4" fillId="0" borderId="3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5" fontId="42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3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2" fillId="0" borderId="2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0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0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14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2" fillId="1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9" fontId="42" fillId="14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9" fontId="17" fillId="14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5" fontId="42" fillId="14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9" fontId="43" fillId="14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9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5" fontId="3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75" fontId="34" fillId="14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</cellXfs>
  <cellStyles count="1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1"/>
    <cellStyle name="Normal 2 3" xfId="22"/>
    <cellStyle name="Normal 3" xfId="23"/>
    <cellStyle name="Porcentagem 2" xfId="24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70C0"/>
      <rgbColor rgb="FFC9C9C9"/>
      <rgbColor rgb="FF7C7C7C"/>
      <rgbColor rgb="FFAFABAB"/>
      <rgbColor rgb="FF993366"/>
      <rgbColor rgb="FFFFF2CC"/>
      <rgbColor rgb="FFF2F2F2"/>
      <rgbColor rgb="FF660066"/>
      <rgbColor rgb="FFFF8080"/>
      <rgbColor rgb="FF0563C1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DEDED"/>
      <rgbColor rgb="FFC5E0B4"/>
      <rgbColor rgb="FFFFE699"/>
      <rgbColor rgb="FFE7E6E6"/>
      <rgbColor rgb="FFFF99CC"/>
      <rgbColor rgb="FFCC99FF"/>
      <rgbColor rgb="FFD9D9D9"/>
      <rgbColor rgb="FF3366FF"/>
      <rgbColor rgb="FF33CCCC"/>
      <rgbColor rgb="FF99CC00"/>
      <rgbColor rgb="FFFFCC00"/>
      <rgbColor rgb="FFFF9900"/>
      <rgbColor rgb="FFC55A11"/>
      <rgbColor rgb="FF535353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85724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1.v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vmlDrawing" Target="../drawings/vmlDrawing2.v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comments" Target="../comments5.xml"/><Relationship Id="rId2" Type="http://schemas.openxmlformats.org/officeDocument/2006/relationships/vmlDrawing" Target="../drawings/vmlDrawing3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selection pane="topLeft" activeCell="J14" activeCellId="0" sqref="J14"/>
    </sheetView>
  </sheetViews>
  <sheetFormatPr defaultColWidth="9.43359375" defaultRowHeight="15" zeroHeight="false" outlineLevelRow="0" outlineLevelCol="0"/>
  <cols>
    <col collapsed="false" customWidth="true" hidden="false" outlineLevel="0" max="1" min="1" style="1" width="6.42"/>
    <col collapsed="false" customWidth="true" hidden="false" outlineLevel="0" max="2" min="2" style="1" width="28.99"/>
    <col collapsed="false" customWidth="true" hidden="false" outlineLevel="0" max="3" min="3" style="1" width="13.14"/>
    <col collapsed="false" customWidth="true" hidden="false" outlineLevel="0" max="4" min="4" style="2" width="10.14"/>
    <col collapsed="false" customWidth="true" hidden="false" outlineLevel="0" max="5" min="5" style="1" width="15.71"/>
    <col collapsed="false" customWidth="true" hidden="false" outlineLevel="0" max="6" min="6" style="1" width="19.85"/>
    <col collapsed="false" customWidth="false" hidden="false" outlineLevel="0" max="1024" min="7" style="1" width="9.42"/>
  </cols>
  <sheetData>
    <row r="1" customFormat="false" ht="24" hidden="false" customHeight="true" outlineLevel="0" collapsed="false">
      <c r="A1" s="3"/>
      <c r="B1" s="3"/>
      <c r="C1" s="3"/>
      <c r="D1" s="3"/>
      <c r="E1" s="3"/>
      <c r="F1" s="3"/>
    </row>
    <row r="2" s="5" customFormat="true" ht="19.5" hidden="false" customHeight="true" outlineLevel="0" collapsed="false">
      <c r="A2" s="4" t="s">
        <v>0</v>
      </c>
      <c r="B2" s="4"/>
      <c r="C2" s="4"/>
      <c r="D2" s="4"/>
      <c r="E2" s="4"/>
      <c r="F2" s="4"/>
    </row>
    <row r="3" s="5" customFormat="true" ht="7.5" hidden="false" customHeight="true" outlineLevel="0" collapsed="false">
      <c r="D3" s="6"/>
    </row>
    <row r="4" s="5" customFormat="true" ht="12.75" hidden="false" customHeight="true" outlineLevel="0" collapsed="false">
      <c r="A4" s="7" t="s">
        <v>1</v>
      </c>
      <c r="B4" s="7"/>
      <c r="C4" s="7"/>
      <c r="D4" s="7"/>
      <c r="E4" s="7"/>
      <c r="F4" s="7"/>
    </row>
    <row r="5" s="5" customFormat="true" ht="7.5" hidden="false" customHeight="true" outlineLevel="0" collapsed="false">
      <c r="D5" s="6"/>
    </row>
    <row r="6" s="5" customFormat="true" ht="19.5" hidden="false" customHeight="true" outlineLevel="0" collapsed="false">
      <c r="A6" s="8" t="str">
        <f aca="false">'Anexo A'!B2</f>
        <v>COLETA DOMICILIAR DO MUNICÍPIO DE ALVORADA</v>
      </c>
      <c r="B6" s="8"/>
      <c r="C6" s="8"/>
      <c r="D6" s="8"/>
      <c r="E6" s="8"/>
      <c r="F6" s="8"/>
    </row>
    <row r="7" s="5" customFormat="true" ht="12.75" hidden="false" customHeight="true" outlineLevel="0" collapsed="false">
      <c r="D7" s="6"/>
    </row>
    <row r="8" customFormat="false" ht="30" hidden="false" customHeight="true" outlineLevel="0" collapsed="false">
      <c r="A8" s="9" t="s">
        <v>2</v>
      </c>
      <c r="B8" s="9" t="s">
        <v>3</v>
      </c>
      <c r="C8" s="9" t="s">
        <v>4</v>
      </c>
      <c r="D8" s="9" t="s">
        <v>5</v>
      </c>
      <c r="E8" s="9"/>
      <c r="F8" s="9" t="s">
        <v>6</v>
      </c>
    </row>
    <row r="9" customFormat="false" ht="15" hidden="false" customHeight="true" outlineLevel="0" collapsed="false">
      <c r="A9" s="9"/>
      <c r="B9" s="9"/>
      <c r="C9" s="9"/>
      <c r="D9" s="9"/>
      <c r="E9" s="9"/>
      <c r="F9" s="9"/>
    </row>
    <row r="10" customFormat="false" ht="18.75" hidden="false" customHeight="true" outlineLevel="0" collapsed="false">
      <c r="A10" s="9"/>
      <c r="B10" s="9"/>
      <c r="C10" s="9"/>
      <c r="D10" s="9"/>
      <c r="E10" s="9"/>
      <c r="F10" s="9"/>
    </row>
    <row r="11" customFormat="false" ht="15" hidden="false" customHeight="true" outlineLevel="0" collapsed="false">
      <c r="A11" s="9"/>
      <c r="B11" s="9"/>
      <c r="C11" s="9"/>
      <c r="D11" s="9"/>
      <c r="E11" s="9"/>
      <c r="F11" s="9"/>
    </row>
    <row r="12" customFormat="false" ht="15" hidden="false" customHeight="true" outlineLevel="0" collapsed="false">
      <c r="A12" s="9"/>
      <c r="B12" s="9"/>
      <c r="C12" s="9"/>
      <c r="D12" s="9"/>
      <c r="E12" s="9"/>
      <c r="F12" s="9"/>
    </row>
    <row r="13" customFormat="false" ht="68.25" hidden="false" customHeight="true" outlineLevel="0" collapsed="false">
      <c r="A13" s="10" t="n">
        <v>1</v>
      </c>
      <c r="B13" s="11" t="s">
        <v>7</v>
      </c>
      <c r="C13" s="12" t="n">
        <f aca="false">'Anexo A'!G430</f>
        <v>0</v>
      </c>
      <c r="D13" s="10" t="s">
        <v>8</v>
      </c>
      <c r="E13" s="13" t="n">
        <v>3700</v>
      </c>
      <c r="F13" s="14" t="n">
        <f aca="false">E13*C13</f>
        <v>0</v>
      </c>
    </row>
    <row r="14" customFormat="false" ht="68.25" hidden="false" customHeight="true" outlineLevel="0" collapsed="false">
      <c r="A14" s="10"/>
      <c r="B14" s="15" t="s">
        <v>9</v>
      </c>
      <c r="C14" s="12"/>
      <c r="D14" s="10" t="s">
        <v>10</v>
      </c>
      <c r="E14" s="13" t="n">
        <f aca="false">E13*12</f>
        <v>44400</v>
      </c>
      <c r="F14" s="14" t="n">
        <f aca="false">C13*E14</f>
        <v>0</v>
      </c>
    </row>
  </sheetData>
  <mergeCells count="11">
    <mergeCell ref="A1:F1"/>
    <mergeCell ref="A2:F2"/>
    <mergeCell ref="A4:F4"/>
    <mergeCell ref="A6:F6"/>
    <mergeCell ref="A8:A12"/>
    <mergeCell ref="B8:B12"/>
    <mergeCell ref="C8:C12"/>
    <mergeCell ref="D8:E12"/>
    <mergeCell ref="F8:F12"/>
    <mergeCell ref="A13:A14"/>
    <mergeCell ref="C13:C14"/>
  </mergeCells>
  <printOptions headings="false" gridLines="false" gridLinesSet="true" horizontalCentered="false" verticalCentered="false"/>
  <pageMargins left="0.590277777777778" right="0.236111111111111" top="1.06319444444444" bottom="0.590277777777778" header="0.511811023622047" footer="0.196527777777778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&amp;L&amp;10&amp;K262626&amp;F &amp;D &amp;T / Página &amp;P de &amp;N - SMOPSU
Elaborada com base na "Planilha modelo TCE Coleta v.9_0"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430"/>
  <sheetViews>
    <sheetView showFormulas="false" showGridLines="false" showRowColHeaders="true" showZeros="true" rightToLeft="false" tabSelected="false" showOutlineSymbols="true" defaultGridColor="true" view="pageBreakPreview" topLeftCell="A1" colorId="64" zoomScale="100" zoomScaleNormal="115" zoomScalePageLayoutView="100" workbookViewId="0">
      <selection pane="topLeft" activeCell="K359" activeCellId="0" sqref="K359"/>
    </sheetView>
  </sheetViews>
  <sheetFormatPr defaultColWidth="8.8671875" defaultRowHeight="15" zeroHeight="false" outlineLevelRow="1" outlineLevelCol="0"/>
  <cols>
    <col collapsed="false" customWidth="true" hidden="false" outlineLevel="0" max="1" min="1" style="16" width="1.58"/>
    <col collapsed="false" customWidth="true" hidden="false" outlineLevel="0" max="2" min="2" style="17" width="28.42"/>
    <col collapsed="false" customWidth="true" hidden="false" outlineLevel="0" max="3" min="3" style="17" width="9.85"/>
    <col collapsed="false" customWidth="true" hidden="false" outlineLevel="0" max="4" min="4" style="17" width="14.01"/>
    <col collapsed="false" customWidth="true" hidden="false" outlineLevel="0" max="5" min="5" style="17" width="13.86"/>
    <col collapsed="false" customWidth="true" hidden="false" outlineLevel="0" max="6" min="6" style="17" width="14.43"/>
    <col collapsed="false" customWidth="true" hidden="false" outlineLevel="0" max="7" min="7" style="17" width="13.7"/>
    <col collapsed="false" customWidth="true" hidden="false" outlineLevel="0" max="8" min="8" style="17" width="12.42"/>
    <col collapsed="false" customWidth="true" hidden="false" outlineLevel="0" max="9" min="9" style="17" width="15.57"/>
    <col collapsed="false" customWidth="true" hidden="false" outlineLevel="0" max="10" min="10" style="17" width="14.28"/>
    <col collapsed="false" customWidth="false" hidden="false" outlineLevel="0" max="11" min="11" style="17" width="8.86"/>
    <col collapsed="false" customWidth="true" hidden="false" outlineLevel="0" max="12" min="12" style="17" width="10"/>
    <col collapsed="false" customWidth="false" hidden="false" outlineLevel="0" max="1024" min="13" style="17" width="8.86"/>
  </cols>
  <sheetData>
    <row r="1" s="20" customFormat="true" ht="24" hidden="false" customHeight="true" outlineLevel="0" collapsed="false">
      <c r="A1" s="18"/>
      <c r="B1" s="19" t="s">
        <v>11</v>
      </c>
      <c r="C1" s="19"/>
      <c r="D1" s="19"/>
      <c r="E1" s="19"/>
      <c r="F1" s="19"/>
      <c r="G1" s="19"/>
    </row>
    <row r="2" s="20" customFormat="true" ht="15" hidden="false" customHeight="true" outlineLevel="0" collapsed="false">
      <c r="A2" s="18"/>
      <c r="B2" s="21" t="s">
        <v>12</v>
      </c>
      <c r="C2" s="21"/>
      <c r="D2" s="21"/>
      <c r="E2" s="21"/>
      <c r="F2" s="21"/>
      <c r="G2" s="21"/>
    </row>
    <row r="3" s="20" customFormat="true" ht="7.5" hidden="false" customHeight="true" outlineLevel="0" collapsed="false">
      <c r="A3" s="18"/>
      <c r="E3" s="22"/>
      <c r="F3" s="22"/>
      <c r="G3" s="22"/>
    </row>
    <row r="4" s="20" customFormat="true" ht="12.75" hidden="false" customHeight="true" outlineLevel="0" collapsed="false">
      <c r="A4" s="18"/>
      <c r="B4" s="23" t="str">
        <f aca="false">Resumo!A4</f>
        <v>PARTICIPANTE</v>
      </c>
      <c r="C4" s="23"/>
      <c r="D4" s="23"/>
      <c r="E4" s="23"/>
      <c r="F4" s="23"/>
      <c r="G4" s="23"/>
    </row>
    <row r="5" s="20" customFormat="true" ht="7.5" hidden="false" customHeight="true" outlineLevel="0" collapsed="false">
      <c r="A5" s="18"/>
      <c r="E5" s="24"/>
      <c r="F5" s="24"/>
      <c r="G5" s="24"/>
    </row>
    <row r="6" s="20" customFormat="true" ht="12.75" hidden="false" customHeight="true" outlineLevel="0" collapsed="false">
      <c r="A6" s="18"/>
      <c r="B6" s="25" t="s">
        <v>13</v>
      </c>
      <c r="C6" s="25"/>
      <c r="D6" s="25"/>
      <c r="E6" s="25"/>
      <c r="F6" s="25"/>
      <c r="G6" s="25"/>
    </row>
    <row r="7" customFormat="false" ht="9.75" hidden="false" customHeight="true" outlineLevel="0" collapsed="false">
      <c r="E7" s="26"/>
      <c r="F7" s="26"/>
      <c r="G7" s="26"/>
    </row>
    <row r="8" s="20" customFormat="true" ht="12.75" hidden="false" customHeight="true" outlineLevel="0" collapsed="false">
      <c r="B8" s="27" t="s">
        <v>14</v>
      </c>
      <c r="C8" s="27"/>
      <c r="D8" s="27"/>
      <c r="E8" s="27"/>
      <c r="F8" s="27"/>
      <c r="G8" s="27"/>
    </row>
    <row r="9" s="20" customFormat="true" ht="12.75" hidden="false" customHeight="true" outlineLevel="0" collapsed="false">
      <c r="B9" s="28" t="s">
        <v>15</v>
      </c>
      <c r="C9" s="29"/>
      <c r="D9" s="29"/>
      <c r="E9" s="30"/>
      <c r="F9" s="31" t="s">
        <v>16</v>
      </c>
      <c r="G9" s="32" t="s">
        <v>17</v>
      </c>
    </row>
    <row r="10" s="20" customFormat="true" ht="12.75" hidden="false" customHeight="true" outlineLevel="0" collapsed="false">
      <c r="B10" s="33" t="str">
        <f aca="false">B56</f>
        <v>1. Mão de obra</v>
      </c>
      <c r="C10" s="34"/>
      <c r="D10" s="35"/>
      <c r="E10" s="36"/>
      <c r="F10" s="37" t="n">
        <f aca="false">G226</f>
        <v>0</v>
      </c>
      <c r="G10" s="38" t="n">
        <f aca="false">IF(SUM(G11:G17)=IFERROR(F10/$F$35,0),IFERROR(F10/$F$35,0),"ERRO")</f>
        <v>0</v>
      </c>
    </row>
    <row r="11" s="20" customFormat="true" ht="12.75" hidden="false" customHeight="true" outlineLevel="1" collapsed="false">
      <c r="B11" s="39" t="str">
        <f aca="false">B65</f>
        <v>1.1. Lixeiros/Coletores</v>
      </c>
      <c r="C11" s="40"/>
      <c r="D11" s="41"/>
      <c r="E11" s="42"/>
      <c r="F11" s="43" t="n">
        <f aca="false">G109</f>
        <v>0</v>
      </c>
      <c r="G11" s="44" t="n">
        <f aca="false">IFERROR(F11/$F$35,0)</f>
        <v>0</v>
      </c>
    </row>
    <row r="12" s="20" customFormat="true" ht="12.75" hidden="false" customHeight="true" outlineLevel="1" collapsed="false">
      <c r="B12" s="39" t="str">
        <f aca="false">B111</f>
        <v>1.2. Motoristas</v>
      </c>
      <c r="C12" s="40"/>
      <c r="D12" s="41"/>
      <c r="E12" s="42"/>
      <c r="F12" s="43" t="n">
        <f aca="false">G159</f>
        <v>0</v>
      </c>
      <c r="G12" s="44" t="n">
        <f aca="false">IFERROR(F12/$F$35,0)</f>
        <v>0</v>
      </c>
    </row>
    <row r="13" s="20" customFormat="true" ht="12.75" hidden="false" customHeight="true" outlineLevel="1" collapsed="false">
      <c r="B13" s="39" t="str">
        <f aca="false">B161</f>
        <v>1.3. Encarregado/Gerente Operacional</v>
      </c>
      <c r="C13" s="40"/>
      <c r="D13" s="41"/>
      <c r="E13" s="42"/>
      <c r="F13" s="43" t="n">
        <f aca="false">G176</f>
        <v>0</v>
      </c>
      <c r="G13" s="44" t="n">
        <f aca="false">IFERROR(F13/$F$35,0)</f>
        <v>0</v>
      </c>
    </row>
    <row r="14" s="20" customFormat="true" ht="12.75" hidden="false" customHeight="true" outlineLevel="1" collapsed="false">
      <c r="B14" s="39" t="str">
        <f aca="false">B178</f>
        <v>1.4. Vale Transporte</v>
      </c>
      <c r="C14" s="40"/>
      <c r="D14" s="41"/>
      <c r="E14" s="42"/>
      <c r="F14" s="43" t="n">
        <f aca="false">G186</f>
        <v>0</v>
      </c>
      <c r="G14" s="44" t="n">
        <f aca="false">IFERROR(F14/$F$35,0)</f>
        <v>0</v>
      </c>
    </row>
    <row r="15" s="20" customFormat="true" ht="12.75" hidden="false" customHeight="true" outlineLevel="1" collapsed="false">
      <c r="B15" s="39" t="str">
        <f aca="false">B195</f>
        <v>1.5. Vale-refeição - VR</v>
      </c>
      <c r="C15" s="40"/>
      <c r="D15" s="41"/>
      <c r="E15" s="42"/>
      <c r="F15" s="43" t="n">
        <f aca="false">G201</f>
        <v>0</v>
      </c>
      <c r="G15" s="44" t="n">
        <f aca="false">IFERROR(F15/$F$35,0)</f>
        <v>0</v>
      </c>
    </row>
    <row r="16" s="20" customFormat="true" ht="12.75" hidden="false" customHeight="true" outlineLevel="1" collapsed="false">
      <c r="B16" s="39" t="str">
        <f aca="false">B203</f>
        <v>1.6. Auxílio Alimentação - VA</v>
      </c>
      <c r="C16" s="40"/>
      <c r="D16" s="41"/>
      <c r="E16" s="42"/>
      <c r="F16" s="43" t="n">
        <f aca="false">G209</f>
        <v>0</v>
      </c>
      <c r="G16" s="44" t="n">
        <f aca="false">IFERROR(F16/$F$35,0)</f>
        <v>0</v>
      </c>
    </row>
    <row r="17" s="20" customFormat="true" ht="12.75" hidden="false" customHeight="true" outlineLevel="1" collapsed="false">
      <c r="B17" s="39" t="str">
        <f aca="false">B211</f>
        <v>1.7. Outros Auxílios</v>
      </c>
      <c r="C17" s="40"/>
      <c r="D17" s="41"/>
      <c r="E17" s="42"/>
      <c r="F17" s="43" t="n">
        <f aca="false">G224</f>
        <v>0</v>
      </c>
      <c r="G17" s="44" t="n">
        <f aca="false">IFERROR(F17/$F$35,0)</f>
        <v>0</v>
      </c>
    </row>
    <row r="18" s="20" customFormat="true" ht="12.75" hidden="false" customHeight="true" outlineLevel="0" collapsed="false">
      <c r="B18" s="45" t="str">
        <f aca="false">B228</f>
        <v>2. Uniformes e Equipamentos de Proteção Individual e Proteção Coletiva</v>
      </c>
      <c r="C18" s="46"/>
      <c r="D18" s="46"/>
      <c r="E18" s="47"/>
      <c r="F18" s="48" t="n">
        <f aca="false">G287</f>
        <v>0</v>
      </c>
      <c r="G18" s="49" t="n">
        <f aca="false">IF(SUM(G19:G21)=IFERROR(F18/$F$35,0),IFERROR(F18/$F$35,0),"ERRO")</f>
        <v>0</v>
      </c>
    </row>
    <row r="19" s="20" customFormat="true" ht="12.75" hidden="false" customHeight="true" outlineLevel="1" collapsed="false">
      <c r="B19" s="50" t="str">
        <f aca="false">B230</f>
        <v>2.1. Uniformes</v>
      </c>
      <c r="C19" s="51"/>
      <c r="D19" s="41"/>
      <c r="E19" s="42"/>
      <c r="F19" s="43" t="n">
        <f aca="false">G246</f>
        <v>0</v>
      </c>
      <c r="G19" s="44" t="n">
        <f aca="false">IFERROR(F19/$F$35,0)</f>
        <v>0</v>
      </c>
    </row>
    <row r="20" s="20" customFormat="true" ht="12.75" hidden="false" customHeight="true" outlineLevel="1" collapsed="false">
      <c r="B20" s="50" t="str">
        <f aca="false">B248</f>
        <v>2.2. Equipamentos de Proteção Individual - EPI's</v>
      </c>
      <c r="C20" s="51"/>
      <c r="D20" s="41"/>
      <c r="E20" s="42"/>
      <c r="F20" s="43" t="n">
        <f aca="false">G278</f>
        <v>0</v>
      </c>
      <c r="G20" s="44" t="n">
        <f aca="false">IFERROR(F20/$F$35,0)</f>
        <v>0</v>
      </c>
    </row>
    <row r="21" s="20" customFormat="true" ht="12.75" hidden="false" customHeight="true" outlineLevel="1" collapsed="false">
      <c r="B21" s="50" t="str">
        <f aca="false">B280</f>
        <v>2.3. Equipamentos de Proteção Coletiva - EPC</v>
      </c>
      <c r="C21" s="51"/>
      <c r="D21" s="41"/>
      <c r="E21" s="42"/>
      <c r="F21" s="43" t="n">
        <f aca="false">G285</f>
        <v>0</v>
      </c>
      <c r="G21" s="44" t="n">
        <f aca="false">IFERROR(F21/$F$35,0)</f>
        <v>0</v>
      </c>
    </row>
    <row r="22" s="20" customFormat="true" ht="12.75" hidden="false" customHeight="true" outlineLevel="0" collapsed="false">
      <c r="B22" s="52" t="str">
        <f aca="false">B289</f>
        <v>3. Veículos e Equipamentos</v>
      </c>
      <c r="C22" s="52"/>
      <c r="D22" s="52"/>
      <c r="E22" s="47"/>
      <c r="F22" s="48" t="n">
        <f aca="false">G387</f>
        <v>0</v>
      </c>
      <c r="G22" s="49" t="n">
        <f aca="false">IF(SUM(G24:G30)=IFERROR(F22/$F$35,0),IFERROR(F22/$F$35,0),"ERRO")</f>
        <v>0</v>
      </c>
    </row>
    <row r="23" s="20" customFormat="true" ht="12.75" hidden="false" customHeight="true" outlineLevel="0" collapsed="false">
      <c r="B23" s="50" t="str">
        <f aca="false">B290</f>
        <v>3.1. Veículos Coletores Compactadores</v>
      </c>
      <c r="C23" s="53"/>
      <c r="D23" s="53"/>
      <c r="E23" s="42"/>
      <c r="F23" s="43" t="n">
        <f aca="false">SUM(F24:F29)</f>
        <v>0</v>
      </c>
      <c r="G23" s="44" t="n">
        <f aca="false">IFERROR(F23/$F$35,0)</f>
        <v>0</v>
      </c>
    </row>
    <row r="24" s="20" customFormat="true" ht="12.75" hidden="false" customHeight="true" outlineLevel="1" collapsed="false">
      <c r="B24" s="50" t="str">
        <f aca="false">"     "&amp;B291</f>
        <v>     3.1.1. Depreciação</v>
      </c>
      <c r="C24" s="51"/>
      <c r="D24" s="41"/>
      <c r="E24" s="42"/>
      <c r="F24" s="43" t="n">
        <f aca="false">G313</f>
        <v>0</v>
      </c>
      <c r="G24" s="44" t="n">
        <f aca="false">IFERROR(F24/$F$35,0)</f>
        <v>0</v>
      </c>
    </row>
    <row r="25" s="20" customFormat="true" ht="12.75" hidden="false" customHeight="true" outlineLevel="1" collapsed="false">
      <c r="B25" s="50" t="str">
        <f aca="false">"     "&amp;B315</f>
        <v>     3.1.2. Remuneração do Capital  Investido</v>
      </c>
      <c r="C25" s="51"/>
      <c r="D25" s="41"/>
      <c r="E25" s="42"/>
      <c r="F25" s="43" t="n">
        <f aca="false">G336</f>
        <v>0</v>
      </c>
      <c r="G25" s="44" t="n">
        <f aca="false">IFERROR(F25/$F$35,0)</f>
        <v>0</v>
      </c>
    </row>
    <row r="26" s="20" customFormat="true" ht="12.75" hidden="false" customHeight="true" outlineLevel="1" collapsed="false">
      <c r="B26" s="50" t="str">
        <f aca="false">"     "&amp;B338</f>
        <v>     3.1.3. Impostos e Seguros</v>
      </c>
      <c r="C26" s="51"/>
      <c r="D26" s="41"/>
      <c r="E26" s="42"/>
      <c r="F26" s="43" t="n">
        <f aca="false">G344</f>
        <v>0</v>
      </c>
      <c r="G26" s="44" t="n">
        <f aca="false">IFERROR(F26/$F$35,0)</f>
        <v>0</v>
      </c>
    </row>
    <row r="27" s="20" customFormat="true" ht="12.75" hidden="false" customHeight="true" outlineLevel="1" collapsed="false">
      <c r="B27" s="50" t="str">
        <f aca="false">"     "&amp;B346</f>
        <v>     3.1.4. Consumo dos veículos</v>
      </c>
      <c r="C27" s="51"/>
      <c r="D27" s="41"/>
      <c r="E27" s="42"/>
      <c r="F27" s="43" t="n">
        <f aca="false">G363</f>
        <v>0</v>
      </c>
      <c r="G27" s="44" t="n">
        <f aca="false">IFERROR(F27/$F$35,0)</f>
        <v>0</v>
      </c>
    </row>
    <row r="28" s="20" customFormat="true" ht="12.75" hidden="false" customHeight="true" outlineLevel="1" collapsed="false">
      <c r="B28" s="50" t="str">
        <f aca="false">"     "&amp;B365</f>
        <v>     3.1.5. Manutenção</v>
      </c>
      <c r="C28" s="51"/>
      <c r="D28" s="41"/>
      <c r="E28" s="42"/>
      <c r="F28" s="43" t="n">
        <f aca="false">G369</f>
        <v>0</v>
      </c>
      <c r="G28" s="44" t="n">
        <f aca="false">IFERROR(F28/$F$35,0)</f>
        <v>0</v>
      </c>
    </row>
    <row r="29" s="20" customFormat="true" ht="12.75" hidden="false" customHeight="true" outlineLevel="1" collapsed="false">
      <c r="B29" s="50" t="str">
        <f aca="false">"     "&amp;B371</f>
        <v>     3.1.6. Pneus </v>
      </c>
      <c r="C29" s="51"/>
      <c r="D29" s="41"/>
      <c r="E29" s="42"/>
      <c r="F29" s="43" t="n">
        <f aca="false">G379</f>
        <v>0</v>
      </c>
      <c r="G29" s="44" t="n">
        <f aca="false">IFERROR(F29/$F$35,0)</f>
        <v>0</v>
      </c>
    </row>
    <row r="30" s="20" customFormat="true" ht="12.75" hidden="false" customHeight="true" outlineLevel="1" collapsed="false">
      <c r="B30" s="50" t="str">
        <f aca="false">B381</f>
        <v>3.2. Locação contêineres</v>
      </c>
      <c r="C30" s="51"/>
      <c r="D30" s="41"/>
      <c r="E30" s="42"/>
      <c r="F30" s="43" t="n">
        <f aca="false">G385</f>
        <v>0</v>
      </c>
      <c r="G30" s="44" t="n">
        <f aca="false">IFERROR(F30/$F$35,0)</f>
        <v>0</v>
      </c>
    </row>
    <row r="31" s="20" customFormat="true" ht="12.75" hidden="false" customHeight="true" outlineLevel="0" collapsed="false">
      <c r="B31" s="52" t="str">
        <f aca="false">B389</f>
        <v>4. Monitoramento da Frota</v>
      </c>
      <c r="C31" s="54"/>
      <c r="D31" s="46"/>
      <c r="E31" s="47"/>
      <c r="F31" s="48" t="n">
        <f aca="false">G394</f>
        <v>0</v>
      </c>
      <c r="G31" s="49" t="n">
        <f aca="false">IFERROR(F31/$F$35,0)</f>
        <v>0</v>
      </c>
    </row>
    <row r="32" s="20" customFormat="true" ht="12.75" hidden="false" customHeight="true" outlineLevel="0" collapsed="false">
      <c r="B32" s="52" t="str">
        <f aca="false">B398</f>
        <v>5. Ferramentas e Materiais de consumo</v>
      </c>
      <c r="C32" s="54"/>
      <c r="D32" s="46"/>
      <c r="E32" s="47"/>
      <c r="F32" s="48" t="n">
        <f aca="false">G407</f>
        <v>0</v>
      </c>
      <c r="G32" s="49" t="n">
        <f aca="false">IFERROR(F32/$F$35,0)</f>
        <v>0</v>
      </c>
      <c r="J32" s="55"/>
    </row>
    <row r="33" s="20" customFormat="true" ht="12.75" hidden="false" customHeight="true" outlineLevel="0" collapsed="false">
      <c r="B33" s="52" t="str">
        <f aca="false">B409</f>
        <v>6. Administração Local</v>
      </c>
      <c r="C33" s="56"/>
      <c r="D33" s="57"/>
      <c r="E33" s="58"/>
      <c r="F33" s="48" t="n">
        <f aca="false">G416</f>
        <v>0</v>
      </c>
      <c r="G33" s="49" t="n">
        <f aca="false">IFERROR(F33/$F$35,0)</f>
        <v>0</v>
      </c>
      <c r="J33" s="55"/>
    </row>
    <row r="34" s="20" customFormat="true" ht="12.75" hidden="false" customHeight="true" outlineLevel="0" collapsed="false">
      <c r="B34" s="52" t="str">
        <f aca="false">B420</f>
        <v>7. Benefícios e Despesas Indiretas – BDI</v>
      </c>
      <c r="C34" s="56"/>
      <c r="D34" s="57"/>
      <c r="E34" s="58"/>
      <c r="F34" s="48" t="n">
        <f aca="false">G424</f>
        <v>0</v>
      </c>
      <c r="G34" s="49" t="n">
        <f aca="false">IFERROR(F34/$F$35,0)</f>
        <v>0</v>
      </c>
      <c r="I34" s="59"/>
    </row>
    <row r="35" s="20" customFormat="true" ht="12.75" hidden="false" customHeight="true" outlineLevel="0" collapsed="false">
      <c r="B35" s="60" t="str">
        <f aca="false">B426</f>
        <v>CUSTO TOTAL MENSAL (R$/mês)</v>
      </c>
      <c r="C35" s="61"/>
      <c r="D35" s="62"/>
      <c r="E35" s="63"/>
      <c r="F35" s="64" t="n">
        <f aca="false">G426</f>
        <v>0</v>
      </c>
      <c r="G35" s="65" t="n">
        <f aca="false">IFERROR(F35/$F$35,0)</f>
        <v>0</v>
      </c>
      <c r="J35" s="66"/>
    </row>
    <row r="36" customFormat="false" ht="9.75" hidden="false" customHeight="true" outlineLevel="0" collapsed="false">
      <c r="E36" s="26"/>
      <c r="F36" s="26"/>
      <c r="G36" s="26"/>
    </row>
    <row r="37" s="20" customFormat="true" ht="12.75" hidden="false" customHeight="true" outlineLevel="0" collapsed="false">
      <c r="B37" s="27" t="s">
        <v>18</v>
      </c>
      <c r="C37" s="27"/>
      <c r="D37" s="27"/>
      <c r="E37" s="27"/>
      <c r="F37" s="27"/>
      <c r="G37" s="27"/>
    </row>
    <row r="38" s="20" customFormat="true" ht="12.75" hidden="false" customHeight="true" outlineLevel="0" collapsed="false">
      <c r="B38" s="67" t="s">
        <v>19</v>
      </c>
      <c r="C38" s="68"/>
      <c r="D38" s="68"/>
      <c r="E38" s="68"/>
      <c r="F38" s="30"/>
      <c r="G38" s="31" t="s">
        <v>5</v>
      </c>
    </row>
    <row r="39" s="20" customFormat="true" ht="12.75" hidden="false" customHeight="true" outlineLevel="0" collapsed="false">
      <c r="B39" s="69" t="str">
        <f aca="false">B11</f>
        <v>1.1. Lixeiros/Coletores</v>
      </c>
      <c r="C39" s="70"/>
      <c r="D39" s="70"/>
      <c r="E39" s="70"/>
      <c r="F39" s="71"/>
      <c r="G39" s="72" t="n">
        <v>42</v>
      </c>
    </row>
    <row r="40" s="20" customFormat="true" ht="12.75" hidden="false" customHeight="true" outlineLevel="0" collapsed="false">
      <c r="B40" s="39" t="str">
        <f aca="false">B12</f>
        <v>1.2. Motoristas</v>
      </c>
      <c r="C40" s="41"/>
      <c r="D40" s="41"/>
      <c r="E40" s="41"/>
      <c r="F40" s="42"/>
      <c r="G40" s="73" t="n">
        <v>14</v>
      </c>
    </row>
    <row r="41" s="20" customFormat="true" ht="12.75" hidden="false" customHeight="true" outlineLevel="0" collapsed="false">
      <c r="B41" s="39" t="str">
        <f aca="false">B13</f>
        <v>1.3. Encarregado/Gerente Operacional</v>
      </c>
      <c r="C41" s="41"/>
      <c r="D41" s="41"/>
      <c r="E41" s="41"/>
      <c r="F41" s="42"/>
      <c r="G41" s="73" t="n">
        <v>1</v>
      </c>
    </row>
    <row r="42" s="20" customFormat="true" ht="12.75" hidden="false" customHeight="true" outlineLevel="0" collapsed="false">
      <c r="B42" s="28" t="s">
        <v>20</v>
      </c>
      <c r="C42" s="68"/>
      <c r="D42" s="68"/>
      <c r="E42" s="68"/>
      <c r="F42" s="30"/>
      <c r="G42" s="74" t="n">
        <f aca="false">SUM(G39:G41)</f>
        <v>57</v>
      </c>
    </row>
    <row r="43" customFormat="false" ht="9.75" hidden="false" customHeight="true" outlineLevel="0" collapsed="false">
      <c r="E43" s="26"/>
      <c r="F43" s="26"/>
      <c r="G43" s="26"/>
    </row>
    <row r="44" s="20" customFormat="true" ht="12.75" hidden="false" customHeight="true" outlineLevel="0" collapsed="false">
      <c r="B44" s="67" t="s">
        <v>21</v>
      </c>
      <c r="C44" s="68"/>
      <c r="D44" s="68"/>
      <c r="E44" s="68"/>
      <c r="F44" s="30"/>
      <c r="G44" s="32" t="s">
        <v>5</v>
      </c>
    </row>
    <row r="45" s="20" customFormat="true" ht="12.75" hidden="false" customHeight="true" outlineLevel="0" collapsed="false">
      <c r="B45" s="75" t="s">
        <v>22</v>
      </c>
      <c r="C45" s="29"/>
      <c r="D45" s="29"/>
      <c r="E45" s="29"/>
      <c r="F45" s="76"/>
      <c r="G45" s="77" t="n">
        <v>8</v>
      </c>
    </row>
    <row r="46" s="20" customFormat="true" ht="12.75" hidden="false" customHeight="true" outlineLevel="0" collapsed="false">
      <c r="B46" s="75" t="s">
        <v>23</v>
      </c>
      <c r="C46" s="29"/>
      <c r="D46" s="29"/>
      <c r="E46" s="29"/>
      <c r="F46" s="76"/>
      <c r="G46" s="77" t="n">
        <v>40</v>
      </c>
    </row>
    <row r="47" s="20" customFormat="true" ht="9.75" hidden="false" customHeight="true" outlineLevel="0" collapsed="false">
      <c r="A47" s="18"/>
      <c r="E47" s="22"/>
      <c r="F47" s="22"/>
      <c r="G47" s="22"/>
    </row>
    <row r="48" s="20" customFormat="true" ht="12.75" hidden="false" customHeight="true" outlineLevel="0" collapsed="false">
      <c r="B48" s="28" t="s">
        <v>24</v>
      </c>
      <c r="C48" s="78"/>
      <c r="D48" s="79" t="n">
        <v>1</v>
      </c>
      <c r="G48" s="80"/>
    </row>
    <row r="49" s="17" customFormat="true" ht="12.75" hidden="false" customHeight="true" outlineLevel="0" collapsed="false">
      <c r="B49" s="81"/>
      <c r="D49" s="82"/>
      <c r="G49" s="83"/>
    </row>
    <row r="50" s="20" customFormat="true" ht="12.75" hidden="false" customHeight="true" outlineLevel="0" collapsed="false">
      <c r="B50" s="20" t="s">
        <v>25</v>
      </c>
      <c r="D50" s="84"/>
      <c r="G50" s="80"/>
    </row>
    <row r="51" s="20" customFormat="true" ht="12.75" hidden="false" customHeight="true" outlineLevel="0" collapsed="false">
      <c r="B51" s="85" t="s">
        <v>26</v>
      </c>
      <c r="G51" s="80"/>
    </row>
    <row r="52" s="20" customFormat="true" ht="12.75" hidden="false" customHeight="true" outlineLevel="0" collapsed="false">
      <c r="B52" s="86" t="s">
        <v>26</v>
      </c>
      <c r="G52" s="80"/>
    </row>
    <row r="53" s="20" customFormat="true" ht="12.75" hidden="false" customHeight="true" outlineLevel="0" collapsed="false">
      <c r="B53" s="87" t="s">
        <v>27</v>
      </c>
      <c r="G53" s="80"/>
    </row>
    <row r="54" s="17" customFormat="true" ht="12.75" hidden="false" customHeight="true" outlineLevel="0" collapsed="false">
      <c r="B54" s="81"/>
      <c r="G54" s="83"/>
    </row>
    <row r="55" s="17" customFormat="true" ht="12.75" hidden="false" customHeight="true" outlineLevel="0" collapsed="false">
      <c r="B55" s="81"/>
      <c r="D55" s="82"/>
      <c r="G55" s="83"/>
    </row>
    <row r="56" s="20" customFormat="true" ht="12.75" hidden="false" customHeight="true" outlineLevel="0" collapsed="false">
      <c r="A56" s="18"/>
      <c r="B56" s="88" t="s">
        <v>28</v>
      </c>
      <c r="C56" s="89"/>
      <c r="D56" s="89"/>
      <c r="E56" s="89"/>
      <c r="F56" s="89"/>
      <c r="G56" s="89"/>
    </row>
    <row r="57" s="20" customFormat="true" ht="15" hidden="false" customHeight="false" outlineLevel="0" collapsed="false">
      <c r="A57" s="18"/>
      <c r="B57" s="90"/>
      <c r="C57" s="90"/>
      <c r="D57" s="90"/>
      <c r="E57" s="90"/>
      <c r="F57" s="90"/>
      <c r="G57" s="90"/>
    </row>
    <row r="58" s="20" customFormat="true" ht="12.75" hidden="false" customHeight="true" outlineLevel="0" collapsed="false">
      <c r="A58" s="18"/>
      <c r="B58" s="91" t="s">
        <v>29</v>
      </c>
      <c r="C58" s="92"/>
      <c r="D58" s="93"/>
      <c r="E58" s="94"/>
      <c r="F58" s="95" t="s">
        <v>30</v>
      </c>
      <c r="G58" s="95" t="s">
        <v>31</v>
      </c>
    </row>
    <row r="59" s="20" customFormat="true" ht="12.75" hidden="false" customHeight="true" outlineLevel="1" collapsed="false">
      <c r="B59" s="96" t="s">
        <v>32</v>
      </c>
      <c r="C59" s="97"/>
      <c r="D59" s="98"/>
      <c r="E59" s="99"/>
      <c r="F59" s="100" t="n">
        <v>0.4</v>
      </c>
      <c r="G59" s="101"/>
    </row>
    <row r="60" s="20" customFormat="true" ht="12.75" hidden="false" customHeight="true" outlineLevel="1" collapsed="false">
      <c r="B60" s="102" t="s">
        <v>33</v>
      </c>
      <c r="C60" s="103"/>
      <c r="D60" s="104"/>
      <c r="E60" s="105"/>
      <c r="F60" s="106" t="n">
        <v>0.4</v>
      </c>
      <c r="G60" s="107"/>
    </row>
    <row r="61" s="20" customFormat="true" ht="12.75" hidden="false" customHeight="true" outlineLevel="1" collapsed="false">
      <c r="A61" s="18"/>
      <c r="B61" s="102" t="s">
        <v>34</v>
      </c>
      <c r="C61" s="103"/>
      <c r="D61" s="104"/>
      <c r="E61" s="105"/>
      <c r="F61" s="106" t="n">
        <v>0</v>
      </c>
      <c r="G61" s="107"/>
    </row>
    <row r="62" s="20" customFormat="true" ht="12.75" hidden="false" customHeight="true" outlineLevel="1" collapsed="false">
      <c r="A62" s="18"/>
      <c r="B62" s="108" t="s">
        <v>35</v>
      </c>
      <c r="C62" s="109"/>
      <c r="D62" s="110"/>
      <c r="E62" s="111"/>
      <c r="F62" s="112"/>
      <c r="G62" s="113"/>
    </row>
    <row r="63" s="114" customFormat="true" ht="12.75" hidden="false" customHeight="true" outlineLevel="1" collapsed="false">
      <c r="B63" s="115" t="s">
        <v>36</v>
      </c>
      <c r="C63" s="115"/>
      <c r="D63" s="115"/>
      <c r="E63" s="115"/>
      <c r="F63" s="115"/>
      <c r="G63" s="115"/>
    </row>
    <row r="64" customFormat="false" ht="4.5" hidden="false" customHeight="true" outlineLevel="1" collapsed="false">
      <c r="D64" s="116"/>
      <c r="E64" s="117"/>
      <c r="F64" s="118"/>
      <c r="G64" s="119"/>
    </row>
    <row r="65" s="20" customFormat="true" ht="12.75" hidden="false" customHeight="true" outlineLevel="0" collapsed="false">
      <c r="A65" s="18"/>
      <c r="B65" s="120" t="s">
        <v>37</v>
      </c>
      <c r="C65" s="120"/>
      <c r="D65" s="120"/>
      <c r="E65" s="120"/>
      <c r="F65" s="120"/>
      <c r="G65" s="120"/>
    </row>
    <row r="66" s="20" customFormat="true" ht="15" hidden="false" customHeight="false" outlineLevel="1" collapsed="false">
      <c r="A66" s="18"/>
      <c r="B66" s="121" t="s">
        <v>38</v>
      </c>
      <c r="C66" s="78"/>
      <c r="D66" s="95" t="s">
        <v>39</v>
      </c>
      <c r="E66" s="95" t="s">
        <v>40</v>
      </c>
      <c r="F66" s="122" t="s">
        <v>41</v>
      </c>
      <c r="G66" s="95" t="s">
        <v>42</v>
      </c>
    </row>
    <row r="67" s="123" customFormat="true" ht="12.75" hidden="false" customHeight="true" outlineLevel="1" collapsed="false">
      <c r="B67" s="91" t="str">
        <f aca="false">"TURNO DIA DE SEG. A SÁB. (INCLUSIVE AOS FERIADOS) - "&amp;Leia!C10</f>
        <v>TURNO DIA DE SEG. A SÁB. (INCLUSIVE AOS FERIADOS) - das 7h às 15h20min.</v>
      </c>
      <c r="C67" s="92"/>
      <c r="D67" s="92"/>
      <c r="E67" s="92"/>
      <c r="F67" s="92"/>
      <c r="G67" s="124"/>
    </row>
    <row r="68" s="20" customFormat="true" ht="12.75" hidden="false" customHeight="true" outlineLevel="1" collapsed="false">
      <c r="B68" s="96" t="s">
        <v>43</v>
      </c>
      <c r="C68" s="125"/>
      <c r="D68" s="126" t="s">
        <v>44</v>
      </c>
      <c r="E68" s="127" t="n">
        <v>1</v>
      </c>
      <c r="F68" s="128" t="n">
        <f aca="false">G59</f>
        <v>0</v>
      </c>
      <c r="G68" s="129" t="n">
        <f aca="false">ROUND(E68*F68,2)</f>
        <v>0</v>
      </c>
    </row>
    <row r="69" s="20" customFormat="true" ht="12.75" hidden="false" customHeight="true" outlineLevel="1" collapsed="false">
      <c r="B69" s="102" t="s">
        <v>45</v>
      </c>
      <c r="C69" s="130"/>
      <c r="D69" s="131" t="s">
        <v>46</v>
      </c>
      <c r="E69" s="132" t="n">
        <f aca="false">Leia!G11/12*Leia!C13</f>
        <v>5.5</v>
      </c>
      <c r="F69" s="133" t="n">
        <f aca="false">((F68+(G59*F59))/Leia!E19*2)</f>
        <v>0</v>
      </c>
      <c r="G69" s="133" t="n">
        <f aca="false">ROUND(E69*F69,2)</f>
        <v>0</v>
      </c>
    </row>
    <row r="70" s="20" customFormat="true" ht="12.75" hidden="false" customHeight="true" outlineLevel="1" collapsed="false">
      <c r="B70" s="102" t="s">
        <v>47</v>
      </c>
      <c r="C70" s="130"/>
      <c r="D70" s="131" t="s">
        <v>46</v>
      </c>
      <c r="E70" s="132" t="n">
        <v>0</v>
      </c>
      <c r="F70" s="133" t="n">
        <f aca="false">((F68+(G59*F59))/Leia!E19*1.5)</f>
        <v>0</v>
      </c>
      <c r="G70" s="133" t="n">
        <f aca="false">ROUND(F70*E70,2)</f>
        <v>0</v>
      </c>
    </row>
    <row r="71" s="20" customFormat="true" ht="25.5" hidden="false" customHeight="true" outlineLevel="1" collapsed="false">
      <c r="B71" s="134" t="s">
        <v>48</v>
      </c>
      <c r="C71" s="134"/>
      <c r="D71" s="131" t="s">
        <v>49</v>
      </c>
      <c r="E71" s="132" t="n">
        <f aca="false">(E70/25)*6</f>
        <v>0</v>
      </c>
      <c r="F71" s="133" t="n">
        <f aca="false">F70</f>
        <v>0</v>
      </c>
      <c r="G71" s="133" t="n">
        <f aca="false">ROUND(F71*E71,2)</f>
        <v>0</v>
      </c>
    </row>
    <row r="72" s="20" customFormat="true" ht="25.5" hidden="false" customHeight="true" outlineLevel="1" collapsed="false">
      <c r="B72" s="134" t="s">
        <v>50</v>
      </c>
      <c r="C72" s="134"/>
      <c r="D72" s="131" t="s">
        <v>49</v>
      </c>
      <c r="E72" s="135" t="n">
        <f aca="false">ROUND((E69/25)*6,2)</f>
        <v>1.32</v>
      </c>
      <c r="F72" s="133" t="n">
        <f aca="false">F69</f>
        <v>0</v>
      </c>
      <c r="G72" s="133" t="n">
        <f aca="false">ROUND(F72*E72,2)</f>
        <v>0</v>
      </c>
    </row>
    <row r="73" s="20" customFormat="true" ht="12.75" hidden="false" customHeight="true" outlineLevel="1" collapsed="false">
      <c r="B73" s="102" t="s">
        <v>51</v>
      </c>
      <c r="C73" s="130"/>
      <c r="D73" s="131" t="s">
        <v>17</v>
      </c>
      <c r="E73" s="136" t="n">
        <f aca="false">F59</f>
        <v>0.4</v>
      </c>
      <c r="F73" s="133" t="n">
        <f aca="false">G59</f>
        <v>0</v>
      </c>
      <c r="G73" s="133" t="n">
        <f aca="false">ROUND(F73*E73,2)</f>
        <v>0</v>
      </c>
    </row>
    <row r="74" s="123" customFormat="true" ht="12.75" hidden="false" customHeight="true" outlineLevel="1" collapsed="false">
      <c r="B74" s="137" t="s">
        <v>52</v>
      </c>
      <c r="C74" s="138"/>
      <c r="D74" s="139"/>
      <c r="E74" s="140"/>
      <c r="F74" s="141"/>
      <c r="G74" s="141" t="n">
        <f aca="false">SUM(G68:G73)</f>
        <v>0</v>
      </c>
    </row>
    <row r="75" s="20" customFormat="true" ht="12.75" hidden="false" customHeight="true" outlineLevel="1" collapsed="false">
      <c r="B75" s="102" t="s">
        <v>53</v>
      </c>
      <c r="C75" s="130"/>
      <c r="D75" s="131" t="s">
        <v>17</v>
      </c>
      <c r="E75" s="142" t="n">
        <f aca="false">'Anexo B'!I57</f>
        <v>0</v>
      </c>
      <c r="F75" s="133" t="n">
        <f aca="false">G74</f>
        <v>0</v>
      </c>
      <c r="G75" s="133" t="n">
        <f aca="false">ROUND(F75*E75,2)</f>
        <v>0</v>
      </c>
    </row>
    <row r="76" s="123" customFormat="true" ht="12.75" hidden="false" customHeight="true" outlineLevel="1" collapsed="false">
      <c r="B76" s="137" t="s">
        <v>54</v>
      </c>
      <c r="C76" s="138"/>
      <c r="D76" s="139"/>
      <c r="E76" s="140"/>
      <c r="F76" s="141"/>
      <c r="G76" s="141" t="n">
        <f aca="false">ROUND(G75+G74,2)</f>
        <v>0</v>
      </c>
    </row>
    <row r="77" s="20" customFormat="true" ht="12.75" hidden="false" customHeight="true" outlineLevel="1" collapsed="false">
      <c r="B77" s="108" t="s">
        <v>55</v>
      </c>
      <c r="C77" s="143"/>
      <c r="D77" s="144" t="s">
        <v>56</v>
      </c>
      <c r="E77" s="145" t="n">
        <f aca="false">G39/2</f>
        <v>21</v>
      </c>
      <c r="F77" s="146" t="n">
        <f aca="false">G76</f>
        <v>0</v>
      </c>
      <c r="G77" s="147" t="n">
        <f aca="false">ROUND(F77*E77,2)</f>
        <v>0</v>
      </c>
    </row>
    <row r="78" s="17" customFormat="true" ht="12.75" hidden="false" customHeight="true" outlineLevel="1" collapsed="false"/>
    <row r="79" s="20" customFormat="true" ht="12.75" hidden="false" customHeight="true" outlineLevel="1" collapsed="false">
      <c r="B79" s="91" t="s">
        <v>57</v>
      </c>
      <c r="C79" s="92"/>
      <c r="D79" s="92"/>
      <c r="E79" s="148"/>
      <c r="F79" s="148"/>
      <c r="G79" s="149"/>
    </row>
    <row r="80" s="20" customFormat="true" ht="12.75" hidden="false" customHeight="true" outlineLevel="1" collapsed="false">
      <c r="B80" s="102" t="s">
        <v>45</v>
      </c>
      <c r="C80" s="130"/>
      <c r="D80" s="131" t="s">
        <v>46</v>
      </c>
      <c r="E80" s="132" t="n">
        <f aca="false">ROUND(4*(Leia!E9/12),2)</f>
        <v>17.33</v>
      </c>
      <c r="F80" s="133" t="n">
        <f aca="false">F69</f>
        <v>0</v>
      </c>
      <c r="G80" s="133" t="n">
        <f aca="false">ROUND(E80*F80,2)</f>
        <v>0</v>
      </c>
    </row>
    <row r="81" s="20" customFormat="true" ht="12.75" hidden="false" customHeight="true" outlineLevel="1" collapsed="false">
      <c r="B81" s="102" t="s">
        <v>58</v>
      </c>
      <c r="C81" s="130"/>
      <c r="D81" s="131" t="s">
        <v>49</v>
      </c>
      <c r="E81" s="132" t="n">
        <f aca="false">(E80/25)*6</f>
        <v>4.1592</v>
      </c>
      <c r="F81" s="133" t="n">
        <f aca="false">F80</f>
        <v>0</v>
      </c>
      <c r="G81" s="133" t="n">
        <f aca="false">ROUND(E81*F81,2)</f>
        <v>0</v>
      </c>
    </row>
    <row r="82" s="20" customFormat="true" ht="12.75" hidden="false" customHeight="true" outlineLevel="1" collapsed="false">
      <c r="B82" s="137" t="s">
        <v>52</v>
      </c>
      <c r="C82" s="138"/>
      <c r="D82" s="139"/>
      <c r="E82" s="140"/>
      <c r="F82" s="150"/>
      <c r="G82" s="150" t="n">
        <f aca="false">ROUND(SUM(G80:G81),2)</f>
        <v>0</v>
      </c>
    </row>
    <row r="83" s="20" customFormat="true" ht="12.75" hidden="false" customHeight="true" outlineLevel="1" collapsed="false">
      <c r="B83" s="102" t="s">
        <v>59</v>
      </c>
      <c r="C83" s="130"/>
      <c r="D83" s="131" t="s">
        <v>49</v>
      </c>
      <c r="E83" s="151"/>
      <c r="F83" s="133"/>
      <c r="G83" s="133" t="n">
        <f aca="false">ROUND(G82*E75,2)</f>
        <v>0</v>
      </c>
    </row>
    <row r="84" s="20" customFormat="true" ht="12.75" hidden="false" customHeight="true" outlineLevel="1" collapsed="false">
      <c r="B84" s="102" t="s">
        <v>60</v>
      </c>
      <c r="C84" s="130"/>
      <c r="D84" s="131"/>
      <c r="E84" s="135"/>
      <c r="F84" s="133"/>
      <c r="G84" s="141" t="n">
        <f aca="false">SUM(G82:G83)</f>
        <v>0</v>
      </c>
    </row>
    <row r="85" s="20" customFormat="true" ht="12.75" hidden="false" customHeight="true" outlineLevel="1" collapsed="false">
      <c r="B85" s="108" t="s">
        <v>55</v>
      </c>
      <c r="C85" s="143"/>
      <c r="D85" s="144" t="s">
        <v>56</v>
      </c>
      <c r="E85" s="145" t="n">
        <v>3</v>
      </c>
      <c r="F85" s="146" t="n">
        <f aca="false">G84</f>
        <v>0</v>
      </c>
      <c r="G85" s="147" t="n">
        <f aca="false">ROUND(E85*F85,2)</f>
        <v>0</v>
      </c>
    </row>
    <row r="86" s="20" customFormat="true" ht="12.75" hidden="false" customHeight="true" outlineLevel="1" collapsed="false">
      <c r="B86" s="152" t="str">
        <f aca="false">"²Considerando-se "&amp;Leia!E9&amp;" domingos ao ano e uma estimativa de 4h de trabalho nesses dias: ("&amp;Leia!E9&amp;" / 12) x 4 = "&amp;ROUND(Leia!E9/12*4,2)</f>
        <v>²Considerando-se 52 domingos ao ano e uma estimativa de 4h de trabalho nesses dias: (52 / 12) x 4 = 17,33</v>
      </c>
      <c r="D86" s="24"/>
      <c r="E86" s="84"/>
      <c r="F86" s="153"/>
      <c r="G86" s="153"/>
    </row>
    <row r="87" s="20" customFormat="true" ht="12.75" hidden="false" customHeight="true" outlineLevel="1" collapsed="false">
      <c r="B87" s="154" t="s">
        <v>61</v>
      </c>
      <c r="C87" s="78"/>
      <c r="D87" s="155" t="s">
        <v>17</v>
      </c>
      <c r="E87" s="156" t="n">
        <f aca="false">D48</f>
        <v>1</v>
      </c>
      <c r="F87" s="157"/>
      <c r="G87" s="158" t="n">
        <f aca="false">ROUND((G85+G77)*E87,2)</f>
        <v>0</v>
      </c>
    </row>
    <row r="88" s="17" customFormat="true" ht="12.75" hidden="false" customHeight="true" outlineLevel="1" collapsed="false">
      <c r="B88" s="159"/>
      <c r="D88" s="116"/>
      <c r="E88" s="160"/>
      <c r="F88" s="118"/>
      <c r="G88" s="118"/>
    </row>
    <row r="89" s="123" customFormat="true" ht="12.75" hidden="false" customHeight="true" outlineLevel="1" collapsed="false">
      <c r="B89" s="91" t="str">
        <f aca="false">"TURNO NOITE DE SEG. A SÁB.  (INCLUSIVE AOS FERIADOS) - das "&amp;Leia!C15</f>
        <v>TURNO NOITE DE SEG. A SÁB.  (INCLUSIVE AOS FERIADOS) - das das 15h20min. às 23h40min.</v>
      </c>
      <c r="C89" s="92"/>
      <c r="D89" s="92"/>
      <c r="E89" s="148"/>
      <c r="F89" s="148"/>
      <c r="G89" s="149"/>
    </row>
    <row r="90" s="20" customFormat="true" ht="12.75" hidden="false" customHeight="true" outlineLevel="1" collapsed="false">
      <c r="B90" s="96" t="s">
        <v>43</v>
      </c>
      <c r="C90" s="125"/>
      <c r="D90" s="126" t="s">
        <v>44</v>
      </c>
      <c r="E90" s="127" t="n">
        <v>1</v>
      </c>
      <c r="F90" s="128" t="n">
        <f aca="false">G59</f>
        <v>0</v>
      </c>
      <c r="G90" s="129" t="n">
        <f aca="false">ROUND(E90*F90,2)</f>
        <v>0</v>
      </c>
    </row>
    <row r="91" s="20" customFormat="true" ht="12.75" hidden="false" customHeight="true" outlineLevel="1" collapsed="false">
      <c r="B91" s="102" t="s">
        <v>62</v>
      </c>
      <c r="C91" s="130"/>
      <c r="D91" s="131" t="s">
        <v>63</v>
      </c>
      <c r="E91" s="132" t="n">
        <f aca="false">Leia!E16*Leia!C20</f>
        <v>43.3333333333333</v>
      </c>
      <c r="F91" s="133"/>
      <c r="G91" s="133"/>
    </row>
    <row r="92" s="20" customFormat="true" ht="12.75" hidden="false" customHeight="true" outlineLevel="1" collapsed="false">
      <c r="B92" s="102"/>
      <c r="C92" s="130"/>
      <c r="D92" s="131" t="s">
        <v>64</v>
      </c>
      <c r="E92" s="161" t="n">
        <f aca="false">E91*8/7</f>
        <v>49.5238095238095</v>
      </c>
      <c r="F92" s="133" t="n">
        <f aca="false">(F90+(G59*F59))/Leia!E19*0.2</f>
        <v>0</v>
      </c>
      <c r="G92" s="133" t="n">
        <f aca="false">ROUND(E92*F92,2)</f>
        <v>0</v>
      </c>
    </row>
    <row r="93" s="20" customFormat="true" ht="12.75" hidden="false" customHeight="true" outlineLevel="1" collapsed="false">
      <c r="B93" s="102" t="s">
        <v>65</v>
      </c>
      <c r="C93" s="130"/>
      <c r="D93" s="131" t="s">
        <v>46</v>
      </c>
      <c r="E93" s="132" t="n">
        <f aca="false">Leia!G11/12*Leia!C22</f>
        <v>5</v>
      </c>
      <c r="F93" s="133" t="n">
        <f aca="false">F81</f>
        <v>0</v>
      </c>
      <c r="G93" s="133" t="n">
        <f aca="false">ROUND(E93*F93,2)</f>
        <v>0</v>
      </c>
    </row>
    <row r="94" s="20" customFormat="true" ht="12.75" hidden="false" customHeight="true" outlineLevel="1" collapsed="false">
      <c r="B94" s="102" t="s">
        <v>66</v>
      </c>
      <c r="C94" s="130"/>
      <c r="D94" s="131" t="s">
        <v>63</v>
      </c>
      <c r="E94" s="132" t="n">
        <f aca="false">Leia!G11/12*Leia!C20</f>
        <v>1.25</v>
      </c>
      <c r="F94" s="133"/>
      <c r="G94" s="133"/>
    </row>
    <row r="95" s="20" customFormat="true" ht="12.75" hidden="false" customHeight="true" outlineLevel="1" collapsed="false">
      <c r="B95" s="102"/>
      <c r="C95" s="130"/>
      <c r="D95" s="131" t="s">
        <v>64</v>
      </c>
      <c r="E95" s="161" t="n">
        <f aca="false">E94*8/7</f>
        <v>1.42857142857143</v>
      </c>
      <c r="F95" s="133" t="n">
        <f aca="false">(F90+(G59*F59))/Leia!E19*2*1.2</f>
        <v>0</v>
      </c>
      <c r="G95" s="133" t="n">
        <f aca="false">ROUND(E95*F95,2)</f>
        <v>0</v>
      </c>
    </row>
    <row r="96" s="20" customFormat="true" ht="12.75" hidden="false" customHeight="true" outlineLevel="1" collapsed="false">
      <c r="B96" s="102" t="s">
        <v>47</v>
      </c>
      <c r="C96" s="130"/>
      <c r="D96" s="131" t="s">
        <v>46</v>
      </c>
      <c r="E96" s="132" t="n">
        <v>0</v>
      </c>
      <c r="F96" s="133" t="n">
        <f aca="false">F70</f>
        <v>0</v>
      </c>
      <c r="G96" s="133" t="n">
        <f aca="false">ROUND(E96*F96,2)</f>
        <v>0</v>
      </c>
    </row>
    <row r="97" s="20" customFormat="true" ht="12.75" hidden="false" customHeight="true" outlineLevel="1" collapsed="false">
      <c r="B97" s="102" t="s">
        <v>67</v>
      </c>
      <c r="C97" s="130"/>
      <c r="D97" s="131" t="s">
        <v>63</v>
      </c>
      <c r="E97" s="132" t="n">
        <v>0</v>
      </c>
      <c r="F97" s="133"/>
      <c r="G97" s="133"/>
    </row>
    <row r="98" s="20" customFormat="true" ht="12.75" hidden="false" customHeight="true" outlineLevel="1" collapsed="false">
      <c r="B98" s="102"/>
      <c r="C98" s="130"/>
      <c r="D98" s="131" t="s">
        <v>64</v>
      </c>
      <c r="E98" s="162" t="n">
        <f aca="false">E97*8/7</f>
        <v>0</v>
      </c>
      <c r="F98" s="133" t="n">
        <f aca="false">(F90+(G59*F59))/Leia!E19*1.5*1.2</f>
        <v>0</v>
      </c>
      <c r="G98" s="133" t="n">
        <f aca="false">ROUND(E98*F98,2)</f>
        <v>0</v>
      </c>
    </row>
    <row r="99" s="20" customFormat="true" ht="24" hidden="false" customHeight="true" outlineLevel="1" collapsed="false">
      <c r="B99" s="134" t="s">
        <v>48</v>
      </c>
      <c r="C99" s="134"/>
      <c r="D99" s="131" t="s">
        <v>49</v>
      </c>
      <c r="E99" s="162"/>
      <c r="F99" s="133"/>
      <c r="G99" s="133"/>
    </row>
    <row r="100" s="20" customFormat="true" ht="24" hidden="false" customHeight="true" outlineLevel="1" collapsed="false">
      <c r="B100" s="134" t="s">
        <v>50</v>
      </c>
      <c r="C100" s="134"/>
      <c r="D100" s="131" t="s">
        <v>49</v>
      </c>
      <c r="E100" s="163" t="n">
        <f aca="false">ROUND((E93/25)*6,2)</f>
        <v>1.2</v>
      </c>
      <c r="F100" s="133" t="n">
        <f aca="false">F72</f>
        <v>0</v>
      </c>
      <c r="G100" s="133" t="n">
        <f aca="false">ROUND(E100*F100,2)</f>
        <v>0</v>
      </c>
    </row>
    <row r="101" s="20" customFormat="true" ht="24" hidden="false" customHeight="true" outlineLevel="1" collapsed="false">
      <c r="B101" s="134" t="s">
        <v>68</v>
      </c>
      <c r="C101" s="134"/>
      <c r="D101" s="131" t="s">
        <v>49</v>
      </c>
      <c r="E101" s="164" t="n">
        <f aca="false">ROUND((E92/25)*6,2)</f>
        <v>11.89</v>
      </c>
      <c r="F101" s="133" t="n">
        <f aca="false">F92</f>
        <v>0</v>
      </c>
      <c r="G101" s="133" t="n">
        <f aca="false">ROUND(E101*F101,2)</f>
        <v>0</v>
      </c>
    </row>
    <row r="102" s="20" customFormat="true" ht="12.75" hidden="false" customHeight="true" outlineLevel="1" collapsed="false">
      <c r="B102" s="102" t="s">
        <v>51</v>
      </c>
      <c r="C102" s="130"/>
      <c r="D102" s="131" t="s">
        <v>17</v>
      </c>
      <c r="E102" s="136" t="n">
        <f aca="false">F59</f>
        <v>0.4</v>
      </c>
      <c r="F102" s="133" t="n">
        <f aca="false">F73</f>
        <v>0</v>
      </c>
      <c r="G102" s="133" t="n">
        <f aca="false">ROUND(E102*F102,2)</f>
        <v>0</v>
      </c>
    </row>
    <row r="103" s="123" customFormat="true" ht="12.75" hidden="false" customHeight="true" outlineLevel="1" collapsed="false">
      <c r="B103" s="137" t="s">
        <v>52</v>
      </c>
      <c r="C103" s="138"/>
      <c r="D103" s="139"/>
      <c r="E103" s="140"/>
      <c r="F103" s="141"/>
      <c r="G103" s="141" t="n">
        <f aca="false">ROUND(SUM(G90:G102),2)</f>
        <v>0</v>
      </c>
    </row>
    <row r="104" s="20" customFormat="true" ht="12.75" hidden="false" customHeight="true" outlineLevel="1" collapsed="false">
      <c r="B104" s="102" t="s">
        <v>53</v>
      </c>
      <c r="C104" s="130"/>
      <c r="D104" s="131" t="s">
        <v>17</v>
      </c>
      <c r="E104" s="142" t="n">
        <f aca="false">'Anexo B'!I57</f>
        <v>0</v>
      </c>
      <c r="F104" s="133" t="n">
        <f aca="false">G103</f>
        <v>0</v>
      </c>
      <c r="G104" s="133" t="n">
        <f aca="false">ROUND(E104*F104,2)</f>
        <v>0</v>
      </c>
    </row>
    <row r="105" s="123" customFormat="true" ht="12.75" hidden="false" customHeight="true" outlineLevel="1" collapsed="false">
      <c r="B105" s="137" t="s">
        <v>54</v>
      </c>
      <c r="C105" s="138"/>
      <c r="D105" s="139"/>
      <c r="E105" s="140"/>
      <c r="F105" s="141"/>
      <c r="G105" s="141" t="n">
        <f aca="false">ROUND(G103+G104,2)</f>
        <v>0</v>
      </c>
    </row>
    <row r="106" s="20" customFormat="true" ht="12.75" hidden="false" customHeight="true" outlineLevel="1" collapsed="false">
      <c r="B106" s="102" t="s">
        <v>55</v>
      </c>
      <c r="C106" s="130"/>
      <c r="D106" s="131" t="s">
        <v>56</v>
      </c>
      <c r="E106" s="165" t="n">
        <f aca="false">G39/2</f>
        <v>21</v>
      </c>
      <c r="F106" s="133" t="n">
        <f aca="false">G105</f>
        <v>0</v>
      </c>
      <c r="G106" s="166" t="n">
        <f aca="false">ROUND(E106*F106,2)</f>
        <v>0</v>
      </c>
    </row>
    <row r="107" s="20" customFormat="true" ht="12.75" hidden="false" customHeight="true" outlineLevel="1" collapsed="false">
      <c r="B107" s="108" t="s">
        <v>61</v>
      </c>
      <c r="C107" s="143"/>
      <c r="D107" s="144" t="s">
        <v>17</v>
      </c>
      <c r="E107" s="167" t="n">
        <f aca="false">D48</f>
        <v>1</v>
      </c>
      <c r="F107" s="146"/>
      <c r="G107" s="168" t="n">
        <f aca="false">ROUND(G106*E107,2)</f>
        <v>0</v>
      </c>
    </row>
    <row r="108" s="20" customFormat="true" ht="12.75" hidden="false" customHeight="true" outlineLevel="1" collapsed="false">
      <c r="B108" s="152" t="str">
        <f aca="false">"³Considerando-se "&amp;Leia!G11&amp;" dias de feriados ocorridos de segunda a sábado durante o ano: ("&amp;Leia!G11&amp;" / 12) = "&amp;ROUND(Leia!G11/12,2)&amp;" dias de feriados por mês."</f>
        <v>³Considerando-se 9 dias de feriados ocorridos de segunda a sábado durante o ano: (9 / 12) = 0,75 dias de feriados por mês.</v>
      </c>
      <c r="D108" s="24"/>
      <c r="E108" s="84"/>
      <c r="F108" s="153"/>
      <c r="G108" s="153"/>
    </row>
    <row r="109" s="20" customFormat="true" ht="12.75" hidden="false" customHeight="true" outlineLevel="0" collapsed="false">
      <c r="B109" s="120" t="s">
        <v>69</v>
      </c>
      <c r="C109" s="120"/>
      <c r="D109" s="120"/>
      <c r="E109" s="120"/>
      <c r="F109" s="120"/>
      <c r="G109" s="169" t="n">
        <f aca="false">ROUND(G107+G87,2)</f>
        <v>0</v>
      </c>
    </row>
    <row r="110" s="17" customFormat="true" ht="9.75" hidden="false" customHeight="true" outlineLevel="0" collapsed="false">
      <c r="F110" s="170"/>
      <c r="G110" s="170"/>
    </row>
    <row r="111" s="20" customFormat="true" ht="12.75" hidden="false" customHeight="true" outlineLevel="0" collapsed="false">
      <c r="B111" s="120" t="s">
        <v>70</v>
      </c>
      <c r="C111" s="120"/>
      <c r="D111" s="120"/>
      <c r="E111" s="120"/>
      <c r="F111" s="120"/>
      <c r="G111" s="120"/>
    </row>
    <row r="112" s="20" customFormat="true" ht="12.75" hidden="false" customHeight="false" outlineLevel="1" collapsed="false">
      <c r="B112" s="121" t="s">
        <v>38</v>
      </c>
      <c r="C112" s="78"/>
      <c r="D112" s="95" t="s">
        <v>39</v>
      </c>
      <c r="E112" s="95" t="s">
        <v>40</v>
      </c>
      <c r="F112" s="122" t="s">
        <v>41</v>
      </c>
      <c r="G112" s="95" t="s">
        <v>42</v>
      </c>
    </row>
    <row r="113" s="123" customFormat="true" ht="12.75" hidden="false" customHeight="true" outlineLevel="1" collapsed="false">
      <c r="B113" s="91" t="str">
        <f aca="false">B67</f>
        <v>TURNO DIA DE SEG. A SÁB. (INCLUSIVE AOS FERIADOS) - das 7h às 15h20min.</v>
      </c>
      <c r="C113" s="92"/>
      <c r="D113" s="92"/>
      <c r="E113" s="92"/>
      <c r="F113" s="92"/>
      <c r="G113" s="124"/>
    </row>
    <row r="114" s="20" customFormat="true" ht="12.75" hidden="false" customHeight="true" outlineLevel="1" collapsed="false">
      <c r="B114" s="96" t="s">
        <v>71</v>
      </c>
      <c r="C114" s="125"/>
      <c r="D114" s="126" t="s">
        <v>44</v>
      </c>
      <c r="E114" s="127" t="n">
        <v>1</v>
      </c>
      <c r="F114" s="171" t="n">
        <f aca="false">G60</f>
        <v>0</v>
      </c>
      <c r="G114" s="172" t="n">
        <f aca="false">ROUND(E114*F114,2)</f>
        <v>0</v>
      </c>
    </row>
    <row r="115" s="20" customFormat="true" ht="12.75" hidden="false" customHeight="true" outlineLevel="1" collapsed="false">
      <c r="B115" s="102" t="s">
        <v>72</v>
      </c>
      <c r="C115" s="130"/>
      <c r="D115" s="131" t="s">
        <v>44</v>
      </c>
      <c r="E115" s="135" t="n">
        <v>1</v>
      </c>
      <c r="F115" s="133" t="n">
        <f aca="false">G62</f>
        <v>0</v>
      </c>
      <c r="G115" s="162"/>
    </row>
    <row r="116" s="20" customFormat="true" ht="12.75" hidden="false" customHeight="true" outlineLevel="1" collapsed="false">
      <c r="B116" s="102" t="s">
        <v>73</v>
      </c>
      <c r="C116" s="130"/>
      <c r="D116" s="131" t="s">
        <v>46</v>
      </c>
      <c r="E116" s="132" t="n">
        <f aca="false">E69</f>
        <v>5.5</v>
      </c>
      <c r="F116" s="162" t="n">
        <f aca="false">((F114+(F115*F60))/Leia!E19)*2</f>
        <v>0</v>
      </c>
      <c r="G116" s="162" t="n">
        <f aca="false">ROUND(E116*F116,2)</f>
        <v>0</v>
      </c>
    </row>
    <row r="117" s="20" customFormat="true" ht="12.75" hidden="false" customHeight="true" outlineLevel="1" collapsed="false">
      <c r="B117" s="102" t="s">
        <v>47</v>
      </c>
      <c r="C117" s="130"/>
      <c r="D117" s="131" t="s">
        <v>46</v>
      </c>
      <c r="E117" s="132" t="n">
        <v>0</v>
      </c>
      <c r="F117" s="162" t="n">
        <f aca="false">((F114+(F115*F60))/Leia!E19)*1.5</f>
        <v>0</v>
      </c>
      <c r="G117" s="162" t="n">
        <f aca="false">ROUND(E117*F117,2)</f>
        <v>0</v>
      </c>
    </row>
    <row r="118" s="20" customFormat="true" ht="25.5" hidden="false" customHeight="true" outlineLevel="1" collapsed="false">
      <c r="B118" s="134" t="s">
        <v>50</v>
      </c>
      <c r="C118" s="134" t="s">
        <v>49</v>
      </c>
      <c r="D118" s="131" t="s">
        <v>49</v>
      </c>
      <c r="E118" s="135" t="n">
        <f aca="false">ROUND((E116/25)*6,2)</f>
        <v>1.32</v>
      </c>
      <c r="F118" s="162" t="n">
        <f aca="false">F116</f>
        <v>0</v>
      </c>
      <c r="G118" s="162" t="n">
        <f aca="false">ROUND(E118*F118,2)</f>
        <v>0</v>
      </c>
    </row>
    <row r="119" s="20" customFormat="true" ht="25.5" hidden="false" customHeight="true" outlineLevel="1" collapsed="false">
      <c r="B119" s="134" t="s">
        <v>48</v>
      </c>
      <c r="C119" s="134" t="s">
        <v>49</v>
      </c>
      <c r="D119" s="131" t="s">
        <v>49</v>
      </c>
      <c r="E119" s="135" t="n">
        <f aca="false">(E117/25)*6</f>
        <v>0</v>
      </c>
      <c r="F119" s="162" t="n">
        <f aca="false">F117</f>
        <v>0</v>
      </c>
      <c r="G119" s="162" t="n">
        <f aca="false">ROUND(E119*F119,2)</f>
        <v>0</v>
      </c>
    </row>
    <row r="120" s="20" customFormat="true" ht="12.75" hidden="false" customHeight="true" outlineLevel="1" collapsed="false">
      <c r="B120" s="173" t="s">
        <v>74</v>
      </c>
      <c r="C120" s="173"/>
      <c r="D120" s="131"/>
      <c r="E120" s="174"/>
      <c r="F120" s="162"/>
      <c r="G120" s="162"/>
    </row>
    <row r="121" s="20" customFormat="true" ht="12.75" hidden="false" customHeight="true" outlineLevel="1" collapsed="false">
      <c r="B121" s="102" t="s">
        <v>51</v>
      </c>
      <c r="C121" s="130"/>
      <c r="D121" s="131" t="s">
        <v>17</v>
      </c>
      <c r="E121" s="136" t="n">
        <f aca="false">F60</f>
        <v>0.4</v>
      </c>
      <c r="F121" s="162" t="n">
        <f aca="false">IF(E120=1,F115,F114)</f>
        <v>0</v>
      </c>
      <c r="G121" s="162" t="n">
        <f aca="false">ROUND(E121*F121,2)</f>
        <v>0</v>
      </c>
    </row>
    <row r="122" s="123" customFormat="true" ht="12.75" hidden="false" customHeight="true" outlineLevel="1" collapsed="false">
      <c r="B122" s="137" t="s">
        <v>52</v>
      </c>
      <c r="C122" s="138"/>
      <c r="D122" s="139"/>
      <c r="E122" s="140"/>
      <c r="F122" s="150"/>
      <c r="G122" s="150" t="n">
        <f aca="false">ROUND(SUM(G114:G121),2)</f>
        <v>0</v>
      </c>
    </row>
    <row r="123" s="20" customFormat="true" ht="12.75" hidden="false" customHeight="true" outlineLevel="1" collapsed="false">
      <c r="B123" s="102" t="s">
        <v>53</v>
      </c>
      <c r="C123" s="130"/>
      <c r="D123" s="131" t="s">
        <v>17</v>
      </c>
      <c r="E123" s="142" t="n">
        <f aca="false">'Anexo B'!I57</f>
        <v>0</v>
      </c>
      <c r="F123" s="162" t="n">
        <f aca="false">G122</f>
        <v>0</v>
      </c>
      <c r="G123" s="162" t="n">
        <f aca="false">ROUND(F123*E123,2)</f>
        <v>0</v>
      </c>
    </row>
    <row r="124" s="20" customFormat="true" ht="12.75" hidden="false" customHeight="true" outlineLevel="1" collapsed="false">
      <c r="B124" s="102" t="s">
        <v>75</v>
      </c>
      <c r="C124" s="130"/>
      <c r="D124" s="131"/>
      <c r="E124" s="135"/>
      <c r="F124" s="150"/>
      <c r="G124" s="150" t="n">
        <f aca="false">ROUND(G122+G123,2)</f>
        <v>0</v>
      </c>
    </row>
    <row r="125" s="20" customFormat="true" ht="12.75" hidden="false" customHeight="true" outlineLevel="1" collapsed="false">
      <c r="B125" s="108" t="s">
        <v>55</v>
      </c>
      <c r="C125" s="143"/>
      <c r="D125" s="144" t="s">
        <v>56</v>
      </c>
      <c r="E125" s="145" t="n">
        <f aca="false">G40/2</f>
        <v>7</v>
      </c>
      <c r="F125" s="175" t="n">
        <f aca="false">G124</f>
        <v>0</v>
      </c>
      <c r="G125" s="175" t="n">
        <f aca="false">ROUND(E125*F125,2)</f>
        <v>0</v>
      </c>
    </row>
    <row r="126" s="17" customFormat="true" ht="12.75" hidden="false" customHeight="true" outlineLevel="1" collapsed="false">
      <c r="D126" s="116"/>
      <c r="E126" s="160"/>
      <c r="F126" s="118"/>
      <c r="G126" s="118"/>
    </row>
    <row r="127" s="20" customFormat="true" ht="12.75" hidden="false" customHeight="true" outlineLevel="1" collapsed="false">
      <c r="B127" s="91" t="str">
        <f aca="false">B79</f>
        <v>COLETA NA AV. PRESIDENTE GETÚLIO VARGAS AOS DOMINGOS</v>
      </c>
      <c r="C127" s="92"/>
      <c r="D127" s="92"/>
      <c r="E127" s="148"/>
      <c r="F127" s="148"/>
      <c r="G127" s="149"/>
    </row>
    <row r="128" s="20" customFormat="true" ht="12.75" hidden="false" customHeight="true" outlineLevel="1" collapsed="false">
      <c r="B128" s="102" t="s">
        <v>73</v>
      </c>
      <c r="C128" s="130"/>
      <c r="D128" s="131" t="s">
        <v>46</v>
      </c>
      <c r="E128" s="132" t="n">
        <f aca="false">ROUND(4*(Leia!E9/12),2)</f>
        <v>17.33</v>
      </c>
      <c r="F128" s="133" t="n">
        <f aca="false">F116</f>
        <v>0</v>
      </c>
      <c r="G128" s="133" t="n">
        <f aca="false">ROUND(E128*F128,2)</f>
        <v>0</v>
      </c>
    </row>
    <row r="129" s="20" customFormat="true" ht="12.75" hidden="false" customHeight="true" outlineLevel="1" collapsed="false">
      <c r="B129" s="102" t="s">
        <v>76</v>
      </c>
      <c r="C129" s="130"/>
      <c r="D129" s="131" t="s">
        <v>49</v>
      </c>
      <c r="E129" s="132" t="n">
        <f aca="false">ROUND((E128/25)*6,2)</f>
        <v>4.16</v>
      </c>
      <c r="F129" s="133" t="n">
        <f aca="false">F128</f>
        <v>0</v>
      </c>
      <c r="G129" s="133" t="n">
        <f aca="false">ROUND(E129*F129,2)</f>
        <v>0</v>
      </c>
    </row>
    <row r="130" s="20" customFormat="true" ht="12.75" hidden="false" customHeight="true" outlineLevel="1" collapsed="false">
      <c r="B130" s="137" t="s">
        <v>52</v>
      </c>
      <c r="C130" s="138"/>
      <c r="D130" s="139"/>
      <c r="E130" s="140"/>
      <c r="F130" s="150"/>
      <c r="G130" s="150" t="n">
        <f aca="false">ROUND(SUM(G128:G129),2)</f>
        <v>0</v>
      </c>
    </row>
    <row r="131" s="20" customFormat="true" ht="12.75" hidden="false" customHeight="true" outlineLevel="1" collapsed="false">
      <c r="B131" s="102" t="s">
        <v>59</v>
      </c>
      <c r="C131" s="130"/>
      <c r="D131" s="131" t="s">
        <v>49</v>
      </c>
      <c r="E131" s="151"/>
      <c r="F131" s="133"/>
      <c r="G131" s="133" t="n">
        <f aca="false">ROUND(SUM(G128:G129)*E123,2)</f>
        <v>0</v>
      </c>
    </row>
    <row r="132" s="20" customFormat="true" ht="12.75" hidden="false" customHeight="true" outlineLevel="1" collapsed="false">
      <c r="B132" s="102" t="s">
        <v>77</v>
      </c>
      <c r="C132" s="130"/>
      <c r="D132" s="131"/>
      <c r="E132" s="135"/>
      <c r="F132" s="133"/>
      <c r="G132" s="141" t="n">
        <f aca="false">ROUND(SUM(G130:G131),2)</f>
        <v>0</v>
      </c>
    </row>
    <row r="133" s="20" customFormat="true" ht="12.75" hidden="false" customHeight="true" outlineLevel="1" collapsed="false">
      <c r="B133" s="108" t="s">
        <v>55</v>
      </c>
      <c r="C133" s="143"/>
      <c r="D133" s="144" t="s">
        <v>56</v>
      </c>
      <c r="E133" s="176" t="n">
        <f aca="false">G41</f>
        <v>1</v>
      </c>
      <c r="F133" s="146"/>
      <c r="G133" s="147" t="n">
        <f aca="false">ROUND(E133*G132,2)</f>
        <v>0</v>
      </c>
    </row>
    <row r="134" s="20" customFormat="true" ht="12.75" hidden="false" customHeight="true" outlineLevel="1" collapsed="false">
      <c r="B134" s="152"/>
      <c r="D134" s="24"/>
      <c r="E134" s="84"/>
      <c r="F134" s="153"/>
      <c r="G134" s="153"/>
    </row>
    <row r="135" s="20" customFormat="true" ht="12.75" hidden="false" customHeight="true" outlineLevel="1" collapsed="false">
      <c r="B135" s="154" t="s">
        <v>61</v>
      </c>
      <c r="C135" s="78"/>
      <c r="D135" s="155" t="s">
        <v>17</v>
      </c>
      <c r="E135" s="156" t="n">
        <f aca="false">D48</f>
        <v>1</v>
      </c>
      <c r="F135" s="157"/>
      <c r="G135" s="158" t="n">
        <f aca="false">ROUND((G125+G133)*E135,2)</f>
        <v>0</v>
      </c>
    </row>
    <row r="136" s="17" customFormat="true" ht="12.75" hidden="false" customHeight="true" outlineLevel="1" collapsed="false">
      <c r="B136" s="177"/>
      <c r="C136" s="177"/>
      <c r="D136" s="178"/>
      <c r="E136" s="179"/>
      <c r="F136" s="180"/>
      <c r="G136" s="181"/>
    </row>
    <row r="137" s="123" customFormat="true" ht="12.75" hidden="false" customHeight="true" outlineLevel="1" collapsed="false">
      <c r="B137" s="91" t="str">
        <f aca="false">B89</f>
        <v>TURNO NOITE DE SEG. A SÁB.  (INCLUSIVE AOS FERIADOS) - das das 15h20min. às 23h40min.</v>
      </c>
      <c r="C137" s="92"/>
      <c r="D137" s="92"/>
      <c r="E137" s="148"/>
      <c r="F137" s="148"/>
      <c r="G137" s="149"/>
    </row>
    <row r="138" s="20" customFormat="true" ht="12.75" hidden="false" customHeight="true" outlineLevel="1" collapsed="false">
      <c r="B138" s="96" t="s">
        <v>71</v>
      </c>
      <c r="C138" s="125"/>
      <c r="D138" s="126" t="s">
        <v>44</v>
      </c>
      <c r="E138" s="127" t="n">
        <v>1</v>
      </c>
      <c r="F138" s="171" t="n">
        <f aca="false">G60</f>
        <v>0</v>
      </c>
      <c r="G138" s="133" t="n">
        <f aca="false">ROUND(E138*F138,2)</f>
        <v>0</v>
      </c>
    </row>
    <row r="139" s="20" customFormat="true" ht="12.75" hidden="false" customHeight="true" outlineLevel="1" collapsed="false">
      <c r="B139" s="102" t="s">
        <v>72</v>
      </c>
      <c r="C139" s="130"/>
      <c r="D139" s="131" t="s">
        <v>44</v>
      </c>
      <c r="E139" s="135" t="n">
        <v>1</v>
      </c>
      <c r="F139" s="133" t="n">
        <f aca="false">G62</f>
        <v>0</v>
      </c>
      <c r="G139" s="133"/>
    </row>
    <row r="140" s="20" customFormat="true" ht="12.75" hidden="false" customHeight="true" outlineLevel="1" collapsed="false">
      <c r="B140" s="102" t="s">
        <v>62</v>
      </c>
      <c r="C140" s="130"/>
      <c r="D140" s="131" t="s">
        <v>63</v>
      </c>
      <c r="E140" s="132" t="n">
        <f aca="false">E91</f>
        <v>43.3333333333333</v>
      </c>
      <c r="F140" s="133"/>
      <c r="G140" s="133"/>
    </row>
    <row r="141" s="20" customFormat="true" ht="12.75" hidden="false" customHeight="true" outlineLevel="1" collapsed="false">
      <c r="B141" s="102"/>
      <c r="C141" s="130"/>
      <c r="D141" s="131" t="s">
        <v>64</v>
      </c>
      <c r="E141" s="132" t="n">
        <f aca="false">E140*8/7</f>
        <v>49.5238095238095</v>
      </c>
      <c r="F141" s="133" t="n">
        <f aca="false">(F138+(F139*F60))/Leia!E19*0.2</f>
        <v>0</v>
      </c>
      <c r="G141" s="133" t="n">
        <f aca="false">ROUND(E141*F141,2)</f>
        <v>0</v>
      </c>
    </row>
    <row r="142" s="20" customFormat="true" ht="12.75" hidden="false" customHeight="true" outlineLevel="1" collapsed="false">
      <c r="B142" s="102" t="s">
        <v>73</v>
      </c>
      <c r="C142" s="130"/>
      <c r="D142" s="131" t="s">
        <v>46</v>
      </c>
      <c r="E142" s="132" t="n">
        <f aca="false">E93</f>
        <v>5</v>
      </c>
      <c r="F142" s="133" t="n">
        <f aca="false">F116</f>
        <v>0</v>
      </c>
      <c r="G142" s="133" t="n">
        <f aca="false">ROUND(E142*F142,2)</f>
        <v>0</v>
      </c>
    </row>
    <row r="143" s="20" customFormat="true" ht="12.75" hidden="false" customHeight="true" outlineLevel="1" collapsed="false">
      <c r="B143" s="102" t="s">
        <v>66</v>
      </c>
      <c r="C143" s="130"/>
      <c r="D143" s="131" t="s">
        <v>63</v>
      </c>
      <c r="E143" s="132" t="n">
        <f aca="false">E94</f>
        <v>1.25</v>
      </c>
      <c r="F143" s="133"/>
      <c r="G143" s="133"/>
    </row>
    <row r="144" s="20" customFormat="true" ht="12.75" hidden="false" customHeight="true" outlineLevel="1" collapsed="false">
      <c r="B144" s="102"/>
      <c r="C144" s="130"/>
      <c r="D144" s="131" t="s">
        <v>64</v>
      </c>
      <c r="E144" s="132" t="n">
        <f aca="false">E143*8/7</f>
        <v>1.42857142857143</v>
      </c>
      <c r="F144" s="133" t="n">
        <f aca="false">(F138+(F139*F60))/Leia!E19*2*1.2</f>
        <v>0</v>
      </c>
      <c r="G144" s="133" t="n">
        <f aca="false">ROUND(E144*F144,2)</f>
        <v>0</v>
      </c>
    </row>
    <row r="145" s="20" customFormat="true" ht="12.75" hidden="false" customHeight="true" outlineLevel="1" collapsed="false">
      <c r="B145" s="102" t="s">
        <v>47</v>
      </c>
      <c r="C145" s="130"/>
      <c r="D145" s="131" t="s">
        <v>46</v>
      </c>
      <c r="E145" s="132" t="n">
        <v>0</v>
      </c>
      <c r="F145" s="133" t="n">
        <f aca="false">F117</f>
        <v>0</v>
      </c>
      <c r="G145" s="133" t="n">
        <f aca="false">ROUND(E145*F145,2)</f>
        <v>0</v>
      </c>
    </row>
    <row r="146" s="20" customFormat="true" ht="12.75" hidden="false" customHeight="true" outlineLevel="1" collapsed="false">
      <c r="B146" s="102" t="s">
        <v>67</v>
      </c>
      <c r="C146" s="130"/>
      <c r="D146" s="131" t="s">
        <v>63</v>
      </c>
      <c r="E146" s="132" t="n">
        <v>0</v>
      </c>
      <c r="F146" s="133"/>
      <c r="G146" s="133"/>
    </row>
    <row r="147" s="20" customFormat="true" ht="12.75" hidden="false" customHeight="true" outlineLevel="1" collapsed="false">
      <c r="B147" s="102"/>
      <c r="C147" s="130"/>
      <c r="D147" s="131" t="s">
        <v>64</v>
      </c>
      <c r="E147" s="162" t="n">
        <f aca="false">E146*8/7</f>
        <v>0</v>
      </c>
      <c r="F147" s="133" t="n">
        <f aca="false">(F138+(F139*F60))/Leia!E19*1.5*1.2</f>
        <v>0</v>
      </c>
      <c r="G147" s="133" t="n">
        <f aca="false">ROUND(E147*F147,2)</f>
        <v>0</v>
      </c>
    </row>
    <row r="148" s="20" customFormat="true" ht="25.5" hidden="false" customHeight="true" outlineLevel="1" collapsed="false">
      <c r="B148" s="134" t="s">
        <v>50</v>
      </c>
      <c r="C148" s="134"/>
      <c r="D148" s="131" t="s">
        <v>49</v>
      </c>
      <c r="E148" s="163" t="n">
        <f aca="false">ROUND((E142/25)*6,2)</f>
        <v>1.2</v>
      </c>
      <c r="F148" s="133" t="n">
        <f aca="false">F142</f>
        <v>0</v>
      </c>
      <c r="G148" s="133" t="n">
        <f aca="false">ROUND(E148*F148,2)</f>
        <v>0</v>
      </c>
    </row>
    <row r="149" s="20" customFormat="true" ht="25.5" hidden="false" customHeight="true" outlineLevel="1" collapsed="false">
      <c r="B149" s="134" t="s">
        <v>48</v>
      </c>
      <c r="C149" s="134"/>
      <c r="D149" s="131" t="s">
        <v>49</v>
      </c>
      <c r="E149" s="163" t="n">
        <f aca="false">ROUND((E146/25)*26,2)</f>
        <v>0</v>
      </c>
      <c r="F149" s="133" t="n">
        <f aca="false">F145</f>
        <v>0</v>
      </c>
      <c r="G149" s="133" t="n">
        <f aca="false">ROUND(E149*F149,2)</f>
        <v>0</v>
      </c>
    </row>
    <row r="150" s="20" customFormat="true" ht="21.75" hidden="false" customHeight="true" outlineLevel="1" collapsed="false">
      <c r="B150" s="134" t="s">
        <v>68</v>
      </c>
      <c r="C150" s="134"/>
      <c r="D150" s="131" t="s">
        <v>49</v>
      </c>
      <c r="E150" s="163" t="n">
        <f aca="false">ROUND((E141/25)*6,2)</f>
        <v>11.89</v>
      </c>
      <c r="F150" s="133" t="n">
        <f aca="false">F141</f>
        <v>0</v>
      </c>
      <c r="G150" s="133" t="n">
        <f aca="false">ROUND(E150*F150,2)</f>
        <v>0</v>
      </c>
    </row>
    <row r="151" s="20" customFormat="true" ht="12.75" hidden="false" customHeight="true" outlineLevel="1" collapsed="false">
      <c r="B151" s="134" t="s">
        <v>74</v>
      </c>
      <c r="C151" s="134"/>
      <c r="D151" s="131"/>
      <c r="E151" s="174"/>
      <c r="F151" s="133"/>
      <c r="G151" s="133"/>
    </row>
    <row r="152" s="20" customFormat="true" ht="12.75" hidden="false" customHeight="true" outlineLevel="1" collapsed="false">
      <c r="B152" s="102" t="s">
        <v>51</v>
      </c>
      <c r="C152" s="130"/>
      <c r="D152" s="131" t="s">
        <v>17</v>
      </c>
      <c r="E152" s="136" t="n">
        <f aca="false">F60</f>
        <v>0.4</v>
      </c>
      <c r="F152" s="162" t="n">
        <f aca="false">IF(E152=1,F138,F139)</f>
        <v>0</v>
      </c>
      <c r="G152" s="133" t="n">
        <f aca="false">ROUND(E152*F152,2)</f>
        <v>0</v>
      </c>
    </row>
    <row r="153" s="123" customFormat="true" ht="12.75" hidden="false" customHeight="true" outlineLevel="1" collapsed="false">
      <c r="B153" s="137" t="s">
        <v>52</v>
      </c>
      <c r="C153" s="138"/>
      <c r="D153" s="139"/>
      <c r="E153" s="140"/>
      <c r="F153" s="141"/>
      <c r="G153" s="141" t="n">
        <f aca="false">ROUND(SUM(G138:G152),2)</f>
        <v>0</v>
      </c>
    </row>
    <row r="154" s="20" customFormat="true" ht="12.75" hidden="false" customHeight="true" outlineLevel="1" collapsed="false">
      <c r="B154" s="102" t="s">
        <v>53</v>
      </c>
      <c r="C154" s="130"/>
      <c r="D154" s="131" t="s">
        <v>17</v>
      </c>
      <c r="E154" s="142" t="n">
        <f aca="false">'Anexo B'!I57</f>
        <v>0</v>
      </c>
      <c r="F154" s="133" t="n">
        <f aca="false">G153</f>
        <v>0</v>
      </c>
      <c r="G154" s="133" t="n">
        <f aca="false">ROUND(F154*E154,2)</f>
        <v>0</v>
      </c>
    </row>
    <row r="155" s="123" customFormat="true" ht="12.75" hidden="false" customHeight="true" outlineLevel="1" collapsed="false">
      <c r="B155" s="137" t="s">
        <v>78</v>
      </c>
      <c r="C155" s="138"/>
      <c r="D155" s="139"/>
      <c r="E155" s="140"/>
      <c r="F155" s="141"/>
      <c r="G155" s="141" t="n">
        <f aca="false">ROUND(G153+G154,2)</f>
        <v>0</v>
      </c>
    </row>
    <row r="156" s="123" customFormat="true" ht="12.75" hidden="false" customHeight="true" outlineLevel="1" collapsed="false">
      <c r="B156" s="102" t="s">
        <v>55</v>
      </c>
      <c r="C156" s="130"/>
      <c r="D156" s="131" t="s">
        <v>56</v>
      </c>
      <c r="E156" s="165" t="n">
        <f aca="false">G40/2</f>
        <v>7</v>
      </c>
      <c r="F156" s="133" t="n">
        <f aca="false">G155</f>
        <v>0</v>
      </c>
      <c r="G156" s="133" t="n">
        <f aca="false">ROUND(E156*F156,2)</f>
        <v>0</v>
      </c>
    </row>
    <row r="157" s="123" customFormat="true" ht="12.75" hidden="false" customHeight="true" outlineLevel="1" collapsed="false">
      <c r="B157" s="108" t="s">
        <v>61</v>
      </c>
      <c r="C157" s="143"/>
      <c r="D157" s="144" t="s">
        <v>17</v>
      </c>
      <c r="E157" s="167" t="n">
        <f aca="false">D48</f>
        <v>1</v>
      </c>
      <c r="F157" s="146"/>
      <c r="G157" s="168" t="n">
        <f aca="false">ROUND(G156*E157,2)</f>
        <v>0</v>
      </c>
    </row>
    <row r="158" s="20" customFormat="true" ht="4.5" hidden="false" customHeight="true" outlineLevel="1" collapsed="false">
      <c r="D158" s="24"/>
      <c r="E158" s="182"/>
      <c r="F158" s="153"/>
      <c r="G158" s="183"/>
    </row>
    <row r="159" s="20" customFormat="true" ht="12.75" hidden="false" customHeight="true" outlineLevel="0" collapsed="false">
      <c r="B159" s="120" t="s">
        <v>79</v>
      </c>
      <c r="C159" s="120"/>
      <c r="D159" s="120"/>
      <c r="E159" s="120"/>
      <c r="F159" s="120"/>
      <c r="G159" s="169" t="n">
        <f aca="false">ROUND(G157+G135,2)</f>
        <v>0</v>
      </c>
    </row>
    <row r="160" s="17" customFormat="true" ht="9.75" hidden="false" customHeight="true" outlineLevel="0" collapsed="false">
      <c r="F160" s="170"/>
      <c r="G160" s="170"/>
    </row>
    <row r="161" s="20" customFormat="true" ht="12.75" hidden="false" customHeight="true" outlineLevel="0" collapsed="false">
      <c r="B161" s="120" t="s">
        <v>80</v>
      </c>
      <c r="C161" s="120"/>
      <c r="D161" s="120"/>
      <c r="E161" s="120"/>
      <c r="F161" s="120"/>
      <c r="G161" s="120"/>
    </row>
    <row r="162" s="24" customFormat="true" ht="12.75" hidden="false" customHeight="false" outlineLevel="1" collapsed="false">
      <c r="B162" s="121" t="s">
        <v>38</v>
      </c>
      <c r="C162" s="184"/>
      <c r="D162" s="95" t="s">
        <v>39</v>
      </c>
      <c r="E162" s="95" t="s">
        <v>40</v>
      </c>
      <c r="F162" s="185" t="s">
        <v>41</v>
      </c>
      <c r="G162" s="95" t="s">
        <v>42</v>
      </c>
    </row>
    <row r="163" s="20" customFormat="true" ht="12.75" hidden="false" customHeight="true" outlineLevel="1" collapsed="false">
      <c r="B163" s="96" t="s">
        <v>71</v>
      </c>
      <c r="C163" s="125"/>
      <c r="D163" s="126" t="s">
        <v>44</v>
      </c>
      <c r="E163" s="127" t="n">
        <v>1</v>
      </c>
      <c r="F163" s="171" t="n">
        <f aca="false">G61</f>
        <v>0</v>
      </c>
      <c r="G163" s="186" t="n">
        <f aca="false">ROUND(E163*F163,2)</f>
        <v>0</v>
      </c>
    </row>
    <row r="164" s="20" customFormat="true" ht="12.75" hidden="false" customHeight="true" outlineLevel="1" collapsed="false">
      <c r="B164" s="102" t="s">
        <v>72</v>
      </c>
      <c r="C164" s="130"/>
      <c r="D164" s="131" t="s">
        <v>44</v>
      </c>
      <c r="E164" s="135" t="n">
        <v>1</v>
      </c>
      <c r="F164" s="133" t="n">
        <f aca="false">G62</f>
        <v>0</v>
      </c>
      <c r="G164" s="187"/>
    </row>
    <row r="165" s="20" customFormat="true" ht="12.75" hidden="false" customHeight="true" outlineLevel="1" collapsed="false">
      <c r="B165" s="102" t="s">
        <v>73</v>
      </c>
      <c r="C165" s="130"/>
      <c r="D165" s="131" t="s">
        <v>46</v>
      </c>
      <c r="E165" s="162" t="n">
        <v>0</v>
      </c>
      <c r="F165" s="133" t="n">
        <f aca="false">F163/Leia!E19*2</f>
        <v>0</v>
      </c>
      <c r="G165" s="187" t="n">
        <f aca="false">ROUND(E165*F165,2)</f>
        <v>0</v>
      </c>
    </row>
    <row r="166" s="20" customFormat="true" ht="12.75" hidden="false" customHeight="true" outlineLevel="1" collapsed="false">
      <c r="B166" s="102" t="s">
        <v>47</v>
      </c>
      <c r="C166" s="130"/>
      <c r="D166" s="131" t="s">
        <v>46</v>
      </c>
      <c r="E166" s="162" t="n">
        <v>0</v>
      </c>
      <c r="F166" s="133" t="n">
        <f aca="false">F163/Leia!E19*1.5</f>
        <v>0</v>
      </c>
      <c r="G166" s="187" t="n">
        <f aca="false">ROUND(E166*F166,2)</f>
        <v>0</v>
      </c>
    </row>
    <row r="167" s="20" customFormat="true" ht="25.5" hidden="false" customHeight="true" outlineLevel="1" collapsed="false">
      <c r="B167" s="134" t="s">
        <v>81</v>
      </c>
      <c r="C167" s="134" t="s">
        <v>49</v>
      </c>
      <c r="D167" s="131" t="s">
        <v>49</v>
      </c>
      <c r="E167" s="131"/>
      <c r="F167" s="187" t="n">
        <f aca="false">63/302*(SUM(G165:G166))</f>
        <v>0</v>
      </c>
      <c r="G167" s="187" t="n">
        <f aca="false">F167</f>
        <v>0</v>
      </c>
    </row>
    <row r="168" s="20" customFormat="true" ht="12.75" hidden="false" customHeight="true" outlineLevel="1" collapsed="false">
      <c r="B168" s="102" t="s">
        <v>74</v>
      </c>
      <c r="C168" s="130"/>
      <c r="D168" s="131"/>
      <c r="E168" s="188"/>
      <c r="F168" s="187"/>
      <c r="G168" s="187"/>
    </row>
    <row r="169" s="20" customFormat="true" ht="12.75" hidden="false" customHeight="true" outlineLevel="1" collapsed="false">
      <c r="B169" s="102" t="s">
        <v>51</v>
      </c>
      <c r="C169" s="130"/>
      <c r="D169" s="131" t="s">
        <v>17</v>
      </c>
      <c r="E169" s="136" t="n">
        <f aca="false">F61</f>
        <v>0</v>
      </c>
      <c r="F169" s="187" t="n">
        <f aca="false">IF(E168=2,SUM(G163:G167),IF(E168=1,(SUM(G163:G167))*F164/F163,0))</f>
        <v>0</v>
      </c>
      <c r="G169" s="187" t="n">
        <f aca="false">ROUND(E169*F169,2)</f>
        <v>0</v>
      </c>
    </row>
    <row r="170" s="123" customFormat="true" ht="12.75" hidden="false" customHeight="true" outlineLevel="1" collapsed="false">
      <c r="B170" s="137" t="s">
        <v>52</v>
      </c>
      <c r="C170" s="138"/>
      <c r="D170" s="139"/>
      <c r="E170" s="140"/>
      <c r="F170" s="189"/>
      <c r="G170" s="189" t="n">
        <f aca="false">SUM(G163:G169)</f>
        <v>0</v>
      </c>
    </row>
    <row r="171" s="20" customFormat="true" ht="12.75" hidden="false" customHeight="true" outlineLevel="1" collapsed="false">
      <c r="B171" s="102" t="s">
        <v>53</v>
      </c>
      <c r="C171" s="130"/>
      <c r="D171" s="131" t="s">
        <v>17</v>
      </c>
      <c r="E171" s="142" t="n">
        <f aca="false">'Anexo B'!I57</f>
        <v>0</v>
      </c>
      <c r="F171" s="187" t="n">
        <f aca="false">G170</f>
        <v>0</v>
      </c>
      <c r="G171" s="187" t="n">
        <f aca="false">ROUND(F171*E171,2)</f>
        <v>0</v>
      </c>
    </row>
    <row r="172" s="123" customFormat="true" ht="12.75" hidden="false" customHeight="true" outlineLevel="1" collapsed="false">
      <c r="B172" s="137" t="s">
        <v>82</v>
      </c>
      <c r="C172" s="138"/>
      <c r="D172" s="139"/>
      <c r="E172" s="140"/>
      <c r="F172" s="189"/>
      <c r="G172" s="189" t="n">
        <f aca="false">G170+G171</f>
        <v>0</v>
      </c>
    </row>
    <row r="173" s="20" customFormat="true" ht="12.75" hidden="false" customHeight="true" outlineLevel="1" collapsed="false">
      <c r="B173" s="102" t="s">
        <v>55</v>
      </c>
      <c r="C173" s="130"/>
      <c r="D173" s="131" t="s">
        <v>56</v>
      </c>
      <c r="E173" s="190" t="n">
        <f aca="false">G41</f>
        <v>1</v>
      </c>
      <c r="F173" s="187" t="n">
        <f aca="false">G172</f>
        <v>0</v>
      </c>
      <c r="G173" s="187" t="n">
        <f aca="false">E173*F173</f>
        <v>0</v>
      </c>
    </row>
    <row r="174" s="20" customFormat="true" ht="12.75" hidden="false" customHeight="true" outlineLevel="1" collapsed="false">
      <c r="B174" s="108" t="s">
        <v>61</v>
      </c>
      <c r="C174" s="143"/>
      <c r="D174" s="144" t="s">
        <v>17</v>
      </c>
      <c r="E174" s="167" t="n">
        <f aca="false">D48</f>
        <v>1</v>
      </c>
      <c r="F174" s="146"/>
      <c r="G174" s="168"/>
    </row>
    <row r="175" s="20" customFormat="true" ht="4.5" hidden="false" customHeight="true" outlineLevel="1" collapsed="false">
      <c r="A175" s="18"/>
      <c r="D175" s="24"/>
      <c r="E175" s="182"/>
      <c r="F175" s="153"/>
      <c r="G175" s="183"/>
    </row>
    <row r="176" s="20" customFormat="true" ht="12.75" hidden="false" customHeight="true" outlineLevel="0" collapsed="false">
      <c r="B176" s="120" t="s">
        <v>83</v>
      </c>
      <c r="C176" s="120"/>
      <c r="D176" s="120"/>
      <c r="E176" s="120"/>
      <c r="F176" s="120"/>
      <c r="G176" s="169" t="n">
        <f aca="false">ROUND(G173*E174,2)</f>
        <v>0</v>
      </c>
    </row>
    <row r="177" s="114" customFormat="true" ht="9.75" hidden="false" customHeight="true" outlineLevel="0" collapsed="false">
      <c r="D177" s="191"/>
      <c r="E177" s="191"/>
      <c r="F177" s="192"/>
      <c r="G177" s="192"/>
    </row>
    <row r="178" s="20" customFormat="true" ht="12.75" hidden="false" customHeight="true" outlineLevel="0" collapsed="false">
      <c r="B178" s="120" t="s">
        <v>84</v>
      </c>
      <c r="C178" s="120"/>
      <c r="D178" s="120"/>
      <c r="E178" s="120"/>
      <c r="F178" s="120"/>
      <c r="G178" s="193"/>
    </row>
    <row r="179" s="24" customFormat="true" ht="27" hidden="false" customHeight="false" outlineLevel="1" collapsed="false">
      <c r="B179" s="121" t="s">
        <v>38</v>
      </c>
      <c r="C179" s="184"/>
      <c r="D179" s="95" t="s">
        <v>39</v>
      </c>
      <c r="E179" s="95" t="s">
        <v>40</v>
      </c>
      <c r="F179" s="185" t="s">
        <v>85</v>
      </c>
      <c r="G179" s="95" t="s">
        <v>86</v>
      </c>
    </row>
    <row r="180" s="20" customFormat="true" ht="12.75" hidden="false" customHeight="true" outlineLevel="1" collapsed="false">
      <c r="B180" s="194" t="s">
        <v>87</v>
      </c>
      <c r="C180" s="195"/>
      <c r="D180" s="126" t="s">
        <v>49</v>
      </c>
      <c r="E180" s="126" t="n">
        <v>1</v>
      </c>
      <c r="F180" s="101"/>
      <c r="G180" s="126"/>
    </row>
    <row r="181" s="20" customFormat="true" ht="12.75" hidden="false" customHeight="true" outlineLevel="1" collapsed="false">
      <c r="B181" s="196" t="s">
        <v>88</v>
      </c>
      <c r="C181" s="197"/>
      <c r="D181" s="131" t="s">
        <v>89</v>
      </c>
      <c r="E181" s="131" t="n">
        <f aca="false">Leia!E16</f>
        <v>26</v>
      </c>
      <c r="F181" s="198"/>
      <c r="G181" s="131"/>
    </row>
    <row r="182" s="20" customFormat="true" ht="12.75" hidden="false" customHeight="true" outlineLevel="1" collapsed="false">
      <c r="B182" s="196" t="s">
        <v>90</v>
      </c>
      <c r="C182" s="197"/>
      <c r="D182" s="131" t="s">
        <v>91</v>
      </c>
      <c r="E182" s="199" t="n">
        <f aca="false">(E181*2)*G39</f>
        <v>2184</v>
      </c>
      <c r="F182" s="198" t="n">
        <f aca="false">IF((G59*0.06)&gt;($E$181*2*$F$180),0,IFERROR((($E$181*2*$F$180)-(G59*0.06))/($E$181*2),"-"))</f>
        <v>0</v>
      </c>
      <c r="G182" s="133" t="n">
        <f aca="false">E182*F182</f>
        <v>0</v>
      </c>
    </row>
    <row r="183" s="20" customFormat="true" ht="12.75" hidden="false" customHeight="true" outlineLevel="1" collapsed="false">
      <c r="B183" s="196" t="s">
        <v>92</v>
      </c>
      <c r="C183" s="197"/>
      <c r="D183" s="131" t="s">
        <v>91</v>
      </c>
      <c r="E183" s="199" t="n">
        <f aca="false">(E181*2)*G40</f>
        <v>728</v>
      </c>
      <c r="F183" s="198" t="n">
        <f aca="false">IF((G60*0.06)&gt;($E$181*2*$F$180),0,IFERROR((($E$181*2*$F$180)-(G60*0.06))/($E$181*2),"-"))</f>
        <v>0</v>
      </c>
      <c r="G183" s="133" t="n">
        <f aca="false">E183*F183</f>
        <v>0</v>
      </c>
    </row>
    <row r="184" s="20" customFormat="true" ht="12.75" hidden="false" customHeight="true" outlineLevel="1" collapsed="false">
      <c r="B184" s="200" t="s">
        <v>34</v>
      </c>
      <c r="C184" s="201"/>
      <c r="D184" s="144" t="s">
        <v>91</v>
      </c>
      <c r="E184" s="202" t="n">
        <f aca="false">($E$181*2)*G41</f>
        <v>52</v>
      </c>
      <c r="F184" s="203" t="n">
        <f aca="false">IF((G61*0.06)&gt;($E$181*2*$F$180),0,IFERROR((($E$181*2*$F$180)-(G61*0.06))/($E$181*2),"-"))</f>
        <v>0</v>
      </c>
      <c r="G184" s="146" t="n">
        <f aca="false">E184*F184</f>
        <v>0</v>
      </c>
    </row>
    <row r="185" s="204" customFormat="true" ht="10.5" hidden="false" customHeight="true" outlineLevel="1" collapsed="false">
      <c r="A185" s="152"/>
      <c r="B185" s="204" t="s">
        <v>93</v>
      </c>
      <c r="D185" s="205"/>
      <c r="E185" s="206"/>
      <c r="F185" s="207"/>
      <c r="G185" s="208"/>
    </row>
    <row r="186" s="20" customFormat="true" ht="12.75" hidden="false" customHeight="true" outlineLevel="0" collapsed="false">
      <c r="B186" s="120" t="s">
        <v>94</v>
      </c>
      <c r="C186" s="120"/>
      <c r="D186" s="120"/>
      <c r="E186" s="120"/>
      <c r="F186" s="120"/>
      <c r="G186" s="169" t="n">
        <f aca="false">ROUND(SUM(G182:G184),2)</f>
        <v>0</v>
      </c>
    </row>
    <row r="187" s="17" customFormat="true" ht="9.75" hidden="false" customHeight="true" outlineLevel="0" collapsed="false">
      <c r="F187" s="170"/>
      <c r="G187" s="170"/>
    </row>
    <row r="188" s="17" customFormat="true" ht="7.5" hidden="false" customHeight="true" outlineLevel="1" collapsed="false">
      <c r="B188" s="209" t="s">
        <v>95</v>
      </c>
      <c r="C188" s="209"/>
      <c r="D188" s="209"/>
      <c r="E188" s="209"/>
      <c r="F188" s="209"/>
      <c r="G188" s="209"/>
    </row>
    <row r="189" s="17" customFormat="true" ht="12.75" hidden="false" customHeight="false" outlineLevel="1" collapsed="false">
      <c r="B189" s="209"/>
      <c r="C189" s="209"/>
      <c r="D189" s="209"/>
      <c r="E189" s="209"/>
      <c r="F189" s="209"/>
      <c r="G189" s="209"/>
    </row>
    <row r="190" s="20" customFormat="true" ht="12.75" hidden="false" customHeight="true" outlineLevel="1" collapsed="false">
      <c r="B190" s="91" t="s">
        <v>29</v>
      </c>
      <c r="C190" s="124"/>
      <c r="D190" s="122" t="s">
        <v>39</v>
      </c>
      <c r="E190" s="95" t="s">
        <v>96</v>
      </c>
      <c r="F190" s="122" t="s">
        <v>39</v>
      </c>
      <c r="G190" s="95" t="s">
        <v>41</v>
      </c>
    </row>
    <row r="191" s="20" customFormat="true" ht="12.75" hidden="false" customHeight="true" outlineLevel="1" collapsed="false">
      <c r="B191" s="210" t="s">
        <v>97</v>
      </c>
      <c r="C191" s="210"/>
      <c r="D191" s="211" t="s">
        <v>17</v>
      </c>
      <c r="E191" s="212" t="n">
        <v>0.2</v>
      </c>
      <c r="F191" s="211" t="s">
        <v>49</v>
      </c>
      <c r="G191" s="101"/>
    </row>
    <row r="192" s="20" customFormat="true" ht="15" hidden="false" customHeight="true" outlineLevel="1" collapsed="false">
      <c r="B192" s="134" t="s">
        <v>98</v>
      </c>
      <c r="C192" s="134"/>
      <c r="D192" s="213" t="s">
        <v>17</v>
      </c>
      <c r="E192" s="214" t="n">
        <v>0.19</v>
      </c>
      <c r="F192" s="213" t="s">
        <v>49</v>
      </c>
      <c r="G192" s="107"/>
    </row>
    <row r="193" s="20" customFormat="true" ht="12.75" hidden="false" customHeight="true" outlineLevel="1" collapsed="false">
      <c r="B193" s="215" t="s">
        <v>99</v>
      </c>
      <c r="C193" s="215"/>
      <c r="D193" s="216" t="s">
        <v>17</v>
      </c>
      <c r="E193" s="217" t="n">
        <v>0.2</v>
      </c>
      <c r="F193" s="216" t="s">
        <v>49</v>
      </c>
      <c r="G193" s="113"/>
    </row>
    <row r="194" s="20" customFormat="true" ht="9.75" hidden="false" customHeight="true" outlineLevel="0" collapsed="false">
      <c r="F194" s="59"/>
      <c r="G194" s="59"/>
    </row>
    <row r="195" s="20" customFormat="true" ht="12.75" hidden="false" customHeight="true" outlineLevel="0" collapsed="false">
      <c r="B195" s="120" t="s">
        <v>100</v>
      </c>
      <c r="C195" s="120"/>
      <c r="D195" s="120"/>
      <c r="E195" s="120"/>
      <c r="F195" s="120"/>
      <c r="G195" s="193"/>
    </row>
    <row r="196" s="24" customFormat="true" ht="27" hidden="false" customHeight="false" outlineLevel="1" collapsed="false">
      <c r="B196" s="121" t="s">
        <v>38</v>
      </c>
      <c r="C196" s="184"/>
      <c r="D196" s="95" t="s">
        <v>39</v>
      </c>
      <c r="E196" s="95" t="s">
        <v>40</v>
      </c>
      <c r="F196" s="185" t="s">
        <v>101</v>
      </c>
      <c r="G196" s="95" t="s">
        <v>86</v>
      </c>
    </row>
    <row r="197" s="20" customFormat="true" ht="12.75" hidden="false" customHeight="true" outlineLevel="1" collapsed="false">
      <c r="B197" s="194" t="s">
        <v>90</v>
      </c>
      <c r="C197" s="99"/>
      <c r="D197" s="126" t="s">
        <v>91</v>
      </c>
      <c r="E197" s="218" t="n">
        <f aca="false">E181*G39</f>
        <v>1092</v>
      </c>
      <c r="F197" s="219" t="n">
        <f aca="false">G192*(1-E192)</f>
        <v>0</v>
      </c>
      <c r="G197" s="129" t="n">
        <f aca="false">E197*F197</f>
        <v>0</v>
      </c>
    </row>
    <row r="198" s="20" customFormat="true" ht="12.75" hidden="false" customHeight="true" outlineLevel="1" collapsed="false">
      <c r="B198" s="196" t="s">
        <v>92</v>
      </c>
      <c r="C198" s="105"/>
      <c r="D198" s="131" t="s">
        <v>91</v>
      </c>
      <c r="E198" s="199" t="n">
        <f aca="false">$E$181*G40</f>
        <v>364</v>
      </c>
      <c r="F198" s="198" t="n">
        <f aca="false">G191*(1-E191)</f>
        <v>0</v>
      </c>
      <c r="G198" s="133" t="n">
        <f aca="false">E198*F198</f>
        <v>0</v>
      </c>
    </row>
    <row r="199" s="20" customFormat="true" ht="12.75" hidden="false" customHeight="true" outlineLevel="1" collapsed="false">
      <c r="B199" s="200" t="s">
        <v>34</v>
      </c>
      <c r="C199" s="111"/>
      <c r="D199" s="144" t="s">
        <v>91</v>
      </c>
      <c r="E199" s="202" t="n">
        <f aca="false">$E$181*G41</f>
        <v>26</v>
      </c>
      <c r="F199" s="203" t="n">
        <f aca="false">$G$192*(1-$E$192)</f>
        <v>0</v>
      </c>
      <c r="G199" s="146" t="n">
        <f aca="false">E199*F199</f>
        <v>0</v>
      </c>
    </row>
    <row r="200" s="204" customFormat="true" ht="12.75" hidden="false" customHeight="false" outlineLevel="1" collapsed="false">
      <c r="B200" s="204" t="s">
        <v>102</v>
      </c>
      <c r="D200" s="205"/>
      <c r="E200" s="206"/>
      <c r="F200" s="207"/>
      <c r="G200" s="208"/>
    </row>
    <row r="201" s="20" customFormat="true" ht="12.75" hidden="false" customHeight="true" outlineLevel="0" collapsed="false">
      <c r="B201" s="120" t="s">
        <v>94</v>
      </c>
      <c r="C201" s="120"/>
      <c r="D201" s="120"/>
      <c r="E201" s="120"/>
      <c r="F201" s="120"/>
      <c r="G201" s="169" t="n">
        <f aca="false">ROUND(SUM(G197:G199),2)</f>
        <v>0</v>
      </c>
    </row>
    <row r="202" s="17" customFormat="true" ht="4.5" hidden="false" customHeight="true" outlineLevel="0" collapsed="false">
      <c r="F202" s="170"/>
      <c r="G202" s="170"/>
    </row>
    <row r="203" s="20" customFormat="true" ht="12.75" hidden="false" customHeight="true" outlineLevel="0" collapsed="false">
      <c r="B203" s="120" t="s">
        <v>103</v>
      </c>
      <c r="C203" s="120"/>
      <c r="D203" s="120"/>
      <c r="E203" s="120"/>
      <c r="F203" s="120"/>
      <c r="G203" s="193"/>
    </row>
    <row r="204" s="24" customFormat="true" ht="14.25" hidden="false" customHeight="false" outlineLevel="1" collapsed="false">
      <c r="B204" s="121" t="s">
        <v>38</v>
      </c>
      <c r="C204" s="184"/>
      <c r="D204" s="95" t="s">
        <v>39</v>
      </c>
      <c r="E204" s="95" t="s">
        <v>40</v>
      </c>
      <c r="F204" s="220" t="s">
        <v>104</v>
      </c>
      <c r="G204" s="95" t="s">
        <v>86</v>
      </c>
    </row>
    <row r="205" s="20" customFormat="true" ht="12.75" hidden="false" customHeight="true" outlineLevel="1" collapsed="false">
      <c r="B205" s="194" t="s">
        <v>90</v>
      </c>
      <c r="C205" s="125"/>
      <c r="D205" s="126" t="s">
        <v>105</v>
      </c>
      <c r="E205" s="218"/>
      <c r="F205" s="221"/>
      <c r="G205" s="186" t="n">
        <f aca="false">E205*F205</f>
        <v>0</v>
      </c>
    </row>
    <row r="206" s="20" customFormat="true" ht="12.75" hidden="false" customHeight="true" outlineLevel="1" collapsed="false">
      <c r="B206" s="196" t="s">
        <v>92</v>
      </c>
      <c r="C206" s="130"/>
      <c r="D206" s="131" t="s">
        <v>105</v>
      </c>
      <c r="E206" s="199" t="n">
        <f aca="false">G40</f>
        <v>14</v>
      </c>
      <c r="F206" s="107" t="n">
        <f aca="false">G193</f>
        <v>0</v>
      </c>
      <c r="G206" s="187" t="n">
        <f aca="false">E206*F206</f>
        <v>0</v>
      </c>
    </row>
    <row r="207" s="20" customFormat="true" ht="12.75" hidden="false" customHeight="true" outlineLevel="1" collapsed="false">
      <c r="B207" s="200" t="s">
        <v>34</v>
      </c>
      <c r="C207" s="143"/>
      <c r="D207" s="144" t="s">
        <v>105</v>
      </c>
      <c r="E207" s="144"/>
      <c r="F207" s="222"/>
      <c r="G207" s="223" t="n">
        <f aca="false">E207*F207</f>
        <v>0</v>
      </c>
    </row>
    <row r="208" s="204" customFormat="true" ht="12.75" hidden="false" customHeight="false" outlineLevel="1" collapsed="false">
      <c r="B208" s="204" t="s">
        <v>106</v>
      </c>
      <c r="D208" s="205"/>
      <c r="E208" s="206"/>
      <c r="F208" s="207"/>
      <c r="G208" s="208"/>
    </row>
    <row r="209" s="20" customFormat="true" ht="12.75" hidden="false" customHeight="true" outlineLevel="0" collapsed="false">
      <c r="B209" s="120" t="s">
        <v>94</v>
      </c>
      <c r="C209" s="120"/>
      <c r="D209" s="120"/>
      <c r="E209" s="120"/>
      <c r="F209" s="120"/>
      <c r="G209" s="169" t="n">
        <f aca="false">ROUND(SUM(G205:G207),2)</f>
        <v>0</v>
      </c>
    </row>
    <row r="210" s="17" customFormat="true" ht="9.75" hidden="false" customHeight="true" outlineLevel="0" collapsed="false">
      <c r="F210" s="170"/>
      <c r="G210" s="170"/>
    </row>
    <row r="211" s="20" customFormat="true" ht="12.75" hidden="false" customHeight="true" outlineLevel="0" collapsed="false">
      <c r="B211" s="120" t="s">
        <v>107</v>
      </c>
      <c r="C211" s="120"/>
      <c r="D211" s="120"/>
      <c r="E211" s="120"/>
      <c r="F211" s="120"/>
      <c r="G211" s="193"/>
    </row>
    <row r="212" s="24" customFormat="true" ht="12.75" hidden="false" customHeight="false" outlineLevel="1" collapsed="false">
      <c r="B212" s="121" t="s">
        <v>38</v>
      </c>
      <c r="C212" s="184"/>
      <c r="D212" s="95" t="s">
        <v>39</v>
      </c>
      <c r="E212" s="95" t="s">
        <v>40</v>
      </c>
      <c r="F212" s="185" t="s">
        <v>41</v>
      </c>
      <c r="G212" s="95" t="s">
        <v>86</v>
      </c>
    </row>
    <row r="213" s="20" customFormat="true" ht="12.75" hidden="false" customHeight="true" outlineLevel="1" collapsed="false">
      <c r="B213" s="224" t="s">
        <v>108</v>
      </c>
      <c r="C213" s="225"/>
      <c r="D213" s="225"/>
      <c r="E213" s="225"/>
      <c r="F213" s="225"/>
      <c r="G213" s="226"/>
    </row>
    <row r="214" s="20" customFormat="true" ht="12.75" hidden="false" customHeight="true" outlineLevel="1" collapsed="false">
      <c r="B214" s="227" t="s">
        <v>109</v>
      </c>
      <c r="C214" s="227"/>
      <c r="D214" s="144" t="s">
        <v>110</v>
      </c>
      <c r="E214" s="202" t="n">
        <f aca="false">G39+G41</f>
        <v>43</v>
      </c>
      <c r="F214" s="113"/>
      <c r="G214" s="146" t="n">
        <f aca="false">ROUND(E214*F214,2)</f>
        <v>0</v>
      </c>
    </row>
    <row r="215" s="20" customFormat="true" ht="12.75" hidden="false" customHeight="true" outlineLevel="1" collapsed="false">
      <c r="B215" s="224" t="s">
        <v>111</v>
      </c>
      <c r="C215" s="228"/>
      <c r="D215" s="229"/>
      <c r="E215" s="230"/>
      <c r="F215" s="231"/>
      <c r="G215" s="232"/>
    </row>
    <row r="216" s="20" customFormat="true" ht="12.75" hidden="false" customHeight="true" outlineLevel="1" collapsed="false">
      <c r="B216" s="227" t="s">
        <v>109</v>
      </c>
      <c r="C216" s="227"/>
      <c r="D216" s="144" t="s">
        <v>110</v>
      </c>
      <c r="E216" s="202" t="n">
        <f aca="false">G41+G39</f>
        <v>43</v>
      </c>
      <c r="F216" s="113"/>
      <c r="G216" s="146" t="n">
        <f aca="false">ROUND(E216*F216,2)</f>
        <v>0</v>
      </c>
    </row>
    <row r="217" s="20" customFormat="true" ht="12.75" hidden="false" customHeight="true" outlineLevel="1" collapsed="false">
      <c r="B217" s="224" t="s">
        <v>112</v>
      </c>
      <c r="C217" s="228"/>
      <c r="D217" s="229"/>
      <c r="E217" s="230"/>
      <c r="F217" s="231"/>
      <c r="G217" s="232"/>
    </row>
    <row r="218" s="20" customFormat="true" ht="12.75" hidden="false" customHeight="true" outlineLevel="1" collapsed="false">
      <c r="B218" s="227" t="s">
        <v>109</v>
      </c>
      <c r="C218" s="227"/>
      <c r="D218" s="144" t="s">
        <v>110</v>
      </c>
      <c r="E218" s="202" t="n">
        <f aca="false">G39+G41</f>
        <v>43</v>
      </c>
      <c r="F218" s="113"/>
      <c r="G218" s="146" t="n">
        <f aca="false">ROUND(E218*F218,2)</f>
        <v>0</v>
      </c>
    </row>
    <row r="219" s="20" customFormat="true" ht="12.75" hidden="false" customHeight="true" outlineLevel="1" collapsed="false">
      <c r="B219" s="224" t="s">
        <v>113</v>
      </c>
      <c r="C219" s="231"/>
      <c r="D219" s="231"/>
      <c r="E219" s="231"/>
      <c r="F219" s="231"/>
      <c r="G219" s="233"/>
    </row>
    <row r="220" s="20" customFormat="true" ht="12.75" hidden="false" customHeight="true" outlineLevel="1" collapsed="false">
      <c r="B220" s="200" t="s">
        <v>114</v>
      </c>
      <c r="C220" s="234"/>
      <c r="D220" s="144" t="s">
        <v>115</v>
      </c>
      <c r="E220" s="202" t="n">
        <f aca="false">G40</f>
        <v>14</v>
      </c>
      <c r="F220" s="113"/>
      <c r="G220" s="146" t="n">
        <f aca="false">ROUND(E220*F220,2)</f>
        <v>0</v>
      </c>
    </row>
    <row r="221" s="20" customFormat="true" ht="12.75" hidden="false" customHeight="true" outlineLevel="1" collapsed="false">
      <c r="B221" s="224" t="s">
        <v>116</v>
      </c>
      <c r="C221" s="231"/>
      <c r="D221" s="231"/>
      <c r="E221" s="231"/>
      <c r="F221" s="231"/>
      <c r="G221" s="233"/>
    </row>
    <row r="222" s="20" customFormat="true" ht="12.75" hidden="false" customHeight="true" outlineLevel="1" collapsed="false">
      <c r="B222" s="200" t="s">
        <v>114</v>
      </c>
      <c r="C222" s="234"/>
      <c r="D222" s="144" t="s">
        <v>110</v>
      </c>
      <c r="E222" s="202" t="n">
        <f aca="false">G40</f>
        <v>14</v>
      </c>
      <c r="F222" s="113"/>
      <c r="G222" s="146" t="n">
        <f aca="false">ROUND(E222*F222,2)</f>
        <v>0</v>
      </c>
    </row>
    <row r="223" s="17" customFormat="true" ht="12.75" hidden="false" customHeight="true" outlineLevel="1" collapsed="false">
      <c r="B223" s="204"/>
      <c r="C223" s="20"/>
      <c r="D223" s="20"/>
      <c r="E223" s="20"/>
      <c r="F223" s="20"/>
      <c r="G223" s="20"/>
    </row>
    <row r="224" s="20" customFormat="true" ht="12.75" hidden="false" customHeight="true" outlineLevel="0" collapsed="false">
      <c r="B224" s="120" t="s">
        <v>94</v>
      </c>
      <c r="C224" s="120"/>
      <c r="D224" s="120"/>
      <c r="E224" s="120"/>
      <c r="F224" s="120"/>
      <c r="G224" s="169" t="n">
        <f aca="false">ROUND(SUM(G214:G222),2)</f>
        <v>0</v>
      </c>
    </row>
    <row r="225" s="17" customFormat="true" ht="9.75" hidden="false" customHeight="true" outlineLevel="0" collapsed="false">
      <c r="F225" s="170"/>
      <c r="G225" s="170"/>
    </row>
    <row r="226" s="20" customFormat="true" ht="12.75" hidden="false" customHeight="true" outlineLevel="0" collapsed="false">
      <c r="B226" s="88" t="s">
        <v>117</v>
      </c>
      <c r="C226" s="89"/>
      <c r="D226" s="89"/>
      <c r="E226" s="89"/>
      <c r="F226" s="89"/>
      <c r="G226" s="235" t="n">
        <f aca="false">ROUND(G109+G159+G176+G186+G201+G209+G224,2)</f>
        <v>0</v>
      </c>
    </row>
    <row r="227" customFormat="false" ht="9.75" hidden="false" customHeight="true" outlineLevel="0" collapsed="false"/>
    <row r="228" s="20" customFormat="true" ht="12.75" hidden="false" customHeight="true" outlineLevel="0" collapsed="false">
      <c r="B228" s="88" t="s">
        <v>118</v>
      </c>
      <c r="C228" s="89"/>
      <c r="D228" s="89"/>
      <c r="E228" s="89"/>
      <c r="F228" s="89"/>
      <c r="G228" s="236"/>
    </row>
    <row r="229" s="20" customFormat="true" ht="9.75" hidden="false" customHeight="true" outlineLevel="0" collapsed="false">
      <c r="B229" s="123"/>
    </row>
    <row r="230" s="20" customFormat="true" ht="12.75" hidden="false" customHeight="true" outlineLevel="0" collapsed="false">
      <c r="B230" s="120" t="s">
        <v>119</v>
      </c>
      <c r="C230" s="120"/>
      <c r="D230" s="120"/>
      <c r="E230" s="120"/>
      <c r="F230" s="120"/>
      <c r="G230" s="193"/>
    </row>
    <row r="231" s="20" customFormat="true" ht="25.5" hidden="false" customHeight="true" outlineLevel="1" collapsed="false">
      <c r="B231" s="95" t="s">
        <v>38</v>
      </c>
      <c r="C231" s="95" t="s">
        <v>39</v>
      </c>
      <c r="D231" s="122" t="s">
        <v>120</v>
      </c>
      <c r="E231" s="122" t="s">
        <v>121</v>
      </c>
      <c r="F231" s="237" t="s">
        <v>122</v>
      </c>
      <c r="G231" s="95" t="s">
        <v>86</v>
      </c>
    </row>
    <row r="232" s="20" customFormat="true" ht="12.75" hidden="false" customHeight="true" outlineLevel="1" collapsed="false">
      <c r="A232" s="18"/>
      <c r="B232" s="91" t="s">
        <v>123</v>
      </c>
      <c r="C232" s="92"/>
      <c r="D232" s="92"/>
      <c r="E232" s="92"/>
      <c r="F232" s="92"/>
      <c r="G232" s="124"/>
    </row>
    <row r="233" s="20" customFormat="true" ht="12.75" hidden="false" customHeight="true" outlineLevel="1" collapsed="false">
      <c r="A233" s="18"/>
      <c r="B233" s="238" t="s">
        <v>124</v>
      </c>
      <c r="C233" s="126" t="s">
        <v>125</v>
      </c>
      <c r="D233" s="239" t="n">
        <v>4</v>
      </c>
      <c r="E233" s="239" t="n">
        <f aca="false">G39</f>
        <v>42</v>
      </c>
      <c r="F233" s="101"/>
      <c r="G233" s="186" t="n">
        <f aca="false">ROUND(E233*D233*F233,2)</f>
        <v>0</v>
      </c>
    </row>
    <row r="234" s="20" customFormat="true" ht="52.5" hidden="false" customHeight="true" outlineLevel="1" collapsed="false">
      <c r="A234" s="18"/>
      <c r="B234" s="240" t="s">
        <v>126</v>
      </c>
      <c r="C234" s="131" t="s">
        <v>125</v>
      </c>
      <c r="D234" s="241" t="n">
        <v>4</v>
      </c>
      <c r="E234" s="241" t="n">
        <f aca="false">G39</f>
        <v>42</v>
      </c>
      <c r="F234" s="107"/>
      <c r="G234" s="187" t="n">
        <f aca="false">ROUND(E234*D234*F234,2)</f>
        <v>0</v>
      </c>
    </row>
    <row r="235" s="20" customFormat="true" ht="12.75" hidden="false" customHeight="true" outlineLevel="1" collapsed="false">
      <c r="A235" s="18"/>
      <c r="B235" s="242" t="s">
        <v>127</v>
      </c>
      <c r="C235" s="144" t="s">
        <v>128</v>
      </c>
      <c r="D235" s="243" t="n">
        <v>8</v>
      </c>
      <c r="E235" s="243" t="n">
        <f aca="false">G39</f>
        <v>42</v>
      </c>
      <c r="F235" s="113"/>
      <c r="G235" s="223" t="n">
        <f aca="false">ROUND(E235*D235*F235,2)</f>
        <v>0</v>
      </c>
    </row>
    <row r="236" s="20" customFormat="true" ht="12.75" hidden="false" customHeight="true" outlineLevel="1" collapsed="false">
      <c r="A236" s="18"/>
      <c r="B236" s="244" t="s">
        <v>129</v>
      </c>
      <c r="C236" s="245"/>
      <c r="D236" s="245"/>
      <c r="E236" s="245"/>
      <c r="F236" s="245"/>
      <c r="G236" s="246" t="n">
        <f aca="false">SUM(G233:G235)</f>
        <v>0</v>
      </c>
    </row>
    <row r="237" s="20" customFormat="true" ht="12.75" hidden="false" customHeight="true" outlineLevel="1" collapsed="false">
      <c r="A237" s="18"/>
      <c r="B237" s="108" t="s">
        <v>130</v>
      </c>
      <c r="C237" s="109"/>
      <c r="D237" s="109"/>
      <c r="E237" s="109"/>
      <c r="F237" s="109"/>
      <c r="G237" s="247" t="n">
        <f aca="false">ROUND(G236/12,2)</f>
        <v>0</v>
      </c>
    </row>
    <row r="238" s="20" customFormat="true" ht="9.75" hidden="false" customHeight="true" outlineLevel="1" collapsed="false">
      <c r="A238" s="18"/>
      <c r="B238" s="248"/>
      <c r="C238" s="248"/>
      <c r="D238" s="248"/>
      <c r="E238" s="248"/>
      <c r="F238" s="248"/>
      <c r="G238" s="248"/>
    </row>
    <row r="239" s="20" customFormat="true" ht="12.75" hidden="false" customHeight="true" outlineLevel="1" collapsed="false">
      <c r="B239" s="91" t="s">
        <v>131</v>
      </c>
      <c r="C239" s="92"/>
      <c r="D239" s="92"/>
      <c r="E239" s="92"/>
      <c r="F239" s="92"/>
      <c r="G239" s="124"/>
    </row>
    <row r="240" s="20" customFormat="true" ht="12.75" hidden="false" customHeight="true" outlineLevel="1" collapsed="false">
      <c r="A240" s="18"/>
      <c r="B240" s="238" t="s">
        <v>124</v>
      </c>
      <c r="C240" s="126" t="s">
        <v>125</v>
      </c>
      <c r="D240" s="239" t="n">
        <v>4</v>
      </c>
      <c r="E240" s="239" t="n">
        <f aca="false">G40+G41</f>
        <v>15</v>
      </c>
      <c r="F240" s="101"/>
      <c r="G240" s="186" t="n">
        <f aca="false">ROUND(E240*D240*F240,2)</f>
        <v>0</v>
      </c>
    </row>
    <row r="241" s="20" customFormat="true" ht="52.5" hidden="false" customHeight="true" outlineLevel="1" collapsed="false">
      <c r="A241" s="18"/>
      <c r="B241" s="240" t="s">
        <v>126</v>
      </c>
      <c r="C241" s="131" t="s">
        <v>125</v>
      </c>
      <c r="D241" s="241" t="n">
        <v>4</v>
      </c>
      <c r="E241" s="241" t="n">
        <f aca="false">E240</f>
        <v>15</v>
      </c>
      <c r="F241" s="107"/>
      <c r="G241" s="187" t="n">
        <f aca="false">ROUND(E241*D241*F241,2)</f>
        <v>0</v>
      </c>
    </row>
    <row r="242" s="20" customFormat="true" ht="12.75" hidden="false" customHeight="true" outlineLevel="1" collapsed="false">
      <c r="A242" s="18"/>
      <c r="B242" s="242" t="s">
        <v>127</v>
      </c>
      <c r="C242" s="144" t="s">
        <v>128</v>
      </c>
      <c r="D242" s="243" t="n">
        <v>4</v>
      </c>
      <c r="E242" s="243" t="n">
        <f aca="false">E240</f>
        <v>15</v>
      </c>
      <c r="F242" s="113"/>
      <c r="G242" s="223" t="n">
        <f aca="false">ROUND(E242*D242*F242,2)</f>
        <v>0</v>
      </c>
    </row>
    <row r="243" s="20" customFormat="true" ht="12.75" hidden="false" customHeight="true" outlineLevel="1" collapsed="false">
      <c r="A243" s="18"/>
      <c r="B243" s="102" t="s">
        <v>129</v>
      </c>
      <c r="C243" s="103"/>
      <c r="D243" s="103"/>
      <c r="E243" s="103"/>
      <c r="F243" s="103"/>
      <c r="G243" s="249" t="n">
        <f aca="false">SUM(G240:G242)</f>
        <v>0</v>
      </c>
    </row>
    <row r="244" s="20" customFormat="true" ht="12.75" hidden="false" customHeight="true" outlineLevel="1" collapsed="false">
      <c r="A244" s="18"/>
      <c r="B244" s="108" t="s">
        <v>132</v>
      </c>
      <c r="C244" s="109"/>
      <c r="D244" s="109"/>
      <c r="E244" s="109"/>
      <c r="F244" s="109"/>
      <c r="G244" s="247" t="n">
        <f aca="false">ROUND(G243/12,2)</f>
        <v>0</v>
      </c>
    </row>
    <row r="245" s="20" customFormat="true" ht="4.5" hidden="false" customHeight="true" outlineLevel="1" collapsed="false">
      <c r="A245" s="18"/>
      <c r="D245" s="24"/>
      <c r="E245" s="182"/>
      <c r="F245" s="153"/>
      <c r="G245" s="183"/>
    </row>
    <row r="246" s="20" customFormat="true" ht="12.75" hidden="false" customHeight="true" outlineLevel="0" collapsed="false">
      <c r="B246" s="120" t="s">
        <v>94</v>
      </c>
      <c r="C246" s="120"/>
      <c r="D246" s="120"/>
      <c r="E246" s="120"/>
      <c r="F246" s="120"/>
      <c r="G246" s="169" t="n">
        <f aca="false">ROUND(G244+G237,2)</f>
        <v>0</v>
      </c>
    </row>
    <row r="247" customFormat="false" ht="9.75" hidden="false" customHeight="true" outlineLevel="0" collapsed="false">
      <c r="G247" s="192"/>
    </row>
    <row r="248" s="20" customFormat="true" ht="12.75" hidden="false" customHeight="true" outlineLevel="0" collapsed="false">
      <c r="B248" s="120" t="s">
        <v>133</v>
      </c>
      <c r="C248" s="120"/>
      <c r="D248" s="120"/>
      <c r="E248" s="120"/>
      <c r="F248" s="120"/>
      <c r="G248" s="193"/>
    </row>
    <row r="249" s="20" customFormat="true" ht="25.5" hidden="false" customHeight="true" outlineLevel="1" collapsed="false">
      <c r="B249" s="95" t="s">
        <v>38</v>
      </c>
      <c r="C249" s="95" t="s">
        <v>39</v>
      </c>
      <c r="D249" s="122" t="s">
        <v>120</v>
      </c>
      <c r="E249" s="122" t="s">
        <v>121</v>
      </c>
      <c r="F249" s="237" t="s">
        <v>122</v>
      </c>
      <c r="G249" s="95" t="s">
        <v>86</v>
      </c>
    </row>
    <row r="250" s="20" customFormat="true" ht="12.75" hidden="false" customHeight="true" outlineLevel="1" collapsed="false">
      <c r="B250" s="91" t="s">
        <v>123</v>
      </c>
      <c r="C250" s="92"/>
      <c r="D250" s="92"/>
      <c r="E250" s="92"/>
      <c r="F250" s="92"/>
      <c r="G250" s="124"/>
    </row>
    <row r="251" s="20" customFormat="true" ht="48" hidden="false" customHeight="true" outlineLevel="1" collapsed="false">
      <c r="A251" s="18"/>
      <c r="B251" s="250" t="s">
        <v>134</v>
      </c>
      <c r="C251" s="126" t="s">
        <v>125</v>
      </c>
      <c r="D251" s="239" t="n">
        <v>2</v>
      </c>
      <c r="E251" s="251" t="n">
        <f aca="false">G39</f>
        <v>42</v>
      </c>
      <c r="F251" s="252"/>
      <c r="G251" s="186" t="n">
        <f aca="false">ROUND(D251*E251*F251,2)</f>
        <v>0</v>
      </c>
    </row>
    <row r="252" s="20" customFormat="true" ht="15" hidden="false" customHeight="false" outlineLevel="1" collapsed="false">
      <c r="A252" s="18"/>
      <c r="B252" s="240" t="s">
        <v>135</v>
      </c>
      <c r="C252" s="131" t="s">
        <v>128</v>
      </c>
      <c r="D252" s="241" t="n">
        <v>4</v>
      </c>
      <c r="E252" s="253" t="n">
        <f aca="false">G39</f>
        <v>42</v>
      </c>
      <c r="F252" s="254"/>
      <c r="G252" s="187" t="n">
        <f aca="false">ROUND(D252*E252*F252,2)</f>
        <v>0</v>
      </c>
    </row>
    <row r="253" s="20" customFormat="true" ht="12.75" hidden="false" customHeight="true" outlineLevel="1" collapsed="false">
      <c r="A253" s="18"/>
      <c r="B253" s="255" t="s">
        <v>136</v>
      </c>
      <c r="C253" s="131" t="s">
        <v>125</v>
      </c>
      <c r="D253" s="241" t="n">
        <v>8</v>
      </c>
      <c r="E253" s="253" t="n">
        <f aca="false">G39</f>
        <v>42</v>
      </c>
      <c r="F253" s="254"/>
      <c r="G253" s="187" t="n">
        <f aca="false">ROUND(D253*E253*F253,2)</f>
        <v>0</v>
      </c>
    </row>
    <row r="254" s="20" customFormat="true" ht="12.75" hidden="false" customHeight="true" outlineLevel="1" collapsed="false">
      <c r="A254" s="18"/>
      <c r="B254" s="255" t="s">
        <v>137</v>
      </c>
      <c r="C254" s="131" t="s">
        <v>125</v>
      </c>
      <c r="D254" s="241" t="n">
        <v>2</v>
      </c>
      <c r="E254" s="253" t="n">
        <f aca="false">G39</f>
        <v>42</v>
      </c>
      <c r="F254" s="254"/>
      <c r="G254" s="187" t="n">
        <f aca="false">ROUND(D254*E254*F254,2)</f>
        <v>0</v>
      </c>
    </row>
    <row r="255" s="20" customFormat="true" ht="12.75" hidden="false" customHeight="true" outlineLevel="1" collapsed="false">
      <c r="A255" s="18"/>
      <c r="B255" s="255" t="s">
        <v>138</v>
      </c>
      <c r="C255" s="131" t="s">
        <v>125</v>
      </c>
      <c r="D255" s="241" t="n">
        <v>2</v>
      </c>
      <c r="E255" s="241" t="n">
        <f aca="false">G39</f>
        <v>42</v>
      </c>
      <c r="F255" s="107"/>
      <c r="G255" s="187" t="n">
        <f aca="false">ROUND(D255*E255*F255,2)</f>
        <v>0</v>
      </c>
    </row>
    <row r="256" s="20" customFormat="true" ht="25.5" hidden="false" customHeight="false" outlineLevel="1" collapsed="false">
      <c r="A256" s="18"/>
      <c r="B256" s="240" t="s">
        <v>139</v>
      </c>
      <c r="C256" s="131" t="s">
        <v>125</v>
      </c>
      <c r="D256" s="241" t="n">
        <v>10</v>
      </c>
      <c r="E256" s="241" t="n">
        <f aca="false">G39</f>
        <v>42</v>
      </c>
      <c r="F256" s="107"/>
      <c r="G256" s="187" t="n">
        <f aca="false">ROUND(D256*E256*F256,2)</f>
        <v>0</v>
      </c>
    </row>
    <row r="257" s="20" customFormat="true" ht="38.25" hidden="false" customHeight="false" outlineLevel="1" collapsed="false">
      <c r="A257" s="18"/>
      <c r="B257" s="240" t="s">
        <v>140</v>
      </c>
      <c r="C257" s="131" t="s">
        <v>128</v>
      </c>
      <c r="D257" s="241" t="n">
        <v>10</v>
      </c>
      <c r="E257" s="241" t="n">
        <f aca="false">G39</f>
        <v>42</v>
      </c>
      <c r="F257" s="107"/>
      <c r="G257" s="187" t="n">
        <f aca="false">ROUND(D257*E257*F257,2)</f>
        <v>0</v>
      </c>
    </row>
    <row r="258" s="20" customFormat="true" ht="25.5" hidden="false" customHeight="false" outlineLevel="1" collapsed="false">
      <c r="A258" s="18"/>
      <c r="B258" s="256" t="s">
        <v>141</v>
      </c>
      <c r="C258" s="144" t="s">
        <v>125</v>
      </c>
      <c r="D258" s="243" t="n">
        <v>4</v>
      </c>
      <c r="E258" s="243" t="n">
        <f aca="false">G39</f>
        <v>42</v>
      </c>
      <c r="F258" s="113"/>
      <c r="G258" s="223" t="n">
        <f aca="false">ROUND(D258*E258*F258,2)</f>
        <v>0</v>
      </c>
    </row>
    <row r="259" s="20" customFormat="true" ht="12.75" hidden="false" customHeight="true" outlineLevel="1" collapsed="false">
      <c r="A259" s="18"/>
      <c r="B259" s="244" t="s">
        <v>129</v>
      </c>
      <c r="C259" s="245"/>
      <c r="D259" s="245"/>
      <c r="E259" s="245"/>
      <c r="F259" s="245"/>
      <c r="G259" s="246" t="n">
        <f aca="false">SUM(G251:G258)</f>
        <v>0</v>
      </c>
    </row>
    <row r="260" s="20" customFormat="true" ht="12.75" hidden="false" customHeight="true" outlineLevel="1" collapsed="false">
      <c r="A260" s="18"/>
      <c r="B260" s="108" t="s">
        <v>142</v>
      </c>
      <c r="C260" s="109"/>
      <c r="D260" s="109"/>
      <c r="E260" s="109"/>
      <c r="F260" s="109"/>
      <c r="G260" s="247" t="n">
        <f aca="false">ROUND(G259/12,2)</f>
        <v>0</v>
      </c>
    </row>
    <row r="261" s="20" customFormat="true" ht="22.5" hidden="false" customHeight="true" outlineLevel="1" collapsed="false">
      <c r="A261" s="18"/>
      <c r="B261" s="115" t="s">
        <v>143</v>
      </c>
      <c r="C261" s="115"/>
      <c r="D261" s="115"/>
      <c r="E261" s="115"/>
      <c r="F261" s="115"/>
      <c r="G261" s="115"/>
    </row>
    <row r="262" s="20" customFormat="true" ht="12" hidden="false" customHeight="true" outlineLevel="1" collapsed="false">
      <c r="A262" s="18"/>
      <c r="B262" s="115"/>
      <c r="C262" s="115"/>
      <c r="D262" s="115"/>
      <c r="E262" s="115"/>
      <c r="F262" s="115"/>
      <c r="G262" s="115"/>
    </row>
    <row r="263" s="20" customFormat="true" ht="21.75" hidden="false" customHeight="true" outlineLevel="1" collapsed="false">
      <c r="A263" s="18"/>
      <c r="B263" s="257" t="s">
        <v>144</v>
      </c>
      <c r="C263" s="257"/>
      <c r="D263" s="257"/>
      <c r="E263" s="257"/>
      <c r="F263" s="257"/>
      <c r="G263" s="257"/>
    </row>
    <row r="264" s="20" customFormat="true" ht="12.75" hidden="false" customHeight="true" outlineLevel="1" collapsed="false">
      <c r="B264" s="91" t="s">
        <v>145</v>
      </c>
      <c r="C264" s="92"/>
      <c r="D264" s="92"/>
      <c r="E264" s="92"/>
      <c r="F264" s="92"/>
      <c r="G264" s="124"/>
    </row>
    <row r="265" s="20" customFormat="true" ht="49.5" hidden="false" customHeight="true" outlineLevel="1" collapsed="false">
      <c r="A265" s="18"/>
      <c r="B265" s="250" t="s">
        <v>134</v>
      </c>
      <c r="C265" s="126" t="s">
        <v>125</v>
      </c>
      <c r="D265" s="239" t="n">
        <v>2</v>
      </c>
      <c r="E265" s="251" t="n">
        <f aca="false">G40+G41</f>
        <v>15</v>
      </c>
      <c r="F265" s="252"/>
      <c r="G265" s="186" t="n">
        <f aca="false">ROUND(D265*E265*F265,2)</f>
        <v>0</v>
      </c>
    </row>
    <row r="266" s="20" customFormat="true" ht="15" hidden="false" customHeight="false" outlineLevel="1" collapsed="false">
      <c r="A266" s="18"/>
      <c r="B266" s="240" t="s">
        <v>146</v>
      </c>
      <c r="C266" s="131" t="s">
        <v>128</v>
      </c>
      <c r="D266" s="241" t="n">
        <v>2</v>
      </c>
      <c r="E266" s="253" t="n">
        <f aca="false">G40+G41</f>
        <v>15</v>
      </c>
      <c r="F266" s="254"/>
      <c r="G266" s="187" t="n">
        <f aca="false">ROUND(D266*E266*F266,2)</f>
        <v>0</v>
      </c>
    </row>
    <row r="267" s="20" customFormat="true" ht="12.75" hidden="false" customHeight="true" outlineLevel="1" collapsed="false">
      <c r="A267" s="18"/>
      <c r="B267" s="255" t="s">
        <v>136</v>
      </c>
      <c r="C267" s="131" t="s">
        <v>125</v>
      </c>
      <c r="D267" s="241" t="n">
        <v>2</v>
      </c>
      <c r="E267" s="253" t="n">
        <f aca="false">G40+G41</f>
        <v>15</v>
      </c>
      <c r="F267" s="254"/>
      <c r="G267" s="187" t="n">
        <f aca="false">ROUND(D267*E267*F267,2)</f>
        <v>0</v>
      </c>
    </row>
    <row r="268" s="20" customFormat="true" ht="12.75" hidden="false" customHeight="true" outlineLevel="1" collapsed="false">
      <c r="A268" s="18"/>
      <c r="B268" s="255" t="s">
        <v>137</v>
      </c>
      <c r="C268" s="131" t="s">
        <v>125</v>
      </c>
      <c r="D268" s="241" t="n">
        <v>1</v>
      </c>
      <c r="E268" s="253" t="n">
        <f aca="false">G40+G41</f>
        <v>15</v>
      </c>
      <c r="F268" s="254"/>
      <c r="G268" s="187" t="n">
        <f aca="false">ROUND(D268*E268*F268,2)</f>
        <v>0</v>
      </c>
    </row>
    <row r="269" s="20" customFormat="true" ht="12.75" hidden="false" customHeight="true" outlineLevel="1" collapsed="false">
      <c r="A269" s="18"/>
      <c r="B269" s="255" t="s">
        <v>138</v>
      </c>
      <c r="C269" s="131" t="s">
        <v>125</v>
      </c>
      <c r="D269" s="241" t="n">
        <v>1</v>
      </c>
      <c r="E269" s="241" t="n">
        <f aca="false">G40+G41</f>
        <v>15</v>
      </c>
      <c r="F269" s="107"/>
      <c r="G269" s="187" t="n">
        <f aca="false">ROUND(D269*E269*F269,2)</f>
        <v>0</v>
      </c>
    </row>
    <row r="270" s="20" customFormat="true" ht="25.5" hidden="false" customHeight="false" outlineLevel="1" collapsed="false">
      <c r="A270" s="18"/>
      <c r="B270" s="240" t="s">
        <v>139</v>
      </c>
      <c r="C270" s="131" t="s">
        <v>125</v>
      </c>
      <c r="D270" s="241" t="n">
        <v>4</v>
      </c>
      <c r="E270" s="241" t="n">
        <f aca="false">E265</f>
        <v>15</v>
      </c>
      <c r="F270" s="107"/>
      <c r="G270" s="187" t="n">
        <f aca="false">ROUND(D270*E270*F270,2)</f>
        <v>0</v>
      </c>
    </row>
    <row r="271" s="20" customFormat="true" ht="38.25" hidden="false" customHeight="false" outlineLevel="1" collapsed="false">
      <c r="A271" s="18"/>
      <c r="B271" s="240" t="s">
        <v>140</v>
      </c>
      <c r="C271" s="131" t="s">
        <v>128</v>
      </c>
      <c r="D271" s="241" t="n">
        <v>2</v>
      </c>
      <c r="E271" s="241" t="n">
        <f aca="false">E265</f>
        <v>15</v>
      </c>
      <c r="F271" s="107"/>
      <c r="G271" s="187" t="n">
        <f aca="false">ROUND(D271*E271*F271,2)</f>
        <v>0</v>
      </c>
    </row>
    <row r="272" s="20" customFormat="true" ht="25.5" hidden="false" customHeight="false" outlineLevel="1" collapsed="false">
      <c r="A272" s="18"/>
      <c r="B272" s="256" t="s">
        <v>141</v>
      </c>
      <c r="C272" s="144" t="s">
        <v>125</v>
      </c>
      <c r="D272" s="243" t="n">
        <v>1</v>
      </c>
      <c r="E272" s="243" t="n">
        <f aca="false">G40+G41</f>
        <v>15</v>
      </c>
      <c r="F272" s="113"/>
      <c r="G272" s="223" t="n">
        <f aca="false">ROUND(D272*E272*F272,2)</f>
        <v>0</v>
      </c>
    </row>
    <row r="273" s="20" customFormat="true" ht="12.75" hidden="false" customHeight="true" outlineLevel="0" collapsed="false">
      <c r="B273" s="120" t="str">
        <f aca="false">B248</f>
        <v>2.2. Equipamentos de Proteção Individual - EPI's</v>
      </c>
      <c r="C273" s="120"/>
      <c r="D273" s="120"/>
      <c r="E273" s="120"/>
      <c r="F273" s="120"/>
      <c r="G273" s="193"/>
    </row>
    <row r="274" s="20" customFormat="true" ht="12.75" hidden="false" customHeight="true" outlineLevel="1" collapsed="false">
      <c r="B274" s="91" t="str">
        <f aca="false">B264</f>
        <v>14  Motoristas e  Encarregado/Gerente Operacional </v>
      </c>
      <c r="C274" s="92"/>
      <c r="D274" s="92"/>
      <c r="E274" s="92"/>
      <c r="F274" s="92"/>
      <c r="G274" s="124"/>
    </row>
    <row r="275" s="20" customFormat="true" ht="12.75" hidden="false" customHeight="true" outlineLevel="1" collapsed="false">
      <c r="A275" s="18"/>
      <c r="B275" s="102" t="s">
        <v>129</v>
      </c>
      <c r="C275" s="103"/>
      <c r="D275" s="103"/>
      <c r="E275" s="103"/>
      <c r="F275" s="103"/>
      <c r="G275" s="249" t="n">
        <f aca="false">SUM(G265:G272)</f>
        <v>0</v>
      </c>
    </row>
    <row r="276" s="20" customFormat="true" ht="12.75" hidden="false" customHeight="true" outlineLevel="1" collapsed="false">
      <c r="A276" s="18"/>
      <c r="B276" s="108" t="s">
        <v>147</v>
      </c>
      <c r="C276" s="109"/>
      <c r="D276" s="109"/>
      <c r="E276" s="109"/>
      <c r="F276" s="109"/>
      <c r="G276" s="247" t="n">
        <f aca="false">ROUND(G275/12,2)</f>
        <v>0</v>
      </c>
    </row>
    <row r="277" s="20" customFormat="true" ht="12.75" hidden="false" customHeight="true" outlineLevel="1" collapsed="false">
      <c r="A277" s="18"/>
      <c r="D277" s="24"/>
      <c r="E277" s="182"/>
      <c r="F277" s="153"/>
      <c r="G277" s="183"/>
    </row>
    <row r="278" s="20" customFormat="true" ht="12.75" hidden="false" customHeight="true" outlineLevel="0" collapsed="false">
      <c r="B278" s="120" t="s">
        <v>94</v>
      </c>
      <c r="C278" s="120"/>
      <c r="D278" s="120"/>
      <c r="E278" s="120"/>
      <c r="F278" s="120"/>
      <c r="G278" s="169" t="n">
        <f aca="false">ROUND(G276+G260,2)</f>
        <v>0</v>
      </c>
    </row>
    <row r="279" customFormat="false" ht="9.75" hidden="false" customHeight="true" outlineLevel="0" collapsed="false">
      <c r="B279" s="170"/>
      <c r="C279" s="170"/>
      <c r="D279" s="170"/>
      <c r="E279" s="170"/>
      <c r="F279" s="170"/>
      <c r="G279" s="170"/>
    </row>
    <row r="280" s="20" customFormat="true" ht="12.75" hidden="false" customHeight="true" outlineLevel="0" collapsed="false">
      <c r="B280" s="120" t="s">
        <v>148</v>
      </c>
      <c r="C280" s="120"/>
      <c r="D280" s="120"/>
      <c r="E280" s="120"/>
      <c r="F280" s="120"/>
      <c r="G280" s="193"/>
    </row>
    <row r="281" s="20" customFormat="true" ht="25.5" hidden="false" customHeight="true" outlineLevel="1" collapsed="false">
      <c r="B281" s="121" t="s">
        <v>38</v>
      </c>
      <c r="C281" s="122" t="s">
        <v>39</v>
      </c>
      <c r="D281" s="258" t="s">
        <v>149</v>
      </c>
      <c r="E281" s="122" t="s">
        <v>40</v>
      </c>
      <c r="F281" s="237" t="s">
        <v>122</v>
      </c>
      <c r="G281" s="95" t="s">
        <v>86</v>
      </c>
    </row>
    <row r="282" s="20" customFormat="true" ht="12.75" hidden="false" customHeight="true" outlineLevel="1" collapsed="false">
      <c r="A282" s="18"/>
      <c r="B282" s="259" t="s">
        <v>150</v>
      </c>
      <c r="C282" s="126" t="s">
        <v>125</v>
      </c>
      <c r="D282" s="260" t="n">
        <v>2</v>
      </c>
      <c r="E282" s="218" t="n">
        <f aca="false">D282*G45</f>
        <v>16</v>
      </c>
      <c r="F282" s="101"/>
      <c r="G282" s="129" t="n">
        <f aca="false">ROUND(E282*F282,2)</f>
        <v>0</v>
      </c>
      <c r="I282" s="55"/>
    </row>
    <row r="283" s="20" customFormat="true" ht="12.75" hidden="false" customHeight="true" outlineLevel="1" collapsed="false">
      <c r="A283" s="18"/>
      <c r="B283" s="108" t="s">
        <v>129</v>
      </c>
      <c r="C283" s="109"/>
      <c r="D283" s="109"/>
      <c r="E283" s="109"/>
      <c r="F283" s="109"/>
      <c r="G283" s="261" t="n">
        <f aca="false">SUM(G282:G282)</f>
        <v>0</v>
      </c>
    </row>
    <row r="284" s="20" customFormat="true" ht="4.5" hidden="false" customHeight="true" outlineLevel="1" collapsed="false">
      <c r="A284" s="18"/>
      <c r="D284" s="24"/>
      <c r="E284" s="182"/>
      <c r="F284" s="153"/>
      <c r="G284" s="183"/>
    </row>
    <row r="285" s="20" customFormat="true" ht="12.75" hidden="false" customHeight="true" outlineLevel="0" collapsed="false">
      <c r="B285" s="120" t="s">
        <v>151</v>
      </c>
      <c r="C285" s="120"/>
      <c r="D285" s="120"/>
      <c r="E285" s="120"/>
      <c r="F285" s="120"/>
      <c r="G285" s="169" t="n">
        <f aca="false">ROUND(G283/60,2)</f>
        <v>0</v>
      </c>
    </row>
    <row r="286" s="17" customFormat="true" ht="9.75" hidden="false" customHeight="true" outlineLevel="0" collapsed="false">
      <c r="B286" s="192"/>
      <c r="C286" s="192"/>
      <c r="D286" s="192"/>
      <c r="E286" s="192"/>
      <c r="F286" s="192"/>
      <c r="G286" s="192"/>
    </row>
    <row r="287" s="20" customFormat="true" ht="12.75" hidden="false" customHeight="true" outlineLevel="0" collapsed="false">
      <c r="B287" s="88" t="s">
        <v>152</v>
      </c>
      <c r="C287" s="89"/>
      <c r="D287" s="89"/>
      <c r="E287" s="89"/>
      <c r="F287" s="89"/>
      <c r="G287" s="235" t="n">
        <f aca="false">ROUND(G246+G278+G285,2)</f>
        <v>0</v>
      </c>
      <c r="I287" s="55"/>
      <c r="J287" s="55"/>
    </row>
    <row r="288" customFormat="false" ht="9.75" hidden="false" customHeight="true" outlineLevel="0" collapsed="false"/>
    <row r="289" s="20" customFormat="true" ht="12.75" hidden="false" customHeight="true" outlineLevel="0" collapsed="false">
      <c r="B289" s="88" t="s">
        <v>153</v>
      </c>
      <c r="C289" s="89"/>
      <c r="D289" s="89"/>
      <c r="E289" s="89"/>
      <c r="F289" s="89"/>
      <c r="G289" s="236"/>
    </row>
    <row r="290" s="204" customFormat="true" ht="12.75" hidden="false" customHeight="true" outlineLevel="0" collapsed="false">
      <c r="B290" s="152" t="s">
        <v>154</v>
      </c>
    </row>
    <row r="291" s="20" customFormat="true" ht="12.75" hidden="false" customHeight="true" outlineLevel="0" collapsed="false">
      <c r="B291" s="120" t="s">
        <v>155</v>
      </c>
      <c r="C291" s="120"/>
      <c r="D291" s="120"/>
      <c r="E291" s="120"/>
      <c r="F291" s="120"/>
      <c r="G291" s="193"/>
    </row>
    <row r="292" s="20" customFormat="true" ht="25.5" hidden="false" customHeight="true" outlineLevel="1" collapsed="false">
      <c r="B292" s="95" t="s">
        <v>38</v>
      </c>
      <c r="C292" s="122" t="s">
        <v>39</v>
      </c>
      <c r="D292" s="122" t="s">
        <v>40</v>
      </c>
      <c r="E292" s="122" t="s">
        <v>156</v>
      </c>
      <c r="F292" s="122" t="s">
        <v>42</v>
      </c>
      <c r="G292" s="122" t="s">
        <v>86</v>
      </c>
    </row>
    <row r="293" s="20" customFormat="true" ht="12.75" hidden="false" customHeight="true" outlineLevel="1" collapsed="false">
      <c r="B293" s="238" t="s">
        <v>157</v>
      </c>
      <c r="C293" s="238" t="s">
        <v>125</v>
      </c>
      <c r="D293" s="126" t="n">
        <v>1</v>
      </c>
      <c r="E293" s="262"/>
      <c r="F293" s="129" t="n">
        <f aca="false">D293*E293</f>
        <v>0</v>
      </c>
      <c r="G293" s="263"/>
    </row>
    <row r="294" s="20" customFormat="true" ht="12.75" hidden="false" customHeight="true" outlineLevel="1" collapsed="false">
      <c r="B294" s="255" t="s">
        <v>158</v>
      </c>
      <c r="C294" s="255" t="s">
        <v>159</v>
      </c>
      <c r="D294" s="260" t="n">
        <v>5</v>
      </c>
      <c r="E294" s="133"/>
      <c r="F294" s="133"/>
      <c r="G294" s="133"/>
    </row>
    <row r="295" s="20" customFormat="true" ht="12.75" hidden="false" customHeight="true" outlineLevel="1" collapsed="false">
      <c r="B295" s="255" t="s">
        <v>160</v>
      </c>
      <c r="C295" s="255" t="s">
        <v>159</v>
      </c>
      <c r="D295" s="139" t="n">
        <v>0</v>
      </c>
      <c r="E295" s="133"/>
      <c r="F295" s="133"/>
      <c r="G295" s="133"/>
    </row>
    <row r="296" s="20" customFormat="true" ht="12.75" hidden="false" customHeight="true" outlineLevel="1" collapsed="false">
      <c r="B296" s="255" t="s">
        <v>161</v>
      </c>
      <c r="C296" s="255" t="s">
        <v>17</v>
      </c>
      <c r="D296" s="264" t="n">
        <f aca="false">IFERROR(VLOOKUP(D294*2,Depreciação!$A$5:$B$19,2,FALSE()),0)</f>
        <v>65.18</v>
      </c>
      <c r="E296" s="133" t="n">
        <f aca="false">F293</f>
        <v>0</v>
      </c>
      <c r="F296" s="133" t="n">
        <f aca="false">D296*E296/100</f>
        <v>0</v>
      </c>
      <c r="G296" s="133"/>
      <c r="H296" s="55"/>
    </row>
    <row r="297" s="20" customFormat="true" ht="12.75" hidden="false" customHeight="false" outlineLevel="1" collapsed="false">
      <c r="B297" s="256" t="s">
        <v>162</v>
      </c>
      <c r="C297" s="242" t="s">
        <v>44</v>
      </c>
      <c r="D297" s="144" t="n">
        <f aca="false">D294*12</f>
        <v>60</v>
      </c>
      <c r="E297" s="146" t="n">
        <f aca="false">IF(D295&lt;=D294,F296,0)</f>
        <v>0</v>
      </c>
      <c r="F297" s="146" t="n">
        <f aca="false">IFERROR(E297/D297,0)</f>
        <v>0</v>
      </c>
      <c r="G297" s="146"/>
    </row>
    <row r="298" s="20" customFormat="true" ht="12.75" hidden="false" customHeight="true" outlineLevel="1" collapsed="false">
      <c r="B298" s="265" t="s">
        <v>163</v>
      </c>
      <c r="C298" s="265"/>
      <c r="D298" s="265"/>
      <c r="E298" s="265"/>
      <c r="F298" s="265"/>
      <c r="G298" s="265"/>
    </row>
    <row r="299" s="20" customFormat="true" ht="12.75" hidden="false" customHeight="false" outlineLevel="1" collapsed="false">
      <c r="B299" s="250" t="s">
        <v>164</v>
      </c>
      <c r="C299" s="238" t="s">
        <v>125</v>
      </c>
      <c r="D299" s="126" t="n">
        <v>1</v>
      </c>
      <c r="E299" s="262"/>
      <c r="F299" s="129" t="n">
        <f aca="false">D299*E299</f>
        <v>0</v>
      </c>
      <c r="G299" s="263"/>
    </row>
    <row r="300" s="20" customFormat="true" ht="12.75" hidden="false" customHeight="true" outlineLevel="1" collapsed="false">
      <c r="B300" s="255" t="s">
        <v>165</v>
      </c>
      <c r="C300" s="255" t="s">
        <v>159</v>
      </c>
      <c r="D300" s="260" t="n">
        <v>5</v>
      </c>
      <c r="E300" s="133"/>
      <c r="F300" s="133"/>
      <c r="G300" s="133"/>
    </row>
    <row r="301" s="20" customFormat="true" ht="12.75" hidden="false" customHeight="true" outlineLevel="1" collapsed="false">
      <c r="B301" s="255" t="s">
        <v>166</v>
      </c>
      <c r="C301" s="255" t="s">
        <v>159</v>
      </c>
      <c r="D301" s="139" t="n">
        <v>0</v>
      </c>
      <c r="E301" s="133"/>
      <c r="F301" s="133"/>
      <c r="G301" s="133"/>
    </row>
    <row r="302" s="20" customFormat="true" ht="12.75" hidden="false" customHeight="true" outlineLevel="1" collapsed="false">
      <c r="B302" s="255" t="s">
        <v>167</v>
      </c>
      <c r="C302" s="255" t="s">
        <v>17</v>
      </c>
      <c r="D302" s="264" t="n">
        <f aca="false">IFERROR(VLOOKUP(D300*2,Depreciação!$A$5:$B$19,2,FALSE()),0)</f>
        <v>65.18</v>
      </c>
      <c r="E302" s="133" t="n">
        <f aca="false">F299</f>
        <v>0</v>
      </c>
      <c r="F302" s="133" t="n">
        <f aca="false">D302*E302/100</f>
        <v>0</v>
      </c>
      <c r="G302" s="133"/>
    </row>
    <row r="303" s="20" customFormat="true" ht="12.75" hidden="false" customHeight="false" outlineLevel="1" collapsed="false">
      <c r="B303" s="256" t="s">
        <v>168</v>
      </c>
      <c r="C303" s="242" t="s">
        <v>44</v>
      </c>
      <c r="D303" s="144" t="n">
        <f aca="false">D300*12</f>
        <v>60</v>
      </c>
      <c r="E303" s="146" t="n">
        <f aca="false">IF(D301&lt;=D300,F302,0)</f>
        <v>0</v>
      </c>
      <c r="F303" s="146" t="n">
        <f aca="false">ROUND(IFERROR(E303/D303,0),2)</f>
        <v>0</v>
      </c>
      <c r="G303" s="146"/>
    </row>
    <row r="304" s="17" customFormat="true" ht="12.75" hidden="false" customHeight="true" outlineLevel="1" collapsed="false">
      <c r="B304" s="266"/>
      <c r="C304" s="266"/>
      <c r="D304" s="266"/>
      <c r="E304" s="267"/>
      <c r="F304" s="267"/>
      <c r="G304" s="267"/>
      <c r="I304" s="268"/>
    </row>
    <row r="305" s="20" customFormat="true" ht="25.5" hidden="false" customHeight="true" outlineLevel="1" collapsed="false">
      <c r="B305" s="250" t="s">
        <v>169</v>
      </c>
      <c r="C305" s="126" t="s">
        <v>125</v>
      </c>
      <c r="D305" s="126" t="n">
        <v>1</v>
      </c>
      <c r="E305" s="262"/>
      <c r="F305" s="219" t="n">
        <f aca="false">D305*E305</f>
        <v>0</v>
      </c>
      <c r="G305" s="186"/>
    </row>
    <row r="306" s="20" customFormat="true" ht="12.75" hidden="false" customHeight="true" outlineLevel="1" collapsed="false">
      <c r="B306" s="255" t="s">
        <v>170</v>
      </c>
      <c r="C306" s="131" t="s">
        <v>159</v>
      </c>
      <c r="D306" s="260" t="n">
        <v>5</v>
      </c>
      <c r="E306" s="133"/>
      <c r="F306" s="198"/>
      <c r="G306" s="187"/>
    </row>
    <row r="307" s="20" customFormat="true" ht="12.75" hidden="false" customHeight="true" outlineLevel="1" collapsed="false">
      <c r="B307" s="255" t="s">
        <v>171</v>
      </c>
      <c r="C307" s="131" t="s">
        <v>159</v>
      </c>
      <c r="D307" s="139" t="n">
        <v>0</v>
      </c>
      <c r="E307" s="133"/>
      <c r="F307" s="198"/>
      <c r="G307" s="198"/>
    </row>
    <row r="308" s="20" customFormat="true" ht="12.75" hidden="false" customHeight="true" outlineLevel="1" collapsed="false">
      <c r="B308" s="255" t="s">
        <v>172</v>
      </c>
      <c r="C308" s="131" t="s">
        <v>17</v>
      </c>
      <c r="D308" s="264" t="n">
        <f aca="false">IFERROR(VLOOKUP(D306*2,Depreciação!$A$5:$B$19,2,FALSE()),0)</f>
        <v>65.18</v>
      </c>
      <c r="E308" s="198" t="n">
        <f aca="false">F305</f>
        <v>0</v>
      </c>
      <c r="F308" s="198" t="n">
        <f aca="false">D308*E308/100</f>
        <v>0</v>
      </c>
      <c r="G308" s="187"/>
    </row>
    <row r="309" s="20" customFormat="true" ht="25.5" hidden="false" customHeight="true" outlineLevel="1" collapsed="false">
      <c r="B309" s="240" t="s">
        <v>173</v>
      </c>
      <c r="C309" s="131" t="s">
        <v>44</v>
      </c>
      <c r="D309" s="131" t="n">
        <f aca="false">D306*12</f>
        <v>60</v>
      </c>
      <c r="E309" s="198" t="n">
        <f aca="false">IF(D307&lt;=D306,F308,0)</f>
        <v>0</v>
      </c>
      <c r="F309" s="198" t="n">
        <f aca="false">ROUND(IFERROR(E309/D309,0),2)</f>
        <v>0</v>
      </c>
      <c r="G309" s="187"/>
    </row>
    <row r="310" s="20" customFormat="true" ht="12.75" hidden="false" customHeight="true" outlineLevel="1" collapsed="false">
      <c r="B310" s="269" t="s">
        <v>174</v>
      </c>
      <c r="C310" s="139"/>
      <c r="D310" s="270" t="n">
        <f aca="false">G45</f>
        <v>8</v>
      </c>
      <c r="E310" s="271"/>
      <c r="F310" s="271" t="n">
        <f aca="false">F297+F303+F309</f>
        <v>0</v>
      </c>
      <c r="G310" s="271" t="n">
        <f aca="false">F310*D310</f>
        <v>0</v>
      </c>
    </row>
    <row r="311" s="20" customFormat="true" ht="12.75" hidden="false" customHeight="true" outlineLevel="1" collapsed="false">
      <c r="B311" s="272" t="s">
        <v>175</v>
      </c>
      <c r="C311" s="273" t="s">
        <v>176</v>
      </c>
      <c r="D311" s="274"/>
      <c r="E311" s="275" t="n">
        <f aca="false">D48</f>
        <v>1</v>
      </c>
      <c r="F311" s="276"/>
      <c r="G311" s="276" t="n">
        <f aca="false">G310</f>
        <v>0</v>
      </c>
    </row>
    <row r="312" s="159" customFormat="true" ht="11.25" hidden="false" customHeight="false" outlineLevel="1" collapsed="false">
      <c r="D312" s="277"/>
      <c r="E312" s="278"/>
      <c r="F312" s="278"/>
      <c r="G312" s="279"/>
    </row>
    <row r="313" s="20" customFormat="true" ht="12.75" hidden="false" customHeight="true" outlineLevel="0" collapsed="false">
      <c r="B313" s="120" t="s">
        <v>151</v>
      </c>
      <c r="C313" s="120"/>
      <c r="D313" s="120"/>
      <c r="E313" s="120"/>
      <c r="F313" s="120"/>
      <c r="G313" s="169" t="n">
        <f aca="false">ROUND(E311*G311,2)</f>
        <v>0</v>
      </c>
    </row>
    <row r="314" customFormat="false" ht="9.75" hidden="false" customHeight="true" outlineLevel="0" collapsed="false"/>
    <row r="315" s="20" customFormat="true" ht="12.75" hidden="false" customHeight="true" outlineLevel="0" collapsed="false">
      <c r="B315" s="120" t="s">
        <v>177</v>
      </c>
      <c r="C315" s="120"/>
      <c r="D315" s="120"/>
      <c r="E315" s="120"/>
      <c r="F315" s="120"/>
      <c r="G315" s="193"/>
    </row>
    <row r="316" s="20" customFormat="true" ht="12.75" hidden="false" customHeight="false" outlineLevel="1" collapsed="false">
      <c r="B316" s="95" t="s">
        <v>38</v>
      </c>
      <c r="C316" s="95" t="s">
        <v>39</v>
      </c>
      <c r="D316" s="95" t="s">
        <v>40</v>
      </c>
      <c r="E316" s="95" t="s">
        <v>156</v>
      </c>
      <c r="F316" s="122" t="s">
        <v>42</v>
      </c>
      <c r="G316" s="122" t="s">
        <v>86</v>
      </c>
    </row>
    <row r="317" s="20" customFormat="true" ht="12.75" hidden="false" customHeight="true" outlineLevel="1" collapsed="false">
      <c r="A317" s="18"/>
      <c r="B317" s="238" t="s">
        <v>178</v>
      </c>
      <c r="C317" s="126" t="s">
        <v>125</v>
      </c>
      <c r="D317" s="126" t="n">
        <v>1</v>
      </c>
      <c r="E317" s="219" t="n">
        <f aca="false">E293</f>
        <v>0</v>
      </c>
      <c r="F317" s="219" t="n">
        <f aca="false">D317*E317</f>
        <v>0</v>
      </c>
      <c r="G317" s="219"/>
    </row>
    <row r="318" s="20" customFormat="true" ht="15" hidden="false" customHeight="false" outlineLevel="1" collapsed="false">
      <c r="A318" s="18"/>
      <c r="B318" s="255" t="s">
        <v>179</v>
      </c>
      <c r="C318" s="131" t="s">
        <v>17</v>
      </c>
      <c r="D318" s="280" t="n">
        <f aca="false">'Anexo B'!I8*100</f>
        <v>0</v>
      </c>
      <c r="E318" s="198"/>
      <c r="F318" s="198"/>
      <c r="G318" s="198"/>
    </row>
    <row r="319" s="20" customFormat="true" ht="12.75" hidden="false" customHeight="true" outlineLevel="1" collapsed="false">
      <c r="A319" s="18"/>
      <c r="B319" s="255" t="s">
        <v>180</v>
      </c>
      <c r="C319" s="131" t="s">
        <v>49</v>
      </c>
      <c r="D319" s="281" t="n">
        <f aca="false">E317*0.55456</f>
        <v>0</v>
      </c>
      <c r="E319" s="198"/>
      <c r="F319" s="198"/>
      <c r="G319" s="198"/>
    </row>
    <row r="320" s="20" customFormat="true" ht="12.75" hidden="false" customHeight="true" outlineLevel="1" collapsed="false">
      <c r="A320" s="18"/>
      <c r="B320" s="255" t="s">
        <v>181</v>
      </c>
      <c r="C320" s="131" t="s">
        <v>49</v>
      </c>
      <c r="D320" s="281" t="n">
        <f aca="false">D319</f>
        <v>0</v>
      </c>
      <c r="E320" s="198"/>
      <c r="F320" s="198"/>
      <c r="G320" s="198"/>
    </row>
    <row r="321" s="20" customFormat="true" ht="25.5" hidden="false" customHeight="true" outlineLevel="1" collapsed="false">
      <c r="A321" s="18"/>
      <c r="B321" s="256" t="s">
        <v>182</v>
      </c>
      <c r="C321" s="144" t="s">
        <v>49</v>
      </c>
      <c r="D321" s="144"/>
      <c r="E321" s="203" t="n">
        <f aca="false">D318*D320/12/100</f>
        <v>0</v>
      </c>
      <c r="F321" s="203" t="n">
        <f aca="false">E321</f>
        <v>0</v>
      </c>
      <c r="G321" s="203"/>
    </row>
    <row r="322" customFormat="false" ht="12.75" hidden="false" customHeight="true" outlineLevel="1" collapsed="false">
      <c r="C322" s="282"/>
      <c r="D322" s="282"/>
      <c r="E322" s="283"/>
      <c r="F322" s="283"/>
      <c r="G322" s="283"/>
    </row>
    <row r="323" s="20" customFormat="true" ht="12.75" hidden="false" customHeight="true" outlineLevel="1" collapsed="false">
      <c r="A323" s="18"/>
      <c r="B323" s="238" t="s">
        <v>183</v>
      </c>
      <c r="C323" s="126" t="s">
        <v>125</v>
      </c>
      <c r="D323" s="126" t="n">
        <v>1</v>
      </c>
      <c r="E323" s="219" t="n">
        <f aca="false">E299</f>
        <v>0</v>
      </c>
      <c r="F323" s="219" t="n">
        <f aca="false">D323*E323</f>
        <v>0</v>
      </c>
      <c r="G323" s="219"/>
    </row>
    <row r="324" s="20" customFormat="true" ht="12.75" hidden="false" customHeight="true" outlineLevel="1" collapsed="false">
      <c r="A324" s="18"/>
      <c r="B324" s="255" t="s">
        <v>184</v>
      </c>
      <c r="C324" s="131" t="s">
        <v>17</v>
      </c>
      <c r="D324" s="280" t="n">
        <f aca="false">D318</f>
        <v>0</v>
      </c>
      <c r="E324" s="198"/>
      <c r="F324" s="198"/>
      <c r="G324" s="198"/>
    </row>
    <row r="325" s="20" customFormat="true" ht="12.75" hidden="false" customHeight="true" outlineLevel="1" collapsed="false">
      <c r="A325" s="18"/>
      <c r="B325" s="240" t="s">
        <v>185</v>
      </c>
      <c r="C325" s="131" t="s">
        <v>49</v>
      </c>
      <c r="D325" s="284" t="n">
        <f aca="false">E323*0.55456</f>
        <v>0</v>
      </c>
      <c r="E325" s="198"/>
      <c r="F325" s="198"/>
      <c r="G325" s="198"/>
    </row>
    <row r="326" s="20" customFormat="true" ht="12.75" hidden="false" customHeight="true" outlineLevel="1" collapsed="false">
      <c r="A326" s="18"/>
      <c r="B326" s="240" t="s">
        <v>186</v>
      </c>
      <c r="C326" s="131" t="s">
        <v>49</v>
      </c>
      <c r="D326" s="264" t="n">
        <f aca="false">D325</f>
        <v>0</v>
      </c>
      <c r="E326" s="198"/>
      <c r="F326" s="198"/>
      <c r="G326" s="198"/>
    </row>
    <row r="327" s="20" customFormat="true" ht="25.5" hidden="false" customHeight="true" outlineLevel="1" collapsed="false">
      <c r="A327" s="18"/>
      <c r="B327" s="215" t="s">
        <v>187</v>
      </c>
      <c r="C327" s="144" t="s">
        <v>49</v>
      </c>
      <c r="D327" s="144"/>
      <c r="E327" s="203" t="n">
        <f aca="false">D324*D326/12/100</f>
        <v>0</v>
      </c>
      <c r="F327" s="203" t="n">
        <f aca="false">E327</f>
        <v>0</v>
      </c>
      <c r="G327" s="203"/>
    </row>
    <row r="328" s="20" customFormat="true" ht="12.75" hidden="false" customHeight="true" outlineLevel="1" collapsed="false">
      <c r="A328" s="18"/>
      <c r="B328" s="238" t="s">
        <v>188</v>
      </c>
      <c r="C328" s="126" t="s">
        <v>125</v>
      </c>
      <c r="D328" s="126" t="n">
        <v>1</v>
      </c>
      <c r="E328" s="219" t="n">
        <f aca="false">E305</f>
        <v>0</v>
      </c>
      <c r="F328" s="219" t="n">
        <f aca="false">D328*E328</f>
        <v>0</v>
      </c>
      <c r="G328" s="219"/>
    </row>
    <row r="329" s="20" customFormat="true" ht="12.75" hidden="false" customHeight="true" outlineLevel="1" collapsed="false">
      <c r="A329" s="18"/>
      <c r="B329" s="255" t="s">
        <v>184</v>
      </c>
      <c r="C329" s="131" t="s">
        <v>17</v>
      </c>
      <c r="D329" s="280" t="n">
        <f aca="false">D318</f>
        <v>0</v>
      </c>
      <c r="E329" s="198"/>
      <c r="F329" s="198"/>
      <c r="G329" s="198"/>
    </row>
    <row r="330" s="20" customFormat="true" ht="12.75" hidden="false" customHeight="true" outlineLevel="1" collapsed="false">
      <c r="A330" s="18"/>
      <c r="B330" s="240" t="s">
        <v>189</v>
      </c>
      <c r="C330" s="131" t="s">
        <v>49</v>
      </c>
      <c r="D330" s="284" t="n">
        <f aca="false">E328*0.55456</f>
        <v>0</v>
      </c>
      <c r="E330" s="198"/>
      <c r="F330" s="198"/>
      <c r="G330" s="198"/>
    </row>
    <row r="331" s="20" customFormat="true" ht="25.5" hidden="false" customHeight="true" outlineLevel="1" collapsed="false">
      <c r="A331" s="18"/>
      <c r="B331" s="240" t="s">
        <v>190</v>
      </c>
      <c r="C331" s="131" t="s">
        <v>49</v>
      </c>
      <c r="D331" s="264" t="n">
        <f aca="false">D330</f>
        <v>0</v>
      </c>
      <c r="E331" s="198"/>
      <c r="F331" s="198"/>
      <c r="G331" s="198"/>
    </row>
    <row r="332" s="20" customFormat="true" ht="25.5" hidden="false" customHeight="true" outlineLevel="1" collapsed="false">
      <c r="A332" s="18"/>
      <c r="B332" s="134" t="s">
        <v>191</v>
      </c>
      <c r="C332" s="131" t="s">
        <v>49</v>
      </c>
      <c r="D332" s="131"/>
      <c r="E332" s="198" t="n">
        <f aca="false">D329*D331/12/100</f>
        <v>0</v>
      </c>
      <c r="F332" s="198" t="n">
        <f aca="false">E332</f>
        <v>0</v>
      </c>
      <c r="G332" s="198"/>
    </row>
    <row r="333" s="20" customFormat="true" ht="12.75" hidden="false" customHeight="true" outlineLevel="1" collapsed="false">
      <c r="A333" s="18"/>
      <c r="B333" s="269" t="s">
        <v>174</v>
      </c>
      <c r="C333" s="139"/>
      <c r="D333" s="270" t="n">
        <f aca="false">G45</f>
        <v>8</v>
      </c>
      <c r="E333" s="271"/>
      <c r="F333" s="198" t="n">
        <f aca="false">F321+F327+F332</f>
        <v>0</v>
      </c>
      <c r="G333" s="271" t="n">
        <f aca="false">F333*D333</f>
        <v>0</v>
      </c>
    </row>
    <row r="334" s="123" customFormat="true" ht="12.75" hidden="false" customHeight="true" outlineLevel="1" collapsed="false">
      <c r="B334" s="272" t="s">
        <v>175</v>
      </c>
      <c r="C334" s="273" t="s">
        <v>176</v>
      </c>
      <c r="D334" s="274"/>
      <c r="E334" s="285" t="n">
        <v>1</v>
      </c>
      <c r="F334" s="276"/>
      <c r="G334" s="276" t="n">
        <f aca="false">E334*G333</f>
        <v>0</v>
      </c>
    </row>
    <row r="335" s="20" customFormat="true" ht="12.75" hidden="false" customHeight="true" outlineLevel="1" collapsed="false">
      <c r="A335" s="18"/>
      <c r="B335" s="286" t="s">
        <v>192</v>
      </c>
      <c r="C335" s="286"/>
      <c r="D335" s="286"/>
      <c r="E335" s="286"/>
      <c r="F335" s="286"/>
      <c r="G335" s="286"/>
    </row>
    <row r="336" s="20" customFormat="true" ht="12.75" hidden="false" customHeight="true" outlineLevel="0" collapsed="false">
      <c r="A336" s="18"/>
      <c r="B336" s="120" t="s">
        <v>151</v>
      </c>
      <c r="C336" s="120"/>
      <c r="D336" s="120"/>
      <c r="E336" s="120"/>
      <c r="F336" s="120"/>
      <c r="G336" s="169" t="n">
        <f aca="false">ROUND(E334*G334,2)</f>
        <v>0</v>
      </c>
    </row>
    <row r="337" customFormat="false" ht="9.75" hidden="false" customHeight="true" outlineLevel="0" collapsed="false">
      <c r="G337" s="192"/>
    </row>
    <row r="338" s="20" customFormat="true" ht="12.75" hidden="false" customHeight="true" outlineLevel="0" collapsed="false">
      <c r="B338" s="120" t="s">
        <v>193</v>
      </c>
      <c r="C338" s="120"/>
      <c r="D338" s="120"/>
      <c r="E338" s="120"/>
      <c r="F338" s="120"/>
      <c r="G338" s="193"/>
    </row>
    <row r="339" s="20" customFormat="true" ht="25.5" hidden="false" customHeight="true" outlineLevel="1" collapsed="false">
      <c r="B339" s="95" t="s">
        <v>38</v>
      </c>
      <c r="C339" s="95" t="s">
        <v>39</v>
      </c>
      <c r="D339" s="95" t="s">
        <v>40</v>
      </c>
      <c r="E339" s="122" t="s">
        <v>41</v>
      </c>
      <c r="F339" s="122" t="s">
        <v>194</v>
      </c>
      <c r="G339" s="122" t="s">
        <v>195</v>
      </c>
    </row>
    <row r="340" s="20" customFormat="true" ht="12.75" hidden="false" customHeight="true" outlineLevel="1" collapsed="false">
      <c r="B340" s="238" t="s">
        <v>196</v>
      </c>
      <c r="C340" s="126" t="s">
        <v>125</v>
      </c>
      <c r="D340" s="239" t="n">
        <f aca="false">G45</f>
        <v>8</v>
      </c>
      <c r="E340" s="252"/>
      <c r="F340" s="186" t="n">
        <f aca="false">D340*E340</f>
        <v>0</v>
      </c>
      <c r="G340" s="186" t="n">
        <f aca="false">F340/12</f>
        <v>0</v>
      </c>
    </row>
    <row r="341" s="20" customFormat="true" ht="12.75" hidden="false" customHeight="true" outlineLevel="1" collapsed="false">
      <c r="A341" s="18"/>
      <c r="B341" s="240" t="s">
        <v>197</v>
      </c>
      <c r="C341" s="131" t="s">
        <v>125</v>
      </c>
      <c r="D341" s="241" t="n">
        <f aca="false">G45</f>
        <v>8</v>
      </c>
      <c r="E341" s="254"/>
      <c r="F341" s="187" t="n">
        <f aca="false">+D341*E341</f>
        <v>0</v>
      </c>
      <c r="G341" s="187" t="n">
        <f aca="false">F341/12</f>
        <v>0</v>
      </c>
    </row>
    <row r="342" s="20" customFormat="true" ht="12.75" hidden="false" customHeight="true" outlineLevel="1" collapsed="false">
      <c r="A342" s="18"/>
      <c r="B342" s="242" t="s">
        <v>198</v>
      </c>
      <c r="C342" s="144" t="s">
        <v>125</v>
      </c>
      <c r="D342" s="243" t="n">
        <f aca="false">G45</f>
        <v>8</v>
      </c>
      <c r="E342" s="287"/>
      <c r="F342" s="223" t="n">
        <f aca="false">+D342*E342</f>
        <v>0</v>
      </c>
      <c r="G342" s="223" t="n">
        <f aca="false">F342/12</f>
        <v>0</v>
      </c>
    </row>
    <row r="343" s="20" customFormat="true" ht="4.5" hidden="false" customHeight="true" outlineLevel="1" collapsed="false">
      <c r="A343" s="18"/>
      <c r="D343" s="24"/>
      <c r="E343" s="182"/>
      <c r="F343" s="153"/>
      <c r="G343" s="183"/>
    </row>
    <row r="344" s="20" customFormat="true" ht="12.75" hidden="false" customHeight="true" outlineLevel="0" collapsed="false">
      <c r="A344" s="18"/>
      <c r="B344" s="120" t="s">
        <v>151</v>
      </c>
      <c r="C344" s="120"/>
      <c r="D344" s="120"/>
      <c r="E344" s="120"/>
      <c r="F344" s="120"/>
      <c r="G344" s="169" t="n">
        <f aca="false">ROUND(SUM(G340:G342),2)</f>
        <v>0</v>
      </c>
    </row>
    <row r="345" customFormat="false" ht="9.75" hidden="false" customHeight="true" outlineLevel="0" collapsed="false"/>
    <row r="346" s="20" customFormat="true" ht="12.75" hidden="false" customHeight="true" outlineLevel="0" collapsed="false">
      <c r="B346" s="120" t="s">
        <v>199</v>
      </c>
      <c r="C346" s="120"/>
      <c r="D346" s="120"/>
      <c r="E346" s="120"/>
      <c r="F346" s="120"/>
      <c r="G346" s="193"/>
    </row>
    <row r="347" s="20" customFormat="true" ht="12.75" hidden="false" customHeight="true" outlineLevel="1" collapsed="false">
      <c r="B347" s="20" t="s">
        <v>200</v>
      </c>
      <c r="C347" s="288" t="n">
        <v>22280</v>
      </c>
      <c r="D347" s="20" t="s">
        <v>201</v>
      </c>
    </row>
    <row r="348" s="289" customFormat="true" ht="25.5" hidden="false" customHeight="true" outlineLevel="1" collapsed="false">
      <c r="B348" s="122" t="s">
        <v>38</v>
      </c>
      <c r="C348" s="122" t="s">
        <v>39</v>
      </c>
      <c r="D348" s="122" t="s">
        <v>40</v>
      </c>
      <c r="E348" s="122" t="s">
        <v>41</v>
      </c>
      <c r="F348" s="122" t="s">
        <v>202</v>
      </c>
      <c r="G348" s="122" t="s">
        <v>86</v>
      </c>
    </row>
    <row r="349" s="20" customFormat="true" ht="24.75" hidden="false" customHeight="true" outlineLevel="1" collapsed="false">
      <c r="A349" s="18"/>
      <c r="B349" s="250" t="s">
        <v>203</v>
      </c>
      <c r="C349" s="126" t="s">
        <v>204</v>
      </c>
      <c r="D349" s="290"/>
      <c r="E349" s="254"/>
      <c r="F349" s="126"/>
      <c r="G349" s="238"/>
    </row>
    <row r="350" s="20" customFormat="true" ht="12.75" hidden="false" customHeight="true" outlineLevel="1" collapsed="false">
      <c r="A350" s="18"/>
      <c r="B350" s="255" t="s">
        <v>205</v>
      </c>
      <c r="C350" s="131" t="s">
        <v>201</v>
      </c>
      <c r="D350" s="291" t="n">
        <f aca="false">C347</f>
        <v>22280</v>
      </c>
      <c r="E350" s="292" t="str">
        <f aca="false">IF(F350="","0",F350/D350)</f>
        <v>0</v>
      </c>
      <c r="F350" s="187" t="str">
        <f aca="false">IF(D349="","",D350/D349*E349)</f>
        <v/>
      </c>
      <c r="G350" s="255"/>
    </row>
    <row r="351" s="20" customFormat="true" ht="12.75" hidden="false" customHeight="true" outlineLevel="1" collapsed="false">
      <c r="A351" s="18"/>
      <c r="B351" s="259" t="s">
        <v>206</v>
      </c>
      <c r="C351" s="293" t="s">
        <v>204</v>
      </c>
      <c r="D351" s="294" t="str">
        <f aca="false">IF(D349="","",D349/0.05)</f>
        <v/>
      </c>
      <c r="E351" s="254"/>
      <c r="F351" s="187"/>
      <c r="G351" s="255"/>
    </row>
    <row r="352" s="20" customFormat="true" ht="12.75" hidden="false" customHeight="true" outlineLevel="1" collapsed="false">
      <c r="A352" s="18"/>
      <c r="B352" s="255" t="s">
        <v>207</v>
      </c>
      <c r="C352" s="131" t="s">
        <v>201</v>
      </c>
      <c r="D352" s="199" t="n">
        <f aca="false">C347</f>
        <v>22280</v>
      </c>
      <c r="E352" s="295" t="n">
        <f aca="false">IF(OR(D351=0,E351=0),0,E351/D351)</f>
        <v>0</v>
      </c>
      <c r="F352" s="187" t="str">
        <f aca="false">IF(D351="","",D352/D351*E351)</f>
        <v/>
      </c>
      <c r="G352" s="255"/>
    </row>
    <row r="353" s="20" customFormat="true" ht="25.5" hidden="false" customHeight="true" outlineLevel="1" collapsed="false">
      <c r="A353" s="18"/>
      <c r="B353" s="240" t="s">
        <v>208</v>
      </c>
      <c r="C353" s="131" t="s">
        <v>209</v>
      </c>
      <c r="D353" s="294"/>
      <c r="E353" s="254"/>
      <c r="F353" s="187"/>
      <c r="G353" s="255"/>
      <c r="H353" s="55"/>
    </row>
    <row r="354" s="20" customFormat="true" ht="12.75" hidden="false" customHeight="true" outlineLevel="1" collapsed="false">
      <c r="A354" s="18"/>
      <c r="B354" s="255" t="s">
        <v>210</v>
      </c>
      <c r="C354" s="131" t="s">
        <v>201</v>
      </c>
      <c r="D354" s="199" t="n">
        <f aca="false">C347</f>
        <v>22280</v>
      </c>
      <c r="E354" s="187" t="n">
        <f aca="false">E353*D353/1000</f>
        <v>0</v>
      </c>
      <c r="F354" s="187" t="n">
        <f aca="false">ROUND(E354*D354,2)</f>
        <v>0</v>
      </c>
      <c r="G354" s="255"/>
    </row>
    <row r="355" s="20" customFormat="true" ht="12.75" hidden="false" customHeight="true" outlineLevel="1" collapsed="false">
      <c r="A355" s="18"/>
      <c r="B355" s="240" t="s">
        <v>211</v>
      </c>
      <c r="C355" s="131" t="s">
        <v>209</v>
      </c>
      <c r="D355" s="294"/>
      <c r="E355" s="254"/>
      <c r="F355" s="187"/>
      <c r="G355" s="255"/>
    </row>
    <row r="356" s="20" customFormat="true" ht="25.5" hidden="false" customHeight="true" outlineLevel="1" collapsed="false">
      <c r="A356" s="18"/>
      <c r="B356" s="240" t="s">
        <v>212</v>
      </c>
      <c r="C356" s="131" t="s">
        <v>201</v>
      </c>
      <c r="D356" s="199" t="n">
        <f aca="false">C347</f>
        <v>22280</v>
      </c>
      <c r="E356" s="187" t="n">
        <f aca="false">E355*D355/1000</f>
        <v>0</v>
      </c>
      <c r="F356" s="187" t="n">
        <f aca="false">ROUND(E356*D356,2)</f>
        <v>0</v>
      </c>
      <c r="G356" s="255"/>
    </row>
    <row r="357" s="20" customFormat="true" ht="12.75" hidden="false" customHeight="true" outlineLevel="1" collapsed="false">
      <c r="A357" s="18"/>
      <c r="B357" s="255" t="s">
        <v>213</v>
      </c>
      <c r="C357" s="131" t="s">
        <v>209</v>
      </c>
      <c r="D357" s="188"/>
      <c r="E357" s="254"/>
      <c r="F357" s="187"/>
      <c r="G357" s="255"/>
    </row>
    <row r="358" s="20" customFormat="true" ht="12" hidden="false" customHeight="true" outlineLevel="1" collapsed="false">
      <c r="A358" s="18"/>
      <c r="B358" s="240" t="s">
        <v>214</v>
      </c>
      <c r="C358" s="131" t="s">
        <v>201</v>
      </c>
      <c r="D358" s="199" t="n">
        <f aca="false">C347</f>
        <v>22280</v>
      </c>
      <c r="E358" s="187" t="n">
        <f aca="false">E357*D357/1000</f>
        <v>0</v>
      </c>
      <c r="F358" s="187" t="n">
        <f aca="false">ROUND(E358*D358,2)</f>
        <v>0</v>
      </c>
      <c r="G358" s="255"/>
    </row>
    <row r="359" s="20" customFormat="true" ht="12.75" hidden="false" customHeight="true" outlineLevel="1" collapsed="false">
      <c r="A359" s="18"/>
      <c r="B359" s="296" t="s">
        <v>215</v>
      </c>
      <c r="C359" s="131" t="s">
        <v>216</v>
      </c>
      <c r="D359" s="188"/>
      <c r="E359" s="254"/>
      <c r="F359" s="187"/>
      <c r="G359" s="255"/>
    </row>
    <row r="360" s="20" customFormat="true" ht="12.75" hidden="false" customHeight="true" outlineLevel="1" collapsed="false">
      <c r="A360" s="18"/>
      <c r="B360" s="255" t="s">
        <v>217</v>
      </c>
      <c r="C360" s="131" t="s">
        <v>201</v>
      </c>
      <c r="D360" s="199" t="n">
        <f aca="false">C347</f>
        <v>22280</v>
      </c>
      <c r="E360" s="187" t="n">
        <f aca="false">E359*D359/1000</f>
        <v>0</v>
      </c>
      <c r="F360" s="187" t="n">
        <f aca="false">ROUND(E360*D360,2)</f>
        <v>0</v>
      </c>
      <c r="G360" s="255"/>
      <c r="I360" s="55"/>
    </row>
    <row r="361" s="123" customFormat="true" ht="12.75" hidden="false" customHeight="true" outlineLevel="1" collapsed="false">
      <c r="B361" s="272" t="s">
        <v>218</v>
      </c>
      <c r="C361" s="273" t="s">
        <v>219</v>
      </c>
      <c r="D361" s="297"/>
      <c r="E361" s="298" t="n">
        <f aca="false">E350+E352+E354+E356+E358+E360</f>
        <v>0</v>
      </c>
      <c r="F361" s="298"/>
      <c r="G361" s="272"/>
    </row>
    <row r="362" s="20" customFormat="true" ht="4.5" hidden="false" customHeight="true" outlineLevel="1" collapsed="false">
      <c r="A362" s="18"/>
      <c r="D362" s="24"/>
      <c r="E362" s="182"/>
      <c r="F362" s="153"/>
      <c r="G362" s="183"/>
    </row>
    <row r="363" s="20" customFormat="true" ht="12.75" hidden="false" customHeight="true" outlineLevel="0" collapsed="false">
      <c r="A363" s="18"/>
      <c r="B363" s="120" t="s">
        <v>151</v>
      </c>
      <c r="C363" s="120"/>
      <c r="D363" s="120"/>
      <c r="E363" s="120"/>
      <c r="F363" s="120"/>
      <c r="G363" s="169" t="n">
        <f aca="false">ROUND(SUM(F350:F360),2)</f>
        <v>0</v>
      </c>
    </row>
    <row r="364" customFormat="false" ht="9.75" hidden="false" customHeight="true" outlineLevel="0" collapsed="false">
      <c r="G364" s="299"/>
    </row>
    <row r="365" s="20" customFormat="true" ht="12.75" hidden="false" customHeight="true" outlineLevel="0" collapsed="false">
      <c r="B365" s="120" t="s">
        <v>220</v>
      </c>
      <c r="C365" s="120"/>
      <c r="D365" s="120"/>
      <c r="E365" s="120"/>
      <c r="F365" s="120"/>
      <c r="G365" s="193"/>
    </row>
    <row r="366" s="20" customFormat="true" ht="33.75" hidden="false" customHeight="true" outlineLevel="1" collapsed="false">
      <c r="B366" s="122" t="s">
        <v>38</v>
      </c>
      <c r="C366" s="122" t="s">
        <v>39</v>
      </c>
      <c r="D366" s="122" t="s">
        <v>40</v>
      </c>
      <c r="E366" s="95" t="s">
        <v>41</v>
      </c>
      <c r="F366" s="122" t="s">
        <v>221</v>
      </c>
      <c r="G366" s="122" t="s">
        <v>222</v>
      </c>
    </row>
    <row r="367" s="20" customFormat="true" ht="27" hidden="false" customHeight="true" outlineLevel="1" collapsed="false">
      <c r="B367" s="300" t="s">
        <v>223</v>
      </c>
      <c r="C367" s="155" t="s">
        <v>224</v>
      </c>
      <c r="D367" s="301" t="n">
        <f aca="false">C347</f>
        <v>22280</v>
      </c>
      <c r="E367" s="302"/>
      <c r="F367" s="303" t="n">
        <f aca="false">E367*D367*12</f>
        <v>0</v>
      </c>
      <c r="G367" s="303" t="n">
        <f aca="false">ROUND(E367*D367,2)</f>
        <v>0</v>
      </c>
      <c r="H367" s="288"/>
    </row>
    <row r="368" s="20" customFormat="true" ht="4.5" hidden="false" customHeight="true" outlineLevel="1" collapsed="false">
      <c r="B368" s="304"/>
      <c r="D368" s="24"/>
      <c r="E368" s="182"/>
      <c r="F368" s="153"/>
      <c r="G368" s="183"/>
    </row>
    <row r="369" s="20" customFormat="true" ht="12.75" hidden="false" customHeight="true" outlineLevel="0" collapsed="false">
      <c r="B369" s="120" t="s">
        <v>151</v>
      </c>
      <c r="C369" s="120"/>
      <c r="D369" s="120"/>
      <c r="E369" s="120"/>
      <c r="F369" s="120"/>
      <c r="G369" s="169" t="n">
        <f aca="false">ROUND(SUM(G367:G367),2)</f>
        <v>0</v>
      </c>
    </row>
    <row r="370" s="17" customFormat="true" ht="9.75" hidden="false" customHeight="true" outlineLevel="0" collapsed="false"/>
    <row r="371" s="20" customFormat="true" ht="12.75" hidden="false" customHeight="true" outlineLevel="0" collapsed="false">
      <c r="B371" s="120" t="s">
        <v>225</v>
      </c>
      <c r="C371" s="120"/>
      <c r="D371" s="120"/>
      <c r="E371" s="120"/>
      <c r="F371" s="120"/>
      <c r="G371" s="193"/>
      <c r="I371" s="59"/>
    </row>
    <row r="372" s="20" customFormat="true" ht="25.5" hidden="false" customHeight="true" outlineLevel="1" collapsed="false">
      <c r="B372" s="122" t="s">
        <v>38</v>
      </c>
      <c r="C372" s="122" t="s">
        <v>39</v>
      </c>
      <c r="D372" s="122" t="s">
        <v>40</v>
      </c>
      <c r="E372" s="95" t="s">
        <v>41</v>
      </c>
      <c r="F372" s="122" t="s">
        <v>202</v>
      </c>
      <c r="G372" s="122" t="s">
        <v>86</v>
      </c>
      <c r="I372" s="59"/>
    </row>
    <row r="373" s="20" customFormat="true" ht="12.75" hidden="false" customHeight="true" outlineLevel="1" collapsed="false">
      <c r="B373" s="250" t="s">
        <v>226</v>
      </c>
      <c r="C373" s="126" t="s">
        <v>125</v>
      </c>
      <c r="D373" s="239" t="n">
        <v>6</v>
      </c>
      <c r="E373" s="252"/>
      <c r="F373" s="186" t="n">
        <f aca="false">+E373*D373</f>
        <v>0</v>
      </c>
      <c r="G373" s="186"/>
      <c r="I373" s="59"/>
    </row>
    <row r="374" s="20" customFormat="true" ht="24" hidden="false" customHeight="true" outlineLevel="1" collapsed="false">
      <c r="B374" s="296" t="s">
        <v>227</v>
      </c>
      <c r="C374" s="131" t="s">
        <v>125</v>
      </c>
      <c r="D374" s="241" t="n">
        <v>2</v>
      </c>
      <c r="E374" s="187"/>
      <c r="F374" s="187"/>
      <c r="G374" s="187"/>
    </row>
    <row r="375" s="20" customFormat="true" ht="12.75" hidden="false" customHeight="true" outlineLevel="1" collapsed="false">
      <c r="B375" s="240" t="s">
        <v>228</v>
      </c>
      <c r="C375" s="131" t="s">
        <v>125</v>
      </c>
      <c r="D375" s="131" t="n">
        <f aca="false">D374*D373</f>
        <v>12</v>
      </c>
      <c r="E375" s="254"/>
      <c r="F375" s="187" t="n">
        <f aca="false">+E375*D375</f>
        <v>0</v>
      </c>
      <c r="G375" s="187"/>
      <c r="I375" s="59"/>
    </row>
    <row r="376" s="20" customFormat="true" ht="25.5" hidden="false" customHeight="true" outlineLevel="1" collapsed="false">
      <c r="B376" s="240" t="str">
        <f aca="false">"Custo jg. compl. + "&amp;D374&amp;" recap. / km rodado"</f>
        <v>Custo jg. compl. + 2 recap. / km rodado</v>
      </c>
      <c r="C376" s="131" t="s">
        <v>229</v>
      </c>
      <c r="D376" s="305" t="n">
        <v>60000</v>
      </c>
      <c r="E376" s="187" t="n">
        <f aca="false">SUM(F373:F375)</f>
        <v>0</v>
      </c>
      <c r="F376" s="187" t="n">
        <f aca="false">ROUND(E376/D376,2)</f>
        <v>0</v>
      </c>
      <c r="G376" s="187"/>
      <c r="I376" s="59"/>
    </row>
    <row r="377" s="20" customFormat="true" ht="12.75" hidden="false" customHeight="true" outlineLevel="1" collapsed="false">
      <c r="B377" s="256" t="s">
        <v>230</v>
      </c>
      <c r="C377" s="144" t="s">
        <v>201</v>
      </c>
      <c r="D377" s="202" t="n">
        <f aca="false">C347</f>
        <v>22280</v>
      </c>
      <c r="E377" s="223" t="n">
        <f aca="false">F376</f>
        <v>0</v>
      </c>
      <c r="F377" s="223"/>
      <c r="G377" s="242"/>
    </row>
    <row r="378" s="20" customFormat="true" ht="4.5" hidden="false" customHeight="true" outlineLevel="1" collapsed="false">
      <c r="D378" s="24"/>
      <c r="E378" s="182"/>
      <c r="F378" s="153"/>
      <c r="G378" s="183"/>
    </row>
    <row r="379" s="20" customFormat="true" ht="12.75" hidden="false" customHeight="true" outlineLevel="0" collapsed="false">
      <c r="B379" s="120" t="s">
        <v>151</v>
      </c>
      <c r="C379" s="120"/>
      <c r="D379" s="120"/>
      <c r="E379" s="120"/>
      <c r="F379" s="120"/>
      <c r="G379" s="169" t="n">
        <f aca="false">+E377*D377</f>
        <v>0</v>
      </c>
    </row>
    <row r="380" s="20" customFormat="true" ht="9.75" hidden="false" customHeight="true" outlineLevel="0" collapsed="false"/>
    <row r="381" s="20" customFormat="true" ht="12.75" hidden="false" customHeight="true" outlineLevel="0" collapsed="false">
      <c r="B381" s="120" t="s">
        <v>231</v>
      </c>
      <c r="C381" s="120"/>
      <c r="D381" s="120"/>
      <c r="E381" s="120"/>
      <c r="F381" s="120"/>
      <c r="G381" s="193"/>
      <c r="I381" s="59"/>
    </row>
    <row r="382" s="20" customFormat="true" ht="12.75" hidden="false" customHeight="false" outlineLevel="1" collapsed="false">
      <c r="B382" s="122" t="s">
        <v>38</v>
      </c>
      <c r="C382" s="122" t="s">
        <v>39</v>
      </c>
      <c r="D382" s="122" t="s">
        <v>40</v>
      </c>
      <c r="E382" s="95" t="s">
        <v>41</v>
      </c>
      <c r="F382" s="122" t="s">
        <v>202</v>
      </c>
      <c r="G382" s="122" t="s">
        <v>86</v>
      </c>
      <c r="I382" s="59"/>
    </row>
    <row r="383" s="20" customFormat="true" ht="112.5" hidden="false" customHeight="true" outlineLevel="1" collapsed="false">
      <c r="B383" s="300" t="s">
        <v>232</v>
      </c>
      <c r="C383" s="155" t="s">
        <v>125</v>
      </c>
      <c r="D383" s="306" t="n">
        <v>40</v>
      </c>
      <c r="E383" s="302"/>
      <c r="F383" s="303" t="n">
        <f aca="false">ROUND(E383*D383,2)</f>
        <v>0</v>
      </c>
      <c r="G383" s="303" t="n">
        <f aca="false">F383</f>
        <v>0</v>
      </c>
      <c r="I383" s="59"/>
    </row>
    <row r="384" s="20" customFormat="true" ht="4.5" hidden="false" customHeight="true" outlineLevel="1" collapsed="false">
      <c r="D384" s="24"/>
      <c r="E384" s="182"/>
      <c r="F384" s="153"/>
      <c r="G384" s="183"/>
    </row>
    <row r="385" s="20" customFormat="true" ht="12.75" hidden="false" customHeight="true" outlineLevel="0" collapsed="false">
      <c r="B385" s="120"/>
      <c r="C385" s="120"/>
      <c r="D385" s="120"/>
      <c r="E385" s="120"/>
      <c r="F385" s="120"/>
      <c r="G385" s="169" t="n">
        <f aca="false">G383</f>
        <v>0</v>
      </c>
    </row>
    <row r="386" s="20" customFormat="true" ht="9.75" hidden="false" customHeight="true" outlineLevel="0" collapsed="false"/>
    <row r="387" s="20" customFormat="true" ht="12.75" hidden="false" customHeight="true" outlineLevel="0" collapsed="false">
      <c r="B387" s="88" t="s">
        <v>233</v>
      </c>
      <c r="C387" s="89"/>
      <c r="D387" s="89"/>
      <c r="E387" s="89"/>
      <c r="F387" s="89"/>
      <c r="G387" s="235" t="n">
        <f aca="false">G313+G336+G369+G363+G344+G379+G385</f>
        <v>0</v>
      </c>
    </row>
    <row r="388" s="17" customFormat="true" ht="9.75" hidden="false" customHeight="true" outlineLevel="0" collapsed="false">
      <c r="B388" s="114"/>
      <c r="C388" s="114"/>
      <c r="D388" s="114"/>
      <c r="E388" s="114"/>
      <c r="F388" s="114"/>
      <c r="G388" s="191"/>
    </row>
    <row r="389" s="20" customFormat="true" ht="12.75" hidden="false" customHeight="true" outlineLevel="0" collapsed="false">
      <c r="B389" s="88" t="s">
        <v>234</v>
      </c>
      <c r="C389" s="89"/>
      <c r="D389" s="89"/>
      <c r="E389" s="89"/>
      <c r="F389" s="89"/>
      <c r="G389" s="236"/>
    </row>
    <row r="390" s="20" customFormat="true" ht="12.75" hidden="false" customHeight="false" outlineLevel="1" collapsed="false">
      <c r="B390" s="122" t="s">
        <v>38</v>
      </c>
      <c r="C390" s="122" t="s">
        <v>39</v>
      </c>
      <c r="D390" s="122" t="s">
        <v>40</v>
      </c>
      <c r="E390" s="95" t="s">
        <v>41</v>
      </c>
      <c r="F390" s="122" t="s">
        <v>202</v>
      </c>
      <c r="G390" s="122" t="s">
        <v>86</v>
      </c>
      <c r="I390" s="59"/>
    </row>
    <row r="391" s="20" customFormat="true" ht="25.5" hidden="false" customHeight="true" outlineLevel="1" collapsed="false">
      <c r="B391" s="250" t="s">
        <v>235</v>
      </c>
      <c r="C391" s="126" t="s">
        <v>236</v>
      </c>
      <c r="D391" s="72" t="n">
        <f aca="false">G45</f>
        <v>8</v>
      </c>
      <c r="E391" s="252"/>
      <c r="F391" s="186" t="n">
        <f aca="false">ROUND(+D391*E391,2)</f>
        <v>0</v>
      </c>
      <c r="G391" s="186" t="n">
        <f aca="false">ROUND(F391/60,2)</f>
        <v>0</v>
      </c>
    </row>
    <row r="392" s="20" customFormat="true" ht="25.5" hidden="false" customHeight="true" outlineLevel="1" collapsed="false">
      <c r="B392" s="256" t="s">
        <v>237</v>
      </c>
      <c r="C392" s="216" t="s">
        <v>238</v>
      </c>
      <c r="D392" s="307" t="n">
        <f aca="false">G45</f>
        <v>8</v>
      </c>
      <c r="E392" s="287"/>
      <c r="F392" s="223" t="n">
        <f aca="false">+E392*D392</f>
        <v>0</v>
      </c>
      <c r="G392" s="223" t="n">
        <f aca="false">F392</f>
        <v>0</v>
      </c>
      <c r="H392" s="55"/>
    </row>
    <row r="393" s="20" customFormat="true" ht="4.5" hidden="false" customHeight="true" outlineLevel="1" collapsed="false">
      <c r="D393" s="24"/>
      <c r="E393" s="182" t="s">
        <v>239</v>
      </c>
      <c r="F393" s="153"/>
      <c r="G393" s="183"/>
    </row>
    <row r="394" s="20" customFormat="true" ht="12.75" hidden="false" customHeight="true" outlineLevel="1" collapsed="false">
      <c r="B394" s="120" t="s">
        <v>151</v>
      </c>
      <c r="C394" s="120"/>
      <c r="D394" s="120"/>
      <c r="E394" s="120"/>
      <c r="F394" s="120"/>
      <c r="G394" s="169" t="n">
        <f aca="false">ROUND(SUM(G391:G392),2)</f>
        <v>0</v>
      </c>
    </row>
    <row r="395" s="20" customFormat="true" ht="9.75" hidden="false" customHeight="true" outlineLevel="1" collapsed="false">
      <c r="G395" s="308"/>
    </row>
    <row r="396" s="20" customFormat="true" ht="12.75" hidden="false" customHeight="true" outlineLevel="0" collapsed="false">
      <c r="B396" s="88" t="s">
        <v>240</v>
      </c>
      <c r="C396" s="89"/>
      <c r="D396" s="89"/>
      <c r="E396" s="89"/>
      <c r="F396" s="89"/>
      <c r="G396" s="235" t="n">
        <f aca="false">ROUND(G394,2)</f>
        <v>0</v>
      </c>
    </row>
    <row r="397" customFormat="false" ht="9.75" hidden="false" customHeight="true" outlineLevel="0" collapsed="false"/>
    <row r="398" s="20" customFormat="true" ht="12.75" hidden="false" customHeight="true" outlineLevel="0" collapsed="false">
      <c r="B398" s="88" t="s">
        <v>241</v>
      </c>
      <c r="C398" s="89"/>
      <c r="D398" s="89"/>
      <c r="E398" s="89"/>
      <c r="F398" s="89"/>
      <c r="G398" s="236"/>
    </row>
    <row r="399" s="289" customFormat="true" ht="25.5" hidden="false" customHeight="true" outlineLevel="1" collapsed="false">
      <c r="B399" s="122" t="s">
        <v>38</v>
      </c>
      <c r="C399" s="122" t="s">
        <v>39</v>
      </c>
      <c r="D399" s="122" t="s">
        <v>242</v>
      </c>
      <c r="E399" s="122" t="s">
        <v>156</v>
      </c>
      <c r="F399" s="122" t="s">
        <v>202</v>
      </c>
      <c r="G399" s="122" t="s">
        <v>86</v>
      </c>
    </row>
    <row r="400" s="20" customFormat="true" ht="39.75" hidden="false" customHeight="false" outlineLevel="1" collapsed="false">
      <c r="B400" s="250" t="s">
        <v>243</v>
      </c>
      <c r="C400" s="126" t="s">
        <v>125</v>
      </c>
      <c r="D400" s="72" t="n">
        <f aca="false">G39+G40</f>
        <v>56</v>
      </c>
      <c r="E400" s="252"/>
      <c r="F400" s="309" t="n">
        <f aca="false">ROUND(D400*E400,2)</f>
        <v>0</v>
      </c>
      <c r="G400" s="186" t="n">
        <f aca="false">ROUND(F400/12,2)</f>
        <v>0</v>
      </c>
    </row>
    <row r="401" s="20" customFormat="true" ht="26.25" hidden="false" customHeight="true" outlineLevel="1" collapsed="false">
      <c r="B401" s="240" t="s">
        <v>244</v>
      </c>
      <c r="C401" s="131" t="s">
        <v>125</v>
      </c>
      <c r="D401" s="73" t="n">
        <f aca="false">2*G45</f>
        <v>16</v>
      </c>
      <c r="E401" s="254"/>
      <c r="F401" s="310" t="n">
        <f aca="false">ROUND(D401*E401,2)</f>
        <v>0</v>
      </c>
      <c r="G401" s="187" t="n">
        <f aca="false">ROUND(F401/12,2)</f>
        <v>0</v>
      </c>
    </row>
    <row r="402" s="20" customFormat="true" ht="26.25" hidden="false" customHeight="true" outlineLevel="1" collapsed="false">
      <c r="B402" s="240" t="s">
        <v>245</v>
      </c>
      <c r="C402" s="131" t="s">
        <v>125</v>
      </c>
      <c r="D402" s="73" t="n">
        <f aca="false">2*G45</f>
        <v>16</v>
      </c>
      <c r="E402" s="254"/>
      <c r="F402" s="310" t="n">
        <f aca="false">ROUND(D402*E402,2)</f>
        <v>0</v>
      </c>
      <c r="G402" s="187" t="n">
        <f aca="false">ROUND(F402/12,2)</f>
        <v>0</v>
      </c>
    </row>
    <row r="403" s="20" customFormat="true" ht="15" hidden="false" customHeight="false" outlineLevel="1" collapsed="false">
      <c r="B403" s="311" t="s">
        <v>246</v>
      </c>
      <c r="C403" s="144" t="s">
        <v>236</v>
      </c>
      <c r="D403" s="307" t="n">
        <f aca="false">G45</f>
        <v>8</v>
      </c>
      <c r="E403" s="287"/>
      <c r="F403" s="312" t="n">
        <f aca="false">ROUND(D403*E403,2)</f>
        <v>0</v>
      </c>
      <c r="G403" s="223" t="n">
        <f aca="false">ROUND(F403/12,2)</f>
        <v>0</v>
      </c>
    </row>
    <row r="404" s="20" customFormat="true" ht="12.75" hidden="false" customHeight="true" outlineLevel="1" collapsed="false">
      <c r="B404" s="204" t="s">
        <v>247</v>
      </c>
      <c r="D404" s="24"/>
      <c r="E404" s="182"/>
      <c r="F404" s="153"/>
      <c r="G404" s="183"/>
    </row>
    <row r="405" s="20" customFormat="true" ht="12.75" hidden="false" customHeight="true" outlineLevel="1" collapsed="false">
      <c r="B405" s="120" t="s">
        <v>151</v>
      </c>
      <c r="C405" s="120"/>
      <c r="D405" s="120"/>
      <c r="E405" s="120"/>
      <c r="F405" s="120"/>
      <c r="G405" s="169" t="n">
        <f aca="false">ROUND(SUM(G400:G403),2)</f>
        <v>0</v>
      </c>
    </row>
    <row r="406" s="17" customFormat="true" ht="9.75" hidden="false" customHeight="true" outlineLevel="1" collapsed="false">
      <c r="G406" s="267"/>
    </row>
    <row r="407" s="20" customFormat="true" ht="12.75" hidden="false" customHeight="true" outlineLevel="0" collapsed="false">
      <c r="B407" s="88" t="s">
        <v>248</v>
      </c>
      <c r="C407" s="89"/>
      <c r="D407" s="89"/>
      <c r="E407" s="89"/>
      <c r="F407" s="89"/>
      <c r="G407" s="235" t="n">
        <f aca="false">ROUND(G405,2)</f>
        <v>0</v>
      </c>
    </row>
    <row r="408" s="17" customFormat="true" ht="9.75" hidden="false" customHeight="true" outlineLevel="0" collapsed="false">
      <c r="G408" s="267"/>
    </row>
    <row r="409" s="20" customFormat="true" ht="15" hidden="false" customHeight="true" outlineLevel="0" collapsed="false">
      <c r="B409" s="88" t="s">
        <v>249</v>
      </c>
      <c r="C409" s="89"/>
      <c r="D409" s="89"/>
      <c r="E409" s="89"/>
      <c r="F409" s="89"/>
      <c r="G409" s="236"/>
    </row>
    <row r="410" s="20" customFormat="true" ht="25.5" hidden="false" customHeight="true" outlineLevel="0" collapsed="false">
      <c r="B410" s="122" t="s">
        <v>38</v>
      </c>
      <c r="C410" s="122" t="s">
        <v>39</v>
      </c>
      <c r="D410" s="122" t="s">
        <v>242</v>
      </c>
      <c r="E410" s="122" t="s">
        <v>156</v>
      </c>
      <c r="F410" s="122" t="s">
        <v>202</v>
      </c>
      <c r="G410" s="122" t="s">
        <v>86</v>
      </c>
    </row>
    <row r="411" s="20" customFormat="true" ht="12.75" hidden="false" customHeight="true" outlineLevel="0" collapsed="false">
      <c r="B411" s="250" t="s">
        <v>250</v>
      </c>
      <c r="C411" s="126" t="s">
        <v>251</v>
      </c>
      <c r="D411" s="239" t="n">
        <v>12</v>
      </c>
      <c r="E411" s="252"/>
      <c r="F411" s="309" t="n">
        <f aca="false">D411*E411</f>
        <v>0</v>
      </c>
      <c r="G411" s="186" t="n">
        <f aca="false">F411/12</f>
        <v>0</v>
      </c>
    </row>
    <row r="412" s="20" customFormat="true" ht="28.5" hidden="false" customHeight="true" outlineLevel="0" collapsed="false">
      <c r="B412" s="227" t="s">
        <v>252</v>
      </c>
      <c r="C412" s="144" t="s">
        <v>251</v>
      </c>
      <c r="D412" s="243" t="n">
        <v>12</v>
      </c>
      <c r="E412" s="287"/>
      <c r="F412" s="312" t="n">
        <f aca="false">D412*E412</f>
        <v>0</v>
      </c>
      <c r="G412" s="223" t="n">
        <f aca="false">F412/12</f>
        <v>0</v>
      </c>
    </row>
    <row r="413" s="20" customFormat="true" ht="9.75" hidden="false" customHeight="true" outlineLevel="0" collapsed="false">
      <c r="D413" s="24"/>
      <c r="E413" s="182"/>
      <c r="F413" s="153"/>
      <c r="G413" s="183"/>
    </row>
    <row r="414" s="20" customFormat="true" ht="15" hidden="false" customHeight="true" outlineLevel="0" collapsed="false">
      <c r="B414" s="120" t="s">
        <v>151</v>
      </c>
      <c r="C414" s="120"/>
      <c r="D414" s="120"/>
      <c r="E414" s="120"/>
      <c r="F414" s="120"/>
      <c r="G414" s="169" t="n">
        <f aca="false">ROUND(SUM(G411:G412),2)</f>
        <v>0</v>
      </c>
    </row>
    <row r="415" s="20" customFormat="true" ht="9.75" hidden="false" customHeight="true" outlineLevel="0" collapsed="false">
      <c r="G415" s="308"/>
    </row>
    <row r="416" s="20" customFormat="true" ht="15" hidden="false" customHeight="true" outlineLevel="0" collapsed="false">
      <c r="B416" s="88" t="s">
        <v>253</v>
      </c>
      <c r="C416" s="89"/>
      <c r="D416" s="89"/>
      <c r="E416" s="89"/>
      <c r="F416" s="89"/>
      <c r="G416" s="235" t="n">
        <f aca="false">ROUND(G414,2)</f>
        <v>0</v>
      </c>
    </row>
    <row r="417" s="17" customFormat="true" ht="9.75" hidden="false" customHeight="true" outlineLevel="0" collapsed="false">
      <c r="G417" s="267"/>
    </row>
    <row r="418" s="20" customFormat="true" ht="15" hidden="false" customHeight="true" outlineLevel="0" collapsed="false">
      <c r="B418" s="313" t="s">
        <v>254</v>
      </c>
      <c r="C418" s="313"/>
      <c r="D418" s="313"/>
      <c r="E418" s="313"/>
      <c r="F418" s="313"/>
      <c r="G418" s="314" t="n">
        <f aca="false">G226+G287+G387+G396+G407+G416</f>
        <v>0</v>
      </c>
    </row>
    <row r="419" s="17" customFormat="true" ht="9.75" hidden="false" customHeight="true" outlineLevel="0" collapsed="false">
      <c r="G419" s="267"/>
    </row>
    <row r="420" s="20" customFormat="true" ht="15" hidden="false" customHeight="true" outlineLevel="0" collapsed="false">
      <c r="B420" s="88" t="s">
        <v>255</v>
      </c>
      <c r="C420" s="89"/>
      <c r="D420" s="89"/>
      <c r="E420" s="89"/>
      <c r="F420" s="89"/>
      <c r="G420" s="236"/>
    </row>
    <row r="421" s="289" customFormat="true" ht="25.5" hidden="false" customHeight="true" outlineLevel="1" collapsed="false">
      <c r="B421" s="122" t="s">
        <v>38</v>
      </c>
      <c r="C421" s="122" t="s">
        <v>39</v>
      </c>
      <c r="D421" s="122" t="s">
        <v>40</v>
      </c>
      <c r="E421" s="122" t="s">
        <v>41</v>
      </c>
      <c r="F421" s="122" t="s">
        <v>202</v>
      </c>
      <c r="G421" s="122" t="s">
        <v>86</v>
      </c>
      <c r="I421" s="315"/>
    </row>
    <row r="422" s="20" customFormat="true" ht="12.75" hidden="false" customHeight="true" outlineLevel="1" collapsed="false">
      <c r="B422" s="316" t="s">
        <v>256</v>
      </c>
      <c r="C422" s="155" t="s">
        <v>17</v>
      </c>
      <c r="D422" s="317" t="n">
        <f aca="false">'Anexo B'!I20</f>
        <v>0</v>
      </c>
      <c r="E422" s="318" t="n">
        <f aca="false">G418</f>
        <v>0</v>
      </c>
      <c r="F422" s="318" t="n">
        <f aca="false">E422*D422</f>
        <v>0</v>
      </c>
      <c r="G422" s="316"/>
      <c r="I422" s="319"/>
    </row>
    <row r="423" s="20" customFormat="true" ht="4.5" hidden="false" customHeight="true" outlineLevel="1" collapsed="false">
      <c r="A423" s="18"/>
      <c r="D423" s="24"/>
      <c r="E423" s="182"/>
      <c r="F423" s="153"/>
      <c r="G423" s="183"/>
      <c r="I423" s="319"/>
    </row>
    <row r="424" s="20" customFormat="true" ht="15" hidden="false" customHeight="true" outlineLevel="0" collapsed="false">
      <c r="B424" s="88" t="s">
        <v>257</v>
      </c>
      <c r="C424" s="89"/>
      <c r="D424" s="89"/>
      <c r="E424" s="89"/>
      <c r="F424" s="89"/>
      <c r="G424" s="235" t="n">
        <f aca="false">F422</f>
        <v>0</v>
      </c>
      <c r="I424" s="319"/>
    </row>
    <row r="425" customFormat="false" ht="9.75" hidden="false" customHeight="true" outlineLevel="0" collapsed="false">
      <c r="I425" s="320"/>
    </row>
    <row r="426" s="20" customFormat="true" ht="15" hidden="false" customHeight="true" outlineLevel="0" collapsed="false">
      <c r="B426" s="313" t="s">
        <v>258</v>
      </c>
      <c r="C426" s="321"/>
      <c r="D426" s="321"/>
      <c r="E426" s="321"/>
      <c r="F426" s="321"/>
      <c r="G426" s="314" t="n">
        <f aca="false">ROUND(G424+G418,2)</f>
        <v>0</v>
      </c>
      <c r="I426" s="319"/>
    </row>
    <row r="427" s="20" customFormat="true" ht="9.75" hidden="false" customHeight="true" outlineLevel="0" collapsed="false">
      <c r="I427" s="319"/>
    </row>
    <row r="428" s="20" customFormat="true" ht="15" hidden="false" customHeight="true" outlineLevel="0" collapsed="false">
      <c r="B428" s="313" t="s">
        <v>259</v>
      </c>
      <c r="C428" s="321"/>
      <c r="D428" s="321"/>
      <c r="E428" s="321"/>
      <c r="F428" s="321"/>
      <c r="G428" s="322" t="n">
        <f aca="false">Resumo!E13</f>
        <v>3700</v>
      </c>
      <c r="I428" s="319"/>
    </row>
    <row r="429" s="20" customFormat="true" ht="9.75" hidden="false" customHeight="true" outlineLevel="0" collapsed="false">
      <c r="I429" s="319"/>
    </row>
    <row r="430" s="323" customFormat="true" ht="15" hidden="false" customHeight="true" outlineLevel="0" collapsed="false">
      <c r="B430" s="324" t="s">
        <v>260</v>
      </c>
      <c r="C430" s="324"/>
      <c r="D430" s="324"/>
      <c r="E430" s="324"/>
      <c r="F430" s="324"/>
      <c r="G430" s="325" t="n">
        <f aca="false">ROUND(G426/G428,2)</f>
        <v>0</v>
      </c>
      <c r="I430" s="326"/>
      <c r="J430" s="327"/>
    </row>
  </sheetData>
  <mergeCells count="38">
    <mergeCell ref="B1:G1"/>
    <mergeCell ref="B2:G2"/>
    <mergeCell ref="E3:G3"/>
    <mergeCell ref="B4:G4"/>
    <mergeCell ref="B6:G6"/>
    <mergeCell ref="E7:G7"/>
    <mergeCell ref="B8:G8"/>
    <mergeCell ref="B22:D22"/>
    <mergeCell ref="E36:G36"/>
    <mergeCell ref="B37:G37"/>
    <mergeCell ref="E43:G43"/>
    <mergeCell ref="E47:G47"/>
    <mergeCell ref="B57:G57"/>
    <mergeCell ref="B63:G63"/>
    <mergeCell ref="B71:C71"/>
    <mergeCell ref="B72:C72"/>
    <mergeCell ref="B99:C99"/>
    <mergeCell ref="B100:C100"/>
    <mergeCell ref="B101:C101"/>
    <mergeCell ref="B118:C118"/>
    <mergeCell ref="B119:C119"/>
    <mergeCell ref="B120:C120"/>
    <mergeCell ref="B148:C148"/>
    <mergeCell ref="B149:C149"/>
    <mergeCell ref="B150:C150"/>
    <mergeCell ref="B151:C151"/>
    <mergeCell ref="B167:C167"/>
    <mergeCell ref="B188:G189"/>
    <mergeCell ref="B191:C191"/>
    <mergeCell ref="B192:C192"/>
    <mergeCell ref="B193:C193"/>
    <mergeCell ref="B214:C214"/>
    <mergeCell ref="B216:C216"/>
    <mergeCell ref="B218:C218"/>
    <mergeCell ref="B261:G262"/>
    <mergeCell ref="B263:G263"/>
    <mergeCell ref="B298:G298"/>
    <mergeCell ref="B335:G335"/>
  </mergeCells>
  <printOptions headings="false" gridLines="false" gridLinesSet="true" horizontalCentered="false" verticalCentered="false"/>
  <pageMargins left="0.590277777777778" right="0.236111111111111" top="1.06319444444444" bottom="0.590277777777778" header="0.511811023622047" footer="0.196527777777778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&amp;L&amp;10&amp;K262626&amp;F &amp;D &amp;T / Página &amp;P de &amp;N - SMOPSU
Elaborada com base na "Planilha modelo TCE Coleta v.9_0"</oddFooter>
  </headerFooter>
  <rowBreaks count="1" manualBreakCount="1">
    <brk id="55" man="true" max="16383" min="0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N60"/>
  <sheetViews>
    <sheetView showFormulas="false" showGridLines="fals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N18" activeCellId="0" sqref="N18"/>
    </sheetView>
  </sheetViews>
  <sheetFormatPr defaultColWidth="8.8671875" defaultRowHeight="15" zeroHeight="false" outlineLevelRow="1" outlineLevelCol="0"/>
  <cols>
    <col collapsed="false" customWidth="true" hidden="false" outlineLevel="0" max="1" min="1" style="328" width="3.99"/>
    <col collapsed="false" customWidth="true" hidden="false" outlineLevel="0" max="2" min="2" style="328" width="8.71"/>
    <col collapsed="false" customWidth="true" hidden="false" outlineLevel="0" max="3" min="3" style="328" width="20.14"/>
    <col collapsed="false" customWidth="true" hidden="false" outlineLevel="0" max="4" min="4" style="328" width="14.7"/>
    <col collapsed="false" customWidth="true" hidden="false" outlineLevel="0" max="5" min="5" style="328" width="10.58"/>
    <col collapsed="false" customWidth="true" hidden="false" outlineLevel="0" max="6" min="6" style="328" width="3.42"/>
    <col collapsed="false" customWidth="true" hidden="false" outlineLevel="0" max="8" min="7" style="328" width="10.29"/>
    <col collapsed="false" customWidth="true" hidden="false" outlineLevel="0" max="9" min="9" style="328" width="11.29"/>
    <col collapsed="false" customWidth="false" hidden="false" outlineLevel="0" max="1024" min="10" style="328" width="8.86"/>
  </cols>
  <sheetData>
    <row r="1" customFormat="false" ht="24" hidden="false" customHeight="true" outlineLevel="0" collapsed="false">
      <c r="A1" s="19" t="s">
        <v>261</v>
      </c>
      <c r="B1" s="19"/>
      <c r="C1" s="19"/>
      <c r="D1" s="19"/>
      <c r="E1" s="19"/>
      <c r="F1" s="19"/>
      <c r="G1" s="19"/>
      <c r="H1" s="19"/>
      <c r="I1" s="19"/>
    </row>
    <row r="2" customFormat="false" ht="12.75" hidden="false" customHeight="true" outlineLevel="0" collapsed="false">
      <c r="A2" s="21" t="s">
        <v>262</v>
      </c>
      <c r="B2" s="21"/>
      <c r="C2" s="21"/>
      <c r="D2" s="21"/>
      <c r="E2" s="21"/>
      <c r="F2" s="21"/>
      <c r="G2" s="21"/>
      <c r="H2" s="21"/>
      <c r="I2" s="21"/>
    </row>
    <row r="3" s="20" customFormat="true" ht="7.5" hidden="false" customHeight="true" outlineLevel="0" collapsed="false">
      <c r="A3" s="18"/>
      <c r="E3" s="22"/>
      <c r="F3" s="22"/>
      <c r="G3" s="22"/>
    </row>
    <row r="4" s="20" customFormat="true" ht="12.75" hidden="false" customHeight="true" outlineLevel="0" collapsed="false">
      <c r="A4" s="23" t="str">
        <f aca="false">Resumo!A4</f>
        <v>PARTICIPANTE</v>
      </c>
      <c r="B4" s="23"/>
      <c r="C4" s="23"/>
      <c r="D4" s="23"/>
      <c r="E4" s="23"/>
      <c r="F4" s="23"/>
      <c r="G4" s="23"/>
      <c r="H4" s="23"/>
      <c r="I4" s="23"/>
    </row>
    <row r="5" s="20" customFormat="true" ht="7.5" hidden="false" customHeight="true" outlineLevel="0" collapsed="false">
      <c r="A5" s="18"/>
      <c r="E5" s="24"/>
      <c r="F5" s="24"/>
      <c r="G5" s="24"/>
    </row>
    <row r="6" customFormat="false" ht="12.75" hidden="false" customHeight="true" outlineLevel="0" collapsed="false">
      <c r="A6" s="329" t="s">
        <v>263</v>
      </c>
      <c r="B6" s="329"/>
      <c r="C6" s="329"/>
      <c r="D6" s="329"/>
      <c r="E6" s="329"/>
      <c r="F6" s="329"/>
      <c r="G6" s="329"/>
      <c r="H6" s="329"/>
      <c r="I6" s="329"/>
    </row>
    <row r="7" customFormat="false" ht="6" hidden="false" customHeight="true" outlineLevel="0" collapsed="false">
      <c r="B7" s="330"/>
    </row>
    <row r="8" customFormat="false" ht="12.75" hidden="false" customHeight="true" outlineLevel="1" collapsed="false">
      <c r="B8" s="331" t="s">
        <v>264</v>
      </c>
      <c r="C8" s="332" t="s">
        <v>265</v>
      </c>
      <c r="D8" s="333"/>
      <c r="E8" s="333"/>
      <c r="F8" s="333"/>
      <c r="G8" s="333"/>
      <c r="H8" s="334"/>
      <c r="I8" s="335"/>
    </row>
    <row r="9" customFormat="false" ht="23.25" hidden="false" customHeight="true" outlineLevel="1" collapsed="false">
      <c r="B9" s="336" t="s">
        <v>266</v>
      </c>
      <c r="C9" s="337" t="s">
        <v>267</v>
      </c>
      <c r="D9" s="337"/>
      <c r="E9" s="337"/>
      <c r="F9" s="337"/>
      <c r="G9" s="337"/>
      <c r="H9" s="337"/>
      <c r="I9" s="338"/>
    </row>
    <row r="10" customFormat="false" ht="9.75" hidden="false" customHeight="true" outlineLevel="1" collapsed="false">
      <c r="B10" s="330"/>
      <c r="G10" s="339"/>
      <c r="H10" s="339"/>
      <c r="I10" s="339"/>
    </row>
    <row r="11" s="330" customFormat="true" ht="12.75" hidden="false" customHeight="true" outlineLevel="1" collapsed="false">
      <c r="A11" s="328"/>
      <c r="B11" s="340" t="s">
        <v>268</v>
      </c>
      <c r="C11" s="341" t="s">
        <v>269</v>
      </c>
      <c r="D11" s="342"/>
      <c r="E11" s="342"/>
      <c r="F11" s="342"/>
      <c r="G11" s="342"/>
      <c r="H11" s="343"/>
      <c r="I11" s="344" t="s">
        <v>270</v>
      </c>
      <c r="K11" s="328"/>
      <c r="L11" s="328"/>
      <c r="M11" s="328"/>
      <c r="N11" s="328"/>
    </row>
    <row r="12" customFormat="false" ht="12.75" hidden="false" customHeight="true" outlineLevel="1" collapsed="false">
      <c r="B12" s="127" t="s">
        <v>271</v>
      </c>
      <c r="C12" s="332" t="s">
        <v>272</v>
      </c>
      <c r="D12" s="333"/>
      <c r="E12" s="333"/>
      <c r="F12" s="333"/>
      <c r="G12" s="333"/>
      <c r="H12" s="334"/>
      <c r="I12" s="335"/>
    </row>
    <row r="13" customFormat="false" ht="12.75" hidden="false" customHeight="true" outlineLevel="1" collapsed="false">
      <c r="B13" s="135" t="s">
        <v>273</v>
      </c>
      <c r="C13" s="345" t="s">
        <v>274</v>
      </c>
      <c r="D13" s="346"/>
      <c r="E13" s="346"/>
      <c r="F13" s="346"/>
      <c r="G13" s="346"/>
      <c r="H13" s="347"/>
      <c r="I13" s="348"/>
    </row>
    <row r="14" customFormat="false" ht="12.75" hidden="false" customHeight="true" outlineLevel="1" collapsed="false">
      <c r="A14" s="330"/>
      <c r="B14" s="135" t="s">
        <v>275</v>
      </c>
      <c r="C14" s="345" t="s">
        <v>276</v>
      </c>
      <c r="D14" s="346"/>
      <c r="E14" s="346"/>
      <c r="F14" s="346"/>
      <c r="G14" s="346"/>
      <c r="H14" s="347"/>
      <c r="I14" s="348"/>
    </row>
    <row r="15" customFormat="false" ht="12.75" hidden="false" customHeight="true" outlineLevel="1" collapsed="false">
      <c r="B15" s="135" t="s">
        <v>277</v>
      </c>
      <c r="C15" s="345" t="s">
        <v>278</v>
      </c>
      <c r="D15" s="346"/>
      <c r="E15" s="346"/>
      <c r="F15" s="346"/>
      <c r="G15" s="346"/>
      <c r="H15" s="347"/>
      <c r="I15" s="349" t="n">
        <f aca="false">(1+I8)^(I9/252)-1</f>
        <v>0</v>
      </c>
    </row>
    <row r="16" customFormat="false" ht="12.75" hidden="false" customHeight="true" outlineLevel="1" collapsed="false">
      <c r="B16" s="135" t="s">
        <v>279</v>
      </c>
      <c r="C16" s="345" t="s">
        <v>280</v>
      </c>
      <c r="D16" s="346"/>
      <c r="E16" s="346"/>
      <c r="F16" s="346"/>
      <c r="G16" s="346"/>
      <c r="H16" s="347"/>
      <c r="I16" s="348"/>
    </row>
    <row r="17" customFormat="false" ht="12.75" hidden="false" customHeight="true" outlineLevel="0" collapsed="false">
      <c r="B17" s="135"/>
      <c r="C17" s="345" t="s">
        <v>281</v>
      </c>
      <c r="D17" s="346"/>
      <c r="E17" s="346"/>
      <c r="F17" s="346"/>
      <c r="G17" s="346"/>
      <c r="H17" s="347"/>
      <c r="I17" s="348"/>
    </row>
    <row r="18" customFormat="false" ht="25.5" hidden="false" customHeight="true" outlineLevel="0" collapsed="false">
      <c r="B18" s="216" t="s">
        <v>282</v>
      </c>
      <c r="C18" s="216"/>
      <c r="D18" s="216"/>
      <c r="E18" s="216"/>
      <c r="F18" s="216"/>
      <c r="G18" s="216"/>
      <c r="H18" s="216"/>
      <c r="I18" s="216"/>
    </row>
    <row r="19" customFormat="false" ht="15" hidden="false" customHeight="false" outlineLevel="0" collapsed="false">
      <c r="B19" s="20"/>
      <c r="C19" s="20"/>
      <c r="D19" s="20"/>
      <c r="E19" s="20"/>
      <c r="F19" s="20"/>
      <c r="G19" s="20"/>
      <c r="H19" s="20"/>
    </row>
    <row r="20" customFormat="false" ht="12.75" hidden="false" customHeight="true" outlineLevel="1" collapsed="false">
      <c r="A20" s="350" t="s">
        <v>283</v>
      </c>
      <c r="B20" s="351"/>
      <c r="C20" s="351"/>
      <c r="D20" s="351"/>
      <c r="E20" s="351"/>
      <c r="F20" s="351"/>
      <c r="G20" s="351"/>
      <c r="H20" s="351"/>
      <c r="I20" s="352" t="n">
        <f aca="false">ROUND((((1+I12+I13)*(1+I14)*(1+I15))/(1-(I16+I17))-1),4)</f>
        <v>0</v>
      </c>
    </row>
    <row r="21" customFormat="false" ht="9.75" hidden="false" customHeight="true" outlineLevel="1" collapsed="false"/>
    <row r="22" customFormat="false" ht="12.75" hidden="false" customHeight="true" outlineLevel="1" collapsed="false">
      <c r="A22" s="329" t="s">
        <v>53</v>
      </c>
      <c r="B22" s="329"/>
      <c r="C22" s="329"/>
      <c r="D22" s="329"/>
      <c r="E22" s="329"/>
      <c r="F22" s="329"/>
      <c r="G22" s="329"/>
      <c r="H22" s="329"/>
      <c r="I22" s="329"/>
    </row>
    <row r="23" s="353" customFormat="true" ht="15" hidden="false" customHeight="true" outlineLevel="1" collapsed="false">
      <c r="B23" s="354" t="s">
        <v>284</v>
      </c>
      <c r="C23" s="355"/>
      <c r="D23" s="355"/>
      <c r="E23" s="355"/>
      <c r="F23" s="355"/>
      <c r="G23" s="355"/>
      <c r="H23" s="355"/>
      <c r="I23" s="356"/>
      <c r="K23" s="356"/>
    </row>
    <row r="24" customFormat="false" ht="12.75" hidden="false" customHeight="true" outlineLevel="1" collapsed="false">
      <c r="B24" s="340" t="s">
        <v>268</v>
      </c>
      <c r="C24" s="341" t="s">
        <v>269</v>
      </c>
      <c r="D24" s="342"/>
      <c r="E24" s="342"/>
      <c r="F24" s="342"/>
      <c r="G24" s="342"/>
      <c r="H24" s="343"/>
      <c r="I24" s="344" t="s">
        <v>270</v>
      </c>
    </row>
    <row r="25" customFormat="false" ht="12.75" hidden="false" customHeight="true" outlineLevel="1" collapsed="false">
      <c r="B25" s="127" t="s">
        <v>285</v>
      </c>
      <c r="C25" s="332" t="s">
        <v>286</v>
      </c>
      <c r="D25" s="333"/>
      <c r="E25" s="333"/>
      <c r="F25" s="333"/>
      <c r="G25" s="333"/>
      <c r="H25" s="334"/>
      <c r="I25" s="335"/>
    </row>
    <row r="26" customFormat="false" ht="12.75" hidden="false" customHeight="true" outlineLevel="1" collapsed="false">
      <c r="B26" s="135" t="s">
        <v>287</v>
      </c>
      <c r="C26" s="345" t="s">
        <v>288</v>
      </c>
      <c r="D26" s="346"/>
      <c r="E26" s="346"/>
      <c r="F26" s="346"/>
      <c r="G26" s="346"/>
      <c r="H26" s="347"/>
      <c r="I26" s="348"/>
    </row>
    <row r="27" customFormat="false" ht="12.75" hidden="false" customHeight="true" outlineLevel="1" collapsed="false">
      <c r="B27" s="135" t="s">
        <v>289</v>
      </c>
      <c r="C27" s="345" t="s">
        <v>290</v>
      </c>
      <c r="D27" s="346"/>
      <c r="E27" s="346"/>
      <c r="F27" s="346"/>
      <c r="G27" s="346"/>
      <c r="H27" s="347"/>
      <c r="I27" s="348"/>
    </row>
    <row r="28" customFormat="false" ht="12.75" hidden="false" customHeight="true" outlineLevel="1" collapsed="false">
      <c r="B28" s="135" t="s">
        <v>291</v>
      </c>
      <c r="C28" s="345" t="s">
        <v>292</v>
      </c>
      <c r="D28" s="346"/>
      <c r="E28" s="346"/>
      <c r="F28" s="346"/>
      <c r="G28" s="346"/>
      <c r="H28" s="347"/>
      <c r="I28" s="348"/>
    </row>
    <row r="29" customFormat="false" ht="12.75" hidden="false" customHeight="true" outlineLevel="1" collapsed="false">
      <c r="B29" s="135" t="s">
        <v>293</v>
      </c>
      <c r="C29" s="345" t="s">
        <v>294</v>
      </c>
      <c r="D29" s="346"/>
      <c r="E29" s="346"/>
      <c r="F29" s="346"/>
      <c r="G29" s="346"/>
      <c r="H29" s="347"/>
      <c r="I29" s="348"/>
    </row>
    <row r="30" customFormat="false" ht="12.75" hidden="false" customHeight="true" outlineLevel="1" collapsed="false">
      <c r="B30" s="135" t="s">
        <v>295</v>
      </c>
      <c r="C30" s="345" t="s">
        <v>296</v>
      </c>
      <c r="D30" s="346"/>
      <c r="E30" s="346"/>
      <c r="F30" s="346"/>
      <c r="G30" s="346"/>
      <c r="H30" s="347"/>
      <c r="I30" s="348"/>
    </row>
    <row r="31" customFormat="false" ht="12.75" hidden="false" customHeight="true" outlineLevel="1" collapsed="false">
      <c r="B31" s="135" t="s">
        <v>297</v>
      </c>
      <c r="C31" s="345" t="s">
        <v>298</v>
      </c>
      <c r="D31" s="346"/>
      <c r="E31" s="346"/>
      <c r="F31" s="346"/>
      <c r="G31" s="346"/>
      <c r="H31" s="347"/>
      <c r="I31" s="348"/>
    </row>
    <row r="32" customFormat="false" ht="12.75" hidden="false" customHeight="true" outlineLevel="1" collapsed="false">
      <c r="B32" s="336" t="s">
        <v>299</v>
      </c>
      <c r="C32" s="345" t="s">
        <v>300</v>
      </c>
      <c r="D32" s="346"/>
      <c r="E32" s="346"/>
      <c r="F32" s="346"/>
      <c r="G32" s="346"/>
      <c r="H32" s="347"/>
      <c r="I32" s="348"/>
    </row>
    <row r="33" customFormat="false" ht="12.75" hidden="false" customHeight="true" outlineLevel="1" collapsed="false">
      <c r="C33" s="357" t="s">
        <v>301</v>
      </c>
      <c r="D33" s="358"/>
      <c r="E33" s="358"/>
      <c r="F33" s="358"/>
      <c r="G33" s="358"/>
      <c r="H33" s="359"/>
      <c r="I33" s="360" t="n">
        <f aca="false">SUM(I25:I32)</f>
        <v>0</v>
      </c>
    </row>
    <row r="34" s="353" customFormat="true" ht="15" hidden="false" customHeight="true" outlineLevel="1" collapsed="false">
      <c r="B34" s="354" t="s">
        <v>302</v>
      </c>
      <c r="C34" s="355"/>
      <c r="D34" s="355"/>
      <c r="E34" s="355"/>
      <c r="F34" s="355"/>
      <c r="G34" s="355"/>
      <c r="H34" s="355"/>
      <c r="I34" s="356"/>
      <c r="K34" s="356"/>
    </row>
    <row r="35" customFormat="false" ht="12.75" hidden="false" customHeight="true" outlineLevel="1" collapsed="false">
      <c r="B35" s="340" t="s">
        <v>268</v>
      </c>
      <c r="C35" s="361" t="s">
        <v>269</v>
      </c>
      <c r="D35" s="362"/>
      <c r="E35" s="362"/>
      <c r="F35" s="362"/>
      <c r="G35" s="362"/>
      <c r="H35" s="363"/>
      <c r="I35" s="344" t="s">
        <v>270</v>
      </c>
    </row>
    <row r="36" customFormat="false" ht="12.75" hidden="false" customHeight="true" outlineLevel="1" collapsed="false">
      <c r="B36" s="127" t="s">
        <v>303</v>
      </c>
      <c r="C36" s="364" t="s">
        <v>304</v>
      </c>
      <c r="D36" s="365"/>
      <c r="E36" s="365"/>
      <c r="F36" s="365"/>
      <c r="G36" s="365"/>
      <c r="H36" s="366"/>
      <c r="I36" s="335"/>
    </row>
    <row r="37" customFormat="false" ht="12.75" hidden="false" customHeight="true" outlineLevel="1" collapsed="false">
      <c r="B37" s="135" t="s">
        <v>305</v>
      </c>
      <c r="C37" s="367" t="s">
        <v>306</v>
      </c>
      <c r="D37" s="368"/>
      <c r="E37" s="368"/>
      <c r="F37" s="368"/>
      <c r="G37" s="368"/>
      <c r="H37" s="369"/>
      <c r="I37" s="348"/>
    </row>
    <row r="38" customFormat="false" ht="12.75" hidden="false" customHeight="true" outlineLevel="1" collapsed="false">
      <c r="B38" s="135" t="s">
        <v>307</v>
      </c>
      <c r="C38" s="367" t="s">
        <v>308</v>
      </c>
      <c r="D38" s="368"/>
      <c r="E38" s="368"/>
      <c r="F38" s="368"/>
      <c r="G38" s="368"/>
      <c r="H38" s="369"/>
      <c r="I38" s="348"/>
    </row>
    <row r="39" customFormat="false" ht="12.75" hidden="false" customHeight="true" outlineLevel="1" collapsed="false">
      <c r="B39" s="135" t="s">
        <v>309</v>
      </c>
      <c r="C39" s="367" t="s">
        <v>310</v>
      </c>
      <c r="D39" s="368"/>
      <c r="E39" s="368"/>
      <c r="F39" s="368"/>
      <c r="G39" s="368"/>
      <c r="H39" s="369"/>
      <c r="I39" s="348"/>
    </row>
    <row r="40" customFormat="false" ht="12.75" hidden="false" customHeight="true" outlineLevel="1" collapsed="false">
      <c r="B40" s="135" t="s">
        <v>311</v>
      </c>
      <c r="C40" s="367" t="s">
        <v>312</v>
      </c>
      <c r="D40" s="368"/>
      <c r="E40" s="368"/>
      <c r="F40" s="368"/>
      <c r="G40" s="368"/>
      <c r="H40" s="369"/>
      <c r="I40" s="348"/>
      <c r="K40" s="370"/>
    </row>
    <row r="41" s="370" customFormat="true" ht="12.75" hidden="false" customHeight="true" outlineLevel="1" collapsed="false">
      <c r="A41" s="328"/>
      <c r="B41" s="336" t="s">
        <v>313</v>
      </c>
      <c r="C41" s="371" t="s">
        <v>314</v>
      </c>
      <c r="D41" s="372"/>
      <c r="E41" s="372"/>
      <c r="F41" s="372"/>
      <c r="G41" s="372"/>
      <c r="H41" s="373"/>
      <c r="I41" s="348"/>
    </row>
    <row r="42" s="370" customFormat="true" ht="12.75" hidden="false" customHeight="true" outlineLevel="1" collapsed="false">
      <c r="A42" s="328"/>
      <c r="B42" s="328"/>
      <c r="C42" s="374" t="s">
        <v>301</v>
      </c>
      <c r="D42" s="375"/>
      <c r="E42" s="375"/>
      <c r="F42" s="375"/>
      <c r="G42" s="375"/>
      <c r="H42" s="376"/>
      <c r="I42" s="360" t="n">
        <f aca="false">SUM(I36:I41)</f>
        <v>0</v>
      </c>
    </row>
    <row r="43" s="353" customFormat="true" ht="15" hidden="false" customHeight="true" outlineLevel="1" collapsed="false">
      <c r="B43" s="354" t="s">
        <v>315</v>
      </c>
      <c r="C43" s="355"/>
      <c r="D43" s="355"/>
      <c r="E43" s="355"/>
      <c r="F43" s="355"/>
      <c r="G43" s="355"/>
      <c r="H43" s="355"/>
      <c r="I43" s="356"/>
      <c r="K43" s="356"/>
    </row>
    <row r="44" customFormat="false" ht="12.75" hidden="false" customHeight="true" outlineLevel="1" collapsed="false">
      <c r="A44" s="370"/>
      <c r="B44" s="340" t="s">
        <v>268</v>
      </c>
      <c r="C44" s="361" t="s">
        <v>269</v>
      </c>
      <c r="D44" s="362"/>
      <c r="E44" s="362"/>
      <c r="F44" s="362"/>
      <c r="G44" s="362"/>
      <c r="H44" s="363"/>
      <c r="I44" s="344" t="s">
        <v>270</v>
      </c>
    </row>
    <row r="45" customFormat="false" ht="12.75" hidden="false" customHeight="true" outlineLevel="1" collapsed="false">
      <c r="A45" s="370"/>
      <c r="B45" s="127" t="s">
        <v>316</v>
      </c>
      <c r="C45" s="377" t="s">
        <v>317</v>
      </c>
      <c r="D45" s="378"/>
      <c r="E45" s="378"/>
      <c r="F45" s="378"/>
      <c r="G45" s="378"/>
      <c r="H45" s="379"/>
      <c r="I45" s="335"/>
    </row>
    <row r="46" customFormat="false" ht="12.75" hidden="false" customHeight="true" outlineLevel="1" collapsed="false">
      <c r="B46" s="135" t="s">
        <v>318</v>
      </c>
      <c r="C46" s="380" t="s">
        <v>319</v>
      </c>
      <c r="D46" s="381"/>
      <c r="E46" s="381"/>
      <c r="F46" s="381"/>
      <c r="G46" s="381"/>
      <c r="H46" s="382"/>
      <c r="I46" s="348"/>
    </row>
    <row r="47" customFormat="false" ht="12.75" hidden="false" customHeight="true" outlineLevel="1" collapsed="false">
      <c r="B47" s="135" t="s">
        <v>320</v>
      </c>
      <c r="C47" s="380" t="s">
        <v>321</v>
      </c>
      <c r="D47" s="381"/>
      <c r="E47" s="381"/>
      <c r="F47" s="381"/>
      <c r="G47" s="381"/>
      <c r="H47" s="382"/>
      <c r="I47" s="348"/>
    </row>
    <row r="48" customFormat="false" ht="12.75" hidden="false" customHeight="true" outlineLevel="1" collapsed="false">
      <c r="B48" s="135" t="s">
        <v>322</v>
      </c>
      <c r="C48" s="380" t="s">
        <v>323</v>
      </c>
      <c r="D48" s="381"/>
      <c r="E48" s="381"/>
      <c r="F48" s="381"/>
      <c r="G48" s="381"/>
      <c r="H48" s="382"/>
      <c r="I48" s="348"/>
      <c r="K48" s="370"/>
    </row>
    <row r="49" s="370" customFormat="true" ht="12.75" hidden="false" customHeight="true" outlineLevel="1" collapsed="false">
      <c r="A49" s="328"/>
      <c r="B49" s="336" t="s">
        <v>324</v>
      </c>
      <c r="C49" s="383" t="s">
        <v>325</v>
      </c>
      <c r="D49" s="384"/>
      <c r="E49" s="384"/>
      <c r="F49" s="384"/>
      <c r="G49" s="384"/>
      <c r="H49" s="385"/>
      <c r="I49" s="348"/>
    </row>
    <row r="50" s="370" customFormat="true" ht="12.75" hidden="false" customHeight="true" outlineLevel="1" collapsed="false">
      <c r="A50" s="328"/>
      <c r="B50" s="328"/>
      <c r="C50" s="374" t="s">
        <v>301</v>
      </c>
      <c r="D50" s="375"/>
      <c r="E50" s="375"/>
      <c r="F50" s="375"/>
      <c r="G50" s="375"/>
      <c r="H50" s="376"/>
      <c r="I50" s="360" t="n">
        <f aca="false">SUM(I45:I49)</f>
        <v>0</v>
      </c>
      <c r="K50" s="328"/>
    </row>
    <row r="51" s="353" customFormat="true" ht="15" hidden="false" customHeight="true" outlineLevel="1" collapsed="false">
      <c r="B51" s="354" t="s">
        <v>326</v>
      </c>
      <c r="C51" s="355"/>
      <c r="D51" s="355"/>
      <c r="E51" s="355"/>
      <c r="F51" s="355"/>
      <c r="G51" s="355"/>
      <c r="H51" s="355"/>
      <c r="I51" s="356"/>
      <c r="K51" s="356"/>
    </row>
    <row r="52" customFormat="false" ht="12.75" hidden="false" customHeight="true" outlineLevel="1" collapsed="false">
      <c r="A52" s="370"/>
      <c r="B52" s="340" t="s">
        <v>268</v>
      </c>
      <c r="C52" s="361" t="s">
        <v>269</v>
      </c>
      <c r="D52" s="362"/>
      <c r="E52" s="362"/>
      <c r="F52" s="362"/>
      <c r="G52" s="362"/>
      <c r="H52" s="363"/>
      <c r="I52" s="344" t="s">
        <v>270</v>
      </c>
    </row>
    <row r="53" customFormat="false" ht="12.75" hidden="false" customHeight="true" outlineLevel="1" collapsed="false">
      <c r="B53" s="135" t="s">
        <v>327</v>
      </c>
      <c r="C53" s="377" t="s">
        <v>328</v>
      </c>
      <c r="D53" s="386"/>
      <c r="E53" s="386"/>
      <c r="F53" s="386"/>
      <c r="G53" s="386"/>
      <c r="H53" s="387"/>
      <c r="I53" s="388" t="n">
        <f aca="false">I33*I42</f>
        <v>0</v>
      </c>
    </row>
    <row r="54" customFormat="false" ht="12.75" hidden="false" customHeight="true" outlineLevel="0" collapsed="false">
      <c r="A54" s="370"/>
      <c r="B54" s="336" t="s">
        <v>329</v>
      </c>
      <c r="C54" s="383" t="s">
        <v>330</v>
      </c>
      <c r="D54" s="389"/>
      <c r="E54" s="389"/>
      <c r="F54" s="389"/>
      <c r="G54" s="389"/>
      <c r="H54" s="390"/>
      <c r="I54" s="391" t="n">
        <f aca="false">I32*I45</f>
        <v>0</v>
      </c>
    </row>
    <row r="55" customFormat="false" ht="12.75" hidden="false" customHeight="true" outlineLevel="0" collapsed="false">
      <c r="C55" s="374" t="s">
        <v>301</v>
      </c>
      <c r="D55" s="375"/>
      <c r="E55" s="375"/>
      <c r="F55" s="375"/>
      <c r="G55" s="375"/>
      <c r="H55" s="376"/>
      <c r="I55" s="360" t="n">
        <f aca="false">SUM(I53:I54)</f>
        <v>0</v>
      </c>
    </row>
    <row r="56" customFormat="false" ht="7.5" hidden="false" customHeight="true" outlineLevel="0" collapsed="false"/>
    <row r="57" customFormat="false" ht="12.75" hidden="false" customHeight="true" outlineLevel="0" collapsed="false">
      <c r="A57" s="350" t="s">
        <v>331</v>
      </c>
      <c r="B57" s="351"/>
      <c r="C57" s="351"/>
      <c r="D57" s="351"/>
      <c r="E57" s="351"/>
      <c r="F57" s="351"/>
      <c r="G57" s="351"/>
      <c r="H57" s="351"/>
      <c r="I57" s="392" t="n">
        <f aca="false">I55+I50+I42+I33</f>
        <v>0</v>
      </c>
    </row>
    <row r="58" customFormat="false" ht="12.75" hidden="false" customHeight="true" outlineLevel="0" collapsed="false"/>
    <row r="59" customFormat="false" ht="12.75" hidden="false" customHeight="true" outlineLevel="0" collapsed="false">
      <c r="B59" s="393"/>
    </row>
    <row r="60" customFormat="false" ht="13.5" hidden="false" customHeight="true" outlineLevel="0" collapsed="false"/>
  </sheetData>
  <mergeCells count="9">
    <mergeCell ref="A1:I1"/>
    <mergeCell ref="A2:I2"/>
    <mergeCell ref="E3:G3"/>
    <mergeCell ref="A4:I4"/>
    <mergeCell ref="A6:I6"/>
    <mergeCell ref="C9:H9"/>
    <mergeCell ref="G10:I10"/>
    <mergeCell ref="B18:I18"/>
    <mergeCell ref="A22:I22"/>
  </mergeCells>
  <printOptions headings="false" gridLines="false" gridLinesSet="true" horizontalCentered="false" verticalCentered="false"/>
  <pageMargins left="0.590277777777778" right="0.236111111111111" top="1.06319444444444" bottom="0.590277777777778" header="0.511811023622047" footer="0.196527777777778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&amp;L&amp;10&amp;K262626&amp;F &amp;D &amp;T / Página &amp;P de &amp;N - SMOPSU
Elaborada com base na "Planilha modelo TCE Coleta v.9_0"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D9D9D9"/>
    <pageSetUpPr fitToPage="false"/>
  </sheetPr>
  <dimension ref="A1:AMJ19"/>
  <sheetViews>
    <sheetView showFormulas="false" showGridLines="fals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K24" activeCellId="0" sqref="K24"/>
    </sheetView>
  </sheetViews>
  <sheetFormatPr defaultColWidth="9.15625" defaultRowHeight="15" zeroHeight="false" outlineLevelRow="0" outlineLevelCol="0"/>
  <cols>
    <col collapsed="false" customWidth="true" hidden="false" outlineLevel="0" max="1" min="1" style="394" width="24.57"/>
    <col collapsed="false" customWidth="true" hidden="false" outlineLevel="0" max="2" min="2" style="394" width="20.86"/>
    <col collapsed="false" customWidth="false" hidden="false" outlineLevel="0" max="1022" min="3" style="394" width="9.14"/>
    <col collapsed="false" customWidth="false" hidden="false" outlineLevel="0" max="1024" min="1023" style="395" width="9.14"/>
  </cols>
  <sheetData>
    <row r="1" s="328" customFormat="true" ht="24" hidden="false" customHeight="true" outlineLevel="0" collapsed="false">
      <c r="A1" s="19"/>
      <c r="B1" s="19"/>
      <c r="C1" s="19"/>
      <c r="D1" s="19"/>
      <c r="E1" s="19"/>
      <c r="F1" s="19"/>
      <c r="G1" s="19"/>
      <c r="H1" s="396"/>
      <c r="I1" s="396"/>
    </row>
    <row r="2" s="398" customFormat="true" ht="12.75" hidden="false" customHeight="true" outlineLevel="0" collapsed="false">
      <c r="A2" s="397" t="s">
        <v>332</v>
      </c>
      <c r="B2" s="397"/>
      <c r="C2" s="397"/>
      <c r="D2" s="397"/>
      <c r="E2" s="397"/>
      <c r="F2" s="397"/>
      <c r="G2" s="397"/>
      <c r="AMI2" s="395"/>
      <c r="AMJ2" s="395"/>
    </row>
    <row r="3" customFormat="false" ht="19.5" hidden="false" customHeight="true" outlineLevel="0" collapsed="false">
      <c r="D3" s="399"/>
    </row>
    <row r="4" s="402" customFormat="true" ht="19.5" hidden="false" customHeight="true" outlineLevel="0" collapsed="false">
      <c r="A4" s="400" t="s">
        <v>333</v>
      </c>
      <c r="B4" s="401" t="s">
        <v>334</v>
      </c>
    </row>
    <row r="5" customFormat="false" ht="19.5" hidden="false" customHeight="true" outlineLevel="0" collapsed="false">
      <c r="A5" s="403" t="n">
        <v>1</v>
      </c>
      <c r="B5" s="404" t="n">
        <v>33.63</v>
      </c>
    </row>
    <row r="6" customFormat="false" ht="15" hidden="false" customHeight="false" outlineLevel="0" collapsed="false">
      <c r="A6" s="403" t="n">
        <v>2</v>
      </c>
      <c r="B6" s="404" t="n">
        <v>43.13</v>
      </c>
    </row>
    <row r="7" customFormat="false" ht="19.5" hidden="false" customHeight="true" outlineLevel="0" collapsed="false">
      <c r="A7" s="403" t="n">
        <v>3</v>
      </c>
      <c r="B7" s="404" t="n">
        <v>48.68</v>
      </c>
    </row>
    <row r="8" customFormat="false" ht="19.5" hidden="false" customHeight="true" outlineLevel="0" collapsed="false">
      <c r="A8" s="403" t="n">
        <v>4</v>
      </c>
      <c r="B8" s="404" t="n">
        <v>52.62</v>
      </c>
    </row>
    <row r="9" customFormat="false" ht="19.5" hidden="false" customHeight="true" outlineLevel="0" collapsed="false">
      <c r="A9" s="403" t="n">
        <v>5</v>
      </c>
      <c r="B9" s="404" t="n">
        <v>55.68</v>
      </c>
    </row>
    <row r="10" customFormat="false" ht="19.5" hidden="false" customHeight="true" outlineLevel="0" collapsed="false">
      <c r="A10" s="403" t="n">
        <v>6</v>
      </c>
      <c r="B10" s="404" t="n">
        <v>58.18</v>
      </c>
    </row>
    <row r="11" customFormat="false" ht="19.5" hidden="false" customHeight="true" outlineLevel="0" collapsed="false">
      <c r="A11" s="403" t="n">
        <v>7</v>
      </c>
      <c r="B11" s="404" t="n">
        <v>60.29</v>
      </c>
    </row>
    <row r="12" customFormat="false" ht="19.5" hidden="false" customHeight="true" outlineLevel="0" collapsed="false">
      <c r="A12" s="403" t="n">
        <v>8</v>
      </c>
      <c r="B12" s="404" t="n">
        <v>62.12</v>
      </c>
    </row>
    <row r="13" customFormat="false" ht="19.5" hidden="false" customHeight="true" outlineLevel="0" collapsed="false">
      <c r="A13" s="403" t="n">
        <v>9</v>
      </c>
      <c r="B13" s="404" t="n">
        <v>63.73</v>
      </c>
    </row>
    <row r="14" customFormat="false" ht="19.5" hidden="false" customHeight="true" outlineLevel="0" collapsed="false">
      <c r="A14" s="403" t="n">
        <v>10</v>
      </c>
      <c r="B14" s="404" t="n">
        <v>65.18</v>
      </c>
    </row>
    <row r="15" customFormat="false" ht="19.5" hidden="false" customHeight="true" outlineLevel="0" collapsed="false">
      <c r="A15" s="403" t="n">
        <v>11</v>
      </c>
      <c r="B15" s="404" t="n">
        <v>66.48</v>
      </c>
    </row>
    <row r="16" customFormat="false" ht="19.5" hidden="false" customHeight="true" outlineLevel="0" collapsed="false">
      <c r="A16" s="403" t="n">
        <v>12</v>
      </c>
      <c r="B16" s="404" t="n">
        <v>67.67</v>
      </c>
    </row>
    <row r="17" customFormat="false" ht="19.5" hidden="false" customHeight="true" outlineLevel="0" collapsed="false">
      <c r="A17" s="403" t="n">
        <v>13</v>
      </c>
      <c r="B17" s="404" t="n">
        <v>68.77</v>
      </c>
    </row>
    <row r="18" customFormat="false" ht="19.5" hidden="false" customHeight="true" outlineLevel="0" collapsed="false">
      <c r="A18" s="403" t="n">
        <v>14</v>
      </c>
      <c r="B18" s="404" t="n">
        <v>69.79</v>
      </c>
    </row>
    <row r="19" customFormat="false" ht="19.5" hidden="false" customHeight="true" outlineLevel="0" collapsed="false">
      <c r="A19" s="403" t="n">
        <v>15</v>
      </c>
      <c r="B19" s="404" t="n">
        <v>70.73</v>
      </c>
    </row>
  </sheetData>
  <mergeCells count="2">
    <mergeCell ref="A1:G1"/>
    <mergeCell ref="A2:G2"/>
  </mergeCells>
  <printOptions headings="false" gridLines="false" gridLinesSet="true" horizontalCentered="false" verticalCentered="false"/>
  <pageMargins left="0.590277777777778" right="0.236111111111111" top="1.06319444444444" bottom="0.590277777777778" header="0.511811023622047" footer="0.196527777777778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&amp;L&amp;10&amp;K262626&amp;F &amp;D &amp;T / Página &amp;P de &amp;N - SMOPSU
Elaborada com base na "Planilha modelo TCE Coleta v.9_0"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D9D9D9"/>
    <pageSetUpPr fitToPage="false"/>
  </sheetPr>
  <dimension ref="A2:K36"/>
  <sheetViews>
    <sheetView showFormulas="false" showGridLines="fals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K24" activeCellId="0" sqref="K24"/>
    </sheetView>
  </sheetViews>
  <sheetFormatPr defaultColWidth="8.8671875" defaultRowHeight="15" zeroHeight="false" outlineLevelRow="0" outlineLevelCol="0"/>
  <cols>
    <col collapsed="false" customWidth="true" hidden="false" outlineLevel="0" max="1" min="1" style="328" width="2.71"/>
    <col collapsed="false" customWidth="true" hidden="false" outlineLevel="0" max="2" min="2" style="328" width="14.28"/>
    <col collapsed="false" customWidth="true" hidden="false" outlineLevel="0" max="3" min="3" style="328" width="23.15"/>
    <col collapsed="false" customWidth="true" hidden="false" outlineLevel="0" max="4" min="4" style="328" width="2.71"/>
    <col collapsed="false" customWidth="true" hidden="false" outlineLevel="0" max="5" min="5" style="328" width="11.29"/>
    <col collapsed="false" customWidth="true" hidden="false" outlineLevel="0" max="6" min="6" style="328" width="8.14"/>
    <col collapsed="false" customWidth="true" hidden="false" outlineLevel="0" max="8" min="7" style="328" width="9.71"/>
    <col collapsed="false" customWidth="true" hidden="false" outlineLevel="0" max="9" min="9" style="328" width="12.29"/>
    <col collapsed="false" customWidth="true" hidden="false" outlineLevel="0" max="13" min="10" style="328" width="9.71"/>
    <col collapsed="false" customWidth="false" hidden="false" outlineLevel="0" max="1024" min="14" style="328" width="8.86"/>
  </cols>
  <sheetData>
    <row r="2" customFormat="false" ht="15" hidden="false" customHeight="true" outlineLevel="0" collapsed="false">
      <c r="A2" s="405" t="s">
        <v>335</v>
      </c>
      <c r="B2" s="405"/>
      <c r="C2" s="405"/>
      <c r="D2" s="405"/>
      <c r="E2" s="405"/>
      <c r="F2" s="405"/>
      <c r="G2" s="405"/>
      <c r="H2" s="405"/>
      <c r="I2" s="405"/>
    </row>
    <row r="3" customFormat="false" ht="15" hidden="false" customHeight="true" outlineLevel="0" collapsed="false">
      <c r="B3" s="328" t="s">
        <v>336</v>
      </c>
      <c r="D3" s="406"/>
    </row>
    <row r="4" customFormat="false" ht="15" hidden="false" customHeight="true" outlineLevel="0" collapsed="false">
      <c r="B4" s="328" t="s">
        <v>337</v>
      </c>
      <c r="D4" s="406"/>
    </row>
    <row r="5" customFormat="false" ht="15" hidden="false" customHeight="true" outlineLevel="0" collapsed="false">
      <c r="B5" s="407"/>
      <c r="D5" s="406"/>
    </row>
    <row r="6" customFormat="false" ht="15" hidden="false" customHeight="true" outlineLevel="0" collapsed="false">
      <c r="A6" s="405" t="s">
        <v>338</v>
      </c>
      <c r="B6" s="405"/>
      <c r="C6" s="405"/>
      <c r="D6" s="405"/>
      <c r="E6" s="405"/>
      <c r="F6" s="405"/>
      <c r="G6" s="405"/>
      <c r="H6" s="405"/>
      <c r="I6" s="405"/>
    </row>
    <row r="7" customFormat="false" ht="15" hidden="false" customHeight="true" outlineLevel="0" collapsed="false">
      <c r="B7" s="408" t="s">
        <v>339</v>
      </c>
      <c r="C7" s="408"/>
      <c r="E7" s="408"/>
      <c r="F7" s="408"/>
      <c r="G7" s="408"/>
      <c r="H7" s="408"/>
      <c r="I7" s="408"/>
    </row>
    <row r="8" customFormat="false" ht="15" hidden="false" customHeight="true" outlineLevel="0" collapsed="false">
      <c r="B8" s="409" t="s">
        <v>340</v>
      </c>
      <c r="C8" s="409"/>
      <c r="E8" s="410" t="s">
        <v>341</v>
      </c>
      <c r="F8" s="408"/>
      <c r="G8" s="328" t="s">
        <v>342</v>
      </c>
      <c r="I8" s="408"/>
    </row>
    <row r="9" customFormat="false" ht="15" hidden="false" customHeight="true" outlineLevel="0" collapsed="false">
      <c r="B9" s="411" t="s">
        <v>343</v>
      </c>
      <c r="C9" s="411" t="s">
        <v>344</v>
      </c>
      <c r="E9" s="412" t="n">
        <v>52</v>
      </c>
      <c r="F9" s="408"/>
      <c r="G9" s="328" t="n">
        <v>4</v>
      </c>
      <c r="H9" s="328" t="s">
        <v>345</v>
      </c>
      <c r="I9" s="408"/>
    </row>
    <row r="10" customFormat="false" ht="15" hidden="false" customHeight="true" outlineLevel="0" collapsed="false">
      <c r="B10" s="413" t="s">
        <v>346</v>
      </c>
      <c r="C10" s="413" t="str">
        <f aca="false">"das "&amp;HOUR(B11)&amp;"h às "&amp;HOUR(C11)&amp;"h"&amp;MINUTE(C11)&amp;"min."</f>
        <v>das 7h às 15h20min.</v>
      </c>
      <c r="E10" s="414" t="s">
        <v>347</v>
      </c>
      <c r="F10" s="415"/>
      <c r="G10" s="416" t="s">
        <v>348</v>
      </c>
      <c r="H10" s="415"/>
      <c r="I10" s="417"/>
    </row>
    <row r="11" customFormat="false" ht="15" hidden="false" customHeight="true" outlineLevel="0" collapsed="false">
      <c r="B11" s="418" t="n">
        <v>0.291666666666667</v>
      </c>
      <c r="C11" s="418" t="n">
        <v>0.638888888888889</v>
      </c>
      <c r="E11" s="419" t="n">
        <v>13</v>
      </c>
      <c r="F11" s="408"/>
      <c r="G11" s="412" t="n">
        <v>9</v>
      </c>
      <c r="H11" s="407"/>
      <c r="I11" s="420"/>
      <c r="K11" s="421"/>
    </row>
    <row r="12" customFormat="false" ht="15" hidden="false" customHeight="true" outlineLevel="0" collapsed="false">
      <c r="B12" s="422" t="s">
        <v>349</v>
      </c>
      <c r="C12" s="418" t="n">
        <v>0.0416666666666667</v>
      </c>
      <c r="E12" s="423"/>
      <c r="F12" s="408"/>
      <c r="G12" s="410" t="s">
        <v>350</v>
      </c>
      <c r="H12" s="408"/>
      <c r="I12" s="420"/>
      <c r="J12" s="406"/>
    </row>
    <row r="13" customFormat="false" ht="15" hidden="false" customHeight="true" outlineLevel="0" collapsed="false">
      <c r="B13" s="413" t="s">
        <v>351</v>
      </c>
      <c r="C13" s="424" t="n">
        <f aca="false">HOUR(C14)+MINUTE(C14)/60</f>
        <v>7.33333333333333</v>
      </c>
      <c r="E13" s="425"/>
      <c r="F13" s="426"/>
      <c r="G13" s="427" t="n">
        <v>3</v>
      </c>
      <c r="H13" s="426"/>
      <c r="I13" s="428"/>
      <c r="J13" s="406"/>
      <c r="K13" s="421"/>
    </row>
    <row r="14" customFormat="false" ht="15" hidden="false" customHeight="true" outlineLevel="0" collapsed="false">
      <c r="B14" s="413"/>
      <c r="C14" s="418" t="n">
        <f aca="false">C11-B11-C12</f>
        <v>0.305555555555555</v>
      </c>
      <c r="E14" s="408"/>
      <c r="F14" s="408"/>
      <c r="G14" s="408"/>
      <c r="H14" s="408"/>
      <c r="I14" s="408"/>
      <c r="J14" s="406"/>
      <c r="K14" s="429"/>
    </row>
    <row r="15" customFormat="false" ht="15" hidden="false" customHeight="true" outlineLevel="0" collapsed="false">
      <c r="B15" s="430" t="s">
        <v>352</v>
      </c>
      <c r="C15" s="430" t="str">
        <f aca="false">"das "&amp;HOUR(B17)&amp;"h"&amp;MINUTE(B17)&amp;"min."&amp;" às "&amp;HOUR(C17)&amp;"h"&amp;MINUTE(C17)&amp;"min."</f>
        <v>das 15h20min. às 23h40min.</v>
      </c>
      <c r="E15" s="328" t="s">
        <v>353</v>
      </c>
      <c r="F15" s="408"/>
      <c r="G15" s="431" t="s">
        <v>354</v>
      </c>
      <c r="H15" s="431"/>
      <c r="I15" s="431"/>
    </row>
    <row r="16" customFormat="false" ht="15" hidden="false" customHeight="true" outlineLevel="0" collapsed="false">
      <c r="B16" s="430"/>
      <c r="C16" s="432"/>
      <c r="E16" s="328" t="n">
        <f aca="false">ROUND((365-E9)/12,0)</f>
        <v>26</v>
      </c>
      <c r="F16" s="408"/>
      <c r="G16" s="431"/>
      <c r="H16" s="431"/>
      <c r="I16" s="431"/>
    </row>
    <row r="17" customFormat="false" ht="15" hidden="false" customHeight="true" outlineLevel="0" collapsed="false">
      <c r="B17" s="433" t="n">
        <v>0.638888888888889</v>
      </c>
      <c r="C17" s="433" t="n">
        <v>0.986111111111111</v>
      </c>
      <c r="E17" s="408"/>
      <c r="F17" s="408"/>
      <c r="G17" s="431"/>
      <c r="H17" s="431"/>
      <c r="I17" s="431"/>
    </row>
    <row r="18" customFormat="false" ht="15" hidden="false" customHeight="true" outlineLevel="0" collapsed="false">
      <c r="B18" s="434" t="s">
        <v>355</v>
      </c>
      <c r="C18" s="433"/>
      <c r="E18" s="328" t="s">
        <v>356</v>
      </c>
      <c r="F18" s="408"/>
      <c r="G18" s="328" t="n">
        <v>101</v>
      </c>
      <c r="H18" s="408"/>
      <c r="I18" s="408"/>
    </row>
    <row r="19" customFormat="false" ht="15" hidden="false" customHeight="true" outlineLevel="0" collapsed="false">
      <c r="B19" s="433" t="n">
        <v>0.916666666666667</v>
      </c>
      <c r="C19" s="433" t="n">
        <v>0.208333333333333</v>
      </c>
      <c r="E19" s="406" t="n">
        <v>220</v>
      </c>
      <c r="F19" s="408"/>
      <c r="G19" s="408"/>
      <c r="H19" s="408"/>
      <c r="I19" s="408"/>
    </row>
    <row r="20" customFormat="false" ht="15" hidden="false" customHeight="true" outlineLevel="0" collapsed="false">
      <c r="B20" s="430" t="s">
        <v>357</v>
      </c>
      <c r="C20" s="435" t="n">
        <f aca="false">HOUR(C21)+MINUTE(C21)/60</f>
        <v>1.66666666666667</v>
      </c>
    </row>
    <row r="21" customFormat="false" ht="15" hidden="false" customHeight="true" outlineLevel="0" collapsed="false">
      <c r="B21" s="430"/>
      <c r="C21" s="436" t="n">
        <f aca="false">C17-B19</f>
        <v>0.0694444444444441</v>
      </c>
      <c r="I21" s="421"/>
    </row>
    <row r="22" customFormat="false" ht="15" hidden="false" customHeight="true" outlineLevel="0" collapsed="false">
      <c r="B22" s="430" t="s">
        <v>358</v>
      </c>
      <c r="C22" s="435" t="n">
        <f aca="false">HOUR(C23)+MINUTE(C23)/60</f>
        <v>6.66666666666667</v>
      </c>
      <c r="E22" s="437"/>
    </row>
    <row r="23" customFormat="false" ht="15" hidden="false" customHeight="true" outlineLevel="0" collapsed="false">
      <c r="B23" s="430"/>
      <c r="C23" s="433" t="n">
        <f aca="false">B19-B17</f>
        <v>0.277777777777778</v>
      </c>
    </row>
    <row r="24" customFormat="false" ht="15" hidden="false" customHeight="true" outlineLevel="0" collapsed="false">
      <c r="B24" s="430" t="s">
        <v>359</v>
      </c>
      <c r="C24" s="433" t="n">
        <v>0.0416666666666667</v>
      </c>
    </row>
    <row r="25" customFormat="false" ht="15" hidden="false" customHeight="true" outlineLevel="0" collapsed="false">
      <c r="B25" s="430" t="s">
        <v>360</v>
      </c>
      <c r="C25" s="433" t="n">
        <f aca="false">C17-B17-C24</f>
        <v>0.305555555555555</v>
      </c>
    </row>
    <row r="26" customFormat="false" ht="15" hidden="false" customHeight="true" outlineLevel="0" collapsed="false">
      <c r="C26" s="412"/>
    </row>
    <row r="27" customFormat="false" ht="15" hidden="false" customHeight="true" outlineLevel="0" collapsed="false">
      <c r="B27" s="328" t="s">
        <v>361</v>
      </c>
    </row>
    <row r="28" customFormat="false" ht="15" hidden="false" customHeight="true" outlineLevel="0" collapsed="false">
      <c r="B28" s="438" t="n">
        <f aca="false">G11/12</f>
        <v>0.75</v>
      </c>
      <c r="C28" s="410" t="s">
        <v>362</v>
      </c>
    </row>
    <row r="29" customFormat="false" ht="15" hidden="false" customHeight="true" outlineLevel="0" collapsed="false">
      <c r="B29" s="439" t="n">
        <f aca="false">B28*C14</f>
        <v>0.229166666666666</v>
      </c>
      <c r="C29" s="410" t="s">
        <v>363</v>
      </c>
    </row>
    <row r="30" customFormat="false" ht="15" hidden="false" customHeight="true" outlineLevel="0" collapsed="false">
      <c r="B30" s="438" t="n">
        <f aca="false">E9/12</f>
        <v>4.33333333333333</v>
      </c>
      <c r="C30" s="410" t="s">
        <v>364</v>
      </c>
    </row>
    <row r="31" customFormat="false" ht="15" hidden="false" customHeight="true" outlineLevel="0" collapsed="false">
      <c r="B31" s="439" t="n">
        <f aca="false">B30*G9</f>
        <v>17.3333333333333</v>
      </c>
      <c r="C31" s="410" t="s">
        <v>365</v>
      </c>
    </row>
    <row r="32" customFormat="false" ht="15" hidden="false" customHeight="true" outlineLevel="0" collapsed="false">
      <c r="B32" s="421" t="n">
        <f aca="false">B29+B31</f>
        <v>17.5625</v>
      </c>
    </row>
    <row r="33" customFormat="false" ht="15" hidden="false" customHeight="true" outlineLevel="0" collapsed="false">
      <c r="B33" s="328" t="s">
        <v>366</v>
      </c>
    </row>
    <row r="34" customFormat="false" ht="15" hidden="false" customHeight="true" outlineLevel="0" collapsed="false">
      <c r="B34" s="438" t="n">
        <f aca="false">B28</f>
        <v>0.75</v>
      </c>
      <c r="C34" s="410" t="str">
        <f aca="false">C28</f>
        <v>Total de feriados por mês - seg a sáb.</v>
      </c>
    </row>
    <row r="35" customFormat="false" ht="15" hidden="false" customHeight="true" outlineLevel="0" collapsed="false">
      <c r="B35" s="439" t="n">
        <f aca="false">B34*C23</f>
        <v>0.208333333333333</v>
      </c>
      <c r="C35" s="410" t="str">
        <f aca="false">C29</f>
        <v>Horas Extras por feriados</v>
      </c>
    </row>
    <row r="36" customFormat="false" ht="15" hidden="false" customHeight="true" outlineLevel="0" collapsed="false">
      <c r="B36" s="439" t="n">
        <f aca="false">B34*C21</f>
        <v>0.0520833333333331</v>
      </c>
      <c r="C36" s="410" t="s">
        <v>367</v>
      </c>
    </row>
  </sheetData>
  <mergeCells count="4">
    <mergeCell ref="A2:I2"/>
    <mergeCell ref="A6:I6"/>
    <mergeCell ref="B8:C8"/>
    <mergeCell ref="G15:I17"/>
  </mergeCells>
  <printOptions headings="false" gridLines="false" gridLinesSet="true" horizontalCentered="false" verticalCentered="false"/>
  <pageMargins left="0.590277777777778" right="0.236111111111111" top="1.06319444444444" bottom="0.590277777777778" header="0.511811023622047" footer="0.196527777777778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&amp;L&amp;10&amp;K262626&amp;F &amp;D &amp;T / Página &amp;P de &amp;N - SMOPSU
Elaborada com base na "Planilha modelo TCE Coleta v.9_0"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1192</TotalTime>
  <Application>LibreOffice/7.3.4.2$Windows_X86_64 LibreOffice_project/728fec16bd5f605073805c3c9e7c4212a0120dc5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2015-05-04T15:08:34Z</dcterms:created>
  <dc:creator>Rogerio Negreiros</dc:creator>
  <dc:description/>
  <dc:language>pt-BR</dc:language>
  <cp:lastModifiedBy>Marciele Fernandes de Oliveira</cp:lastModifiedBy>
  <cp:lastPrinted>2026-10-16T16:24:36Z</cp:lastPrinted>
  <dcterms:modified xsi:type="dcterms:W3CDTF">2026-10-16T16:25:00Z</dcterms:modified>
  <cp:revision>253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