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9B632317-2760-4C83-A870-1C4F0F7CD6B8}" xr6:coauthVersionLast="47" xr6:coauthVersionMax="47" xr10:uidLastSave="{00000000-0000-0000-0000-000000000000}"/>
  <bookViews>
    <workbookView xWindow="-120" yWindow="-120" windowWidth="29040" windowHeight="15720" activeTab="5" xr2:uid="{CF835504-41A7-4BDB-BB7C-5C1159A35837}"/>
  </bookViews>
  <sheets>
    <sheet name="Orçamento " sheetId="11" r:id="rId1"/>
    <sheet name="Memória" sheetId="3" r:id="rId2"/>
    <sheet name="Composições" sheetId="2" r:id="rId3"/>
    <sheet name="Lista preços" sheetId="6" r:id="rId4"/>
    <sheet name="Mat asfalt." sheetId="9" r:id="rId5"/>
    <sheet name="BDI" sheetId="13" r:id="rId6"/>
  </sheets>
  <externalReferences>
    <externalReference r:id="rId7"/>
    <externalReference r:id="rId8"/>
  </externalReferences>
  <definedNames>
    <definedName name="_xlnm._FilterDatabase" localSheetId="3" hidden="1">'Lista preços'!$A$2:$E$98</definedName>
    <definedName name="_xlnm._FilterDatabase" localSheetId="0" hidden="1">'Orçamento '!$A$4:$I$48</definedName>
    <definedName name="_xlnm.Print_Area" localSheetId="5">BDI!$B$1:$S$42</definedName>
    <definedName name="_xlnm.Print_Area" localSheetId="0">'Orçamento '!$A$1:$I$48</definedName>
    <definedName name="Comp.export" hidden="1">#REF!</definedName>
    <definedName name="CONCATENAR" hidden="1">CONCATENATE(#REF!," ",#REF!)</definedName>
    <definedName name="ee" hidden="1">IF(VALUE([1]MENU!$O$3)=2,"Licitado","Proposto")</definedName>
    <definedName name="EMPRESAS" hidden="1">OFFSET(#REF!,1,0):OFFSET(#REF!,-1,0)</definedName>
    <definedName name="er" hidden="1">IF(VALUE([1]MENU!$O$3)=2,"Licitado","Proposto")</definedName>
    <definedName name="FiltroComp" hidden="1">#REF!</definedName>
    <definedName name="Import.DescLote" hidden="1">#REF!</definedName>
    <definedName name="INDICES" hidden="1">OFFSET(#REF!,1,0):OFFSET(#REF!,-1,0)</definedName>
    <definedName name="ListaTgov.Unidades" hidden="1">#REF!</definedName>
    <definedName name="NCOMPOSICOES" hidden="1">25</definedName>
    <definedName name="NCOTACOES" hidden="1">10</definedName>
    <definedName name="NEMPRESAS" hidden="1">15</definedName>
    <definedName name="NINDICES" hidden="1">3</definedName>
    <definedName name="NRELATORIOS" hidden="1">COUNTA(#REF!)-2</definedName>
    <definedName name="NumerEmpresa" hidden="1">15</definedName>
    <definedName name="NumerIndice" hidden="1">3</definedName>
    <definedName name="Objeto" hidden="1">"Referência"</definedName>
    <definedName name="ORÇAMENTO.BancoRef" localSheetId="0" hidden="1">'Orçamento '!$D$7</definedName>
    <definedName name="ORÇAMENTO.BancoRef" hidden="1">#REF!</definedName>
    <definedName name="ORÇAMENTO.CustoUnitario" localSheetId="0" hidden="1">ROUND('Orçamento '!#REF!,15-13*'Orçamento '!$U$7)</definedName>
    <definedName name="ORÇAMENTO.CustoUnitario" hidden="1">ROUND(#REF!,15-13*#REF!)</definedName>
    <definedName name="ORÇAMENTO.PrecoUnitarioLicitado" localSheetId="0" hidden="1">'Orçamento '!$AA1</definedName>
    <definedName name="ORÇAMENTO.PrecoUnitarioLicitado" hidden="1">#REF!</definedName>
    <definedName name="REFERENCIA.Descricao" localSheetId="0" hidden="1">IF(ISNUMBER('Orçamento '!$S1),OFFSET(INDIRECT('Orçamento '!ORÇAMENTO.BancoRef),'Orçamento '!$S1-1,3,1),'Orçamento '!$S1)</definedName>
    <definedName name="REFERENCIA.Descricao" hidden="1">IF(ISNUMBER(#REF!),OFFSET(INDIRECT(ORÇAMENTO.BancoRef),#REF!-1,3,1),#REF!)</definedName>
    <definedName name="REFERENCIA.Unidade" localSheetId="0" hidden="1">IF(ISNUMBER('Orçamento '!$S1),OFFSET(INDIRECT('Orçamento '!ORÇAMENTO.BancoRef),'Orçamento '!$S1-1,4,1),"-")</definedName>
    <definedName name="REFERENCIA.Unidade" hidden="1">IF(ISNUMBER(#REF!),OFFSET(INDIRECT(ORÇAMENTO.BancoRef),#REF!-1,4,1),"-")</definedName>
    <definedName name="RelatoriosFontes" hidden="1">OFFSET(#REF!,1,0,NRELATORIOS)</definedName>
    <definedName name="SENHAGT" hidden="1">"PM2CAIXA"</definedName>
    <definedName name="TIPOORCAMENTO" hidden="1">IF(VALUE(#REF!)=2,"Licitado","Proposto")</definedName>
    <definedName name="_xlnm.Print_Titles" localSheetId="0">'Orçamento '!$4:$5</definedName>
    <definedName name="Versao"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1" i="13" l="1"/>
  <c r="T37" i="13"/>
  <c r="T35" i="13"/>
  <c r="T34" i="13"/>
  <c r="Q26" i="13"/>
  <c r="N26" i="13"/>
  <c r="K26" i="13"/>
  <c r="G26" i="13"/>
  <c r="J26" i="13" s="1"/>
  <c r="B27" i="13" s="1"/>
  <c r="G23" i="13"/>
  <c r="G22" i="13"/>
  <c r="Q21" i="13"/>
  <c r="N21" i="13"/>
  <c r="K21" i="13"/>
  <c r="G21" i="13"/>
  <c r="B29" i="13" s="1"/>
  <c r="Q20" i="13"/>
  <c r="N20" i="13"/>
  <c r="K20" i="13"/>
  <c r="T20" i="13" s="1"/>
  <c r="Q19" i="13"/>
  <c r="T19" i="13" s="1"/>
  <c r="N19" i="13"/>
  <c r="K19" i="13"/>
  <c r="T18" i="13"/>
  <c r="Q18" i="13"/>
  <c r="N18" i="13"/>
  <c r="K18" i="13"/>
  <c r="Q17" i="13"/>
  <c r="N17" i="13"/>
  <c r="K17" i="13"/>
  <c r="T17" i="13" s="1"/>
  <c r="Q16" i="13"/>
  <c r="T16" i="13" s="1"/>
  <c r="N16" i="13"/>
  <c r="K16" i="13"/>
  <c r="T15" i="13"/>
  <c r="Q15" i="13"/>
  <c r="N15" i="13"/>
  <c r="K15" i="13"/>
  <c r="Q14" i="13"/>
  <c r="N14" i="13"/>
  <c r="K14" i="13"/>
  <c r="T14" i="13" s="1"/>
  <c r="T6" i="13"/>
  <c r="T5" i="13"/>
  <c r="T4" i="13"/>
  <c r="T3" i="13"/>
  <c r="I5" i="11"/>
  <c r="I8" i="11"/>
  <c r="E13" i="2"/>
  <c r="F18" i="3"/>
  <c r="C37" i="2"/>
  <c r="D37" i="2"/>
  <c r="F37" i="2"/>
  <c r="C69" i="2"/>
  <c r="B11" i="13" l="1"/>
  <c r="B30" i="13"/>
  <c r="D10" i="3"/>
  <c r="D17" i="2"/>
  <c r="D18" i="2"/>
  <c r="D19" i="2"/>
  <c r="D8" i="3"/>
  <c r="G39" i="11" l="1"/>
  <c r="H39" i="11" s="1"/>
  <c r="G38" i="11"/>
  <c r="H38" i="11" s="1"/>
  <c r="G37" i="11"/>
  <c r="H37" i="11" s="1"/>
  <c r="G36" i="11"/>
  <c r="H36" i="11" s="1"/>
  <c r="G35" i="11"/>
  <c r="G20" i="11"/>
  <c r="H20" i="11" s="1"/>
  <c r="G19" i="11"/>
  <c r="H19" i="11" s="1"/>
  <c r="G18" i="11"/>
  <c r="H18" i="11" s="1"/>
  <c r="E81" i="2" l="1"/>
  <c r="D81" i="2"/>
  <c r="C81" i="2"/>
  <c r="J17" i="3"/>
  <c r="L12" i="3" s="1"/>
  <c r="D2" i="3" a="1"/>
  <c r="D2" i="3" s="1"/>
  <c r="D91" i="2"/>
  <c r="C91" i="2"/>
  <c r="D90" i="2"/>
  <c r="C90" i="2"/>
  <c r="D89" i="2"/>
  <c r="C89" i="2"/>
  <c r="D88" i="2"/>
  <c r="C88" i="2"/>
  <c r="D87" i="2"/>
  <c r="C87" i="2"/>
  <c r="D80" i="2"/>
  <c r="C80" i="2"/>
  <c r="D79" i="2"/>
  <c r="C79" i="2"/>
  <c r="D78" i="2"/>
  <c r="C78" i="2"/>
  <c r="D77" i="2"/>
  <c r="C77" i="2"/>
  <c r="D76" i="2"/>
  <c r="C76" i="2"/>
  <c r="D71" i="2"/>
  <c r="C71" i="2"/>
  <c r="D70" i="2"/>
  <c r="C70" i="2"/>
  <c r="D69" i="2"/>
  <c r="D68" i="2"/>
  <c r="C68" i="2"/>
  <c r="D67" i="2"/>
  <c r="C67" i="2"/>
  <c r="D66" i="2"/>
  <c r="C66" i="2"/>
  <c r="D65" i="2"/>
  <c r="C65" i="2"/>
  <c r="D64" i="2"/>
  <c r="C64" i="2"/>
  <c r="D59" i="2"/>
  <c r="C59" i="2"/>
  <c r="D58" i="2"/>
  <c r="C58" i="2"/>
  <c r="D57" i="2"/>
  <c r="C57" i="2"/>
  <c r="D56" i="2"/>
  <c r="C56" i="2"/>
  <c r="D55" i="2"/>
  <c r="C55" i="2"/>
  <c r="D54" i="2"/>
  <c r="C54" i="2"/>
  <c r="D53" i="2"/>
  <c r="C53" i="2"/>
  <c r="D52" i="2"/>
  <c r="C52" i="2"/>
  <c r="D46" i="2"/>
  <c r="D45" i="2"/>
  <c r="D44" i="2"/>
  <c r="D43" i="2"/>
  <c r="D42" i="2"/>
  <c r="D41" i="2"/>
  <c r="C46" i="2"/>
  <c r="C45" i="2"/>
  <c r="C44" i="2"/>
  <c r="C43" i="2"/>
  <c r="C42" i="2"/>
  <c r="C41" i="2"/>
  <c r="F43" i="3"/>
  <c r="F44" i="3"/>
  <c r="G44" i="3"/>
  <c r="F40" i="3"/>
  <c r="J12" i="3"/>
  <c r="J15" i="3" s="1"/>
  <c r="F16" i="3" s="1"/>
  <c r="D13" i="3"/>
  <c r="D12" i="3"/>
  <c r="D11" i="3"/>
  <c r="D9" i="3"/>
  <c r="D5" i="3"/>
  <c r="N40" i="3" l="1"/>
  <c r="F41" i="3"/>
  <c r="F18" i="11"/>
  <c r="I18" i="11" s="1"/>
  <c r="F17" i="3"/>
  <c r="F42" i="11"/>
  <c r="F22" i="3"/>
  <c r="F25" i="3"/>
  <c r="F19" i="3"/>
  <c r="F43" i="11"/>
  <c r="F45" i="3"/>
  <c r="E36" i="2"/>
  <c r="F36" i="2"/>
  <c r="D36" i="2"/>
  <c r="C36" i="2"/>
  <c r="F35" i="2"/>
  <c r="G35" i="2" s="1"/>
  <c r="D35" i="2"/>
  <c r="C35" i="2"/>
  <c r="F11" i="3"/>
  <c r="F13" i="11" s="1"/>
  <c r="E30" i="2"/>
  <c r="E31" i="2" s="1"/>
  <c r="F31" i="2"/>
  <c r="D31" i="2"/>
  <c r="C31" i="2"/>
  <c r="F30" i="2"/>
  <c r="D30" i="2"/>
  <c r="C30" i="2"/>
  <c r="F29" i="2"/>
  <c r="G29" i="2" s="1"/>
  <c r="D29" i="2"/>
  <c r="C29" i="2"/>
  <c r="E24" i="2"/>
  <c r="E25" i="2" s="1"/>
  <c r="F25" i="2"/>
  <c r="D25" i="2"/>
  <c r="C25" i="2"/>
  <c r="F24" i="2"/>
  <c r="D24" i="2"/>
  <c r="C24" i="2"/>
  <c r="F23" i="2"/>
  <c r="G23" i="2" s="1"/>
  <c r="D23" i="2"/>
  <c r="C23" i="2"/>
  <c r="E18" i="2"/>
  <c r="E19" i="2" s="1"/>
  <c r="E37" i="2" l="1"/>
  <c r="G37" i="2" s="1"/>
  <c r="F19" i="11"/>
  <c r="I19" i="11" s="1"/>
  <c r="F20" i="11"/>
  <c r="I20" i="11" s="1"/>
  <c r="G36" i="2"/>
  <c r="G31" i="2"/>
  <c r="G30" i="2"/>
  <c r="G24" i="2"/>
  <c r="G25" i="2"/>
  <c r="G34" i="2" l="1"/>
  <c r="E9" i="6" s="1"/>
  <c r="G14" i="11" s="1"/>
  <c r="H14" i="11" s="1"/>
  <c r="G28" i="2"/>
  <c r="G22" i="2"/>
  <c r="E7" i="6" s="1"/>
  <c r="G12" i="11" s="1"/>
  <c r="H12" i="11" s="1"/>
  <c r="E8" i="6" l="1"/>
  <c r="G13" i="11" s="1"/>
  <c r="H13" i="11" s="1"/>
  <c r="I13" i="11" s="1"/>
  <c r="F19" i="2" l="1"/>
  <c r="G19" i="2" s="1"/>
  <c r="C19" i="2"/>
  <c r="F18" i="2"/>
  <c r="C18" i="2"/>
  <c r="F17" i="2"/>
  <c r="G17" i="2" s="1"/>
  <c r="C17" i="2"/>
  <c r="G18" i="2" l="1"/>
  <c r="G16" i="2" s="1"/>
  <c r="E6" i="6" s="1"/>
  <c r="G11" i="11" s="1"/>
  <c r="H11" i="11" s="1"/>
  <c r="D8" i="2"/>
  <c r="C8" i="2"/>
  <c r="D7" i="2"/>
  <c r="C7" i="2"/>
  <c r="D6" i="2"/>
  <c r="C6" i="2"/>
  <c r="D5" i="2"/>
  <c r="C5" i="2"/>
  <c r="D4" i="2"/>
  <c r="C4" i="2"/>
  <c r="C13" i="2"/>
  <c r="C12" i="2"/>
  <c r="G47" i="11"/>
  <c r="H47" i="11" s="1"/>
  <c r="I47" i="11" s="1"/>
  <c r="G46" i="11"/>
  <c r="H46" i="11" s="1"/>
  <c r="I46" i="11" s="1"/>
  <c r="G45" i="11"/>
  <c r="H45" i="11" s="1"/>
  <c r="G43" i="11"/>
  <c r="G40" i="11"/>
  <c r="H40" i="11" s="1"/>
  <c r="G34" i="11"/>
  <c r="G33" i="11"/>
  <c r="H33" i="11" s="1"/>
  <c r="G32" i="11"/>
  <c r="G29" i="11"/>
  <c r="G28" i="11"/>
  <c r="H28" i="11" s="1"/>
  <c r="G27" i="11"/>
  <c r="G26" i="11"/>
  <c r="G25" i="11"/>
  <c r="H25" i="11" s="1"/>
  <c r="G23" i="11"/>
  <c r="G22" i="11"/>
  <c r="H22" i="11" s="1"/>
  <c r="G21" i="11"/>
  <c r="G17" i="11"/>
  <c r="H17" i="11" s="1"/>
  <c r="G15" i="11"/>
  <c r="H15" i="11" s="1"/>
  <c r="J33" i="3"/>
  <c r="F36" i="3" s="1"/>
  <c r="F38" i="11" l="1"/>
  <c r="I38" i="11" s="1"/>
  <c r="F37" i="3"/>
  <c r="F39" i="11" s="1"/>
  <c r="I39" i="11" s="1"/>
  <c r="J27" i="3"/>
  <c r="F34" i="3"/>
  <c r="H26" i="11"/>
  <c r="H43" i="11"/>
  <c r="I43" i="11" s="1"/>
  <c r="H27" i="11"/>
  <c r="H32" i="11"/>
  <c r="H21" i="11"/>
  <c r="H29" i="11"/>
  <c r="H34" i="11"/>
  <c r="H23" i="11"/>
  <c r="H35" i="11"/>
  <c r="F36" i="11" l="1"/>
  <c r="I36" i="11" s="1"/>
  <c r="F35" i="3"/>
  <c r="F37" i="11" s="1"/>
  <c r="I37" i="11" s="1"/>
  <c r="F46" i="2"/>
  <c r="F45" i="2"/>
  <c r="F44" i="2"/>
  <c r="F43" i="2"/>
  <c r="F42" i="2"/>
  <c r="F41" i="2"/>
  <c r="F91" i="2"/>
  <c r="F90" i="2"/>
  <c r="F89" i="2"/>
  <c r="F88" i="2"/>
  <c r="F87" i="2"/>
  <c r="F80" i="2"/>
  <c r="F79" i="2"/>
  <c r="F78" i="2"/>
  <c r="F77" i="2"/>
  <c r="F76" i="2"/>
  <c r="F71" i="2"/>
  <c r="F70" i="2"/>
  <c r="F68" i="2"/>
  <c r="F67" i="2"/>
  <c r="F66" i="2"/>
  <c r="F65" i="2"/>
  <c r="F64" i="2"/>
  <c r="F59" i="2"/>
  <c r="F58" i="2"/>
  <c r="F56" i="2"/>
  <c r="F55" i="2"/>
  <c r="F54" i="2"/>
  <c r="F53" i="2"/>
  <c r="F52" i="2"/>
  <c r="F13" i="2"/>
  <c r="F12" i="2"/>
  <c r="F8" i="2"/>
  <c r="F7" i="2"/>
  <c r="F6" i="2"/>
  <c r="F5" i="2"/>
  <c r="F4" i="2"/>
  <c r="D4" i="9"/>
  <c r="E98" i="6" s="1"/>
  <c r="F69" i="2" s="1"/>
  <c r="D3" i="9"/>
  <c r="D2" i="9"/>
  <c r="E97" i="6" s="1"/>
  <c r="F57" i="2" s="1"/>
  <c r="G6" i="2" l="1"/>
  <c r="G5" i="2"/>
  <c r="G46" i="2"/>
  <c r="G45" i="2"/>
  <c r="G44" i="2"/>
  <c r="G43" i="2"/>
  <c r="G42" i="2"/>
  <c r="G41" i="2"/>
  <c r="G91" i="2"/>
  <c r="G90" i="2"/>
  <c r="G89" i="2"/>
  <c r="G88" i="2"/>
  <c r="G87" i="2"/>
  <c r="G80" i="2"/>
  <c r="G79" i="2"/>
  <c r="G78" i="2"/>
  <c r="G77" i="2"/>
  <c r="G76" i="2"/>
  <c r="G71" i="2"/>
  <c r="G70" i="2"/>
  <c r="G69" i="2"/>
  <c r="G68" i="2"/>
  <c r="G67" i="2"/>
  <c r="G66" i="2"/>
  <c r="G65" i="2"/>
  <c r="G64" i="2"/>
  <c r="G59" i="2"/>
  <c r="G58" i="2"/>
  <c r="G57" i="2"/>
  <c r="G56" i="2"/>
  <c r="G55" i="2"/>
  <c r="G54" i="2"/>
  <c r="G53" i="2"/>
  <c r="G52" i="2"/>
  <c r="G13" i="2"/>
  <c r="G12" i="2"/>
  <c r="G8" i="2"/>
  <c r="G7" i="2"/>
  <c r="G4" i="2"/>
  <c r="G40" i="2" l="1"/>
  <c r="E10" i="6" s="1"/>
  <c r="G86" i="2"/>
  <c r="G63" i="2"/>
  <c r="E12" i="6" s="1"/>
  <c r="F81" i="2" s="1"/>
  <c r="G81" i="2" s="1"/>
  <c r="G3" i="2"/>
  <c r="E4" i="6" s="1"/>
  <c r="G51" i="2"/>
  <c r="E11" i="6" s="1"/>
  <c r="G30" i="11" s="1"/>
  <c r="G11" i="2"/>
  <c r="E5" i="6" s="1"/>
  <c r="E14" i="6" l="1"/>
  <c r="G24" i="11"/>
  <c r="H24" i="11" s="1"/>
  <c r="G10" i="11"/>
  <c r="H10" i="11" s="1"/>
  <c r="G31" i="11"/>
  <c r="G7" i="11"/>
  <c r="H30" i="11"/>
  <c r="G75" i="2"/>
  <c r="E13" i="6" l="1"/>
  <c r="G42" i="11" s="1"/>
  <c r="H42" i="11" s="1"/>
  <c r="I42" i="11" s="1"/>
  <c r="I41" i="11" s="1"/>
  <c r="H7" i="11"/>
  <c r="H31" i="11"/>
  <c r="G43" i="3" l="1"/>
  <c r="F45" i="11"/>
  <c r="I45" i="11" s="1"/>
  <c r="I44" i="11" s="1"/>
  <c r="F33" i="3"/>
  <c r="F9" i="3"/>
  <c r="F11" i="11" s="1"/>
  <c r="I11" i="11" s="1"/>
  <c r="F8" i="3"/>
  <c r="F5" i="3"/>
  <c r="F10" i="3" l="1"/>
  <c r="F12" i="11" s="1"/>
  <c r="I12" i="11" s="1"/>
  <c r="F7" i="11"/>
  <c r="I7" i="11" s="1"/>
  <c r="I6" i="11" s="1"/>
  <c r="F35" i="11"/>
  <c r="I35" i="11" s="1"/>
  <c r="F10" i="11"/>
  <c r="I10" i="11" s="1"/>
  <c r="F38" i="3"/>
  <c r="F40" i="11" l="1"/>
  <c r="I40" i="11" s="1"/>
  <c r="F13" i="3"/>
  <c r="F15" i="11" l="1"/>
  <c r="I15" i="11" s="1"/>
  <c r="F12" i="3"/>
  <c r="F14" i="11" s="1"/>
  <c r="I14" i="11" s="1"/>
  <c r="F15" i="3"/>
  <c r="F28" i="3"/>
  <c r="F30" i="11" s="1"/>
  <c r="I30" i="11" s="1"/>
  <c r="J28" i="3"/>
  <c r="J29" i="3" s="1"/>
  <c r="F30" i="3" s="1"/>
  <c r="I9" i="11" l="1"/>
  <c r="F17" i="11"/>
  <c r="I17" i="11" s="1"/>
  <c r="F31" i="3"/>
  <c r="F32" i="3" s="1"/>
  <c r="F34" i="11" s="1"/>
  <c r="I34" i="11" s="1"/>
  <c r="F32" i="11"/>
  <c r="I32" i="11" s="1"/>
  <c r="F23" i="3"/>
  <c r="F24" i="11"/>
  <c r="I24" i="11" s="1"/>
  <c r="F29" i="3"/>
  <c r="F31" i="11" s="1"/>
  <c r="I31" i="11" s="1"/>
  <c r="F20" i="3"/>
  <c r="F21" i="3" s="1"/>
  <c r="F21" i="11"/>
  <c r="I21" i="11" s="1"/>
  <c r="F33" i="11" l="1"/>
  <c r="I33" i="11" s="1"/>
  <c r="F24" i="3"/>
  <c r="F26" i="11" s="1"/>
  <c r="I26" i="11" s="1"/>
  <c r="F25" i="11"/>
  <c r="I25" i="11" s="1"/>
  <c r="F26" i="3"/>
  <c r="F27" i="11"/>
  <c r="I27" i="11" s="1"/>
  <c r="F22" i="11"/>
  <c r="I22" i="11" s="1"/>
  <c r="F23" i="11"/>
  <c r="I23" i="11" s="1"/>
  <c r="F27" i="3" l="1"/>
  <c r="F29" i="11" s="1"/>
  <c r="I29" i="11" s="1"/>
  <c r="F28" i="11"/>
  <c r="I28" i="11" s="1"/>
  <c r="I16" i="11" l="1"/>
  <c r="I3" i="3"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<sst xmlns="http://schemas.openxmlformats.org/spreadsheetml/2006/main" count="1098" uniqueCount="411">
  <si>
    <t>Item</t>
  </si>
  <si>
    <t>Fonte</t>
  </si>
  <si>
    <t>Código</t>
  </si>
  <si>
    <t>Descrição</t>
  </si>
  <si>
    <t>Unidade</t>
  </si>
  <si>
    <t>Quantidade</t>
  </si>
  <si>
    <t>Preço Unitário (com BDI) (R$)</t>
  </si>
  <si>
    <t>Preço Total
(R$)</t>
  </si>
  <si>
    <t>SINAPI</t>
  </si>
  <si>
    <t>01</t>
  </si>
  <si>
    <t>02</t>
  </si>
  <si>
    <t>COTAÇÃO</t>
  </si>
  <si>
    <t>04</t>
  </si>
  <si>
    <t>100975</t>
  </si>
  <si>
    <t>93590</t>
  </si>
  <si>
    <t>96001</t>
  </si>
  <si>
    <t>100574</t>
  </si>
  <si>
    <t>97636</t>
  </si>
  <si>
    <t>100983</t>
  </si>
  <si>
    <t>M3</t>
  </si>
  <si>
    <t>104796</t>
  </si>
  <si>
    <t>97628</t>
  </si>
  <si>
    <t>SICRO</t>
  </si>
  <si>
    <t>96622</t>
  </si>
  <si>
    <t>95878</t>
  </si>
  <si>
    <t>SINAPI-I</t>
  </si>
  <si>
    <t>10</t>
  </si>
  <si>
    <t>03</t>
  </si>
  <si>
    <t>100576</t>
  </si>
  <si>
    <t>105754</t>
  </si>
  <si>
    <t>96396</t>
  </si>
  <si>
    <t>95995</t>
  </si>
  <si>
    <t>102330</t>
  </si>
  <si>
    <t>COMPOSIÇÃO</t>
  </si>
  <si>
    <t>07</t>
  </si>
  <si>
    <t>94273</t>
  </si>
  <si>
    <t>11</t>
  </si>
  <si>
    <t>09</t>
  </si>
  <si>
    <t>1.</t>
  </si>
  <si>
    <t>1.1.</t>
  </si>
  <si>
    <t>2.</t>
  </si>
  <si>
    <t>2.1.</t>
  </si>
  <si>
    <t>MÊS</t>
  </si>
  <si>
    <t>M</t>
  </si>
  <si>
    <t>m²</t>
  </si>
  <si>
    <t>m2</t>
  </si>
  <si>
    <t>BDI</t>
  </si>
  <si>
    <t/>
  </si>
  <si>
    <t>CUSTO UNIT</t>
  </si>
  <si>
    <t>FONTE</t>
  </si>
  <si>
    <t>CÓDIGO</t>
  </si>
  <si>
    <t>DESCRIÇÃO</t>
  </si>
  <si>
    <t>UNIDADE</t>
  </si>
  <si>
    <t>COEFIC.</t>
  </si>
  <si>
    <t>NÃO DESONER.</t>
  </si>
  <si>
    <t>34498</t>
  </si>
  <si>
    <t>93402</t>
  </si>
  <si>
    <t>370</t>
  </si>
  <si>
    <t>92106</t>
  </si>
  <si>
    <t>88292</t>
  </si>
  <si>
    <t>94966</t>
  </si>
  <si>
    <t>4509</t>
  </si>
  <si>
    <t>5069</t>
  </si>
  <si>
    <t>3777</t>
  </si>
  <si>
    <t>7155</t>
  </si>
  <si>
    <t>88242</t>
  </si>
  <si>
    <t>88309</t>
  </si>
  <si>
    <t>5678</t>
  </si>
  <si>
    <t>5875</t>
  </si>
  <si>
    <t>67826</t>
  </si>
  <si>
    <t>h</t>
  </si>
  <si>
    <t>101159</t>
  </si>
  <si>
    <t>94965</t>
  </si>
  <si>
    <t>92915</t>
  </si>
  <si>
    <t>92482</t>
  </si>
  <si>
    <t>43386</t>
  </si>
  <si>
    <t>1600441</t>
  </si>
  <si>
    <t>102283</t>
  </si>
  <si>
    <t>98524</t>
  </si>
  <si>
    <t>94339</t>
  </si>
  <si>
    <t>101850</t>
  </si>
  <si>
    <t>88907</t>
  </si>
  <si>
    <t>E9526</t>
  </si>
  <si>
    <t>93567</t>
  </si>
  <si>
    <t>93572</t>
  </si>
  <si>
    <t>94296</t>
  </si>
  <si>
    <t>101389</t>
  </si>
  <si>
    <t>E9512</t>
  </si>
  <si>
    <t>96158</t>
  </si>
  <si>
    <t>96156</t>
  </si>
  <si>
    <t>4248</t>
  </si>
  <si>
    <t>6111</t>
  </si>
  <si>
    <t>1518</t>
  </si>
  <si>
    <t>88629</t>
  </si>
  <si>
    <t>97914</t>
  </si>
  <si>
    <t>PM ALVORADA - MALHA VIÁRIA</t>
  </si>
  <si>
    <t>92398</t>
  </si>
  <si>
    <t>101864</t>
  </si>
  <si>
    <t>2.3</t>
  </si>
  <si>
    <t>2.4</t>
  </si>
  <si>
    <t>1.1.1</t>
  </si>
  <si>
    <t>Administração Local</t>
  </si>
  <si>
    <t>Obra</t>
  </si>
  <si>
    <t>Fresagem, Demolições E Remoções</t>
  </si>
  <si>
    <t>Fresagem De Pavimento Asfáltico (Profundidade Até 5,0 Cm) - Exclusive Transporte. Af_11/2019</t>
  </si>
  <si>
    <t>Espalhamento De Material Com Trator De Esteiras. Af_09/2024</t>
  </si>
  <si>
    <t>Demolição Parcial De Pavimento Asfáltico, De Forma Mecanizada, Sem Reaproveitamento. Af_09/2023</t>
  </si>
  <si>
    <t>Carga, Manobra E Descarga De Entulho Em Caminhão Basculante 14 M³ - Carga Com Escavadeira Hidráulica  (Caçamba De 0,80 M³ / 111 Hp) E Descarga Livre (Unidade: M3). Af_07/2020</t>
  </si>
  <si>
    <t>Demolição De Guias, Sarjetas Ou Sarjetões, De Forma Mecanizada, Sem Reaproveitamento. Af_09/2023</t>
  </si>
  <si>
    <t>Escavação Mecanizada De Vala Com Prof. Até 1,5 M (Média Montante E Jusante/Uma Composição Por Trecho), Escavadeira (0,8 M3), Larg. De 1,5 M A 2,5 M, Em Solo Mole, Em Locais Com Alto Nível De Interferência. Af_09/2024</t>
  </si>
  <si>
    <t>Limpeza Manual De Vegetação Em Terreno Com Enxada. Af_03/2024</t>
  </si>
  <si>
    <t>Regularização E Compactação De Subleito De Solo Predominantemente Argiloso, Para Obras De Construção De Pavimentos. Af_09/2024</t>
  </si>
  <si>
    <t>Construção De Base E Sub-Base Para Pavimentação De Macadame Seco, Com Espessura De 25 Cm - Exclusive Carga E Transporte. Af_09/2024</t>
  </si>
  <si>
    <t>Carga, Manobra E Descarga De Solos E Materiais Granulares Em Caminhão Basculante 14 M³ - Carga Com Pá Carregadeira (Caçamba De 1,7 A 2,8 M³ / 128 Hp) E Descarga Livre (Unidade: M3). Af_07/2020</t>
  </si>
  <si>
    <t>Transporte Com Caminhão Basculante De 10 M³, Em Via Urbana Pavimentada, Dmt Até 30 Km (Unidade: Txkm). Af_07/2020</t>
  </si>
  <si>
    <t>Construção De Base E Sub-Base Para Pavimentação De Brita Graduada Simples, Com Espessura De 15 Cm - Exclusive Carga E Transporte. Af_09/2024</t>
  </si>
  <si>
    <t>Aterro Mecanizado De Vala Com Retroescavadeira (Capacidade Da Caçamba Da Retro: 0,26 M³/Potência: 88 Hp), Largura Até 1,5 M, Profundidade Até 1,5 M, Com Areia Para Aterro. Af_08/2023</t>
  </si>
  <si>
    <t>Execução De Imprimação Com Asfalto Diluído Cm-30 (Sinapi 105756)</t>
  </si>
  <si>
    <t>Pintura De Ligação Com Emulsão Asfáltica  Rr-2C (Sinapi 105757)</t>
  </si>
  <si>
    <t>Execução De Pavimento Com Aplicação De Concreto Asfáltico, Camada De Rolamento - Exclusive Carga E Transporte. Af_11/2019</t>
  </si>
  <si>
    <t>Transporte Com Caminhão Tanque De Transporte De Material Asfáltico De 30000 L, Em Via Urbana Pavimentada, Dmt Até 30Km (Unidade: Txkm). Af_07/2020</t>
  </si>
  <si>
    <t>Reassentamento De Paralelepípedos, Rejuntamento Com Pó De Pedra, Com Reaproveitamento Dos Paralelepípedos - Incluso Retirada E Colocação Do Material. Af_12/2020</t>
  </si>
  <si>
    <t>Execução De Pavimento Em Piso Intertravado, Com Bloco Retangular Cor Natural De 20 X 10 Cm, Espessura 8 Cm. Af_10/2022</t>
  </si>
  <si>
    <t>Reassentamento De Blocos Retangular Para Piso Intertravado, Espessura De 8 Cm, Em Via/Estacionamento, Com Reaproveitamento Dos Blocos Retangular - Incluso Retirada E Colocação Do Material. Af_12/2020</t>
  </si>
  <si>
    <t>Assentamento De Guia (Meio-Fio) Em Trecho Reto, Confeccionada Em Concreto Pré-Fabricado, Dimensões 100X15X13X30 Cm (Comprimento X Base Inferior X Base Superior X Altura). Af_01/2024</t>
  </si>
  <si>
    <t>Realinhamento De Guia (Meio-Fio)</t>
  </si>
  <si>
    <t>Escavadeira Hidráulica Sobre Esteiras, Caçamba 1,20 M3, Peso Operacional 21 T, Potência Bruta 155 Hp - Chp Diurno. Af_06/2014</t>
  </si>
  <si>
    <t xml:space="preserve">Retroescavadeira De Pneus - Capacidade Da Caçamba Da Pá-Carregadeira De 0,76 M³ E Da Retroescavadeira De 0,29 M³ - 58 Kw </t>
  </si>
  <si>
    <t>Guindauto Hidráulico, Capacidade Máxima De Carga 3300 Kg, Momento Máximo De Carga 5,8 Tm, Alcance Máximo Horizontal 7,60 M, Inclusive Caminhão Toco Pbt 16.000 Kg, Potência De 189 Cv - Chp Diurno. Af_03/2016</t>
  </si>
  <si>
    <t>2.1.1</t>
  </si>
  <si>
    <t>2.1.2</t>
  </si>
  <si>
    <t>2.1.3</t>
  </si>
  <si>
    <t>2.1.4</t>
  </si>
  <si>
    <t>2.1.5</t>
  </si>
  <si>
    <t>2.1.6</t>
  </si>
  <si>
    <t>2.1.7</t>
  </si>
  <si>
    <t>2.2.1</t>
  </si>
  <si>
    <t>2.2</t>
  </si>
  <si>
    <t>2.2.2</t>
  </si>
  <si>
    <t>2.2.3</t>
  </si>
  <si>
    <t>2.2.4</t>
  </si>
  <si>
    <t>2.2.5</t>
  </si>
  <si>
    <t>2.2.6</t>
  </si>
  <si>
    <t>2.2.7</t>
  </si>
  <si>
    <t>2.2.8</t>
  </si>
  <si>
    <t>2.2.9</t>
  </si>
  <si>
    <t>2.2.10</t>
  </si>
  <si>
    <t>2.2.14</t>
  </si>
  <si>
    <t>2.2.15</t>
  </si>
  <si>
    <t>2.2.16</t>
  </si>
  <si>
    <t>2.2.17</t>
  </si>
  <si>
    <t>2.2.18</t>
  </si>
  <si>
    <t>2.3.1</t>
  </si>
  <si>
    <t>2.3.2</t>
  </si>
  <si>
    <t>2.4.1</t>
  </si>
  <si>
    <t>2.4.2</t>
  </si>
  <si>
    <t>2.4.3</t>
  </si>
  <si>
    <t>mês</t>
  </si>
  <si>
    <t>m3xkm</t>
  </si>
  <si>
    <t>m3</t>
  </si>
  <si>
    <t>m</t>
  </si>
  <si>
    <t>txkm</t>
  </si>
  <si>
    <t xml:space="preserve">un </t>
  </si>
  <si>
    <t>chp</t>
  </si>
  <si>
    <t>95631</t>
  </si>
  <si>
    <t>95632</t>
  </si>
  <si>
    <t>88314</t>
  </si>
  <si>
    <t>5932</t>
  </si>
  <si>
    <t>5934</t>
  </si>
  <si>
    <t>6259</t>
  </si>
  <si>
    <t>5684</t>
  </si>
  <si>
    <t>4741</t>
  </si>
  <si>
    <t>Remoção Piso Intertravado/Paralelepípedos</t>
  </si>
  <si>
    <t>Camada De Bloqueio Com Pó De Pedra E=3 Cm Inclusive Compactacao</t>
  </si>
  <si>
    <t>TXKM</t>
  </si>
  <si>
    <t>Concreto Betuminoso Usinado A Quente (Cbuq) Para Pavimentacao Asfaltica, Padrao Dnit, Faixa C, Com Cap 50/70 - Aquisicao Posto Usina</t>
  </si>
  <si>
    <t>t</t>
  </si>
  <si>
    <t>2.2.19</t>
  </si>
  <si>
    <t>2.2.20</t>
  </si>
  <si>
    <t>2.2.21</t>
  </si>
  <si>
    <t>E9520</t>
  </si>
  <si>
    <t>Execução De Tapa Buraco Com Aplicação De Concreto Asfáltico (Sem Fornecimento) E Pintura De Ligação, Transporete Em Caminhão Térmico</t>
  </si>
  <si>
    <t>Quant.</t>
  </si>
  <si>
    <t xml:space="preserve">Memória </t>
  </si>
  <si>
    <t>Área total de fresagem</t>
  </si>
  <si>
    <t>Área de limpeza manual</t>
  </si>
  <si>
    <t>Área total de demolição</t>
  </si>
  <si>
    <t>Metragem total de demolição</t>
  </si>
  <si>
    <t>Volume total de escavação</t>
  </si>
  <si>
    <t>Área de regularização</t>
  </si>
  <si>
    <t>Área de regularização x espessura</t>
  </si>
  <si>
    <t>Área de regularização x espessura 
x empolamento</t>
  </si>
  <si>
    <t>Área de regularização x espessura 
x empolamento x DMT pedreira</t>
  </si>
  <si>
    <t>Área de imprimação</t>
  </si>
  <si>
    <t>Área de pintura de ligação</t>
  </si>
  <si>
    <t>preencher</t>
  </si>
  <si>
    <t>Tempo de obra (mês)</t>
  </si>
  <si>
    <t>Esp. fresagem:</t>
  </si>
  <si>
    <t>Empolamento mat fresado:</t>
  </si>
  <si>
    <t>Empolamento demolição:</t>
  </si>
  <si>
    <t>H base:</t>
  </si>
  <si>
    <t>H macadame:</t>
  </si>
  <si>
    <t>Empolamento macadame:</t>
  </si>
  <si>
    <t>Peso específico:</t>
  </si>
  <si>
    <t>Empolamento base:</t>
  </si>
  <si>
    <t>DMT britados:</t>
  </si>
  <si>
    <t>Esp. CBUQ</t>
  </si>
  <si>
    <t>Empolamento CBUQ:</t>
  </si>
  <si>
    <t>Peso específico compac:</t>
  </si>
  <si>
    <t>Teor de CAP:</t>
  </si>
  <si>
    <t>DMT CBUQ:</t>
  </si>
  <si>
    <t>DMT CAP:</t>
  </si>
  <si>
    <t>Tempo de obras</t>
  </si>
  <si>
    <t>Área fresagem</t>
  </si>
  <si>
    <t>Área demolicação asfalto</t>
  </si>
  <si>
    <t>Esp. demolição:</t>
  </si>
  <si>
    <t>Área demolição piso</t>
  </si>
  <si>
    <t>Metragem demolição guia</t>
  </si>
  <si>
    <t>Área escavação</t>
  </si>
  <si>
    <t>Esp. escavação:</t>
  </si>
  <si>
    <t>Empolamento escavação:</t>
  </si>
  <si>
    <t>Área de regularização x espessura 
x empolamento x peso específico x DMT pedreira</t>
  </si>
  <si>
    <t>H pó:</t>
  </si>
  <si>
    <t>Empolamento pó:</t>
  </si>
  <si>
    <t>Área de Imprimação</t>
  </si>
  <si>
    <t>Área de pintura</t>
  </si>
  <si>
    <t>Área de pavimentação</t>
  </si>
  <si>
    <t>Volume total de cbuq</t>
  </si>
  <si>
    <t>Área de pavimentaçãocom piso</t>
  </si>
  <si>
    <t>Metragem total de meio fio</t>
  </si>
  <si>
    <t>Volume tapa buraco</t>
  </si>
  <si>
    <t>37524</t>
  </si>
  <si>
    <t>Custo (R$)</t>
  </si>
  <si>
    <t>LISTA DE PREÇOS</t>
  </si>
  <si>
    <t>COMPOSIÇÕES PRÓPRIAS</t>
  </si>
  <si>
    <t>COMPOSIÇÕES COM REFERÊNCIAS</t>
  </si>
  <si>
    <t>INSUMOS</t>
  </si>
  <si>
    <t>Custo Unitário (sem BDI) (R$)</t>
  </si>
  <si>
    <t>m3Xkm</t>
  </si>
  <si>
    <t>chi</t>
  </si>
  <si>
    <t>kg</t>
  </si>
  <si>
    <t>94295</t>
  </si>
  <si>
    <t>ICMS</t>
  </si>
  <si>
    <t>PIS</t>
  </si>
  <si>
    <t>COFINS</t>
  </si>
  <si>
    <t>ASFALTOS DILUÍDOS CM-30</t>
  </si>
  <si>
    <t>CIMENTOS ASFÁLTICOS CAP-50-70</t>
  </si>
  <si>
    <t>EMULSÕES ASFÁLTICAS RR-2C</t>
  </si>
  <si>
    <t>MATERIAL</t>
  </si>
  <si>
    <t>CUSTO</t>
  </si>
  <si>
    <t>CUSTO COM IMPOSTOS</t>
  </si>
  <si>
    <t>COT 01</t>
  </si>
  <si>
    <t>COT 02</t>
  </si>
  <si>
    <t>cot 02</t>
  </si>
  <si>
    <t>05</t>
  </si>
  <si>
    <t>06</t>
  </si>
  <si>
    <t>08</t>
  </si>
  <si>
    <t>COT 03</t>
  </si>
  <si>
    <t>4915633</t>
  </si>
  <si>
    <t>4011212</t>
  </si>
  <si>
    <t>4915634</t>
  </si>
  <si>
    <t>Demolição Parcial De Pavimento Asfáltico, De Forma Mecanizada, Sem Reaproveitamento, Inclusive Carga, Descarga e Transporte Para Bota-fora DMT até 10km</t>
  </si>
  <si>
    <t>Fresagem De Pavimento Asfáltico (Profundidade Até 5,0 Cm) -Inclusive, Remoção, Espalhamento e Transporte Do  Material DMT até 10km</t>
  </si>
  <si>
    <t>Demolição Parcial De Pavimento Asfáltico, De Forma Mecanizada, Sem Reaproveitamento, Inclusive Carga, Descarga E Transporte Para Bota-Fora Dmt Até 10Km</t>
  </si>
  <si>
    <t>Espargidor De Asfalto Pressurizado, Tanque 6 M3 Com Isolação Térmica, Aquecido Com 2 Maçaricos, Com Barra Espargidora 3,60 M, Montado Sobre Caminhão  Toco, Pbt 14.300 Kg, Potência 185 Cv - Chi Diurno. Af_05/2023</t>
  </si>
  <si>
    <t>Trator De Pneus, Potência 85 Cv, Tração 4X4, Peso Com Lastro De 4.675 Kg - Chi Diurno. Af_06/2014</t>
  </si>
  <si>
    <t>Vassoura Mecânica Rebocável Com Escova Cilíndrica, Largura Útil De Varrimento De 2,44 M - Chi Diurno. Af_06/2014</t>
  </si>
  <si>
    <t>Rolo Compactador Vibratorio Tandem, Aco Liso, Potencia 125 Hp, Peso Sem/Com Lastro 10,20/11,65 T, Largura De Trabalho 1,73 M - Chi Diurno. Af_11/2016</t>
  </si>
  <si>
    <t>Motoniveladora Potência Básica Líquida (Primeira Marcha) 125 Hp, Peso Bruto 13032 Kg, Largura Da Lâmina De 3,7 M - Chi Diurno. Af_06/2014</t>
  </si>
  <si>
    <t>Minicarregadeira Sobre Rodas Potencia 47Hp Capacidade Operacao 646 Kg, Com Vassoura Mecânica Acoplada - Chp Diurno. Af_03/2017</t>
  </si>
  <si>
    <t>Trator De Pneus, Potência 85 Cv, Tração 4X4, Peso Com Lastro De 4.675 Kg - Chp Diurno. Af_06/2014</t>
  </si>
  <si>
    <t>Espargidor De Asfalto Pressurizado, Tanque 6 M3 Com Isolação Térmica, Aquecido Com 2 Maçaricos, Com Barra Espargidora 3,60 M, Montado Sobre Caminhão  Toco, Pbt 14.300 Kg, Potência 185 Cv - Chp Diurno. Af_05/2023</t>
  </si>
  <si>
    <t>Vassoura Mecânica Rebocável Com Escova Cilíndrica, Largura Útil De Varrimento De 2,44 M - Chp Diurno. Af_06/2014</t>
  </si>
  <si>
    <t>Rolo Compactador Vibratorio Tandem, Aco Liso, Potencia 125 Hp, Peso Sem/Com Lastro 10,20/11,65 T, Largura De Trabalho 1,73 M - Chp Diurno. Af_11/2016</t>
  </si>
  <si>
    <t>Caminhão Para Equipamento De Limpeza A Sucção, Com Caminhão Trucado De Peso Bruto Total 23000 Kg, Carga Útil Máxima 15935 Kg, Distância Entre Eixos 4,80 M, Potência 230 Cv, Inclusive Limpadora A Sucção, Tanque 12000 L - Chp Diurno. Af_05/2023</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</si>
  <si>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</si>
  <si>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72 Hp, Caçamba Carreg. Cap. Mín. 0,79 M3, Caçamba Retro Cap. 0,18 M3, Peso Operacional Mín. 7.140 Kg, Profundidade Escavação Máx. 4,50 M - Chp Diurno. Af_06/2014</t>
  </si>
  <si>
    <t>Caminhão Basculante 6 M3 Toco, Peso Bruto Total 16.000 Kg, Carga Útil Máxima 11.130 Kg, Distância Entre Eixos 5,36 M, Potência 185 Cv, Inclusive Caçamba Metálica - Chp Diurno. Af_06/2014</t>
  </si>
  <si>
    <t>Motoniveladora Potência Básica Líquida (Primeira Marcha) 125 Hp, Peso Bruto 13032 Kg, Largura Da Lâmina De 3,7 M - Chp Diurno. Af_06/2014</t>
  </si>
  <si>
    <t>Caminhão Pipa 6.000 L, Peso Bruto Total 13.000 Kg, Distância Entre Eixos 4,80 M, Potência 189 Cv Inclusive Tanque De Aço Para Transporte De Água, Capacidade 6 M3 - Chp Diurno. Af_06/2014</t>
  </si>
  <si>
    <t>Rolo Compactador Vibratório De Um Cilindro Aço Liso, Potência 80 Hp, Peso Operacional Máximo 8,1 T, Impacto Dinâmico 16,15 / 9,5 T, Largura De Trabalho 1,68 M - Chp Diurno. Af_06/2014</t>
  </si>
  <si>
    <t>Servente Com Encargos Complementares</t>
  </si>
  <si>
    <t>Rasteleiro Com Encargos Complementares</t>
  </si>
  <si>
    <t>Operador De Compressor Ou Compressorista Com Encargos Complementares</t>
  </si>
  <si>
    <t>Pedreiro Com Encargos Complementares</t>
  </si>
  <si>
    <t>Ajudante De Pedreiro Com Encargos Complementares</t>
  </si>
  <si>
    <t>Armação De Estruturas Diversas De Concreto Armado, Exceto Vigas, Pilares, Lajes E Fundações, Utilizando Aço Ca-60 De 5,0 Mm - Montagem. Af_06/2022</t>
  </si>
  <si>
    <t>Alvenaria De Vedação De Blocos Cerâmicos Maciços De 5X10X20Cm (Espessura 10Cm) E Argamassa De Assentamento Com Preparo Em Betoneira. Af_05/2020</t>
  </si>
  <si>
    <t>Montagem E Desmontagem De Fôrma De Laje Maciça, Pé-Direito Simples, Em Madeira Serrada, 1 Utilização. Af_09/2020</t>
  </si>
  <si>
    <t>Argamassa Traço 1:3 (Em Volume De Cimento E Areia Média Úmida), Preparo Manual. Af_08/2019</t>
  </si>
  <si>
    <t>Demolição De Lajes, Em Concreto Armado, De Forma Manual, Sem Reaproveitamento. Af_09/2023</t>
  </si>
  <si>
    <t>Lastro Com Material Granular, Aplicado Em Pisos Ou Lajes Sobre Solo, Espessura De *5 Cm*. Af_01/2024</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</si>
  <si>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</si>
  <si>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</si>
  <si>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Transporte Com Caminhão Basculante De 10 M³, Em Via Urbana Pavimentada, Adicional Para Dmt Excedente A 30 Km (Unidade: M3Xkm). Af_07/2020</t>
  </si>
  <si>
    <t>Engenheiro Civil De Obra Pleno Com Encargos Complementares</t>
  </si>
  <si>
    <t>Encarregado Geral De Obras Com Encargos Complementares</t>
  </si>
  <si>
    <t>Mestre De Obras Com Encargos Complementares</t>
  </si>
  <si>
    <t>Topografo Com Encargos Complementares</t>
  </si>
  <si>
    <t>Auxiliar De Topógrafo Com Encargos Complementares</t>
  </si>
  <si>
    <t>Minicarregadeira Sobre Rodas Potencia 47Hp Capacidade Operacao 646 Kg, Com Vassoura Mecânica Acoplada - Chi Diurno. Af_03/2017</t>
  </si>
  <si>
    <t xml:space="preserve">Tela Plastica Laranja, Tipo Tapume Para Sinalizacao, Malha Retangular, Rolo 1.20 X 50 M (L X C)                                                                                                                                                                                                                                                                                                                                                                                                           </t>
  </si>
  <si>
    <t>Operador De Pa Carregadeira (Horista)</t>
  </si>
  <si>
    <t>Servente De Obras (Horista)</t>
  </si>
  <si>
    <t>Prego De Aco Polido Com Cabeca 17 X 27 (2 1/2 X 11)</t>
  </si>
  <si>
    <t>Sarrafo *2,5 X 10* Cm Em Pinus, Mista Ou Equivalente Da Regiao - Bruta</t>
  </si>
  <si>
    <t>Lona Plastica Pesada Preta, E = 150 Micra</t>
  </si>
  <si>
    <t>Tela De Aco Soldada Nervurada, Ca-60, Q-138, (2,20 Kg/M2), Diametro Do Fio = 4,2 Mm, Largura = 2,45 M, Espacamento Da Malha = 10 X 10 Cm</t>
  </si>
  <si>
    <t>Areia Media - Posto Jazida/Fornecedor (Retirado Na Jazida, Sem Transporte)</t>
  </si>
  <si>
    <t>Po De Pedra (Posto Pedreira/Fornecedor, Sem Frete)</t>
  </si>
  <si>
    <t xml:space="preserve">Cone De Sinalizacao Em Pvc Flexivel, H = 70 / 76 Cm </t>
  </si>
  <si>
    <t>Meio-Fio Ou Guia De Concreto Pre-Moldado, Tipo Chapeu Para Boca De Lobo,  Dimensoes *1,20* X 0,15 X 0,30 M</t>
  </si>
  <si>
    <t>Veículo Leve -53 Kw</t>
  </si>
  <si>
    <t>Caminhão Com Caçamba Térmica Com Capacidade De 6 M³ - 188 Kw</t>
  </si>
  <si>
    <t>Emulsao Asfaltica Cationica Rr-2C Para Uso Em Pavimentação Asfaltica</t>
  </si>
  <si>
    <t>Asfalto Diulido De Petroleo Cm-30</t>
  </si>
  <si>
    <t>Inspeção Com Sistema De Vídeo (Cctc)</t>
  </si>
  <si>
    <t>Limpeza E Desobstrução Mecanizada De Bueiros Com Diâmetro De Até 1,00 M</t>
  </si>
  <si>
    <t>Varredura Da Superfície Para Execução De Revestimento Asfáltico</t>
  </si>
  <si>
    <t>Limpeza E Desobstrução Mecanizada De Bueiros Com Diâmetro Acima De 1,00 Até 1,50 M</t>
  </si>
  <si>
    <t>Demolição De Guias, Sarjetas Ou Sarjetões, De Forma Mecanizada, Sem Reaproveitamento</t>
  </si>
  <si>
    <t>Remoção Piso Intertravado/Paralelepípedos, Inclusive carga, descarga e transporte para bota-fora DMT até 10 km</t>
  </si>
  <si>
    <t>Escavação Mecanizada De Vala Com Prof. Até 1,5 M (Média Montante E Jusante/Uma Composição Por Trecho), Escavadeira (0,8 M3), Larg. De 1,5 M A 2,5 M, Em Solo Mole, Em Locais Com Alto Nível De Interferência, inclusive carga, descarga,espalhamento e transporte para bota-fora DMT até 10km</t>
  </si>
  <si>
    <t>Remoção Piso Intertravado/Paralelepípedos, Inclusive Carga, Descarga E Transporte Para Bota-Fora Dmt Até 10 Km</t>
  </si>
  <si>
    <t>Limpeza E Desobstrução Por Hidrojateamento Mecanizada</t>
  </si>
  <si>
    <t>Soma das extensões de hidrojateamento</t>
  </si>
  <si>
    <t>Estimativa</t>
  </si>
  <si>
    <t>Pavimentação</t>
  </si>
  <si>
    <t>Execução de Tapa Buraco</t>
  </si>
  <si>
    <t>2.2.11</t>
  </si>
  <si>
    <t>2.2.12</t>
  </si>
  <si>
    <t>2.2.13</t>
  </si>
  <si>
    <t>Construção De Base E Sub-Base Para Pavimentação De Rachão, Com Espessura De 30 Cm - Exclusive Carga E Transporte. Af_09/2024</t>
  </si>
  <si>
    <t>105742</t>
  </si>
  <si>
    <t>H rachão:</t>
  </si>
  <si>
    <t xml:space="preserve">Execução De Inspeção Visual Robotizada Das Rede De Drenagem Com Sistema De Vídeo </t>
  </si>
  <si>
    <t>SINAPI e ANP: 09/2025
SICRO: 07/2025</t>
  </si>
  <si>
    <t>Execução De Tapa Buraco Com Aplicação De Concreto Asfáltico (Sem Fornecimento) E Pintura De Ligação, Transporte Em Caminhão Térmico</t>
  </si>
  <si>
    <t>92404</t>
  </si>
  <si>
    <t>Execução De Pavimento Em Piso Intertravado, Com Bloco 16 Faces De 22 X 11 Cm, Espessura 8 Cm. Af_10/2022</t>
  </si>
  <si>
    <t xml:space="preserve">Área de piso x qnt de pó de pedra por m2 
</t>
  </si>
  <si>
    <t>Área de piso x qnt de pó de pedra por m2 
x peso específico x DMT pedreira</t>
  </si>
  <si>
    <t>2.2.22</t>
  </si>
  <si>
    <t>2.2.23</t>
  </si>
  <si>
    <t>2.2.24</t>
  </si>
  <si>
    <t>DMT areia:</t>
  </si>
  <si>
    <t xml:space="preserve">Área de piso x qnt de areia por m2 
</t>
  </si>
  <si>
    <t>qnt pó por m2 (composição)</t>
  </si>
  <si>
    <t>qnt areia por m2 (composição)</t>
  </si>
  <si>
    <t>Fornecimento de Concreto Betuminoso Usinado A Quente (Cbuq) Para Pavimentacao Asfaltica, Padrao Dnit, Faixa C, Com Cap 50/70 - Aquisicao Posto Usina</t>
  </si>
  <si>
    <t>M2</t>
  </si>
  <si>
    <t>Fresagem De Pavimento Asfáltico (Profundidade Até 5,0cm) -Inclusive, Remoção, Espalhamento E Transporte Do  Material Dmt Até 10Km</t>
  </si>
  <si>
    <t>CUSTO TOTAL</t>
  </si>
  <si>
    <t>Transporte Com Caminhão Basculante De 6 M³, Em Via Urbana Pavimentada, Dmt Até 30 Km (Unidade: M³xKm). Af_07/2020</t>
  </si>
  <si>
    <t>M3xKM</t>
  </si>
  <si>
    <t>Demolição De Guias, Sarjetas Ou Sarjetões, De Forma Mecanizada, Sem Reaproveitamento, inclusive Carga, Descarga e Transporte Para Bota-Fora Dmt Até 10Km</t>
  </si>
  <si>
    <t>Escavação Mecanizada De Vala Com Prof. Até 1,5m (Média Montante E Jusante/Uma Composição Por Trecho), Escavadeira (0,8³), Larg. De 1,5m A 2,5m, Em Solo Mole, Em Locais Com Alto Nível De Interferência, Inclusive Carga, Descarga,Espalhamento E Transporte Para Bota-Fora Dmt Até 10Km</t>
  </si>
  <si>
    <t>Construção De Base E Sub-Base Para Pavimentação De Rachão, Com Espessura De 30cm - Exclusive Carga E Transporte. Af_09/2024</t>
  </si>
  <si>
    <t>Construção De Base E Sub-Base Para Pavimentação De Macadame Seco, Com Espessura De 25 cm - Exclusive Carga E Transporte. Af_09/2024</t>
  </si>
  <si>
    <r>
      <t xml:space="preserve">Área de regularização x espessura 
x </t>
    </r>
    <r>
      <rPr>
        <sz val="11"/>
        <color rgb="FFFF0000"/>
        <rFont val="Calibri"/>
        <family val="2"/>
        <scheme val="minor"/>
      </rPr>
      <t>empolamento</t>
    </r>
    <r>
      <rPr>
        <sz val="11"/>
        <color theme="1"/>
        <rFont val="Calibri"/>
        <family val="2"/>
        <scheme val="minor"/>
      </rPr>
      <t xml:space="preserve"> x peso específico x DMT pedreira</t>
    </r>
  </si>
  <si>
    <t>Camada De Bloqueio Com Pó De Pedra E=3 cm Inclusive Compactacao</t>
  </si>
  <si>
    <t>TxKM</t>
  </si>
  <si>
    <t>T</t>
  </si>
  <si>
    <t>Construção De Base E Sub-Base Para Pavimentação De Brita Graduada Simples, Com Espessura De 15 cm - Exclusive Carga E Transporte. Af_09/2024</t>
  </si>
  <si>
    <t>Volume cbuq x empolamento</t>
  </si>
  <si>
    <t>Volume cbuq x Peso específico x empolamento DMT</t>
  </si>
  <si>
    <t>Volume x peso especif.</t>
  </si>
  <si>
    <t>Fresagem De Pavimento Asfáltico (Profundidade Até 5,0cm) -Inclusive, Remoção E Transporte Do  Material Dmt Até 10Km</t>
  </si>
  <si>
    <t>Planilha de Detalhamento do BDI</t>
  </si>
  <si>
    <t>Tomador</t>
  </si>
  <si>
    <t>Município de Alvorada</t>
  </si>
  <si>
    <t>Nº do Contrato de Repasse</t>
  </si>
  <si>
    <t>Nome da Obra</t>
  </si>
  <si>
    <t>Município da Obra</t>
  </si>
  <si>
    <t>Alvorada/RS</t>
  </si>
  <si>
    <t>Tipo de Obra</t>
  </si>
  <si>
    <t>Contribuição Previdenciária</t>
  </si>
  <si>
    <t>Conforme legislação tributária municipal, definir estimativa de percentual da base de cálculo para o ISS:</t>
  </si>
  <si>
    <t>Sobre a base de cálculo, definir a respectiva alíquota do ISS (entre 2% e 5%):</t>
  </si>
  <si>
    <t>Parcelas do BDI</t>
  </si>
  <si>
    <t>Valor percentual adotado</t>
  </si>
  <si>
    <t>Limites das parcelas do BDI para obras do tipo acima selecionado.
Acórdão TCU 2622/2013</t>
  </si>
  <si>
    <t>Mín</t>
  </si>
  <si>
    <t>Med.</t>
  </si>
  <si>
    <t>Máx.</t>
  </si>
  <si>
    <r>
      <t xml:space="preserve">(AC) - </t>
    </r>
    <r>
      <rPr>
        <sz val="9"/>
        <rFont val="Arial"/>
        <family val="2"/>
      </rPr>
      <t>Administração Central</t>
    </r>
  </si>
  <si>
    <r>
      <t xml:space="preserve">(S) + (G) - </t>
    </r>
    <r>
      <rPr>
        <sz val="9"/>
        <rFont val="Arial"/>
        <family val="2"/>
      </rPr>
      <t>Seguro e Garantia</t>
    </r>
  </si>
  <si>
    <r>
      <t xml:space="preserve">(R) - </t>
    </r>
    <r>
      <rPr>
        <sz val="9"/>
        <rFont val="Arial"/>
        <family val="2"/>
      </rPr>
      <t>Risco</t>
    </r>
  </si>
  <si>
    <r>
      <t xml:space="preserve">(DF) - </t>
    </r>
    <r>
      <rPr>
        <sz val="9"/>
        <rFont val="Arial"/>
        <family val="2"/>
      </rPr>
      <t>Despesas Financeiras</t>
    </r>
  </si>
  <si>
    <r>
      <t xml:space="preserve">(L) - </t>
    </r>
    <r>
      <rPr>
        <sz val="9"/>
        <rFont val="Arial"/>
        <family val="2"/>
      </rPr>
      <t>Lucro</t>
    </r>
  </si>
  <si>
    <r>
      <t>(I</t>
    </r>
    <r>
      <rPr>
        <b/>
        <sz val="6"/>
        <rFont val="Arial"/>
        <family val="2"/>
      </rPr>
      <t>1</t>
    </r>
    <r>
      <rPr>
        <b/>
        <sz val="10"/>
        <rFont val="Arial"/>
        <family val="2"/>
      </rPr>
      <t xml:space="preserve">) - </t>
    </r>
    <r>
      <rPr>
        <sz val="10"/>
        <rFont val="Arial"/>
        <family val="2"/>
      </rPr>
      <t>PIS</t>
    </r>
  </si>
  <si>
    <r>
      <t>(I</t>
    </r>
    <r>
      <rPr>
        <b/>
        <sz val="5"/>
        <rFont val="Arial"/>
        <family val="2"/>
      </rPr>
      <t>2</t>
    </r>
    <r>
      <rPr>
        <b/>
        <sz val="10"/>
        <rFont val="Arial"/>
        <family val="2"/>
      </rPr>
      <t xml:space="preserve">) - </t>
    </r>
    <r>
      <rPr>
        <sz val="10"/>
        <rFont val="Arial"/>
      </rPr>
      <t>COFINS</t>
    </r>
  </si>
  <si>
    <r>
      <t>(I</t>
    </r>
    <r>
      <rPr>
        <b/>
        <sz val="5"/>
        <rFont val="Arial"/>
        <family val="2"/>
      </rPr>
      <t>3</t>
    </r>
    <r>
      <rPr>
        <b/>
        <sz val="10"/>
        <rFont val="Arial"/>
        <family val="2"/>
      </rPr>
      <t xml:space="preserve">) - </t>
    </r>
    <r>
      <rPr>
        <sz val="10"/>
        <rFont val="Arial"/>
      </rPr>
      <t>ISS</t>
    </r>
  </si>
  <si>
    <r>
      <t>(I</t>
    </r>
    <r>
      <rPr>
        <b/>
        <sz val="5"/>
        <rFont val="Arial"/>
        <family val="2"/>
      </rPr>
      <t>4</t>
    </r>
    <r>
      <rPr>
        <b/>
        <sz val="10"/>
        <rFont val="Arial"/>
        <family val="2"/>
      </rPr>
      <t xml:space="preserve">) - </t>
    </r>
    <r>
      <rPr>
        <sz val="10"/>
        <rFont val="Arial"/>
      </rPr>
      <t>Contrib. Previdenciária</t>
    </r>
  </si>
  <si>
    <t>BDI Adotado</t>
  </si>
  <si>
    <t>Valor para simples conferência do enquadramento do BDI nos limites estabelecidos pelo Acórdão TCU 2622/2013</t>
  </si>
  <si>
    <t>Limites do valor do BDI para obras do tipo acima selecionado.
Acórdão TCU 2622/2013</t>
  </si>
  <si>
    <r>
      <t>BDI desconsiderando a parcela 
(I</t>
    </r>
    <r>
      <rPr>
        <sz val="6"/>
        <rFont val="Arial"/>
        <family val="2"/>
      </rPr>
      <t>4</t>
    </r>
    <r>
      <rPr>
        <sz val="8"/>
        <rFont val="Arial"/>
        <family val="2"/>
      </rPr>
      <t>) contribuição previdenciária</t>
    </r>
  </si>
  <si>
    <t>DECLARAÇÕES</t>
  </si>
  <si>
    <t>Observações:</t>
  </si>
  <si>
    <t>Assinatura do Responsável Técnico pelo orçamento</t>
  </si>
  <si>
    <t>Nº ART ou RRT do orçamento</t>
  </si>
  <si>
    <t>Título, Nome e CREA/CAU do Responsável Técnico pelo orçamento</t>
  </si>
  <si>
    <t>Data</t>
  </si>
  <si>
    <t>Assinatura do Responsável Tomador</t>
  </si>
  <si>
    <t>Prefeito Municipal Douglas Martello de Souza Silveira</t>
  </si>
  <si>
    <t xml:space="preserve"> Cargo e Nome</t>
  </si>
  <si>
    <t>Engenheira Civil Renata Lasta dos Santos CREA/RS 242070</t>
  </si>
  <si>
    <t>Manutenção viária</t>
  </si>
  <si>
    <t>processo administrativo 3923/2026</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</si>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</sst>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quot;R$&quot;\ #,##0.00"/>
    <numFmt numFmtId="165" formatCode="_(* #,##0.00_);_(* \(#,##0.00\);_(* &quot;-&quot;??_);_(@_)"/>
    <numFmt numFmtId="166" formatCode="0.0000"/>
    <numFmt numFmtId="167" formatCode="#,##0.00_ ;\-#,##0.00\ "/>
  </numFmts>
  <fonts count="31" x14ac:knownFonts="1">
    <font>
      <sz val="11"/>
      <color theme="1"/>
      <name val="Calibri"/>
      <family val="2"/>
      <scheme val="minor"/>
    </font>
    <font>
      <sz val="11"/>
      <color theme="1"/>
      <name val="Calibri"/>
      <family val="2"/>
      <scheme val="minor"/>
    </font>
    <font>
      <sz val="10"/>
      <name val="Arial"/>
      <family val="2"/>
    </font>
    <font>
      <sz val="8"/>
      <name val="Calibri"/>
      <family val="2"/>
    </font>
    <font>
      <b/>
      <sz val="8"/>
      <name val="Calibri"/>
      <family val="2"/>
    </font>
    <font>
      <b/>
      <sz val="8"/>
      <color indexed="8"/>
      <name val="Calibri"/>
      <family val="2"/>
    </font>
    <font>
      <b/>
      <sz val="11"/>
      <color theme="1"/>
      <name val="Calibri"/>
      <family val="2"/>
      <scheme val="minor"/>
    </font>
    <font>
      <b/>
      <sz val="11"/>
      <name val="Calibri"/>
      <family val="2"/>
      <scheme val="minor"/>
    </font>
    <font>
      <sz val="8"/>
      <name val="Calibri"/>
      <family val="2"/>
      <scheme val="minor"/>
    </font>
    <font>
      <b/>
      <sz val="10"/>
      <name val="Arial"/>
      <family val="2"/>
    </font>
    <font>
      <b/>
      <sz val="10"/>
      <color theme="1"/>
      <name val="Arial"/>
      <family val="2"/>
    </font>
    <font>
      <sz val="10"/>
      <color theme="1"/>
      <name val="Arial"/>
      <family val="2"/>
    </font>
    <font>
      <sz val="11"/>
      <name val="Calibri"/>
      <family val="2"/>
      <scheme val="minor"/>
    </font>
    <font>
      <sz val="10"/>
      <color rgb="FFFF0000"/>
      <name val="Arial"/>
      <family val="2"/>
    </font>
    <font>
      <sz val="11"/>
      <color rgb="FFFF0000"/>
      <name val="Calibri"/>
      <family val="2"/>
      <scheme val="minor"/>
    </font>
    <font>
      <sz val="10"/>
      <name val="Arial"/>
    </font>
    <font>
      <b/>
      <sz val="14"/>
      <name val="Arial"/>
      <family val="2"/>
    </font>
    <font>
      <sz val="10"/>
      <color indexed="9"/>
      <name val="Arial"/>
      <family val="2"/>
    </font>
    <font>
      <sz val="9"/>
      <name val="Arial"/>
      <family val="2"/>
    </font>
    <font>
      <b/>
      <sz val="9"/>
      <name val="Arial"/>
      <family val="2"/>
    </font>
    <font>
      <sz val="8"/>
      <color indexed="9"/>
      <name val="Arial"/>
      <family val="2"/>
    </font>
    <font>
      <sz val="8"/>
      <name val="Arial"/>
      <family val="2"/>
    </font>
    <font>
      <sz val="10"/>
      <color indexed="10"/>
      <name val="Arial"/>
      <family val="2"/>
    </font>
    <font>
      <sz val="12"/>
      <name val="Arial"/>
      <family val="2"/>
    </font>
    <font>
      <b/>
      <sz val="6"/>
      <name val="Arial"/>
      <family val="2"/>
    </font>
    <font>
      <b/>
      <sz val="11"/>
      <name val="Arial"/>
      <family val="2"/>
    </font>
    <font>
      <b/>
      <sz val="5"/>
      <name val="Arial"/>
      <family val="2"/>
    </font>
    <font>
      <sz val="6"/>
      <name val="Arial"/>
      <family val="2"/>
    </font>
    <font>
      <b/>
      <sz val="9"/>
      <color indexed="9"/>
      <name val="Arial"/>
      <family val="2"/>
    </font>
    <font>
      <b/>
      <sz val="12"/>
      <name val="Arial"/>
      <family val="2"/>
    </font>
    <font>
      <sz val="9"/>
      <color indexed="9"/>
      <name val="Arial"/>
      <family val="2"/>
    </font>
  </fonts>
  <fills count="20">
    <fill>
      <patternFill patternType="none"/>
    </fill>
    <fill>
      <patternFill patternType="gray125"/>
    </fill>
    <fill>
      <patternFill patternType="solid">
        <fgColor rgb="FFFFFF00"/>
        <bgColor indexed="64"/>
      </patternFill>
    </fill>
    <fill>
      <patternFill patternType="solid">
        <fgColor theme="3" tint="0.39997558519241921"/>
        <bgColor indexed="64"/>
      </patternFill>
    </fill>
    <fill>
      <patternFill patternType="solid">
        <fgColor theme="3" tint="0.39997558519241921"/>
        <bgColor indexed="42"/>
      </patternFill>
    </fill>
    <fill>
      <patternFill patternType="solid">
        <fgColor theme="3" tint="0.39997558519241921"/>
        <bgColor indexed="26"/>
      </patternFill>
    </fill>
    <fill>
      <patternFill patternType="solid">
        <fgColor theme="0" tint="-0.34998626667073579"/>
        <bgColor indexed="64"/>
      </patternFill>
    </fill>
    <fill>
      <patternFill patternType="solid">
        <fgColor theme="0" tint="-0.34998626667073579"/>
        <bgColor indexed="55"/>
      </patternFill>
    </fill>
    <fill>
      <patternFill patternType="solid">
        <fgColor theme="3" tint="0.79998168889431442"/>
        <bgColor indexed="64"/>
      </patternFill>
    </fill>
    <fill>
      <patternFill patternType="solid">
        <fgColor theme="3" tint="0.79998168889431442"/>
        <bgColor indexed="42"/>
      </patternFill>
    </fill>
    <fill>
      <patternFill patternType="solid">
        <fgColor theme="3" tint="0.79998168889431442"/>
        <bgColor indexed="26"/>
      </patternFill>
    </fill>
    <fill>
      <patternFill patternType="solid">
        <fgColor indexed="9"/>
        <bgColor indexed="64"/>
      </patternFill>
    </fill>
    <fill>
      <patternFill patternType="solid">
        <fgColor rgb="FFFFFF99"/>
        <bgColor indexed="64"/>
      </patternFill>
    </fill>
    <fill>
      <patternFill patternType="solid">
        <fgColor rgb="FF808080"/>
        <bgColor rgb="FF000000"/>
      </patternFill>
    </fill>
    <fill>
      <patternFill patternType="solid">
        <fgColor rgb="FF92D05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2" tint="-0.249977111117893"/>
        <bgColor indexed="64"/>
      </patternFill>
    </fill>
    <fill>
      <patternFill patternType="solid">
        <fgColor indexed="26"/>
        <bgColor indexed="64"/>
      </patternFill>
    </fill>
    <fill>
      <patternFill patternType="solid">
        <fgColor indexed="22"/>
        <bgColor indexed="64"/>
      </patternFill>
    </fill>
  </fills>
  <borders count="84">
    <border>
      <left/>
      <right/>
      <top/>
      <bottom/>
      <diagonal/>
    </border>
    <border>
      <left/>
      <right/>
      <top style="thin">
        <color indexed="8"/>
      </top>
      <bottom style="thin">
        <color indexed="8"/>
      </bottom>
      <diagonal/>
    </border>
    <border>
      <left style="thin">
        <color indexed="8"/>
      </left>
      <right style="thin">
        <color indexed="8"/>
      </right>
      <top style="hair">
        <color indexed="8"/>
      </top>
      <bottom style="hair">
        <color indexed="8"/>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top style="thin">
        <color indexed="8"/>
      </top>
      <bottom style="thin">
        <color indexed="8"/>
      </bottom>
      <diagonal/>
    </border>
    <border>
      <left/>
      <right style="thin">
        <color indexed="64"/>
      </right>
      <top style="thin">
        <color indexed="8"/>
      </top>
      <bottom style="thin">
        <color indexed="8"/>
      </bottom>
      <diagonal/>
    </border>
    <border>
      <left style="thin">
        <color indexed="64"/>
      </left>
      <right style="thin">
        <color indexed="8"/>
      </right>
      <top style="hair">
        <color indexed="8"/>
      </top>
      <bottom style="hair">
        <color indexed="8"/>
      </bottom>
      <diagonal/>
    </border>
    <border>
      <left style="thin">
        <color indexed="8"/>
      </left>
      <right style="thin">
        <color indexed="64"/>
      </right>
      <top style="hair">
        <color indexed="8"/>
      </top>
      <bottom style="hair">
        <color indexed="8"/>
      </bottom>
      <diagonal/>
    </border>
    <border>
      <left style="thin">
        <color indexed="8"/>
      </left>
      <right style="thin">
        <color indexed="64"/>
      </right>
      <top style="hair">
        <color indexed="8"/>
      </top>
      <bottom/>
      <diagonal/>
    </border>
    <border>
      <left style="thin">
        <color indexed="64"/>
      </left>
      <right style="thin">
        <color indexed="8"/>
      </right>
      <top/>
      <bottom style="hair">
        <color indexed="8"/>
      </bottom>
      <diagonal/>
    </border>
    <border>
      <left style="thin">
        <color indexed="8"/>
      </left>
      <right style="thin">
        <color indexed="64"/>
      </right>
      <top/>
      <bottom style="hair">
        <color indexed="8"/>
      </bottom>
      <diagonal/>
    </border>
    <border>
      <left style="thin">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64"/>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8"/>
      </right>
      <top style="hair">
        <color indexed="8"/>
      </top>
      <bottom style="thin">
        <color indexed="64"/>
      </bottom>
      <diagonal/>
    </border>
    <border>
      <left style="thin">
        <color indexed="8"/>
      </left>
      <right style="thin">
        <color indexed="8"/>
      </right>
      <top style="hair">
        <color indexed="8"/>
      </top>
      <bottom style="thin">
        <color indexed="64"/>
      </bottom>
      <diagonal/>
    </border>
    <border>
      <left style="hair">
        <color indexed="64"/>
      </left>
      <right style="hair">
        <color indexed="64"/>
      </right>
      <top style="hair">
        <color indexed="64"/>
      </top>
      <bottom style="thin">
        <color indexed="64"/>
      </bottom>
      <diagonal/>
    </border>
    <border>
      <left style="thin">
        <color indexed="8"/>
      </left>
      <right style="thin">
        <color indexed="64"/>
      </right>
      <top style="hair">
        <color indexed="8"/>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hair">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1" fillId="0" borderId="0"/>
    <xf numFmtId="0" fontId="2" fillId="0" borderId="0"/>
    <xf numFmtId="165" fontId="2" fillId="0" borderId="0" applyFont="0" applyFill="0" applyBorder="0" applyAlignment="0" applyProtection="0"/>
    <xf numFmtId="43" fontId="2" fillId="0" borderId="0" applyFont="0" applyFill="0" applyBorder="0" applyAlignment="0" applyProtection="0"/>
    <xf numFmtId="44" fontId="1" fillId="0" borderId="0" applyFont="0" applyFill="0" applyBorder="0" applyAlignment="0" applyProtection="0"/>
    <xf numFmtId="0" fontId="15" fillId="0" borderId="0"/>
    <xf numFmtId="43" fontId="15" fillId="0" borderId="0" applyFont="0" applyFill="0" applyBorder="0" applyAlignment="0" applyProtection="0"/>
  </cellStyleXfs>
  <cellXfs count="297">
    <xf numFmtId="0" fontId="0" fillId="0" borderId="0" xfId="0"/>
    <xf numFmtId="0" fontId="3" fillId="11" borderId="0" xfId="3" applyFont="1" applyFill="1" applyAlignment="1">
      <alignment horizontal="center"/>
    </xf>
    <xf numFmtId="49" fontId="3" fillId="11" borderId="0" xfId="3" applyNumberFormat="1" applyFont="1" applyFill="1" applyAlignment="1">
      <alignment horizontal="left"/>
    </xf>
    <xf numFmtId="0" fontId="3" fillId="11" borderId="0" xfId="3" applyFont="1" applyFill="1" applyAlignment="1">
      <alignment wrapText="1"/>
    </xf>
    <xf numFmtId="0" fontId="4" fillId="11" borderId="0" xfId="3" applyFont="1" applyFill="1" applyAlignment="1">
      <alignment horizontal="center"/>
    </xf>
    <xf numFmtId="49" fontId="3" fillId="12" borderId="6" xfId="0" applyNumberFormat="1" applyFont="1" applyFill="1" applyBorder="1" applyAlignment="1" applyProtection="1">
      <alignment horizontal="center" wrapText="1"/>
      <protection locked="0"/>
    </xf>
    <xf numFmtId="0" fontId="3" fillId="0" borderId="6" xfId="0" applyFont="1" applyBorder="1" applyAlignment="1">
      <alignment horizontal="left" wrapText="1"/>
    </xf>
    <xf numFmtId="0" fontId="3" fillId="0" borderId="6" xfId="0" applyFont="1" applyBorder="1" applyAlignment="1">
      <alignment horizontal="center" wrapText="1"/>
    </xf>
    <xf numFmtId="49" fontId="4" fillId="12" borderId="4" xfId="0" applyNumberFormat="1" applyFont="1" applyFill="1" applyBorder="1" applyAlignment="1" applyProtection="1">
      <alignment wrapText="1"/>
      <protection locked="0"/>
    </xf>
    <xf numFmtId="43" fontId="0" fillId="0" borderId="2" xfId="1" applyFont="1" applyFill="1" applyBorder="1" applyAlignment="1" applyProtection="1">
      <alignment vertical="center" shrinkToFit="1"/>
    </xf>
    <xf numFmtId="49" fontId="4" fillId="12" borderId="4" xfId="0" applyNumberFormat="1" applyFont="1" applyFill="1" applyBorder="1" applyAlignment="1" applyProtection="1">
      <alignment horizontal="center" wrapText="1"/>
      <protection locked="0"/>
    </xf>
    <xf numFmtId="0" fontId="3" fillId="12" borderId="6" xfId="0" applyFont="1" applyFill="1" applyBorder="1" applyAlignment="1" applyProtection="1">
      <alignment horizontal="center" wrapText="1"/>
      <protection locked="0"/>
    </xf>
    <xf numFmtId="4" fontId="3" fillId="0" borderId="6" xfId="0" applyNumberFormat="1" applyFont="1" applyBorder="1" applyAlignment="1">
      <alignment horizontal="center" wrapText="1"/>
    </xf>
    <xf numFmtId="49" fontId="3" fillId="12" borderId="3" xfId="0" applyNumberFormat="1" applyFont="1" applyFill="1" applyBorder="1" applyAlignment="1" applyProtection="1">
      <alignment horizontal="center" wrapText="1"/>
      <protection locked="0"/>
    </xf>
    <xf numFmtId="0" fontId="3" fillId="0" borderId="3" xfId="0" applyFont="1" applyBorder="1" applyAlignment="1">
      <alignment horizontal="left" wrapText="1"/>
    </xf>
    <xf numFmtId="0" fontId="3" fillId="0" borderId="3" xfId="0" applyFont="1" applyBorder="1" applyAlignment="1">
      <alignment horizontal="center" wrapText="1"/>
    </xf>
    <xf numFmtId="0" fontId="3" fillId="12" borderId="3" xfId="0" applyFont="1" applyFill="1" applyBorder="1" applyAlignment="1" applyProtection="1">
      <alignment horizontal="center" wrapText="1"/>
      <protection locked="0"/>
    </xf>
    <xf numFmtId="4" fontId="3" fillId="0" borderId="3" xfId="0" applyNumberFormat="1" applyFont="1" applyBorder="1" applyAlignment="1">
      <alignment horizontal="center" wrapText="1"/>
    </xf>
    <xf numFmtId="49" fontId="3" fillId="12" borderId="7" xfId="0" applyNumberFormat="1" applyFont="1" applyFill="1" applyBorder="1" applyAlignment="1" applyProtection="1">
      <alignment horizontal="center" wrapText="1"/>
      <protection locked="0"/>
    </xf>
    <xf numFmtId="0" fontId="3" fillId="0" borderId="7" xfId="0" applyFont="1" applyBorder="1" applyAlignment="1">
      <alignment horizontal="left" wrapText="1"/>
    </xf>
    <xf numFmtId="0" fontId="3" fillId="0" borderId="7" xfId="0" applyFont="1" applyBorder="1" applyAlignment="1">
      <alignment horizontal="center" wrapText="1"/>
    </xf>
    <xf numFmtId="0" fontId="3" fillId="12" borderId="7" xfId="0" applyFont="1" applyFill="1" applyBorder="1" applyAlignment="1" applyProtection="1">
      <alignment horizontal="center" wrapText="1"/>
      <protection locked="0"/>
    </xf>
    <xf numFmtId="4" fontId="3" fillId="0" borderId="7" xfId="0" applyNumberFormat="1" applyFont="1" applyBorder="1" applyAlignment="1">
      <alignment horizontal="center" wrapText="1"/>
    </xf>
    <xf numFmtId="49" fontId="0" fillId="0" borderId="2" xfId="0" applyNumberFormat="1" applyBorder="1" applyAlignment="1" applyProtection="1">
      <alignment horizontal="center" vertical="center" wrapText="1"/>
      <protection locked="0"/>
    </xf>
    <xf numFmtId="0" fontId="0" fillId="0" borderId="2" xfId="0" applyBorder="1" applyAlignment="1" applyProtection="1">
      <alignment horizontal="left" vertical="center" wrapText="1"/>
      <protection locked="0"/>
    </xf>
    <xf numFmtId="0" fontId="0" fillId="0" borderId="2" xfId="0" applyBorder="1" applyAlignment="1" applyProtection="1">
      <alignment horizontal="center" vertical="center" wrapText="1"/>
      <protection locked="0"/>
    </xf>
    <xf numFmtId="49" fontId="7" fillId="7" borderId="1" xfId="0" applyNumberFormat="1" applyFont="1" applyFill="1" applyBorder="1" applyAlignment="1">
      <alignment horizontal="center" vertical="center"/>
    </xf>
    <xf numFmtId="164" fontId="7" fillId="7" borderId="1" xfId="1" applyNumberFormat="1" applyFont="1" applyFill="1" applyBorder="1" applyAlignment="1" applyProtection="1">
      <alignment horizontal="center" vertical="center"/>
    </xf>
    <xf numFmtId="49" fontId="0" fillId="0" borderId="8" xfId="0" applyNumberFormat="1" applyBorder="1" applyAlignment="1" applyProtection="1">
      <alignment horizontal="center" vertical="center" wrapText="1"/>
      <protection locked="0"/>
    </xf>
    <xf numFmtId="0" fontId="0" fillId="0" borderId="8" xfId="0" applyBorder="1" applyAlignment="1" applyProtection="1">
      <alignment horizontal="left" vertical="center" wrapText="1"/>
      <protection locked="0"/>
    </xf>
    <xf numFmtId="0" fontId="0" fillId="0" borderId="8" xfId="0" applyBorder="1" applyAlignment="1" applyProtection="1">
      <alignment horizontal="center" vertical="center" wrapText="1"/>
      <protection locked="0"/>
    </xf>
    <xf numFmtId="43" fontId="0" fillId="0" borderId="8" xfId="1" applyFont="1" applyFill="1" applyBorder="1" applyAlignment="1" applyProtection="1">
      <alignment vertical="center" shrinkToFit="1"/>
    </xf>
    <xf numFmtId="49" fontId="0" fillId="0" borderId="9" xfId="0" applyNumberFormat="1" applyBorder="1" applyAlignment="1" applyProtection="1">
      <alignment horizontal="center" vertical="center" wrapText="1"/>
      <protection locked="0"/>
    </xf>
    <xf numFmtId="0" fontId="0" fillId="0" borderId="9" xfId="0" applyBorder="1" applyAlignment="1" applyProtection="1">
      <alignment horizontal="left" vertical="center" wrapText="1"/>
      <protection locked="0"/>
    </xf>
    <xf numFmtId="0" fontId="0" fillId="0" borderId="9" xfId="0" applyBorder="1" applyAlignment="1" applyProtection="1">
      <alignment horizontal="center" vertical="center" wrapText="1"/>
      <protection locked="0"/>
    </xf>
    <xf numFmtId="43" fontId="0" fillId="0" borderId="9" xfId="1" applyFont="1" applyFill="1" applyBorder="1" applyAlignment="1" applyProtection="1">
      <alignment vertical="center" shrinkToFit="1"/>
    </xf>
    <xf numFmtId="0" fontId="6" fillId="8" borderId="10" xfId="0" applyFont="1" applyFill="1" applyBorder="1" applyAlignment="1">
      <alignment vertical="center" wrapText="1" shrinkToFit="1"/>
    </xf>
    <xf numFmtId="49" fontId="6" fillId="9" borderId="11" xfId="0" applyNumberFormat="1" applyFont="1" applyFill="1" applyBorder="1" applyAlignment="1" applyProtection="1">
      <alignment horizontal="center" vertical="center" wrapText="1"/>
      <protection locked="0"/>
    </xf>
    <xf numFmtId="49" fontId="6" fillId="10" borderId="11" xfId="0" applyNumberFormat="1" applyFont="1" applyFill="1" applyBorder="1" applyAlignment="1" applyProtection="1">
      <alignment horizontal="center" vertical="center" wrapText="1"/>
      <protection locked="0"/>
    </xf>
    <xf numFmtId="0" fontId="6" fillId="10" borderId="11" xfId="0" applyFont="1" applyFill="1" applyBorder="1" applyAlignment="1" applyProtection="1">
      <alignment horizontal="left" vertical="center" wrapText="1"/>
      <protection locked="0"/>
    </xf>
    <xf numFmtId="0" fontId="0" fillId="10" borderId="11" xfId="0" applyFill="1" applyBorder="1" applyAlignment="1" applyProtection="1">
      <alignment horizontal="center" vertical="center" wrapText="1"/>
      <protection locked="0"/>
    </xf>
    <xf numFmtId="43" fontId="0" fillId="8" borderId="11" xfId="1" applyFont="1" applyFill="1" applyBorder="1" applyAlignment="1" applyProtection="1">
      <alignment vertical="center" shrinkToFit="1"/>
    </xf>
    <xf numFmtId="0" fontId="7" fillId="6" borderId="13" xfId="0" applyFont="1" applyFill="1" applyBorder="1" applyAlignment="1">
      <alignment horizontal="center" vertical="center" wrapText="1"/>
    </xf>
    <xf numFmtId="0" fontId="7" fillId="6" borderId="14" xfId="0" applyFont="1" applyFill="1" applyBorder="1" applyAlignment="1">
      <alignment horizontal="center" vertical="center" wrapText="1"/>
    </xf>
    <xf numFmtId="0" fontId="7" fillId="6" borderId="14" xfId="0" applyFont="1" applyFill="1" applyBorder="1" applyAlignment="1">
      <alignment horizontal="center" vertical="center"/>
    </xf>
    <xf numFmtId="164" fontId="7" fillId="6" borderId="14" xfId="0" applyNumberFormat="1" applyFont="1" applyFill="1" applyBorder="1" applyAlignment="1">
      <alignment horizontal="center" vertical="center" wrapText="1"/>
    </xf>
    <xf numFmtId="164" fontId="7" fillId="6" borderId="15" xfId="0" applyNumberFormat="1" applyFont="1" applyFill="1" applyBorder="1" applyAlignment="1">
      <alignment horizontal="center" vertical="center" wrapText="1"/>
    </xf>
    <xf numFmtId="164" fontId="7" fillId="7" borderId="17" xfId="1" applyNumberFormat="1" applyFont="1" applyFill="1" applyBorder="1" applyAlignment="1" applyProtection="1">
      <alignment horizontal="center" vertical="center"/>
    </xf>
    <xf numFmtId="0" fontId="0" fillId="0" borderId="18" xfId="0" applyBorder="1" applyAlignment="1">
      <alignment vertical="center" wrapText="1" shrinkToFit="1"/>
    </xf>
    <xf numFmtId="0" fontId="0" fillId="0" borderId="21" xfId="0" applyBorder="1" applyAlignment="1">
      <alignment vertical="center" wrapText="1" shrinkToFit="1"/>
    </xf>
    <xf numFmtId="0" fontId="0" fillId="3" borderId="23" xfId="0" applyFill="1" applyBorder="1" applyAlignment="1">
      <alignment vertical="center" wrapText="1" shrinkToFit="1"/>
    </xf>
    <xf numFmtId="49" fontId="0" fillId="4" borderId="24" xfId="0" applyNumberFormat="1" applyFill="1" applyBorder="1" applyAlignment="1" applyProtection="1">
      <alignment horizontal="center" vertical="center" wrapText="1"/>
      <protection locked="0"/>
    </xf>
    <xf numFmtId="49" fontId="0" fillId="5" borderId="24" xfId="0" applyNumberFormat="1" applyFill="1" applyBorder="1" applyAlignment="1" applyProtection="1">
      <alignment horizontal="center" vertical="center" wrapText="1"/>
      <protection locked="0"/>
    </xf>
    <xf numFmtId="0" fontId="6" fillId="5" borderId="24" xfId="0" applyFont="1" applyFill="1" applyBorder="1" applyAlignment="1" applyProtection="1">
      <alignment horizontal="left" vertical="center" wrapText="1"/>
      <protection locked="0"/>
    </xf>
    <xf numFmtId="0" fontId="0" fillId="5" borderId="24" xfId="0" applyFill="1" applyBorder="1" applyAlignment="1" applyProtection="1">
      <alignment horizontal="center" vertical="center" wrapText="1"/>
      <protection locked="0"/>
    </xf>
    <xf numFmtId="43" fontId="0" fillId="3" borderId="24" xfId="1" applyFont="1" applyFill="1" applyBorder="1" applyAlignment="1" applyProtection="1">
      <alignment vertical="center" shrinkToFit="1"/>
    </xf>
    <xf numFmtId="0" fontId="0" fillId="8" borderId="10" xfId="0" applyFill="1" applyBorder="1" applyAlignment="1">
      <alignment vertical="center" wrapText="1" shrinkToFit="1"/>
    </xf>
    <xf numFmtId="49" fontId="0" fillId="9" borderId="11" xfId="0" applyNumberFormat="1" applyFill="1" applyBorder="1" applyAlignment="1" applyProtection="1">
      <alignment horizontal="center" vertical="center" wrapText="1"/>
      <protection locked="0"/>
    </xf>
    <xf numFmtId="49" fontId="0" fillId="10" borderId="11" xfId="0" applyNumberFormat="1" applyFill="1" applyBorder="1" applyAlignment="1" applyProtection="1">
      <alignment horizontal="center" vertical="center" wrapText="1"/>
      <protection locked="0"/>
    </xf>
    <xf numFmtId="0" fontId="0" fillId="10" borderId="11" xfId="0" applyFill="1" applyBorder="1" applyAlignment="1" applyProtection="1">
      <alignment horizontal="left" vertical="center" wrapText="1"/>
      <protection locked="0"/>
    </xf>
    <xf numFmtId="0" fontId="6" fillId="3" borderId="23" xfId="0" applyFont="1" applyFill="1" applyBorder="1" applyAlignment="1">
      <alignment vertical="center" wrapText="1" shrinkToFit="1"/>
    </xf>
    <xf numFmtId="49" fontId="6" fillId="4" borderId="24" xfId="0" applyNumberFormat="1" applyFont="1" applyFill="1" applyBorder="1" applyAlignment="1" applyProtection="1">
      <alignment horizontal="center" vertical="center" wrapText="1"/>
      <protection locked="0"/>
    </xf>
    <xf numFmtId="49" fontId="6" fillId="5" borderId="24" xfId="0" applyNumberFormat="1" applyFont="1" applyFill="1" applyBorder="1" applyAlignment="1" applyProtection="1">
      <alignment horizontal="center" vertical="center" wrapText="1"/>
      <protection locked="0"/>
    </xf>
    <xf numFmtId="0" fontId="6" fillId="5" borderId="24" xfId="0" applyFont="1" applyFill="1" applyBorder="1" applyAlignment="1" applyProtection="1">
      <alignment horizontal="center" vertical="center" wrapText="1"/>
      <protection locked="0"/>
    </xf>
    <xf numFmtId="43" fontId="6" fillId="3" borderId="24" xfId="1" applyFont="1" applyFill="1" applyBorder="1" applyAlignment="1" applyProtection="1">
      <alignment vertical="center" shrinkToFit="1"/>
    </xf>
    <xf numFmtId="0" fontId="6" fillId="10" borderId="11" xfId="0" applyFont="1" applyFill="1" applyBorder="1" applyAlignment="1" applyProtection="1">
      <alignment horizontal="center" vertical="center" wrapText="1"/>
      <protection locked="0"/>
    </xf>
    <xf numFmtId="43" fontId="6" fillId="8" borderId="11" xfId="1" applyFont="1" applyFill="1" applyBorder="1" applyAlignment="1" applyProtection="1">
      <alignment vertical="center" shrinkToFit="1"/>
    </xf>
    <xf numFmtId="0" fontId="0" fillId="0" borderId="0" xfId="0" applyAlignment="1">
      <alignment vertical="center"/>
    </xf>
    <xf numFmtId="10" fontId="0" fillId="2" borderId="0" xfId="2" applyNumberFormat="1" applyFont="1" applyFill="1" applyAlignment="1">
      <alignment horizontal="center" vertical="center"/>
    </xf>
    <xf numFmtId="164" fontId="0" fillId="0" borderId="0" xfId="0" applyNumberFormat="1" applyAlignment="1">
      <alignment vertical="center"/>
    </xf>
    <xf numFmtId="164" fontId="0" fillId="3" borderId="24" xfId="0" applyNumberFormat="1" applyFill="1" applyBorder="1" applyAlignment="1">
      <alignment vertical="center"/>
    </xf>
    <xf numFmtId="164" fontId="0" fillId="0" borderId="9" xfId="0" applyNumberFormat="1" applyBorder="1" applyAlignment="1">
      <alignment vertical="center"/>
    </xf>
    <xf numFmtId="164" fontId="0" fillId="0" borderId="22" xfId="0" applyNumberFormat="1" applyBorder="1" applyAlignment="1">
      <alignment vertical="center"/>
    </xf>
    <xf numFmtId="164" fontId="6" fillId="3" borderId="24" xfId="0" applyNumberFormat="1" applyFont="1" applyFill="1" applyBorder="1" applyAlignment="1">
      <alignment vertical="center"/>
    </xf>
    <xf numFmtId="164" fontId="6" fillId="3" borderId="25" xfId="0" applyNumberFormat="1" applyFont="1" applyFill="1" applyBorder="1" applyAlignment="1">
      <alignment vertical="center"/>
    </xf>
    <xf numFmtId="0" fontId="6" fillId="0" borderId="0" xfId="0" applyFont="1" applyAlignment="1">
      <alignment vertical="center"/>
    </xf>
    <xf numFmtId="164" fontId="6" fillId="8" borderId="11" xfId="0" applyNumberFormat="1" applyFont="1" applyFill="1" applyBorder="1" applyAlignment="1">
      <alignment vertical="center"/>
    </xf>
    <xf numFmtId="164" fontId="6" fillId="8" borderId="12" xfId="0" applyNumberFormat="1" applyFont="1" applyFill="1" applyBorder="1" applyAlignment="1">
      <alignment vertical="center"/>
    </xf>
    <xf numFmtId="164" fontId="0" fillId="0" borderId="2" xfId="0" applyNumberFormat="1" applyBorder="1" applyAlignment="1">
      <alignment vertical="center"/>
    </xf>
    <xf numFmtId="164" fontId="0" fillId="0" borderId="19" xfId="0" applyNumberFormat="1" applyBorder="1" applyAlignment="1">
      <alignment vertical="center"/>
    </xf>
    <xf numFmtId="164" fontId="0" fillId="0" borderId="8" xfId="0" applyNumberFormat="1" applyBorder="1" applyAlignment="1">
      <alignment vertical="center"/>
    </xf>
    <xf numFmtId="164" fontId="0" fillId="0" borderId="20" xfId="0" applyNumberFormat="1" applyBorder="1" applyAlignment="1">
      <alignment vertical="center"/>
    </xf>
    <xf numFmtId="0" fontId="9" fillId="0" borderId="26" xfId="0" applyFont="1" applyBorder="1" applyAlignment="1">
      <alignment horizontal="center" vertical="center" wrapText="1"/>
    </xf>
    <xf numFmtId="0" fontId="9" fillId="0" borderId="26" xfId="0" applyFont="1" applyBorder="1" applyAlignment="1">
      <alignment horizontal="center" vertical="center"/>
    </xf>
    <xf numFmtId="0" fontId="10" fillId="13" borderId="27" xfId="5" applyFont="1" applyFill="1" applyBorder="1" applyAlignment="1">
      <alignment horizontal="left" vertical="center" wrapText="1"/>
    </xf>
    <xf numFmtId="49" fontId="9" fillId="13" borderId="28" xfId="5" applyNumberFormat="1" applyFont="1" applyFill="1" applyBorder="1" applyAlignment="1">
      <alignment horizontal="center" vertical="center"/>
    </xf>
    <xf numFmtId="0" fontId="9" fillId="13" borderId="28" xfId="5" applyFont="1" applyFill="1" applyBorder="1" applyAlignment="1">
      <alignment horizontal="center" vertical="center"/>
    </xf>
    <xf numFmtId="165" fontId="9" fillId="13" borderId="28" xfId="6" applyFont="1" applyFill="1" applyBorder="1" applyAlignment="1" applyProtection="1">
      <alignment horizontal="center" vertical="center"/>
    </xf>
    <xf numFmtId="165" fontId="9" fillId="13" borderId="29" xfId="6" applyFont="1" applyFill="1" applyBorder="1" applyAlignment="1" applyProtection="1">
      <alignment horizontal="center" vertical="center" shrinkToFit="1"/>
    </xf>
    <xf numFmtId="165" fontId="2" fillId="0" borderId="6" xfId="6" applyFont="1" applyFill="1" applyBorder="1" applyAlignment="1" applyProtection="1">
      <alignment horizontal="right" vertical="center" wrapText="1" shrinkToFit="1"/>
      <protection locked="0"/>
    </xf>
    <xf numFmtId="43" fontId="0" fillId="0" borderId="0" xfId="0" applyNumberFormat="1"/>
    <xf numFmtId="43" fontId="0" fillId="0" borderId="2" xfId="1" applyFont="1" applyFill="1" applyBorder="1" applyAlignment="1" applyProtection="1">
      <alignment vertical="center" wrapText="1" shrinkToFit="1"/>
    </xf>
    <xf numFmtId="0" fontId="2" fillId="0" borderId="0" xfId="5" applyAlignment="1">
      <alignment horizontal="left" vertical="center"/>
    </xf>
    <xf numFmtId="0" fontId="2" fillId="0" borderId="0" xfId="5" applyAlignment="1">
      <alignment horizontal="right" vertical="center"/>
    </xf>
    <xf numFmtId="0" fontId="2" fillId="0" borderId="0" xfId="5" applyAlignment="1">
      <alignment vertical="center"/>
    </xf>
    <xf numFmtId="0" fontId="2" fillId="0" borderId="0" xfId="5"/>
    <xf numFmtId="0" fontId="2" fillId="14" borderId="0" xfId="5" applyFill="1" applyAlignment="1">
      <alignment horizontal="right" vertical="center"/>
    </xf>
    <xf numFmtId="0" fontId="2" fillId="2" borderId="0" xfId="5" applyFill="1" applyAlignment="1">
      <alignment horizontal="left" vertical="center"/>
    </xf>
    <xf numFmtId="165" fontId="2" fillId="0" borderId="0" xfId="5" applyNumberFormat="1" applyAlignment="1">
      <alignment horizontal="left" vertical="center" wrapText="1"/>
    </xf>
    <xf numFmtId="0" fontId="2" fillId="0" borderId="0" xfId="5" applyAlignment="1">
      <alignment horizontal="right" vertical="center" wrapText="1"/>
    </xf>
    <xf numFmtId="165" fontId="2" fillId="0" borderId="0" xfId="5" applyNumberFormat="1" applyAlignment="1">
      <alignment vertical="center" wrapText="1"/>
    </xf>
    <xf numFmtId="0" fontId="2" fillId="0" borderId="0" xfId="5" applyAlignment="1">
      <alignment wrapText="1"/>
    </xf>
    <xf numFmtId="0" fontId="2" fillId="14" borderId="0" xfId="5" applyFill="1" applyAlignment="1">
      <alignment horizontal="right" vertical="center" wrapText="1"/>
    </xf>
    <xf numFmtId="0" fontId="2" fillId="2" borderId="0" xfId="5" applyFill="1" applyAlignment="1">
      <alignment horizontal="right" vertical="center" wrapText="1"/>
    </xf>
    <xf numFmtId="10" fontId="2" fillId="2" borderId="0" xfId="2" applyNumberFormat="1" applyFont="1" applyFill="1" applyAlignment="1">
      <alignment horizontal="right" vertical="center" wrapText="1"/>
    </xf>
    <xf numFmtId="43" fontId="2" fillId="14" borderId="0" xfId="5" applyNumberFormat="1" applyFill="1" applyAlignment="1">
      <alignment horizontal="right" vertical="center" wrapText="1"/>
    </xf>
    <xf numFmtId="0" fontId="2" fillId="2" borderId="0" xfId="5" applyFill="1" applyAlignment="1">
      <alignment horizontal="right" vertical="center"/>
    </xf>
    <xf numFmtId="43" fontId="2" fillId="2" borderId="0" xfId="5" applyNumberFormat="1" applyFill="1" applyAlignment="1">
      <alignment horizontal="right" vertical="center"/>
    </xf>
    <xf numFmtId="43" fontId="2" fillId="14" borderId="0" xfId="5" applyNumberFormat="1" applyFill="1" applyAlignment="1">
      <alignment horizontal="right" vertical="center"/>
    </xf>
    <xf numFmtId="0" fontId="11" fillId="0" borderId="0" xfId="0" applyFont="1"/>
    <xf numFmtId="0" fontId="0" fillId="0" borderId="0" xfId="0" applyAlignment="1">
      <alignment horizontal="center"/>
    </xf>
    <xf numFmtId="0" fontId="9" fillId="15" borderId="30" xfId="0" applyFont="1" applyFill="1" applyBorder="1" applyAlignment="1">
      <alignment horizontal="center" vertical="center" wrapText="1"/>
    </xf>
    <xf numFmtId="0" fontId="9" fillId="15" borderId="31" xfId="0" applyFont="1" applyFill="1" applyBorder="1" applyAlignment="1">
      <alignment horizontal="center" vertical="center" wrapText="1"/>
    </xf>
    <xf numFmtId="2" fontId="0" fillId="2" borderId="0" xfId="0" applyNumberFormat="1" applyFill="1" applyAlignment="1">
      <alignment horizontal="center" vertical="center"/>
    </xf>
    <xf numFmtId="2" fontId="0" fillId="0" borderId="0" xfId="0" applyNumberFormat="1" applyAlignment="1">
      <alignment vertical="center"/>
    </xf>
    <xf numFmtId="49" fontId="0" fillId="0" borderId="0" xfId="0" applyNumberFormat="1" applyAlignment="1">
      <alignment vertical="center"/>
    </xf>
    <xf numFmtId="49" fontId="7" fillId="6" borderId="14" xfId="0" applyNumberFormat="1" applyFont="1" applyFill="1" applyBorder="1" applyAlignment="1">
      <alignment horizontal="center" vertical="center" wrapText="1"/>
    </xf>
    <xf numFmtId="49" fontId="12" fillId="15" borderId="34" xfId="0" applyNumberFormat="1" applyFont="1" applyFill="1" applyBorder="1" applyAlignment="1">
      <alignment horizontal="centerContinuous" vertical="center"/>
    </xf>
    <xf numFmtId="49" fontId="9" fillId="15" borderId="31" xfId="0" applyNumberFormat="1" applyFont="1" applyFill="1" applyBorder="1" applyAlignment="1">
      <alignment horizontal="center" vertical="center" wrapText="1"/>
    </xf>
    <xf numFmtId="49" fontId="0" fillId="0" borderId="0" xfId="0" applyNumberFormat="1"/>
    <xf numFmtId="0" fontId="7" fillId="15" borderId="34" xfId="0" applyFont="1" applyFill="1" applyBorder="1" applyAlignment="1">
      <alignment horizontal="centerContinuous" vertical="center" wrapText="1"/>
    </xf>
    <xf numFmtId="0" fontId="7" fillId="15" borderId="33" xfId="0" applyFont="1" applyFill="1" applyBorder="1" applyAlignment="1">
      <alignment horizontal="centerContinuous" vertical="center"/>
    </xf>
    <xf numFmtId="0" fontId="9" fillId="16" borderId="0" xfId="0" applyFont="1" applyFill="1" applyAlignment="1">
      <alignment horizontal="center" vertical="center" wrapText="1"/>
    </xf>
    <xf numFmtId="49" fontId="9" fillId="16" borderId="0" xfId="0" applyNumberFormat="1" applyFont="1" applyFill="1" applyAlignment="1">
      <alignment horizontal="center" vertical="center" wrapText="1"/>
    </xf>
    <xf numFmtId="0" fontId="9" fillId="16" borderId="0" xfId="0" applyFont="1" applyFill="1" applyAlignment="1">
      <alignment horizontal="left" vertical="center"/>
    </xf>
    <xf numFmtId="0" fontId="12" fillId="15" borderId="34" xfId="0" applyFont="1" applyFill="1" applyBorder="1" applyAlignment="1">
      <alignment horizontal="center" vertical="center"/>
    </xf>
    <xf numFmtId="44" fontId="12" fillId="15" borderId="35" xfId="8" applyFont="1" applyFill="1" applyBorder="1" applyAlignment="1">
      <alignment horizontal="centerContinuous" vertical="center"/>
    </xf>
    <xf numFmtId="44" fontId="9" fillId="15" borderId="32" xfId="8" applyFont="1" applyFill="1" applyBorder="1" applyAlignment="1">
      <alignment horizontal="center" vertical="center" wrapText="1"/>
    </xf>
    <xf numFmtId="44" fontId="9" fillId="16" borderId="0" xfId="8" applyFont="1" applyFill="1" applyAlignment="1">
      <alignment horizontal="center" vertical="center" wrapText="1"/>
    </xf>
    <xf numFmtId="44" fontId="0" fillId="0" borderId="0" xfId="8" applyFont="1"/>
    <xf numFmtId="44" fontId="11" fillId="0" borderId="0" xfId="8" applyFont="1"/>
    <xf numFmtId="164" fontId="0" fillId="5" borderId="24" xfId="1" applyNumberFormat="1" applyFont="1" applyFill="1" applyBorder="1" applyAlignment="1" applyProtection="1">
      <alignment vertical="center" wrapText="1"/>
      <protection locked="0"/>
    </xf>
    <xf numFmtId="164" fontId="0" fillId="0" borderId="9" xfId="1" applyNumberFormat="1" applyFont="1" applyFill="1" applyBorder="1" applyAlignment="1" applyProtection="1">
      <alignment vertical="center" wrapText="1"/>
      <protection locked="0"/>
    </xf>
    <xf numFmtId="164" fontId="6" fillId="5" borderId="24" xfId="1" applyNumberFormat="1" applyFont="1" applyFill="1" applyBorder="1" applyAlignment="1" applyProtection="1">
      <alignment vertical="center" wrapText="1"/>
      <protection locked="0"/>
    </xf>
    <xf numFmtId="164" fontId="6" fillId="10" borderId="11" xfId="1" applyNumberFormat="1" applyFont="1" applyFill="1" applyBorder="1" applyAlignment="1" applyProtection="1">
      <alignment vertical="center" wrapText="1"/>
      <protection locked="0"/>
    </xf>
    <xf numFmtId="164" fontId="0" fillId="0" borderId="2" xfId="1" applyNumberFormat="1" applyFont="1" applyFill="1" applyBorder="1" applyAlignment="1" applyProtection="1">
      <alignment vertical="center" wrapText="1"/>
      <protection locked="0"/>
    </xf>
    <xf numFmtId="164" fontId="0" fillId="0" borderId="8" xfId="1" applyNumberFormat="1" applyFont="1" applyFill="1" applyBorder="1" applyAlignment="1" applyProtection="1">
      <alignment vertical="center" wrapText="1"/>
      <protection locked="0"/>
    </xf>
    <xf numFmtId="4" fontId="4" fillId="17" borderId="4" xfId="0" applyNumberFormat="1" applyFont="1" applyFill="1" applyBorder="1" applyAlignment="1">
      <alignment horizontal="center"/>
    </xf>
    <xf numFmtId="4" fontId="4" fillId="17" borderId="5" xfId="0" applyNumberFormat="1" applyFont="1" applyFill="1" applyBorder="1" applyAlignment="1">
      <alignment horizontal="center"/>
    </xf>
    <xf numFmtId="10" fontId="0" fillId="0" borderId="0" xfId="2" applyNumberFormat="1" applyFont="1"/>
    <xf numFmtId="166" fontId="0" fillId="0" borderId="0" xfId="0" applyNumberFormat="1" applyAlignment="1">
      <alignment horizontal="center"/>
    </xf>
    <xf numFmtId="2" fontId="0" fillId="0" borderId="0" xfId="0" applyNumberFormat="1" applyAlignment="1">
      <alignment horizontal="center"/>
    </xf>
    <xf numFmtId="0" fontId="0" fillId="15" borderId="0" xfId="0" applyFill="1"/>
    <xf numFmtId="4" fontId="3" fillId="0" borderId="6" xfId="0" applyNumberFormat="1" applyFont="1" applyBorder="1" applyAlignment="1">
      <alignment horizontal="left" wrapText="1"/>
    </xf>
    <xf numFmtId="49" fontId="3" fillId="11" borderId="0" xfId="3" applyNumberFormat="1" applyFont="1" applyFill="1"/>
    <xf numFmtId="0" fontId="5" fillId="11" borderId="0" xfId="4" applyFont="1" applyFill="1" applyAlignment="1">
      <alignment horizontal="center"/>
    </xf>
    <xf numFmtId="49" fontId="5" fillId="11" borderId="0" xfId="4" applyNumberFormat="1" applyFont="1" applyFill="1" applyAlignment="1">
      <alignment horizontal="center"/>
    </xf>
    <xf numFmtId="0" fontId="5" fillId="11" borderId="0" xfId="4" applyFont="1" applyFill="1"/>
    <xf numFmtId="0" fontId="4" fillId="17" borderId="4" xfId="0" applyFont="1" applyFill="1" applyBorder="1"/>
    <xf numFmtId="4" fontId="0" fillId="0" borderId="0" xfId="0" applyNumberFormat="1"/>
    <xf numFmtId="49" fontId="9" fillId="16" borderId="0" xfId="0" applyNumberFormat="1" applyFont="1" applyFill="1" applyAlignment="1">
      <alignment horizontal="center" vertical="center"/>
    </xf>
    <xf numFmtId="0" fontId="9" fillId="16" borderId="0" xfId="0" applyFont="1" applyFill="1" applyAlignment="1">
      <alignment horizontal="center" vertical="center"/>
    </xf>
    <xf numFmtId="44" fontId="9" fillId="16" borderId="0" xfId="8" applyFont="1" applyFill="1" applyAlignment="1">
      <alignment horizontal="center" vertical="center"/>
    </xf>
    <xf numFmtId="0" fontId="9" fillId="16" borderId="0" xfId="0" applyFont="1" applyFill="1" applyAlignment="1">
      <alignment vertical="center"/>
    </xf>
    <xf numFmtId="4" fontId="0" fillId="0" borderId="0" xfId="0" applyNumberFormat="1" applyAlignment="1">
      <alignment vertical="center"/>
    </xf>
    <xf numFmtId="4" fontId="7" fillId="6" borderId="14" xfId="0" applyNumberFormat="1" applyFont="1" applyFill="1" applyBorder="1" applyAlignment="1">
      <alignment horizontal="center" vertical="center" wrapText="1"/>
    </xf>
    <xf numFmtId="4" fontId="7" fillId="7" borderId="1" xfId="1" applyNumberFormat="1" applyFont="1" applyFill="1" applyBorder="1" applyAlignment="1" applyProtection="1">
      <alignment horizontal="center" vertical="center"/>
    </xf>
    <xf numFmtId="4" fontId="0" fillId="3" borderId="24" xfId="1" applyNumberFormat="1" applyFont="1" applyFill="1" applyBorder="1" applyAlignment="1" applyProtection="1">
      <alignment vertical="center" shrinkToFit="1"/>
    </xf>
    <xf numFmtId="4" fontId="2" fillId="0" borderId="6" xfId="6" applyNumberFormat="1" applyFont="1" applyFill="1" applyBorder="1" applyAlignment="1" applyProtection="1">
      <alignment horizontal="right" vertical="center" wrapText="1" shrinkToFit="1"/>
      <protection locked="0"/>
    </xf>
    <xf numFmtId="4" fontId="6" fillId="3" borderId="24" xfId="1" applyNumberFormat="1" applyFont="1" applyFill="1" applyBorder="1" applyAlignment="1" applyProtection="1">
      <alignment vertical="center" shrinkToFit="1"/>
    </xf>
    <xf numFmtId="4" fontId="6" fillId="8" borderId="11" xfId="1" applyNumberFormat="1" applyFont="1" applyFill="1" applyBorder="1" applyAlignment="1" applyProtection="1">
      <alignment vertical="center" shrinkToFit="1"/>
    </xf>
    <xf numFmtId="0" fontId="13" fillId="0" borderId="0" xfId="5" applyFont="1"/>
    <xf numFmtId="43" fontId="1" fillId="0" borderId="2" xfId="1" applyFont="1" applyFill="1" applyBorder="1" applyAlignment="1" applyProtection="1">
      <alignment vertical="center" shrinkToFit="1"/>
    </xf>
    <xf numFmtId="0" fontId="0" fillId="0" borderId="36" xfId="0" applyBorder="1" applyAlignment="1">
      <alignment vertical="center" wrapText="1" shrinkToFit="1"/>
    </xf>
    <xf numFmtId="49" fontId="0" fillId="0" borderId="37" xfId="0" applyNumberFormat="1" applyBorder="1" applyAlignment="1" applyProtection="1">
      <alignment horizontal="center" vertical="center" wrapText="1"/>
      <protection locked="0"/>
    </xf>
    <xf numFmtId="0" fontId="0" fillId="0" borderId="37" xfId="0" applyBorder="1" applyAlignment="1" applyProtection="1">
      <alignment horizontal="left" vertical="center" wrapText="1"/>
      <protection locked="0"/>
    </xf>
    <xf numFmtId="0" fontId="0" fillId="0" borderId="37" xfId="0" applyBorder="1" applyAlignment="1" applyProtection="1">
      <alignment horizontal="center" vertical="center" wrapText="1"/>
      <protection locked="0"/>
    </xf>
    <xf numFmtId="4" fontId="2" fillId="0" borderId="38" xfId="6" applyNumberFormat="1" applyFont="1" applyFill="1" applyBorder="1" applyAlignment="1" applyProtection="1">
      <alignment horizontal="right" vertical="center" wrapText="1" shrinkToFit="1"/>
      <protection locked="0"/>
    </xf>
    <xf numFmtId="164" fontId="0" fillId="0" borderId="37" xfId="1" applyNumberFormat="1" applyFont="1" applyFill="1" applyBorder="1" applyAlignment="1" applyProtection="1">
      <alignment vertical="center" wrapText="1"/>
      <protection locked="0"/>
    </xf>
    <xf numFmtId="164" fontId="0" fillId="0" borderId="37" xfId="0" applyNumberFormat="1" applyBorder="1" applyAlignment="1">
      <alignment vertical="center"/>
    </xf>
    <xf numFmtId="164" fontId="0" fillId="0" borderId="39" xfId="0" applyNumberFormat="1" applyBorder="1" applyAlignment="1">
      <alignment vertical="center"/>
    </xf>
    <xf numFmtId="43" fontId="0" fillId="0" borderId="37" xfId="1" applyFont="1" applyFill="1" applyBorder="1" applyAlignment="1" applyProtection="1">
      <alignment vertical="center" shrinkToFit="1"/>
    </xf>
    <xf numFmtId="43" fontId="2" fillId="0" borderId="0" xfId="1" applyFont="1" applyAlignment="1">
      <alignment horizontal="left" vertical="center"/>
    </xf>
    <xf numFmtId="0" fontId="14" fillId="0" borderId="0" xfId="0" applyFont="1"/>
    <xf numFmtId="0" fontId="14" fillId="0" borderId="0" xfId="0" applyFont="1" applyAlignment="1">
      <alignment vertical="center"/>
    </xf>
    <xf numFmtId="44" fontId="0" fillId="0" borderId="0" xfId="8" applyFont="1" applyAlignment="1">
      <alignment vertical="center"/>
    </xf>
    <xf numFmtId="4" fontId="11" fillId="0" borderId="6" xfId="6" applyNumberFormat="1" applyFont="1" applyFill="1" applyBorder="1" applyAlignment="1" applyProtection="1">
      <alignment horizontal="right" vertical="center" wrapText="1" shrinkToFit="1"/>
      <protection locked="0"/>
    </xf>
    <xf numFmtId="0" fontId="7" fillId="7" borderId="16" xfId="0" applyFont="1" applyFill="1" applyBorder="1" applyAlignment="1">
      <alignment horizontal="left" vertical="center" wrapText="1"/>
    </xf>
    <xf numFmtId="0" fontId="7" fillId="7" borderId="1" xfId="0" applyFont="1" applyFill="1" applyBorder="1" applyAlignment="1">
      <alignment horizontal="left" vertical="center" wrapText="1"/>
    </xf>
    <xf numFmtId="0" fontId="0" fillId="0" borderId="0" xfId="0" applyAlignment="1">
      <alignment horizontal="left" vertical="top" wrapText="1"/>
    </xf>
    <xf numFmtId="0" fontId="16" fillId="0" borderId="0" xfId="9" applyFont="1" applyAlignment="1">
      <alignment horizontal="center"/>
    </xf>
    <xf numFmtId="0" fontId="17" fillId="0" borderId="0" xfId="9" applyFont="1"/>
    <xf numFmtId="0" fontId="15" fillId="0" borderId="0" xfId="9"/>
    <xf numFmtId="0" fontId="2" fillId="0" borderId="40" xfId="9" applyFont="1" applyBorder="1" applyAlignment="1">
      <alignment horizontal="left"/>
    </xf>
    <xf numFmtId="0" fontId="2" fillId="0" borderId="41" xfId="9" applyFont="1" applyBorder="1" applyAlignment="1">
      <alignment horizontal="left"/>
    </xf>
    <xf numFmtId="0" fontId="2" fillId="0" borderId="41" xfId="9" applyFont="1" applyBorder="1" applyAlignment="1" applyProtection="1">
      <alignment horizontal="left"/>
      <protection locked="0"/>
    </xf>
    <xf numFmtId="0" fontId="2" fillId="0" borderId="42" xfId="9" applyFont="1" applyBorder="1" applyAlignment="1" applyProtection="1">
      <alignment horizontal="left"/>
      <protection locked="0"/>
    </xf>
    <xf numFmtId="0" fontId="2" fillId="0" borderId="43" xfId="9" applyFont="1" applyBorder="1" applyAlignment="1">
      <alignment horizontal="left"/>
    </xf>
    <xf numFmtId="0" fontId="2" fillId="0" borderId="6" xfId="9" applyFont="1" applyBorder="1" applyAlignment="1">
      <alignment horizontal="left"/>
    </xf>
    <xf numFmtId="0" fontId="2" fillId="0" borderId="6" xfId="9" applyFont="1" applyBorder="1" applyAlignment="1" applyProtection="1">
      <alignment horizontal="left"/>
      <protection locked="0"/>
    </xf>
    <xf numFmtId="0" fontId="2" fillId="0" borderId="44" xfId="9" applyFont="1" applyBorder="1" applyAlignment="1" applyProtection="1">
      <alignment horizontal="left"/>
      <protection locked="0"/>
    </xf>
    <xf numFmtId="0" fontId="2" fillId="0" borderId="45" xfId="9" applyFont="1" applyBorder="1" applyAlignment="1" applyProtection="1">
      <alignment horizontal="left"/>
      <protection locked="0"/>
    </xf>
    <xf numFmtId="0" fontId="2" fillId="0" borderId="46" xfId="9" applyFont="1" applyBorder="1" applyAlignment="1" applyProtection="1">
      <alignment horizontal="left"/>
      <protection locked="0"/>
    </xf>
    <xf numFmtId="0" fontId="2" fillId="0" borderId="47" xfId="9" applyFont="1" applyBorder="1" applyAlignment="1" applyProtection="1">
      <alignment horizontal="left"/>
      <protection locked="0"/>
    </xf>
    <xf numFmtId="0" fontId="15" fillId="18" borderId="48" xfId="9" applyFill="1" applyBorder="1" applyAlignment="1">
      <alignment horizontal="left"/>
    </xf>
    <xf numFmtId="0" fontId="15" fillId="18" borderId="49" xfId="9" applyFill="1" applyBorder="1" applyAlignment="1">
      <alignment horizontal="left"/>
    </xf>
    <xf numFmtId="0" fontId="15" fillId="0" borderId="49" xfId="9" applyBorder="1" applyAlignment="1">
      <alignment horizontal="left"/>
    </xf>
    <xf numFmtId="0" fontId="15" fillId="0" borderId="50" xfId="9" applyBorder="1" applyAlignment="1">
      <alignment horizontal="left"/>
    </xf>
    <xf numFmtId="0" fontId="2" fillId="0" borderId="51" xfId="9" applyFont="1" applyBorder="1" applyAlignment="1">
      <alignment horizontal="left"/>
    </xf>
    <xf numFmtId="0" fontId="2" fillId="0" borderId="38" xfId="9" applyFont="1" applyBorder="1" applyAlignment="1">
      <alignment horizontal="left"/>
    </xf>
    <xf numFmtId="0" fontId="15" fillId="18" borderId="52" xfId="9" applyFill="1" applyBorder="1" applyAlignment="1">
      <alignment horizontal="left"/>
    </xf>
    <xf numFmtId="0" fontId="15" fillId="18" borderId="31" xfId="9" applyFill="1" applyBorder="1" applyAlignment="1">
      <alignment horizontal="left"/>
    </xf>
    <xf numFmtId="0" fontId="15" fillId="0" borderId="31" xfId="9" applyBorder="1" applyAlignment="1">
      <alignment horizontal="left"/>
    </xf>
    <xf numFmtId="0" fontId="15" fillId="0" borderId="32" xfId="9" applyBorder="1" applyAlignment="1">
      <alignment horizontal="left"/>
    </xf>
    <xf numFmtId="0" fontId="18" fillId="0" borderId="26" xfId="9" applyFont="1" applyBorder="1" applyAlignment="1">
      <alignment horizontal="left"/>
    </xf>
    <xf numFmtId="9" fontId="19" fillId="0" borderId="26" xfId="9" applyNumberFormat="1" applyFont="1" applyBorder="1" applyAlignment="1" applyProtection="1">
      <alignment horizontal="center"/>
      <protection locked="0"/>
    </xf>
    <xf numFmtId="10" fontId="19" fillId="0" borderId="26" xfId="9" applyNumberFormat="1" applyFont="1" applyBorder="1" applyAlignment="1" applyProtection="1">
      <alignment horizontal="center"/>
      <protection locked="0"/>
    </xf>
    <xf numFmtId="0" fontId="20" fillId="11" borderId="0" xfId="9" applyFont="1" applyFill="1" applyAlignment="1">
      <alignment horizontal="center" vertical="center" wrapText="1"/>
    </xf>
    <xf numFmtId="0" fontId="9" fillId="19" borderId="53" xfId="9" applyFont="1" applyFill="1" applyBorder="1" applyAlignment="1">
      <alignment horizontal="center" vertical="center"/>
    </xf>
    <xf numFmtId="0" fontId="9" fillId="19" borderId="54" xfId="9" applyFont="1" applyFill="1" applyBorder="1" applyAlignment="1">
      <alignment horizontal="center" vertical="center"/>
    </xf>
    <xf numFmtId="0" fontId="9" fillId="19" borderId="55" xfId="9" applyFont="1" applyFill="1" applyBorder="1" applyAlignment="1">
      <alignment horizontal="center" vertical="center" wrapText="1"/>
    </xf>
    <xf numFmtId="0" fontId="9" fillId="19" borderId="56" xfId="9" applyFont="1" applyFill="1" applyBorder="1" applyAlignment="1">
      <alignment horizontal="center" vertical="center" wrapText="1"/>
    </xf>
    <xf numFmtId="0" fontId="9" fillId="19" borderId="57" xfId="9" applyFont="1" applyFill="1" applyBorder="1" applyAlignment="1">
      <alignment horizontal="center" vertical="center" wrapText="1"/>
    </xf>
    <xf numFmtId="0" fontId="21" fillId="19" borderId="40" xfId="9" applyFont="1" applyFill="1" applyBorder="1" applyAlignment="1">
      <alignment horizontal="center" vertical="center" wrapText="1"/>
    </xf>
    <xf numFmtId="0" fontId="21" fillId="19" borderId="41" xfId="9" applyFont="1" applyFill="1" applyBorder="1" applyAlignment="1">
      <alignment horizontal="center" vertical="center" wrapText="1"/>
    </xf>
    <xf numFmtId="0" fontId="21" fillId="19" borderId="42" xfId="9" applyFont="1" applyFill="1" applyBorder="1" applyAlignment="1">
      <alignment horizontal="center" vertical="center" wrapText="1"/>
    </xf>
    <xf numFmtId="0" fontId="22" fillId="0" borderId="0" xfId="9" applyFont="1"/>
    <xf numFmtId="0" fontId="9" fillId="19" borderId="30" xfId="9" applyFont="1" applyFill="1" applyBorder="1" applyAlignment="1">
      <alignment horizontal="center" vertical="center"/>
    </xf>
    <xf numFmtId="0" fontId="9" fillId="19" borderId="31" xfId="9" applyFont="1" applyFill="1" applyBorder="1" applyAlignment="1">
      <alignment horizontal="center" vertical="center"/>
    </xf>
    <xf numFmtId="0" fontId="9" fillId="19" borderId="58" xfId="9" applyFont="1" applyFill="1" applyBorder="1" applyAlignment="1">
      <alignment horizontal="center" vertical="center" wrapText="1"/>
    </xf>
    <xf numFmtId="0" fontId="9" fillId="19" borderId="31" xfId="9" applyFont="1" applyFill="1" applyBorder="1" applyAlignment="1">
      <alignment horizontal="center" vertical="center" wrapText="1"/>
    </xf>
    <xf numFmtId="0" fontId="9" fillId="19" borderId="59" xfId="9" applyFont="1" applyFill="1" applyBorder="1" applyAlignment="1">
      <alignment horizontal="center" vertical="center" wrapText="1"/>
    </xf>
    <xf numFmtId="0" fontId="21" fillId="19" borderId="43" xfId="9" applyFont="1" applyFill="1" applyBorder="1" applyAlignment="1">
      <alignment horizontal="center" vertical="center" wrapText="1"/>
    </xf>
    <xf numFmtId="0" fontId="21" fillId="19" borderId="6" xfId="9" applyFont="1" applyFill="1" applyBorder="1" applyAlignment="1">
      <alignment horizontal="center" vertical="center" wrapText="1"/>
    </xf>
    <xf numFmtId="0" fontId="21" fillId="19" borderId="44" xfId="9" applyFont="1" applyFill="1" applyBorder="1" applyAlignment="1">
      <alignment horizontal="center" vertical="center" wrapText="1"/>
    </xf>
    <xf numFmtId="0" fontId="19" fillId="0" borderId="60" xfId="9" applyFont="1" applyBorder="1" applyAlignment="1">
      <alignment horizontal="left" vertical="center" wrapText="1"/>
    </xf>
    <xf numFmtId="0" fontId="18" fillId="0" borderId="61" xfId="9" applyFont="1" applyBorder="1" applyAlignment="1">
      <alignment horizontal="left" vertical="center" wrapText="1"/>
    </xf>
    <xf numFmtId="167" fontId="23" fillId="0" borderId="62" xfId="10" applyNumberFormat="1" applyFont="1" applyFill="1" applyBorder="1" applyAlignment="1" applyProtection="1">
      <alignment horizontal="center" vertical="center" wrapText="1"/>
      <protection locked="0"/>
    </xf>
    <xf numFmtId="167" fontId="23" fillId="0" borderId="63" xfId="10" applyNumberFormat="1" applyFont="1" applyFill="1" applyBorder="1" applyAlignment="1" applyProtection="1">
      <alignment horizontal="center" vertical="center" wrapText="1"/>
      <protection locked="0"/>
    </xf>
    <xf numFmtId="167" fontId="23" fillId="0" borderId="64" xfId="10" applyNumberFormat="1" applyFont="1" applyFill="1" applyBorder="1" applyAlignment="1" applyProtection="1">
      <alignment horizontal="center" vertical="center" wrapText="1"/>
      <protection locked="0"/>
    </xf>
    <xf numFmtId="43" fontId="21" fillId="0" borderId="43" xfId="10" applyFont="1" applyFill="1" applyBorder="1" applyAlignment="1" applyProtection="1">
      <alignment horizontal="center" vertical="center" wrapText="1"/>
    </xf>
    <xf numFmtId="43" fontId="21" fillId="0" borderId="6" xfId="10" applyFont="1" applyFill="1" applyBorder="1" applyAlignment="1" applyProtection="1">
      <alignment horizontal="center" vertical="center" wrapText="1"/>
    </xf>
    <xf numFmtId="43" fontId="21" fillId="0" borderId="44" xfId="10" applyFont="1" applyFill="1" applyBorder="1" applyAlignment="1" applyProtection="1">
      <alignment horizontal="center" vertical="center" wrapText="1"/>
    </xf>
    <xf numFmtId="43" fontId="20" fillId="0" borderId="65" xfId="10" applyFont="1" applyFill="1" applyBorder="1" applyAlignment="1" applyProtection="1">
      <alignment horizontal="center" vertical="center" wrapText="1"/>
    </xf>
    <xf numFmtId="0" fontId="19" fillId="0" borderId="66" xfId="9" applyFont="1" applyBorder="1" applyAlignment="1">
      <alignment horizontal="left" vertical="center" wrapText="1"/>
    </xf>
    <xf numFmtId="0" fontId="18" fillId="0" borderId="46" xfId="9" applyFont="1" applyBorder="1" applyAlignment="1">
      <alignment horizontal="left" vertical="center" wrapText="1"/>
    </xf>
    <xf numFmtId="167" fontId="23" fillId="0" borderId="67" xfId="10" applyNumberFormat="1" applyFont="1" applyFill="1" applyBorder="1" applyAlignment="1" applyProtection="1">
      <alignment horizontal="center" vertical="center" wrapText="1"/>
      <protection locked="0"/>
    </xf>
    <xf numFmtId="167" fontId="23" fillId="0" borderId="68" xfId="10" applyNumberFormat="1" applyFont="1" applyFill="1" applyBorder="1" applyAlignment="1" applyProtection="1">
      <alignment horizontal="center" vertical="center" wrapText="1"/>
      <protection locked="0"/>
    </xf>
    <xf numFmtId="167" fontId="23" fillId="0" borderId="69" xfId="10" applyNumberFormat="1" applyFont="1" applyFill="1" applyBorder="1" applyAlignment="1" applyProtection="1">
      <alignment horizontal="center" vertical="center" wrapText="1"/>
      <protection locked="0"/>
    </xf>
    <xf numFmtId="0" fontId="9" fillId="0" borderId="66" xfId="9" applyFont="1" applyBorder="1" applyAlignment="1">
      <alignment horizontal="left" vertical="center" wrapText="1"/>
    </xf>
    <xf numFmtId="0" fontId="15" fillId="0" borderId="46" xfId="9" applyBorder="1" applyAlignment="1">
      <alignment horizontal="left" vertical="center" wrapText="1"/>
    </xf>
    <xf numFmtId="0" fontId="25" fillId="0" borderId="0" xfId="9" applyFont="1"/>
    <xf numFmtId="2" fontId="23" fillId="0" borderId="67" xfId="10" applyNumberFormat="1" applyFont="1" applyFill="1" applyBorder="1" applyAlignment="1" applyProtection="1">
      <alignment horizontal="center" vertical="center" wrapText="1"/>
    </xf>
    <xf numFmtId="2" fontId="23" fillId="0" borderId="68" xfId="10" applyNumberFormat="1" applyFont="1" applyFill="1" applyBorder="1" applyAlignment="1" applyProtection="1">
      <alignment horizontal="center" vertical="center" wrapText="1"/>
    </xf>
    <xf numFmtId="2" fontId="23" fillId="0" borderId="69" xfId="10" applyNumberFormat="1" applyFont="1" applyFill="1" applyBorder="1" applyAlignment="1" applyProtection="1">
      <alignment horizontal="center" vertical="center" wrapText="1"/>
    </xf>
    <xf numFmtId="43" fontId="21" fillId="0" borderId="51" xfId="10" applyFont="1" applyFill="1" applyBorder="1" applyAlignment="1" applyProtection="1">
      <alignment horizontal="center" vertical="center" wrapText="1"/>
    </xf>
    <xf numFmtId="43" fontId="21" fillId="0" borderId="38" xfId="10" applyFont="1" applyFill="1" applyBorder="1" applyAlignment="1" applyProtection="1">
      <alignment horizontal="center" vertical="center" wrapText="1"/>
    </xf>
    <xf numFmtId="43" fontId="21" fillId="0" borderId="70" xfId="10" applyFont="1" applyFill="1" applyBorder="1" applyAlignment="1" applyProtection="1">
      <alignment horizontal="center" vertical="center" wrapText="1"/>
    </xf>
    <xf numFmtId="0" fontId="9" fillId="0" borderId="71" xfId="9" applyFont="1" applyBorder="1" applyAlignment="1">
      <alignment horizontal="left" vertical="center" wrapText="1"/>
    </xf>
    <xf numFmtId="0" fontId="15" fillId="0" borderId="49" xfId="9" applyBorder="1" applyAlignment="1">
      <alignment horizontal="left" vertical="center" wrapText="1"/>
    </xf>
    <xf numFmtId="167" fontId="23" fillId="0" borderId="72" xfId="10" applyNumberFormat="1" applyFont="1" applyFill="1" applyBorder="1" applyAlignment="1" applyProtection="1">
      <alignment horizontal="center" vertical="center" wrapText="1"/>
    </xf>
    <xf numFmtId="167" fontId="23" fillId="0" borderId="73" xfId="10" applyNumberFormat="1" applyFont="1" applyFill="1" applyBorder="1" applyAlignment="1" applyProtection="1">
      <alignment horizontal="center" vertical="center" wrapText="1"/>
    </xf>
    <xf numFmtId="167" fontId="23" fillId="0" borderId="74" xfId="10" applyNumberFormat="1" applyFont="1" applyFill="1" applyBorder="1" applyAlignment="1" applyProtection="1">
      <alignment horizontal="center" vertical="center" wrapText="1"/>
    </xf>
    <xf numFmtId="43" fontId="21" fillId="0" borderId="0" xfId="10" applyFont="1" applyFill="1" applyBorder="1" applyAlignment="1" applyProtection="1">
      <alignment horizontal="center" vertical="center" wrapText="1"/>
    </xf>
    <xf numFmtId="0" fontId="16" fillId="19" borderId="33" xfId="9" applyFont="1" applyFill="1" applyBorder="1" applyAlignment="1">
      <alignment horizontal="center" vertical="center" wrapText="1"/>
    </xf>
    <xf numFmtId="0" fontId="16" fillId="19" borderId="34" xfId="9" applyFont="1" applyFill="1" applyBorder="1" applyAlignment="1">
      <alignment horizontal="center" vertical="center" wrapText="1"/>
    </xf>
    <xf numFmtId="0" fontId="16" fillId="19" borderId="75" xfId="9" applyFont="1" applyFill="1" applyBorder="1" applyAlignment="1">
      <alignment horizontal="center" vertical="center" wrapText="1"/>
    </xf>
    <xf numFmtId="167" fontId="16" fillId="19" borderId="76" xfId="10" applyNumberFormat="1" applyFont="1" applyFill="1" applyBorder="1" applyAlignment="1" applyProtection="1">
      <alignment horizontal="center" vertical="center" wrapText="1"/>
    </xf>
    <xf numFmtId="167" fontId="16" fillId="19" borderId="77" xfId="10" applyNumberFormat="1" applyFont="1" applyFill="1" applyBorder="1" applyAlignment="1" applyProtection="1">
      <alignment horizontal="center" vertical="center" wrapText="1"/>
    </xf>
    <xf numFmtId="167" fontId="16" fillId="19" borderId="78" xfId="10" applyNumberFormat="1" applyFont="1" applyFill="1" applyBorder="1" applyAlignment="1" applyProtection="1">
      <alignment horizontal="center" vertical="center" wrapText="1"/>
    </xf>
    <xf numFmtId="0" fontId="15" fillId="0" borderId="45" xfId="9" applyBorder="1"/>
    <xf numFmtId="0" fontId="15" fillId="0" borderId="46" xfId="9" applyBorder="1"/>
    <xf numFmtId="0" fontId="15" fillId="0" borderId="79" xfId="9" applyBorder="1"/>
    <xf numFmtId="0" fontId="21" fillId="19" borderId="60" xfId="9" applyFont="1" applyFill="1" applyBorder="1" applyAlignment="1">
      <alignment horizontal="center" vertical="center" wrapText="1"/>
    </xf>
    <xf numFmtId="0" fontId="21" fillId="19" borderId="61" xfId="9" applyFont="1" applyFill="1" applyBorder="1" applyAlignment="1">
      <alignment horizontal="center" vertical="center" wrapText="1"/>
    </xf>
    <xf numFmtId="0" fontId="21" fillId="19" borderId="80" xfId="9" applyFont="1" applyFill="1" applyBorder="1" applyAlignment="1">
      <alignment horizontal="center" vertical="center" wrapText="1"/>
    </xf>
    <xf numFmtId="0" fontId="21" fillId="0" borderId="0" xfId="9" applyFont="1" applyAlignment="1">
      <alignment vertical="center" wrapText="1"/>
    </xf>
    <xf numFmtId="0" fontId="21" fillId="0" borderId="51" xfId="9" applyFont="1" applyBorder="1" applyAlignment="1">
      <alignment horizontal="left" vertical="center" wrapText="1"/>
    </xf>
    <xf numFmtId="0" fontId="21" fillId="0" borderId="38" xfId="9" applyFont="1" applyBorder="1" applyAlignment="1">
      <alignment horizontal="left" vertical="center" wrapText="1"/>
    </xf>
    <xf numFmtId="43" fontId="20" fillId="0" borderId="0" xfId="10" applyFont="1" applyFill="1" applyBorder="1" applyAlignment="1" applyProtection="1">
      <alignment horizontal="center" vertical="center" wrapText="1"/>
    </xf>
    <xf numFmtId="0" fontId="28" fillId="0" borderId="0" xfId="9" applyFont="1" applyAlignment="1">
      <alignment horizontal="center" vertical="center" wrapText="1"/>
    </xf>
    <xf numFmtId="0" fontId="29" fillId="0" borderId="0" xfId="9" applyFont="1" applyAlignment="1">
      <alignment horizontal="center"/>
    </xf>
    <xf numFmtId="0" fontId="15" fillId="0" borderId="0" xfId="9" applyAlignment="1">
      <alignment horizontal="center" vertical="top" wrapText="1"/>
    </xf>
    <xf numFmtId="0" fontId="30" fillId="0" borderId="0" xfId="9" applyFont="1" applyAlignment="1">
      <alignment horizontal="center" vertical="center" wrapText="1"/>
    </xf>
    <xf numFmtId="0" fontId="15" fillId="0" borderId="45" xfId="9" applyBorder="1" applyAlignment="1" applyProtection="1">
      <alignment horizontal="left" vertical="top" wrapText="1"/>
      <protection locked="0"/>
    </xf>
    <xf numFmtId="0" fontId="15" fillId="0" borderId="46" xfId="9" applyBorder="1" applyAlignment="1" applyProtection="1">
      <alignment horizontal="left" vertical="top" wrapText="1"/>
      <protection locked="0"/>
    </xf>
    <xf numFmtId="0" fontId="15" fillId="0" borderId="79" xfId="9" applyBorder="1" applyAlignment="1" applyProtection="1">
      <alignment horizontal="left" vertical="top" wrapText="1"/>
      <protection locked="0"/>
    </xf>
    <xf numFmtId="0" fontId="2" fillId="0" borderId="81" xfId="9" applyFont="1" applyBorder="1" applyAlignment="1">
      <alignment horizontal="center"/>
    </xf>
    <xf numFmtId="0" fontId="2" fillId="0" borderId="4" xfId="9" applyFont="1" applyBorder="1" applyAlignment="1">
      <alignment horizontal="center"/>
    </xf>
    <xf numFmtId="0" fontId="2" fillId="0" borderId="41" xfId="9" applyFont="1" applyBorder="1" applyAlignment="1" applyProtection="1">
      <alignment horizontal="center" vertical="center"/>
      <protection locked="0"/>
    </xf>
    <xf numFmtId="0" fontId="2" fillId="0" borderId="42" xfId="9" applyFont="1" applyBorder="1" applyAlignment="1" applyProtection="1">
      <alignment horizontal="center" vertical="center"/>
      <protection locked="0"/>
    </xf>
    <xf numFmtId="0" fontId="21" fillId="0" borderId="82" xfId="9" applyFont="1" applyBorder="1" applyAlignment="1">
      <alignment horizontal="center"/>
    </xf>
    <xf numFmtId="0" fontId="21" fillId="0" borderId="3" xfId="9" applyFont="1" applyBorder="1" applyAlignment="1">
      <alignment horizontal="center"/>
    </xf>
    <xf numFmtId="0" fontId="21" fillId="0" borderId="45" xfId="9" applyFont="1" applyBorder="1" applyAlignment="1">
      <alignment horizontal="center" vertical="center" wrapText="1"/>
    </xf>
    <xf numFmtId="0" fontId="21" fillId="0" borderId="46" xfId="9" applyFont="1" applyBorder="1" applyAlignment="1">
      <alignment horizontal="center" vertical="center" wrapText="1"/>
    </xf>
    <xf numFmtId="0" fontId="21" fillId="0" borderId="47" xfId="9" applyFont="1" applyBorder="1" applyAlignment="1">
      <alignment horizontal="center" vertical="center" wrapText="1"/>
    </xf>
    <xf numFmtId="0" fontId="21" fillId="0" borderId="43" xfId="9" applyFont="1" applyBorder="1" applyAlignment="1" applyProtection="1">
      <alignment horizontal="center"/>
      <protection locked="0"/>
    </xf>
    <xf numFmtId="0" fontId="21" fillId="0" borderId="6" xfId="9" applyFont="1" applyBorder="1" applyAlignment="1" applyProtection="1">
      <alignment horizontal="center"/>
      <protection locked="0"/>
    </xf>
    <xf numFmtId="14" fontId="2" fillId="0" borderId="6" xfId="9" applyNumberFormat="1" applyFont="1" applyBorder="1" applyAlignment="1" applyProtection="1">
      <alignment horizontal="center"/>
      <protection locked="0"/>
    </xf>
    <xf numFmtId="14" fontId="2" fillId="0" borderId="44" xfId="9" applyNumberFormat="1" applyFont="1" applyBorder="1" applyAlignment="1" applyProtection="1">
      <alignment horizontal="center"/>
      <protection locked="0"/>
    </xf>
    <xf numFmtId="0" fontId="21" fillId="0" borderId="51" xfId="9" applyFont="1" applyBorder="1" applyAlignment="1">
      <alignment horizontal="center"/>
    </xf>
    <xf numFmtId="0" fontId="21" fillId="0" borderId="38" xfId="9" applyFont="1" applyBorder="1" applyAlignment="1">
      <alignment horizontal="center"/>
    </xf>
    <xf numFmtId="0" fontId="21" fillId="0" borderId="70" xfId="9" applyFont="1" applyBorder="1" applyAlignment="1">
      <alignment horizontal="center"/>
    </xf>
    <xf numFmtId="0" fontId="15" fillId="0" borderId="0" xfId="9" applyAlignment="1">
      <alignment horizontal="center"/>
    </xf>
    <xf numFmtId="0" fontId="2" fillId="0" borderId="5" xfId="9" applyFont="1" applyBorder="1" applyAlignment="1">
      <alignment horizontal="center"/>
    </xf>
    <xf numFmtId="0" fontId="21" fillId="0" borderId="83" xfId="9" applyFont="1" applyBorder="1" applyAlignment="1">
      <alignment horizontal="center"/>
    </xf>
    <xf numFmtId="0" fontId="21" fillId="0" borderId="44" xfId="9" applyFont="1" applyBorder="1" applyAlignment="1" applyProtection="1">
      <alignment horizontal="center"/>
      <protection locked="0"/>
    </xf>
  </cellXfs>
  <cellStyles count="11">
    <cellStyle name="Moeda" xfId="8" builtinId="4"/>
    <cellStyle name="Normal" xfId="0" builtinId="0"/>
    <cellStyle name="Normal 2" xfId="3" xr:uid="{A7B75C9C-622D-49EE-8006-6ECE45DBD9E2}"/>
    <cellStyle name="Normal 2 2" xfId="4" xr:uid="{8C1A1F3B-B258-461D-B9D1-1D9B386D050B}"/>
    <cellStyle name="Normal 3" xfId="5" xr:uid="{ED48996C-B741-4243-B71D-9013FEAA3F2A}"/>
    <cellStyle name="Normal 4" xfId="9" xr:uid="{EE450C96-27C0-4AC9-AC8D-B2B37E93A478}"/>
    <cellStyle name="Porcentagem" xfId="2" builtinId="5"/>
    <cellStyle name="Vírgula" xfId="1" builtinId="3"/>
    <cellStyle name="Vírgula 2" xfId="10" xr:uid="{03947E11-E0A2-4C0F-97FC-EA82D0FBC59C}"/>
    <cellStyle name="Vírgula 3" xfId="6" xr:uid="{3D071DE7-866D-4AAC-855D-A472FBF66A18}"/>
    <cellStyle name="Vírgula 3 2" xfId="7" xr:uid="{C2F6FE92-CC3F-4704-B5A3-35084220841D}"/>
  </cellStyles>
  <dxfs count="25">
    <dxf>
      <fill>
        <patternFill>
          <bgColor indexed="42"/>
        </patternFill>
      </fill>
    </dxf>
    <dxf>
      <fill>
        <patternFill>
          <bgColor indexed="42"/>
        </patternFill>
      </fill>
    </dxf>
    <dxf>
      <fill>
        <patternFill>
          <bgColor indexed="42"/>
        </patternFill>
      </fill>
    </dxf>
    <dxf>
      <fill>
        <patternFill>
          <bgColor indexed="42"/>
        </patternFill>
      </fill>
    </dxf>
    <dxf>
      <font>
        <b/>
        <i val="0"/>
        <condense val="0"/>
        <extend val="0"/>
        <color indexed="16"/>
      </font>
      <fill>
        <patternFill>
          <bgColor indexed="13"/>
        </patternFill>
      </fill>
      <border>
        <left style="thin">
          <color indexed="10"/>
        </left>
        <right style="thin">
          <color indexed="10"/>
        </right>
        <top style="thin">
          <color indexed="10"/>
        </top>
        <bottom style="thin">
          <color indexed="10"/>
        </bottom>
      </border>
    </dxf>
    <dxf>
      <font>
        <condense val="0"/>
        <extend val="0"/>
        <color indexed="60"/>
      </font>
      <fill>
        <patternFill>
          <bgColor indexed="13"/>
        </patternFill>
      </fill>
      <border>
        <left style="thin">
          <color indexed="10"/>
        </left>
        <right style="thin">
          <color indexed="10"/>
        </right>
        <top style="thin">
          <color indexed="10"/>
        </top>
        <bottom style="thin">
          <color indexed="10"/>
        </bottom>
      </border>
    </dxf>
    <dxf>
      <font>
        <b/>
        <i val="0"/>
        <condense val="0"/>
        <extend val="0"/>
        <color indexed="60"/>
      </font>
      <fill>
        <patternFill>
          <bgColor indexed="13"/>
        </patternFill>
      </fill>
      <border>
        <left style="thin">
          <color indexed="10"/>
        </left>
        <right style="thin">
          <color indexed="10"/>
        </right>
        <top style="thin">
          <color indexed="10"/>
        </top>
        <bottom style="thin">
          <color indexed="10"/>
        </bottom>
      </border>
    </dxf>
    <dxf>
      <fill>
        <patternFill>
          <bgColor indexed="42"/>
        </patternFill>
      </fill>
    </dxf>
    <dxf>
      <font>
        <b/>
        <i val="0"/>
        <strike val="0"/>
        <condense val="0"/>
        <extend val="0"/>
        <color indexed="16"/>
      </font>
      <fill>
        <patternFill>
          <bgColor indexed="13"/>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color rgb="FF00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font>
      <fill>
        <patternFill>
          <bgColor rgb="FFC0C0C0"/>
        </patternFill>
      </fill>
    </dxf>
    <dxf>
      <font>
        <b/>
        <i val="0"/>
      </font>
      <fill>
        <patternFill>
          <bgColor rgb="FF969696"/>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Drop" dropStyle="combo" dx="22" fmlaLink="[2]Plan4!$B$17" fmlaRange="[2]Plan4!$C$19:$C$24" noThreeD="1" sel="2" val="0"/>
</file>

<file path=xl/ctrlProps/ctrlProp2.xml><?xml version="1.0" encoding="utf-8"?>
<formControlPr xmlns="http://schemas.microsoft.com/office/spreadsheetml/2009/9/main" objectType="Drop" dropLines="2" dropStyle="combo" dx="22" fmlaLink="[2]Plan4!$B$26" fmlaRange="[2]Plan4!$C$28:$I$29" noThreeD="1" sel="2" val="0"/>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9525</xdr:colOff>
          <xdr:row>6</xdr:row>
          <xdr:rowOff>9525</xdr:rowOff>
        </xdr:from>
        <xdr:to>
          <xdr:col>18</xdr:col>
          <xdr:colOff>190500</xdr:colOff>
          <xdr:row>6</xdr:row>
          <xdr:rowOff>228600</xdr:rowOff>
        </xdr:to>
        <xdr:sp macro="" textlink="">
          <xdr:nvSpPr>
            <xdr:cNvPr id="7169" name="Drop Down 1" hidden="1">
              <a:extLst>
                <a:ext uri="{63B3BB69-23CF-44E3-9099-C40C66FF867C}">
                  <a14:compatExt spid="_x0000_s7169"/>
                </a:ext>
                <a:ext uri="{FF2B5EF4-FFF2-40B4-BE49-F238E27FC236}">
                  <a16:creationId xmlns:a16="http://schemas.microsoft.com/office/drawing/2014/main" id="{2EB13B2D-59E2-4C7D-BF43-AA2D51A7212C}"/>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9</xdr:col>
      <xdr:colOff>314325</xdr:colOff>
      <xdr:row>21</xdr:row>
      <xdr:rowOff>9525</xdr:rowOff>
    </xdr:from>
    <xdr:to>
      <xdr:col>19</xdr:col>
      <xdr:colOff>123825</xdr:colOff>
      <xdr:row>23</xdr:row>
      <xdr:rowOff>38100</xdr:rowOff>
    </xdr:to>
    <xdr:pic>
      <xdr:nvPicPr>
        <xdr:cNvPr id="2" name="Picture 2">
          <a:extLst>
            <a:ext uri="{FF2B5EF4-FFF2-40B4-BE49-F238E27FC236}">
              <a16:creationId xmlns:a16="http://schemas.microsoft.com/office/drawing/2014/main" id="{94B5E718-6AE9-4C9F-885C-76151CBE8D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90975" y="4714875"/>
          <a:ext cx="21431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6</xdr:col>
          <xdr:colOff>9525</xdr:colOff>
          <xdr:row>7</xdr:row>
          <xdr:rowOff>9525</xdr:rowOff>
        </xdr:from>
        <xdr:to>
          <xdr:col>19</xdr:col>
          <xdr:colOff>0</xdr:colOff>
          <xdr:row>7</xdr:row>
          <xdr:rowOff>228600</xdr:rowOff>
        </xdr:to>
        <xdr:sp macro="" textlink="">
          <xdr:nvSpPr>
            <xdr:cNvPr id="7170" name="Drop Down 2" hidden="1">
              <a:extLst>
                <a:ext uri="{63B3BB69-23CF-44E3-9099-C40C66FF867C}">
                  <a14:compatExt spid="_x0000_s7170"/>
                </a:ext>
                <a:ext uri="{FF2B5EF4-FFF2-40B4-BE49-F238E27FC236}">
                  <a16:creationId xmlns:a16="http://schemas.microsoft.com/office/drawing/2014/main" id="{EF9EC654-2B29-40E9-AAC9-47A6E234FBE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SRVORC\Diretorio%20de%20Rede\1%20-%20CONSTRUTORAS\14%20-%20Propostas\PM%20ALVORADA_GET&#218;LIO%20VARGAS_RUA%20TUN&#205;SIA%20AT&#201;%20AV.%20BALTAZAR\Or&#231;amentos\PM%203.09%20rev08.xlsm" TargetMode="External"/><Relationship Id="rId1" Type="http://schemas.openxmlformats.org/officeDocument/2006/relationships/externalLinkPath" Target="/1%20-%20CONSTRUTORAS/14%20-%20Propostas/PM%20ALVORADA_GET&#218;LIO%20VARGAS_RUA%20TUN&#205;SIA%20AT&#201;%20AV.%20BALTAZAR/Or&#231;amentos/PM%203.09%20rev08.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Z:\Obras\Or&#231;amentos\PAVIMENTA\BDI%20%20Ruas%20Olavo%20Bilac%20e%20Vitor%20Meireles.xls" TargetMode="External"/><Relationship Id="rId1" Type="http://schemas.openxmlformats.org/officeDocument/2006/relationships/externalLinkPath" Target="file:///Z:\Obras\Or&#231;amentos\PAVIMENTA\BDI%20%20Ruas%20Olavo%20Bilac%20e%20Vitor%20Meire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s>
    <sheetDataSet>
      <sheetData sheetId="0"/>
      <sheetData sheetId="1">
        <row r="3">
          <cell r="O3">
            <v>1</v>
          </cell>
        </row>
      </sheetData>
      <sheetData sheetId="2">
        <row r="3">
          <cell r="AQ3" t="str">
            <v>%CT</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DI"/>
      <sheetName val="Plan4"/>
      <sheetName val="Planillha de cotações"/>
    </sheetNames>
    <sheetDataSet>
      <sheetData sheetId="0"/>
      <sheetData sheetId="1">
        <row r="6">
          <cell r="C6">
            <v>3</v>
          </cell>
          <cell r="D6">
            <v>3.8</v>
          </cell>
          <cell r="E6">
            <v>3.43</v>
          </cell>
          <cell r="F6">
            <v>5.29</v>
          </cell>
          <cell r="G6">
            <v>4</v>
          </cell>
          <cell r="H6">
            <v>1.5</v>
          </cell>
          <cell r="I6">
            <v>4</v>
          </cell>
          <cell r="J6">
            <v>4.01</v>
          </cell>
          <cell r="K6">
            <v>4.93</v>
          </cell>
          <cell r="L6">
            <v>5.92</v>
          </cell>
          <cell r="M6">
            <v>5.52</v>
          </cell>
          <cell r="N6">
            <v>3.45</v>
          </cell>
          <cell r="O6">
            <v>5.5</v>
          </cell>
          <cell r="P6">
            <v>4.67</v>
          </cell>
          <cell r="Q6">
            <v>6.71</v>
          </cell>
          <cell r="R6">
            <v>7.93</v>
          </cell>
          <cell r="S6">
            <v>7.85</v>
          </cell>
          <cell r="T6">
            <v>4.49</v>
          </cell>
        </row>
        <row r="7">
          <cell r="C7">
            <v>0.8</v>
          </cell>
          <cell r="D7">
            <v>0.32</v>
          </cell>
          <cell r="E7">
            <v>0.28000000000000003</v>
          </cell>
          <cell r="F7">
            <v>0.25</v>
          </cell>
          <cell r="G7">
            <v>0.81</v>
          </cell>
          <cell r="H7">
            <v>0.3</v>
          </cell>
          <cell r="I7">
            <v>0.8</v>
          </cell>
          <cell r="J7">
            <v>0.4</v>
          </cell>
          <cell r="K7">
            <v>0.49</v>
          </cell>
          <cell r="L7">
            <v>0.51</v>
          </cell>
          <cell r="M7">
            <v>1.22</v>
          </cell>
          <cell r="N7">
            <v>0.48</v>
          </cell>
          <cell r="O7">
            <v>1</v>
          </cell>
          <cell r="P7">
            <v>0.74</v>
          </cell>
          <cell r="Q7">
            <v>0.75</v>
          </cell>
          <cell r="R7">
            <v>0.56000000000000005</v>
          </cell>
          <cell r="S7">
            <v>1.99</v>
          </cell>
          <cell r="T7">
            <v>0.82</v>
          </cell>
        </row>
        <row r="8">
          <cell r="C8">
            <v>0.97</v>
          </cell>
          <cell r="D8">
            <v>0.5</v>
          </cell>
          <cell r="E8">
            <v>1</v>
          </cell>
          <cell r="F8">
            <v>1</v>
          </cell>
          <cell r="G8">
            <v>1.46</v>
          </cell>
          <cell r="H8">
            <v>0.56000000000000005</v>
          </cell>
          <cell r="I8">
            <v>1.27</v>
          </cell>
          <cell r="J8">
            <v>0.56000000000000005</v>
          </cell>
          <cell r="K8">
            <v>1.39</v>
          </cell>
          <cell r="L8">
            <v>1.48</v>
          </cell>
          <cell r="M8">
            <v>2.3199999999999998</v>
          </cell>
          <cell r="N8">
            <v>0.85</v>
          </cell>
          <cell r="O8">
            <v>1.27</v>
          </cell>
          <cell r="P8">
            <v>0.97</v>
          </cell>
          <cell r="Q8">
            <v>1.74</v>
          </cell>
          <cell r="R8">
            <v>1.97</v>
          </cell>
          <cell r="S8">
            <v>3.16</v>
          </cell>
          <cell r="T8">
            <v>0.89</v>
          </cell>
        </row>
        <row r="9">
          <cell r="C9">
            <v>0.59</v>
          </cell>
          <cell r="D9">
            <v>1.02</v>
          </cell>
          <cell r="E9">
            <v>0.94</v>
          </cell>
          <cell r="F9">
            <v>1.01</v>
          </cell>
          <cell r="G9">
            <v>0.94</v>
          </cell>
          <cell r="H9">
            <v>0.85</v>
          </cell>
          <cell r="I9">
            <v>1.23</v>
          </cell>
          <cell r="J9">
            <v>1.1100000000000001</v>
          </cell>
          <cell r="K9">
            <v>0.99</v>
          </cell>
          <cell r="L9">
            <v>1.07</v>
          </cell>
          <cell r="M9">
            <v>1.02</v>
          </cell>
          <cell r="N9">
            <v>0.85</v>
          </cell>
          <cell r="O9">
            <v>1.39</v>
          </cell>
          <cell r="P9">
            <v>1.21</v>
          </cell>
          <cell r="Q9">
            <v>1.17</v>
          </cell>
          <cell r="R9">
            <v>1.1100000000000001</v>
          </cell>
          <cell r="S9">
            <v>1.33</v>
          </cell>
          <cell r="T9">
            <v>1.1100000000000001</v>
          </cell>
        </row>
        <row r="10">
          <cell r="C10">
            <v>6.16</v>
          </cell>
          <cell r="D10">
            <v>6.64</v>
          </cell>
          <cell r="E10">
            <v>6.74</v>
          </cell>
          <cell r="F10">
            <v>8</v>
          </cell>
          <cell r="G10">
            <v>7.14</v>
          </cell>
          <cell r="H10">
            <v>3.5</v>
          </cell>
          <cell r="I10">
            <v>7.4</v>
          </cell>
          <cell r="J10">
            <v>7.3</v>
          </cell>
          <cell r="K10">
            <v>8.0399999999999991</v>
          </cell>
          <cell r="L10">
            <v>8.31</v>
          </cell>
          <cell r="M10">
            <v>8.4</v>
          </cell>
          <cell r="N10">
            <v>5.1100000000000003</v>
          </cell>
          <cell r="O10">
            <v>8.9600000000000009</v>
          </cell>
          <cell r="P10">
            <v>8.69</v>
          </cell>
          <cell r="Q10">
            <v>9.4</v>
          </cell>
          <cell r="R10">
            <v>9.51</v>
          </cell>
          <cell r="S10">
            <v>10.43</v>
          </cell>
          <cell r="T10">
            <v>6.22</v>
          </cell>
        </row>
        <row r="11">
          <cell r="C11">
            <v>0.65</v>
          </cell>
          <cell r="D11">
            <v>0.65</v>
          </cell>
          <cell r="E11">
            <v>0.65</v>
          </cell>
          <cell r="F11">
            <v>0.65</v>
          </cell>
          <cell r="G11">
            <v>0.65</v>
          </cell>
          <cell r="H11">
            <v>0.65</v>
          </cell>
          <cell r="I11">
            <v>0.65</v>
          </cell>
          <cell r="J11">
            <v>0.65</v>
          </cell>
          <cell r="K11">
            <v>0.65</v>
          </cell>
          <cell r="L11">
            <v>0.65</v>
          </cell>
          <cell r="M11">
            <v>0.65</v>
          </cell>
          <cell r="N11">
            <v>0.65</v>
          </cell>
          <cell r="O11">
            <v>0.65</v>
          </cell>
          <cell r="P11">
            <v>0.65</v>
          </cell>
          <cell r="Q11">
            <v>0.65</v>
          </cell>
          <cell r="R11">
            <v>0.65</v>
          </cell>
          <cell r="S11">
            <v>0.65</v>
          </cell>
          <cell r="T11">
            <v>0.65</v>
          </cell>
        </row>
        <row r="12">
          <cell r="C12">
            <v>3</v>
          </cell>
          <cell r="D12">
            <v>3</v>
          </cell>
          <cell r="E12">
            <v>3</v>
          </cell>
          <cell r="F12">
            <v>3</v>
          </cell>
          <cell r="G12">
            <v>3</v>
          </cell>
          <cell r="H12">
            <v>3</v>
          </cell>
          <cell r="I12">
            <v>3</v>
          </cell>
          <cell r="J12">
            <v>3</v>
          </cell>
          <cell r="K12">
            <v>3</v>
          </cell>
          <cell r="L12">
            <v>3</v>
          </cell>
          <cell r="M12">
            <v>3</v>
          </cell>
          <cell r="N12">
            <v>3</v>
          </cell>
          <cell r="O12">
            <v>3</v>
          </cell>
          <cell r="P12">
            <v>3</v>
          </cell>
          <cell r="Q12">
            <v>3</v>
          </cell>
          <cell r="R12">
            <v>3</v>
          </cell>
          <cell r="S12">
            <v>3</v>
          </cell>
          <cell r="T12">
            <v>3</v>
          </cell>
        </row>
        <row r="13">
          <cell r="C13">
            <v>2</v>
          </cell>
          <cell r="D13">
            <v>2</v>
          </cell>
          <cell r="E13">
            <v>2</v>
          </cell>
          <cell r="F13">
            <v>2</v>
          </cell>
          <cell r="G13">
            <v>2</v>
          </cell>
          <cell r="H13">
            <v>2</v>
          </cell>
          <cell r="I13">
            <v>2</v>
          </cell>
          <cell r="J13">
            <v>2</v>
          </cell>
          <cell r="K13">
            <v>2</v>
          </cell>
          <cell r="L13">
            <v>2</v>
          </cell>
          <cell r="M13">
            <v>2</v>
          </cell>
          <cell r="N13">
            <v>2</v>
          </cell>
          <cell r="O13">
            <v>5</v>
          </cell>
          <cell r="P13">
            <v>5</v>
          </cell>
          <cell r="Q13">
            <v>5</v>
          </cell>
          <cell r="R13">
            <v>5</v>
          </cell>
          <cell r="S13">
            <v>5</v>
          </cell>
          <cell r="T13">
            <v>5</v>
          </cell>
        </row>
        <row r="17">
          <cell r="B17">
            <v>2</v>
          </cell>
        </row>
        <row r="19">
          <cell r="O19">
            <v>20.34</v>
          </cell>
          <cell r="Q19">
            <v>22.12</v>
          </cell>
          <cell r="S19">
            <v>25</v>
          </cell>
        </row>
        <row r="20">
          <cell r="O20">
            <v>19.600000000000001</v>
          </cell>
          <cell r="Q20">
            <v>20.97</v>
          </cell>
          <cell r="S20">
            <v>24.23</v>
          </cell>
        </row>
        <row r="21">
          <cell r="O21">
            <v>20.76</v>
          </cell>
          <cell r="Q21">
            <v>24.18</v>
          </cell>
          <cell r="S21">
            <v>26.44</v>
          </cell>
        </row>
        <row r="22">
          <cell r="O22">
            <v>24</v>
          </cell>
          <cell r="Q22">
            <v>25.84</v>
          </cell>
          <cell r="S22">
            <v>27.86</v>
          </cell>
        </row>
        <row r="23">
          <cell r="O23">
            <v>22.8</v>
          </cell>
          <cell r="Q23">
            <v>27.48</v>
          </cell>
          <cell r="S23">
            <v>30.95</v>
          </cell>
        </row>
        <row r="24">
          <cell r="O24">
            <v>11.1</v>
          </cell>
          <cell r="Q24">
            <v>14.02</v>
          </cell>
          <cell r="S24">
            <v>16.8</v>
          </cell>
        </row>
        <row r="26">
          <cell r="B26">
            <v>2</v>
          </cell>
        </row>
      </sheetData>
      <sheetData sheetId="2" refreshError="1"/>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6.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3663D-0361-42D0-A31D-96ED9F3BE164}">
  <sheetPr>
    <pageSetUpPr fitToPage="1"/>
  </sheetPr>
  <dimension ref="A1:M48"/>
  <sheetViews>
    <sheetView zoomScale="90" zoomScaleNormal="90" zoomScaleSheetLayoutView="100" workbookViewId="0">
      <selection activeCell="M14" sqref="M14"/>
    </sheetView>
  </sheetViews>
  <sheetFormatPr defaultColWidth="9.140625" defaultRowHeight="15" x14ac:dyDescent="0.25"/>
  <cols>
    <col min="1" max="1" width="8.28515625" style="67" bestFit="1" customWidth="1"/>
    <col min="2" max="2" width="17.28515625" style="67" customWidth="1"/>
    <col min="3" max="3" width="8.85546875" style="115" bestFit="1" customWidth="1"/>
    <col min="4" max="4" width="60.7109375" style="67" customWidth="1"/>
    <col min="5" max="5" width="9.140625" style="67"/>
    <col min="6" max="6" width="15.28515625" style="154" bestFit="1" customWidth="1"/>
    <col min="7" max="7" width="14" style="114" bestFit="1" customWidth="1"/>
    <col min="8" max="8" width="14.28515625" style="69" bestFit="1" customWidth="1"/>
    <col min="9" max="9" width="20.28515625" style="69" bestFit="1" customWidth="1"/>
    <col min="10" max="10" width="9.140625" style="67"/>
    <col min="11" max="11" width="13.5703125" style="67" bestFit="1" customWidth="1"/>
    <col min="12" max="12" width="12.5703125" style="67" bestFit="1" customWidth="1"/>
    <col min="13" max="13" width="15" style="67" bestFit="1" customWidth="1"/>
    <col min="14" max="16384" width="9.140625" style="67"/>
  </cols>
  <sheetData>
    <row r="1" spans="1:13" x14ac:dyDescent="0.25">
      <c r="G1" s="113" t="s">
        <v>46</v>
      </c>
      <c r="H1" s="68">
        <v>0.22040000000000001</v>
      </c>
    </row>
    <row r="2" spans="1:13" x14ac:dyDescent="0.25">
      <c r="G2" s="69"/>
    </row>
    <row r="3" spans="1:13" x14ac:dyDescent="0.25">
      <c r="G3" s="69"/>
    </row>
    <row r="4" spans="1:13" ht="30" x14ac:dyDescent="0.25">
      <c r="A4" s="42" t="s">
        <v>0</v>
      </c>
      <c r="B4" s="43" t="s">
        <v>1</v>
      </c>
      <c r="C4" s="116" t="s">
        <v>2</v>
      </c>
      <c r="D4" s="43" t="s">
        <v>3</v>
      </c>
      <c r="E4" s="44" t="s">
        <v>4</v>
      </c>
      <c r="F4" s="155" t="s">
        <v>5</v>
      </c>
      <c r="G4" s="45" t="s">
        <v>237</v>
      </c>
      <c r="H4" s="45" t="s">
        <v>6</v>
      </c>
      <c r="I4" s="46" t="s">
        <v>7</v>
      </c>
    </row>
    <row r="5" spans="1:13" x14ac:dyDescent="0.25">
      <c r="A5" s="177" t="s">
        <v>95</v>
      </c>
      <c r="B5" s="178"/>
      <c r="C5" s="178"/>
      <c r="D5" s="178"/>
      <c r="E5" s="26"/>
      <c r="F5" s="156"/>
      <c r="G5" s="27"/>
      <c r="H5" s="27"/>
      <c r="I5" s="47">
        <f>I6+I8</f>
        <v>21931502.790000003</v>
      </c>
      <c r="K5" s="69"/>
    </row>
    <row r="6" spans="1:13" x14ac:dyDescent="0.25">
      <c r="A6" s="60" t="s">
        <v>38</v>
      </c>
      <c r="B6" s="51"/>
      <c r="C6" s="52"/>
      <c r="D6" s="53" t="s">
        <v>101</v>
      </c>
      <c r="E6" s="54"/>
      <c r="F6" s="157"/>
      <c r="G6" s="131"/>
      <c r="H6" s="70"/>
      <c r="I6" s="74">
        <f>SUBTOTAL(9,I7:I7)</f>
        <v>764840.88</v>
      </c>
    </row>
    <row r="7" spans="1:13" x14ac:dyDescent="0.25">
      <c r="A7" s="49" t="s">
        <v>100</v>
      </c>
      <c r="B7" s="32" t="s">
        <v>33</v>
      </c>
      <c r="C7" s="32" t="s">
        <v>9</v>
      </c>
      <c r="D7" s="33" t="s">
        <v>101</v>
      </c>
      <c r="E7" s="34" t="s">
        <v>157</v>
      </c>
      <c r="F7" s="158">
        <f>IF(C7="",0,Memória!F5)</f>
        <v>12</v>
      </c>
      <c r="G7" s="132">
        <f>VLOOKUP(C7,'Lista preços'!$B$4:$E$103,4,FALSE)</f>
        <v>52226.11</v>
      </c>
      <c r="H7" s="71">
        <f t="shared" ref="H7:H35" si="0">ROUND(G7*(1+$H$1),2)</f>
        <v>63736.74</v>
      </c>
      <c r="I7" s="72">
        <f t="shared" ref="I7:I35" si="1">ROUND(H7*F7,2)</f>
        <v>764840.88</v>
      </c>
    </row>
    <row r="8" spans="1:13" s="75" customFormat="1" x14ac:dyDescent="0.25">
      <c r="A8" s="60" t="s">
        <v>40</v>
      </c>
      <c r="B8" s="61"/>
      <c r="C8" s="62"/>
      <c r="D8" s="53" t="s">
        <v>102</v>
      </c>
      <c r="E8" s="63" t="s">
        <v>47</v>
      </c>
      <c r="F8" s="159"/>
      <c r="G8" s="133"/>
      <c r="H8" s="73"/>
      <c r="I8" s="74">
        <f>I9+I16+I41+I44</f>
        <v>21166661.910000004</v>
      </c>
    </row>
    <row r="9" spans="1:13" s="75" customFormat="1" x14ac:dyDescent="0.25">
      <c r="A9" s="36" t="s">
        <v>41</v>
      </c>
      <c r="B9" s="37"/>
      <c r="C9" s="38"/>
      <c r="D9" s="39" t="s">
        <v>103</v>
      </c>
      <c r="E9" s="65" t="s">
        <v>47</v>
      </c>
      <c r="F9" s="160"/>
      <c r="G9" s="134"/>
      <c r="H9" s="76"/>
      <c r="I9" s="77">
        <f>SUBTOTAL(9,I10:I15)</f>
        <v>1196192</v>
      </c>
    </row>
    <row r="10" spans="1:13" ht="30" x14ac:dyDescent="0.25">
      <c r="A10" s="49" t="s">
        <v>129</v>
      </c>
      <c r="B10" s="32" t="s">
        <v>33</v>
      </c>
      <c r="C10" s="32" t="s">
        <v>10</v>
      </c>
      <c r="D10" s="33" t="s">
        <v>367</v>
      </c>
      <c r="E10" s="34" t="s">
        <v>350</v>
      </c>
      <c r="F10" s="158">
        <f>IF(C10="",0,Memória!F8)</f>
        <v>25000</v>
      </c>
      <c r="G10" s="132">
        <f>VLOOKUP(C10,'Lista preços'!$B$4:$E$103,4,FALSE)</f>
        <v>9.2100000000000009</v>
      </c>
      <c r="H10" s="71">
        <f>ROUND(G10*(1+$H$1),2)</f>
        <v>11.24</v>
      </c>
      <c r="I10" s="72">
        <f t="shared" si="1"/>
        <v>281000</v>
      </c>
      <c r="K10" s="69"/>
      <c r="L10" s="69"/>
    </row>
    <row r="11" spans="1:13" ht="45" x14ac:dyDescent="0.25">
      <c r="A11" s="49" t="s">
        <v>130</v>
      </c>
      <c r="B11" s="32" t="s">
        <v>33</v>
      </c>
      <c r="C11" s="32" t="s">
        <v>27</v>
      </c>
      <c r="D11" s="33" t="s">
        <v>263</v>
      </c>
      <c r="E11" s="34" t="s">
        <v>350</v>
      </c>
      <c r="F11" s="158">
        <f>IF(C11="",0,Memória!F9)</f>
        <v>3000</v>
      </c>
      <c r="G11" s="132">
        <f>VLOOKUP(C11,'Lista preços'!$B$4:$E$103,4,FALSE)</f>
        <v>27.759999999999998</v>
      </c>
      <c r="H11" s="71">
        <f>ROUND(G11*(1+$H$1),2)</f>
        <v>33.880000000000003</v>
      </c>
      <c r="I11" s="72">
        <f t="shared" ref="I11" si="2">ROUND(H11*F11,2)</f>
        <v>101640</v>
      </c>
    </row>
    <row r="12" spans="1:13" ht="45" x14ac:dyDescent="0.25">
      <c r="A12" s="49" t="s">
        <v>131</v>
      </c>
      <c r="B12" s="32" t="s">
        <v>33</v>
      </c>
      <c r="C12" s="32" t="s">
        <v>12</v>
      </c>
      <c r="D12" s="33" t="s">
        <v>355</v>
      </c>
      <c r="E12" s="34" t="s">
        <v>43</v>
      </c>
      <c r="F12" s="158">
        <f>IF(C12="",0,Memória!F10)</f>
        <v>3000</v>
      </c>
      <c r="G12" s="132">
        <f>VLOOKUP(C12,'Lista preços'!$B$4:$E$103,4,FALSE)</f>
        <v>35.200000000000003</v>
      </c>
      <c r="H12" s="71">
        <f>ROUND(G12*(1+$H$1),2)</f>
        <v>42.96</v>
      </c>
      <c r="I12" s="72">
        <f>ROUND(H12*F12,2)</f>
        <v>128880</v>
      </c>
    </row>
    <row r="13" spans="1:13" ht="30" x14ac:dyDescent="0.25">
      <c r="A13" s="49" t="s">
        <v>132</v>
      </c>
      <c r="B13" s="32" t="s">
        <v>33</v>
      </c>
      <c r="C13" s="32" t="s">
        <v>254</v>
      </c>
      <c r="D13" s="33" t="s">
        <v>323</v>
      </c>
      <c r="E13" s="34" t="s">
        <v>350</v>
      </c>
      <c r="F13" s="158">
        <f>IF(C13="",0,Memória!F11)</f>
        <v>7000</v>
      </c>
      <c r="G13" s="132">
        <f>VLOOKUP(C13,'Lista preços'!$B$4:$E$103,4,FALSE)</f>
        <v>9.4</v>
      </c>
      <c r="H13" s="71">
        <f>ROUND(G13*(1+$H$1),2)</f>
        <v>11.47</v>
      </c>
      <c r="I13" s="72">
        <f t="shared" ref="I13" si="3">ROUND(H13*F13,2)</f>
        <v>80290</v>
      </c>
    </row>
    <row r="14" spans="1:13" ht="75" x14ac:dyDescent="0.25">
      <c r="A14" s="49" t="s">
        <v>133</v>
      </c>
      <c r="B14" s="32" t="s">
        <v>33</v>
      </c>
      <c r="C14" s="32" t="s">
        <v>255</v>
      </c>
      <c r="D14" s="33" t="s">
        <v>356</v>
      </c>
      <c r="E14" s="34" t="s">
        <v>19</v>
      </c>
      <c r="F14" s="158">
        <f>IF(C14="",0,Memória!F12)</f>
        <v>7000.0000000000009</v>
      </c>
      <c r="G14" s="132">
        <f>VLOOKUP(C14,'Lista preços'!$B$4:$E$103,4,FALSE)</f>
        <v>70.67</v>
      </c>
      <c r="H14" s="71">
        <f>ROUND(G14*(1+$H$1),2)</f>
        <v>86.25</v>
      </c>
      <c r="I14" s="72">
        <f t="shared" ref="I14" si="4">ROUND(H14*F14,2)</f>
        <v>603750</v>
      </c>
      <c r="K14" s="69"/>
      <c r="M14" s="175"/>
    </row>
    <row r="15" spans="1:13" ht="30" x14ac:dyDescent="0.25">
      <c r="A15" s="49" t="s">
        <v>135</v>
      </c>
      <c r="B15" s="23" t="s">
        <v>8</v>
      </c>
      <c r="C15" s="23" t="s">
        <v>78</v>
      </c>
      <c r="D15" s="24" t="s">
        <v>110</v>
      </c>
      <c r="E15" s="25" t="s">
        <v>350</v>
      </c>
      <c r="F15" s="176">
        <f>IF(C15="",0,Memória!F13)</f>
        <v>100</v>
      </c>
      <c r="G15" s="135">
        <f>VLOOKUP(C15,'Lista preços'!$B$4:$E$103,4,FALSE)</f>
        <v>5.18</v>
      </c>
      <c r="H15" s="78">
        <f t="shared" si="0"/>
        <v>6.32</v>
      </c>
      <c r="I15" s="79">
        <f t="shared" si="1"/>
        <v>632</v>
      </c>
      <c r="J15" s="174"/>
    </row>
    <row r="16" spans="1:13" s="75" customFormat="1" x14ac:dyDescent="0.25">
      <c r="A16" s="36" t="s">
        <v>137</v>
      </c>
      <c r="B16" s="37"/>
      <c r="C16" s="38"/>
      <c r="D16" s="39" t="s">
        <v>327</v>
      </c>
      <c r="E16" s="65" t="s">
        <v>47</v>
      </c>
      <c r="F16" s="160"/>
      <c r="G16" s="134"/>
      <c r="H16" s="76"/>
      <c r="I16" s="77">
        <f>SUBTOTAL(9,I17:I40)</f>
        <v>8569879.3500000015</v>
      </c>
    </row>
    <row r="17" spans="1:11" ht="45" x14ac:dyDescent="0.25">
      <c r="A17" s="48" t="s">
        <v>136</v>
      </c>
      <c r="B17" s="23" t="s">
        <v>8</v>
      </c>
      <c r="C17" s="23" t="s">
        <v>28</v>
      </c>
      <c r="D17" s="24" t="s">
        <v>111</v>
      </c>
      <c r="E17" s="25" t="s">
        <v>350</v>
      </c>
      <c r="F17" s="158">
        <f>IF(C17="",0,Memória!F15)</f>
        <v>10000</v>
      </c>
      <c r="G17" s="135">
        <f>VLOOKUP(C17,'Lista preços'!$B$4:$E$103,4,FALSE)</f>
        <v>3.14</v>
      </c>
      <c r="H17" s="78">
        <f t="shared" si="0"/>
        <v>3.83</v>
      </c>
      <c r="I17" s="79">
        <f t="shared" si="1"/>
        <v>38300</v>
      </c>
    </row>
    <row r="18" spans="1:11" ht="45" x14ac:dyDescent="0.25">
      <c r="A18" s="48" t="s">
        <v>138</v>
      </c>
      <c r="B18" s="23" t="s">
        <v>8</v>
      </c>
      <c r="C18" s="23" t="s">
        <v>333</v>
      </c>
      <c r="D18" s="24" t="s">
        <v>357</v>
      </c>
      <c r="E18" s="25" t="s">
        <v>19</v>
      </c>
      <c r="F18" s="158">
        <f>IF(C18="",0,Memória!F16)</f>
        <v>3000</v>
      </c>
      <c r="G18" s="135">
        <f>VLOOKUP(C18,'Lista preços'!$B$4:$E$103,4,FALSE)</f>
        <v>118.52</v>
      </c>
      <c r="H18" s="78">
        <f t="shared" ref="H18" si="5">ROUND(G18*(1+$H$1),2)</f>
        <v>144.63999999999999</v>
      </c>
      <c r="I18" s="79">
        <f t="shared" ref="I18" si="6">ROUND(H18*F18,2)</f>
        <v>433920</v>
      </c>
    </row>
    <row r="19" spans="1:11" ht="60" x14ac:dyDescent="0.25">
      <c r="A19" s="48" t="s">
        <v>139</v>
      </c>
      <c r="B19" s="23" t="s">
        <v>8</v>
      </c>
      <c r="C19" s="23" t="s">
        <v>13</v>
      </c>
      <c r="D19" s="24" t="s">
        <v>113</v>
      </c>
      <c r="E19" s="25" t="s">
        <v>19</v>
      </c>
      <c r="F19" s="158">
        <f>IF(C19="",0,Memória!F17)</f>
        <v>3300.0000000000005</v>
      </c>
      <c r="G19" s="135">
        <f>VLOOKUP(C19,'Lista preços'!$B$4:$E$103,4,FALSE)</f>
        <v>9.3800000000000008</v>
      </c>
      <c r="H19" s="78">
        <f t="shared" ref="H19:H20" si="7">ROUND(G19*(1+$H$1),2)</f>
        <v>11.45</v>
      </c>
      <c r="I19" s="79">
        <f t="shared" ref="I19:I20" si="8">ROUND(H19*F19,2)</f>
        <v>37785</v>
      </c>
    </row>
    <row r="20" spans="1:11" ht="30" x14ac:dyDescent="0.25">
      <c r="A20" s="48" t="s">
        <v>140</v>
      </c>
      <c r="B20" s="23" t="s">
        <v>8</v>
      </c>
      <c r="C20" s="23" t="s">
        <v>24</v>
      </c>
      <c r="D20" s="24" t="s">
        <v>114</v>
      </c>
      <c r="E20" s="25" t="s">
        <v>361</v>
      </c>
      <c r="F20" s="158">
        <f>IF(C20="",0,Memória!F18)</f>
        <v>148500.00000000003</v>
      </c>
      <c r="G20" s="135">
        <f>VLOOKUP(C20,'Lista preços'!$B$4:$E$103,4,FALSE)</f>
        <v>1.8</v>
      </c>
      <c r="H20" s="78">
        <f t="shared" si="7"/>
        <v>2.2000000000000002</v>
      </c>
      <c r="I20" s="79">
        <f t="shared" si="8"/>
        <v>326700</v>
      </c>
      <c r="K20" s="69"/>
    </row>
    <row r="21" spans="1:11" ht="45" x14ac:dyDescent="0.25">
      <c r="A21" s="48" t="s">
        <v>141</v>
      </c>
      <c r="B21" s="23" t="s">
        <v>8</v>
      </c>
      <c r="C21" s="23" t="s">
        <v>29</v>
      </c>
      <c r="D21" s="24" t="s">
        <v>358</v>
      </c>
      <c r="E21" s="25" t="s">
        <v>19</v>
      </c>
      <c r="F21" s="158">
        <f>IF(C21="",0,Memória!F19)</f>
        <v>2500</v>
      </c>
      <c r="G21" s="135">
        <f>VLOOKUP(C21,'Lista preços'!$B$4:$E$103,4,FALSE)</f>
        <v>150.49</v>
      </c>
      <c r="H21" s="78">
        <f t="shared" si="0"/>
        <v>183.66</v>
      </c>
      <c r="I21" s="79">
        <f t="shared" si="1"/>
        <v>459150</v>
      </c>
    </row>
    <row r="22" spans="1:11" ht="60" x14ac:dyDescent="0.25">
      <c r="A22" s="48" t="s">
        <v>142</v>
      </c>
      <c r="B22" s="23" t="s">
        <v>8</v>
      </c>
      <c r="C22" s="23" t="s">
        <v>13</v>
      </c>
      <c r="D22" s="24" t="s">
        <v>113</v>
      </c>
      <c r="E22" s="25" t="s">
        <v>19</v>
      </c>
      <c r="F22" s="158">
        <f>IF(C22="",0,Memória!F20)</f>
        <v>3000</v>
      </c>
      <c r="G22" s="135">
        <f>VLOOKUP(C22,'Lista preços'!$B$4:$E$103,4,FALSE)</f>
        <v>9.3800000000000008</v>
      </c>
      <c r="H22" s="78">
        <f t="shared" si="0"/>
        <v>11.45</v>
      </c>
      <c r="I22" s="79">
        <f t="shared" si="1"/>
        <v>34350</v>
      </c>
    </row>
    <row r="23" spans="1:11" ht="30" x14ac:dyDescent="0.25">
      <c r="A23" s="48" t="s">
        <v>143</v>
      </c>
      <c r="B23" s="23" t="s">
        <v>8</v>
      </c>
      <c r="C23" s="23" t="s">
        <v>24</v>
      </c>
      <c r="D23" s="24" t="s">
        <v>114</v>
      </c>
      <c r="E23" s="25" t="s">
        <v>361</v>
      </c>
      <c r="F23" s="158">
        <f>IF(C23="",0,Memória!F21)</f>
        <v>120000</v>
      </c>
      <c r="G23" s="135">
        <f>VLOOKUP(C23,'Lista preços'!$B$4:$E$103,4,FALSE)</f>
        <v>1.8</v>
      </c>
      <c r="H23" s="78">
        <f t="shared" si="0"/>
        <v>2.2000000000000002</v>
      </c>
      <c r="I23" s="79">
        <f t="shared" si="1"/>
        <v>264000</v>
      </c>
      <c r="K23" s="69"/>
    </row>
    <row r="24" spans="1:11" ht="30" x14ac:dyDescent="0.25">
      <c r="A24" s="48" t="s">
        <v>144</v>
      </c>
      <c r="B24" s="23" t="s">
        <v>33</v>
      </c>
      <c r="C24" s="23" t="s">
        <v>34</v>
      </c>
      <c r="D24" s="24" t="s">
        <v>360</v>
      </c>
      <c r="E24" s="25" t="s">
        <v>19</v>
      </c>
      <c r="F24" s="158">
        <f>IF(C24="",0,Memória!F22)</f>
        <v>300</v>
      </c>
      <c r="G24" s="135">
        <f>VLOOKUP(C24,'Lista preços'!$B$4:$E$103,4,FALSE)</f>
        <v>167.15</v>
      </c>
      <c r="H24" s="78">
        <f t="shared" si="0"/>
        <v>203.99</v>
      </c>
      <c r="I24" s="79">
        <f t="shared" si="1"/>
        <v>61197</v>
      </c>
    </row>
    <row r="25" spans="1:11" ht="60" x14ac:dyDescent="0.25">
      <c r="A25" s="48" t="s">
        <v>145</v>
      </c>
      <c r="B25" s="23" t="s">
        <v>8</v>
      </c>
      <c r="C25" s="23" t="s">
        <v>13</v>
      </c>
      <c r="D25" s="24" t="s">
        <v>113</v>
      </c>
      <c r="E25" s="25" t="s">
        <v>19</v>
      </c>
      <c r="F25" s="158">
        <f>IF(C25="",0,Memória!F23)</f>
        <v>330</v>
      </c>
      <c r="G25" s="135">
        <f>VLOOKUP(C25,'Lista preços'!$B$4:$E$103,4,FALSE)</f>
        <v>9.3800000000000008</v>
      </c>
      <c r="H25" s="78">
        <f t="shared" si="0"/>
        <v>11.45</v>
      </c>
      <c r="I25" s="79">
        <f t="shared" si="1"/>
        <v>3778.5</v>
      </c>
    </row>
    <row r="26" spans="1:11" ht="30" x14ac:dyDescent="0.25">
      <c r="A26" s="48" t="s">
        <v>146</v>
      </c>
      <c r="B26" s="23" t="s">
        <v>8</v>
      </c>
      <c r="C26" s="23" t="s">
        <v>24</v>
      </c>
      <c r="D26" s="24" t="s">
        <v>114</v>
      </c>
      <c r="E26" s="25" t="s">
        <v>361</v>
      </c>
      <c r="F26" s="158">
        <f>IF(C26="",0,Memória!F24)</f>
        <v>17226</v>
      </c>
      <c r="G26" s="135">
        <f>VLOOKUP(C26,'Lista preços'!$B$4:$E$103,4,FALSE)</f>
        <v>1.8</v>
      </c>
      <c r="H26" s="78">
        <f t="shared" si="0"/>
        <v>2.2000000000000002</v>
      </c>
      <c r="I26" s="79">
        <f t="shared" si="1"/>
        <v>37897.199999999997</v>
      </c>
    </row>
    <row r="27" spans="1:11" ht="45" x14ac:dyDescent="0.25">
      <c r="A27" s="48" t="s">
        <v>329</v>
      </c>
      <c r="B27" s="23" t="s">
        <v>8</v>
      </c>
      <c r="C27" s="23" t="s">
        <v>30</v>
      </c>
      <c r="D27" s="24" t="s">
        <v>363</v>
      </c>
      <c r="E27" s="25" t="s">
        <v>19</v>
      </c>
      <c r="F27" s="158">
        <f>IF(C27="",0,Memória!F25)</f>
        <v>1500</v>
      </c>
      <c r="G27" s="135">
        <f>VLOOKUP(C27,'Lista preços'!$B$4:$E$103,4,FALSE)</f>
        <v>169.39</v>
      </c>
      <c r="H27" s="78">
        <f t="shared" si="0"/>
        <v>206.72</v>
      </c>
      <c r="I27" s="79">
        <f t="shared" si="1"/>
        <v>310080</v>
      </c>
    </row>
    <row r="28" spans="1:11" ht="60" x14ac:dyDescent="0.25">
      <c r="A28" s="48" t="s">
        <v>330</v>
      </c>
      <c r="B28" s="23" t="s">
        <v>8</v>
      </c>
      <c r="C28" s="23" t="s">
        <v>13</v>
      </c>
      <c r="D28" s="24" t="s">
        <v>113</v>
      </c>
      <c r="E28" s="25" t="s">
        <v>19</v>
      </c>
      <c r="F28" s="158">
        <f>IF(C28="",0,Memória!F26)</f>
        <v>2250</v>
      </c>
      <c r="G28" s="135">
        <f>VLOOKUP(C28,'Lista preços'!$B$4:$E$103,4,FALSE)</f>
        <v>9.3800000000000008</v>
      </c>
      <c r="H28" s="78">
        <f t="shared" si="0"/>
        <v>11.45</v>
      </c>
      <c r="I28" s="79">
        <f t="shared" si="1"/>
        <v>25762.5</v>
      </c>
    </row>
    <row r="29" spans="1:11" ht="30" x14ac:dyDescent="0.25">
      <c r="A29" s="48" t="s">
        <v>331</v>
      </c>
      <c r="B29" s="23" t="s">
        <v>8</v>
      </c>
      <c r="C29" s="23" t="s">
        <v>24</v>
      </c>
      <c r="D29" s="24" t="s">
        <v>114</v>
      </c>
      <c r="E29" s="25" t="s">
        <v>361</v>
      </c>
      <c r="F29" s="158">
        <f>IF(C29="",0,Memória!F27)</f>
        <v>122512.5</v>
      </c>
      <c r="G29" s="135">
        <f>VLOOKUP(C29,'Lista preços'!$B$4:$E$103,4,FALSE)</f>
        <v>1.8</v>
      </c>
      <c r="H29" s="78">
        <f t="shared" si="0"/>
        <v>2.2000000000000002</v>
      </c>
      <c r="I29" s="79">
        <f t="shared" si="1"/>
        <v>269527.5</v>
      </c>
    </row>
    <row r="30" spans="1:11" ht="30" x14ac:dyDescent="0.25">
      <c r="A30" s="48" t="s">
        <v>147</v>
      </c>
      <c r="B30" s="23" t="s">
        <v>33</v>
      </c>
      <c r="C30" s="23" t="s">
        <v>256</v>
      </c>
      <c r="D30" s="24" t="s">
        <v>117</v>
      </c>
      <c r="E30" s="25" t="s">
        <v>350</v>
      </c>
      <c r="F30" s="158">
        <f>IF(C30="",0,Memória!F28)</f>
        <v>7900</v>
      </c>
      <c r="G30" s="135">
        <f>VLOOKUP(C30,'Lista preços'!$B$4:$E$103,4,FALSE)</f>
        <v>8.5999999999999979</v>
      </c>
      <c r="H30" s="78">
        <f t="shared" si="0"/>
        <v>10.5</v>
      </c>
      <c r="I30" s="79">
        <f t="shared" si="1"/>
        <v>82950</v>
      </c>
    </row>
    <row r="31" spans="1:11" x14ac:dyDescent="0.25">
      <c r="A31" s="48" t="s">
        <v>148</v>
      </c>
      <c r="B31" s="23" t="s">
        <v>33</v>
      </c>
      <c r="C31" s="23" t="s">
        <v>37</v>
      </c>
      <c r="D31" s="24" t="s">
        <v>118</v>
      </c>
      <c r="E31" s="25" t="s">
        <v>350</v>
      </c>
      <c r="F31" s="158">
        <f>IF(C31="",0,Memória!F29)</f>
        <v>32900</v>
      </c>
      <c r="G31" s="135">
        <f>VLOOKUP(C31,'Lista preços'!$B$4:$E$103,4,FALSE)</f>
        <v>3.2299999999999995</v>
      </c>
      <c r="H31" s="78">
        <f t="shared" si="0"/>
        <v>3.94</v>
      </c>
      <c r="I31" s="79">
        <f t="shared" si="1"/>
        <v>129626</v>
      </c>
    </row>
    <row r="32" spans="1:11" ht="30" x14ac:dyDescent="0.25">
      <c r="A32" s="48" t="s">
        <v>149</v>
      </c>
      <c r="B32" s="23" t="s">
        <v>8</v>
      </c>
      <c r="C32" s="23" t="s">
        <v>31</v>
      </c>
      <c r="D32" s="24" t="s">
        <v>119</v>
      </c>
      <c r="E32" s="25" t="s">
        <v>19</v>
      </c>
      <c r="F32" s="158">
        <f>IF(C32="",0,Memória!F30)</f>
        <v>1974</v>
      </c>
      <c r="G32" s="135">
        <f>VLOOKUP(C32,'Lista preços'!$B$4:$E$103,4,FALSE)</f>
        <v>2206.88</v>
      </c>
      <c r="H32" s="78">
        <f t="shared" si="0"/>
        <v>2693.28</v>
      </c>
      <c r="I32" s="79">
        <f t="shared" si="1"/>
        <v>5316534.72</v>
      </c>
    </row>
    <row r="33" spans="1:11" ht="60" x14ac:dyDescent="0.25">
      <c r="A33" s="48" t="s">
        <v>150</v>
      </c>
      <c r="B33" s="23" t="s">
        <v>8</v>
      </c>
      <c r="C33" s="23" t="s">
        <v>13</v>
      </c>
      <c r="D33" s="24" t="s">
        <v>113</v>
      </c>
      <c r="E33" s="25" t="s">
        <v>19</v>
      </c>
      <c r="F33" s="158">
        <f>IF(C33="",0,Memória!F31)</f>
        <v>2171.4</v>
      </c>
      <c r="G33" s="135">
        <f>VLOOKUP(C33,'Lista preços'!$B$4:$E$103,4,FALSE)</f>
        <v>9.3800000000000008</v>
      </c>
      <c r="H33" s="78">
        <f t="shared" si="0"/>
        <v>11.45</v>
      </c>
      <c r="I33" s="79">
        <f t="shared" si="1"/>
        <v>24862.53</v>
      </c>
    </row>
    <row r="34" spans="1:11" ht="30" x14ac:dyDescent="0.25">
      <c r="A34" s="48" t="s">
        <v>151</v>
      </c>
      <c r="B34" s="23" t="s">
        <v>8</v>
      </c>
      <c r="C34" s="23" t="s">
        <v>24</v>
      </c>
      <c r="D34" s="24" t="s">
        <v>114</v>
      </c>
      <c r="E34" s="25" t="s">
        <v>361</v>
      </c>
      <c r="F34" s="158">
        <f>IF(C34="",0,Memória!F32)</f>
        <v>166112.09999999998</v>
      </c>
      <c r="G34" s="135">
        <f>VLOOKUP(C34,'Lista preços'!$B$4:$E$103,4,FALSE)</f>
        <v>1.8</v>
      </c>
      <c r="H34" s="78">
        <f t="shared" si="0"/>
        <v>2.2000000000000002</v>
      </c>
      <c r="I34" s="79">
        <f t="shared" si="1"/>
        <v>365446.62</v>
      </c>
    </row>
    <row r="35" spans="1:11" ht="30" x14ac:dyDescent="0.25">
      <c r="A35" s="48" t="s">
        <v>177</v>
      </c>
      <c r="B35" s="23" t="s">
        <v>8</v>
      </c>
      <c r="C35" s="23" t="s">
        <v>338</v>
      </c>
      <c r="D35" s="24" t="s">
        <v>339</v>
      </c>
      <c r="E35" s="25" t="s">
        <v>350</v>
      </c>
      <c r="F35" s="158">
        <f>IF(C35="",0,Memória!F33)</f>
        <v>2100</v>
      </c>
      <c r="G35" s="135">
        <f>VLOOKUP(C35,'Lista preços'!$B$4:$E$103,4,FALSE)</f>
        <v>80.88</v>
      </c>
      <c r="H35" s="78">
        <f t="shared" si="0"/>
        <v>98.71</v>
      </c>
      <c r="I35" s="79">
        <f t="shared" si="1"/>
        <v>207291</v>
      </c>
    </row>
    <row r="36" spans="1:11" ht="60" x14ac:dyDescent="0.25">
      <c r="A36" s="48" t="s">
        <v>178</v>
      </c>
      <c r="B36" s="23" t="s">
        <v>8</v>
      </c>
      <c r="C36" s="28" t="s">
        <v>13</v>
      </c>
      <c r="D36" s="29" t="s">
        <v>113</v>
      </c>
      <c r="E36" s="30" t="s">
        <v>19</v>
      </c>
      <c r="F36" s="158">
        <f>IF(C36="",0,Memória!F34)</f>
        <v>20.58</v>
      </c>
      <c r="G36" s="135">
        <f>VLOOKUP(C36,'Lista preços'!$B$4:$E$103,4,FALSE)</f>
        <v>9.3800000000000008</v>
      </c>
      <c r="H36" s="78">
        <f t="shared" ref="H36:H37" si="9">ROUND(G36*(1+$H$1),2)</f>
        <v>11.45</v>
      </c>
      <c r="I36" s="79">
        <f t="shared" ref="I36:I37" si="10">ROUND(H36*F36,2)</f>
        <v>235.64</v>
      </c>
    </row>
    <row r="37" spans="1:11" ht="30" x14ac:dyDescent="0.25">
      <c r="A37" s="48" t="s">
        <v>179</v>
      </c>
      <c r="B37" s="23" t="s">
        <v>8</v>
      </c>
      <c r="C37" s="28" t="s">
        <v>24</v>
      </c>
      <c r="D37" s="29" t="s">
        <v>114</v>
      </c>
      <c r="E37" s="25" t="s">
        <v>361</v>
      </c>
      <c r="F37" s="158">
        <f>IF(C37="",0,Memória!F35)</f>
        <v>1074.2759999999998</v>
      </c>
      <c r="G37" s="135">
        <f>VLOOKUP(C37,'Lista preços'!$B$4:$E$103,4,FALSE)</f>
        <v>1.8</v>
      </c>
      <c r="H37" s="78">
        <f t="shared" si="9"/>
        <v>2.2000000000000002</v>
      </c>
      <c r="I37" s="79">
        <f t="shared" si="10"/>
        <v>2363.41</v>
      </c>
    </row>
    <row r="38" spans="1:11" ht="60" x14ac:dyDescent="0.25">
      <c r="A38" s="48" t="s">
        <v>342</v>
      </c>
      <c r="B38" s="23" t="s">
        <v>8</v>
      </c>
      <c r="C38" s="28" t="s">
        <v>13</v>
      </c>
      <c r="D38" s="29" t="s">
        <v>113</v>
      </c>
      <c r="E38" s="30" t="s">
        <v>19</v>
      </c>
      <c r="F38" s="158">
        <f>IF(C38="",0,Memória!F36)</f>
        <v>119.28</v>
      </c>
      <c r="G38" s="135">
        <f>VLOOKUP(C38,'Lista preços'!$B$4:$E$103,4,FALSE)</f>
        <v>9.3800000000000008</v>
      </c>
      <c r="H38" s="78">
        <f t="shared" ref="H38:H39" si="11">ROUND(G38*(1+$H$1),2)</f>
        <v>11.45</v>
      </c>
      <c r="I38" s="79">
        <f t="shared" ref="I38:I39" si="12">ROUND(H38*F38,2)</f>
        <v>1365.76</v>
      </c>
    </row>
    <row r="39" spans="1:11" ht="30" x14ac:dyDescent="0.25">
      <c r="A39" s="48" t="s">
        <v>343</v>
      </c>
      <c r="B39" s="23" t="s">
        <v>8</v>
      </c>
      <c r="C39" s="28" t="s">
        <v>24</v>
      </c>
      <c r="D39" s="29" t="s">
        <v>114</v>
      </c>
      <c r="E39" s="25" t="s">
        <v>361</v>
      </c>
      <c r="F39" s="158">
        <f>IF(C39="",0,Memória!F37)</f>
        <v>5725.4400000000005</v>
      </c>
      <c r="G39" s="135">
        <f>VLOOKUP(C39,'Lista preços'!$B$4:$E$103,4,FALSE)</f>
        <v>1.8</v>
      </c>
      <c r="H39" s="78">
        <f t="shared" si="11"/>
        <v>2.2000000000000002</v>
      </c>
      <c r="I39" s="79">
        <f t="shared" si="12"/>
        <v>12595.97</v>
      </c>
    </row>
    <row r="40" spans="1:11" ht="60" x14ac:dyDescent="0.25">
      <c r="A40" s="48" t="s">
        <v>344</v>
      </c>
      <c r="B40" s="28" t="s">
        <v>8</v>
      </c>
      <c r="C40" s="28" t="s">
        <v>35</v>
      </c>
      <c r="D40" s="29" t="s">
        <v>124</v>
      </c>
      <c r="E40" s="30" t="s">
        <v>43</v>
      </c>
      <c r="F40" s="158">
        <f>IF(C40="",0,Memória!F38)</f>
        <v>2000</v>
      </c>
      <c r="G40" s="136">
        <f>VLOOKUP(C40,'Lista preços'!$B$4:$E$103,4,FALSE)</f>
        <v>50.87</v>
      </c>
      <c r="H40" s="80">
        <f>ROUND(G40*(1+$H$1),2)</f>
        <v>62.08</v>
      </c>
      <c r="I40" s="81">
        <f>ROUND(H40*F40,2)</f>
        <v>124160</v>
      </c>
    </row>
    <row r="41" spans="1:11" s="75" customFormat="1" x14ac:dyDescent="0.25">
      <c r="A41" s="36" t="s">
        <v>98</v>
      </c>
      <c r="B41" s="37"/>
      <c r="C41" s="38"/>
      <c r="D41" s="39" t="s">
        <v>328</v>
      </c>
      <c r="E41" s="65" t="s">
        <v>47</v>
      </c>
      <c r="F41" s="160"/>
      <c r="G41" s="134"/>
      <c r="H41" s="76"/>
      <c r="I41" s="77">
        <f>SUBTOTAL(9,I42:I43)</f>
        <v>9984390.5600000005</v>
      </c>
    </row>
    <row r="42" spans="1:11" ht="45" x14ac:dyDescent="0.25">
      <c r="A42" s="49" t="s">
        <v>152</v>
      </c>
      <c r="B42" s="32" t="s">
        <v>33</v>
      </c>
      <c r="C42" s="32" t="s">
        <v>26</v>
      </c>
      <c r="D42" s="33" t="s">
        <v>337</v>
      </c>
      <c r="E42" s="34" t="s">
        <v>19</v>
      </c>
      <c r="F42" s="158">
        <f>IF(C42="",0,Memória!F40)</f>
        <v>3040</v>
      </c>
      <c r="G42" s="132">
        <f>VLOOKUP(C42,'Lista preços'!$B$4:$E$103,4,FALSE)</f>
        <v>619.31000000000006</v>
      </c>
      <c r="H42" s="71">
        <f t="shared" ref="H42:H47" si="13">ROUND(G42*(1+$H$1),2)</f>
        <v>755.81</v>
      </c>
      <c r="I42" s="72">
        <f t="shared" ref="I42:I47" si="14">ROUND(H42*F42,2)</f>
        <v>2297662.4</v>
      </c>
    </row>
    <row r="43" spans="1:11" ht="45" x14ac:dyDescent="0.25">
      <c r="A43" s="49" t="s">
        <v>153</v>
      </c>
      <c r="B43" s="23" t="s">
        <v>25</v>
      </c>
      <c r="C43" s="23" t="s">
        <v>92</v>
      </c>
      <c r="D43" s="33" t="s">
        <v>349</v>
      </c>
      <c r="E43" s="25" t="s">
        <v>362</v>
      </c>
      <c r="F43" s="158">
        <f>IF(C43="",0,Memória!F41)</f>
        <v>7751.9999999999991</v>
      </c>
      <c r="G43" s="135">
        <f>VLOOKUP(C43,'Lista preços'!$B$4:$E$103,4,FALSE)</f>
        <v>812.5</v>
      </c>
      <c r="H43" s="78">
        <f t="shared" si="13"/>
        <v>991.58</v>
      </c>
      <c r="I43" s="79">
        <f t="shared" si="14"/>
        <v>7686728.1600000001</v>
      </c>
      <c r="K43" s="69"/>
    </row>
    <row r="44" spans="1:11" s="75" customFormat="1" x14ac:dyDescent="0.25">
      <c r="A44" s="36" t="s">
        <v>99</v>
      </c>
      <c r="B44" s="37"/>
      <c r="C44" s="38"/>
      <c r="D44" s="39" t="s">
        <v>324</v>
      </c>
      <c r="E44" s="65" t="s">
        <v>47</v>
      </c>
      <c r="F44" s="160"/>
      <c r="G44" s="134"/>
      <c r="H44" s="76"/>
      <c r="I44" s="77">
        <f>SUBTOTAL(9,I45:I47)</f>
        <v>1416200</v>
      </c>
    </row>
    <row r="45" spans="1:11" ht="30" x14ac:dyDescent="0.25">
      <c r="A45" s="48" t="s">
        <v>154</v>
      </c>
      <c r="B45" s="23" t="s">
        <v>22</v>
      </c>
      <c r="C45" s="23" t="s">
        <v>258</v>
      </c>
      <c r="D45" s="24" t="s">
        <v>317</v>
      </c>
      <c r="E45" s="25" t="s">
        <v>43</v>
      </c>
      <c r="F45" s="158">
        <f>Memória!F43</f>
        <v>10000</v>
      </c>
      <c r="G45" s="135">
        <f>VLOOKUP(C45,'Lista preços'!$B$4:$E$103,4,FALSE)</f>
        <v>23.69</v>
      </c>
      <c r="H45" s="78">
        <f t="shared" si="13"/>
        <v>28.91</v>
      </c>
      <c r="I45" s="79">
        <f t="shared" si="14"/>
        <v>289100</v>
      </c>
    </row>
    <row r="46" spans="1:11" ht="30" x14ac:dyDescent="0.25">
      <c r="A46" s="48" t="s">
        <v>155</v>
      </c>
      <c r="B46" s="23" t="s">
        <v>22</v>
      </c>
      <c r="C46" s="23" t="s">
        <v>260</v>
      </c>
      <c r="D46" s="24" t="s">
        <v>319</v>
      </c>
      <c r="E46" s="25" t="s">
        <v>43</v>
      </c>
      <c r="F46" s="158">
        <v>5000</v>
      </c>
      <c r="G46" s="135">
        <f>VLOOKUP(C46,'Lista preços'!$B$4:$E$103,4,FALSE)</f>
        <v>71.83</v>
      </c>
      <c r="H46" s="78">
        <f t="shared" si="13"/>
        <v>87.66</v>
      </c>
      <c r="I46" s="79">
        <f t="shared" si="14"/>
        <v>438300</v>
      </c>
    </row>
    <row r="47" spans="1:11" ht="30" x14ac:dyDescent="0.25">
      <c r="A47" s="163" t="s">
        <v>156</v>
      </c>
      <c r="B47" s="164" t="s">
        <v>11</v>
      </c>
      <c r="C47" s="164" t="s">
        <v>257</v>
      </c>
      <c r="D47" s="165" t="s">
        <v>335</v>
      </c>
      <c r="E47" s="166" t="s">
        <v>43</v>
      </c>
      <c r="F47" s="167">
        <v>20000</v>
      </c>
      <c r="G47" s="168">
        <f>VLOOKUP(C47,'Lista preços'!$B$4:$E$103,4,FALSE)</f>
        <v>28.22</v>
      </c>
      <c r="H47" s="169">
        <f t="shared" si="13"/>
        <v>34.44</v>
      </c>
      <c r="I47" s="170">
        <f t="shared" si="14"/>
        <v>688800</v>
      </c>
    </row>
    <row r="48" spans="1:11" ht="30.75" customHeight="1" x14ac:dyDescent="0.25">
      <c r="A48" s="179" t="s">
        <v>336</v>
      </c>
      <c r="B48" s="179"/>
      <c r="G48" s="69"/>
    </row>
  </sheetData>
  <autoFilter ref="A4:I48" xr:uid="{79DB97BC-1CA1-4B63-9F25-75F8CE5D70E2}"/>
  <mergeCells count="2">
    <mergeCell ref="A5:D5"/>
    <mergeCell ref="A48:B48"/>
  </mergeCells>
  <phoneticPr fontId="8" type="noConversion"/>
  <dataValidations disablePrompts="1" count="4">
    <dataValidation allowBlank="1" showInputMessage="1" showErrorMessage="1" prompt="A entrada de quantidades é feita na coluna AJ se acompanhamento por BM, ou na aba &quot;Memória de Cálculo/PLQ&quot; se acompanhamento por PLE." sqref="F6 F8:F9 F16 F44 F41" xr:uid="{16BA8E3A-8FCE-41D8-9CA8-90CADEBE5147}"/>
    <dataValidation type="list" errorStyle="information" allowBlank="1" showInputMessage="1" prompt="Selecione uma sigla de unidade na lista suspensa." sqref="E6:E47" xr:uid="{DC9C2863-15C7-446D-B5EB-8E48E9AE02FF}">
      <formula1>ListaTgov.Unidades</formula1>
    </dataValidation>
    <dataValidation type="list" allowBlank="1" sqref="B6:B47" xr:uid="{A66E19DB-3479-4B58-B708-2970DB370127}">
      <formula1>"SINAPI,SINAPI-I,SICRO,Composição,Cotação"</formula1>
      <formula2>0</formula2>
    </dataValidation>
    <dataValidation type="decimal" operator="greaterThan" allowBlank="1" showErrorMessage="1" error="Apenas números decimais maiores que zero." sqref="G6:G47" xr:uid="{3F072514-78F8-48B2-8F50-DD3B71A9C1B2}">
      <formula1>0</formula1>
      <formula2>0</formula2>
    </dataValidation>
  </dataValidations>
  <pageMargins left="0.51181102362204722" right="0.51181102362204722" top="0.78740157480314965" bottom="0.78740157480314965" header="0.31496062992125984" footer="0.31496062992125984"/>
  <pageSetup paperSize="9" scale="5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45080-29BC-4E0C-9D4C-6DD2D5BD65CA}">
  <dimension ref="A1:P45"/>
  <sheetViews>
    <sheetView topLeftCell="A25" zoomScale="85" zoomScaleNormal="85" workbookViewId="0">
      <selection activeCell="J28" sqref="J28"/>
    </sheetView>
  </sheetViews>
  <sheetFormatPr defaultRowHeight="15" x14ac:dyDescent="0.25"/>
  <cols>
    <col min="1" max="1" width="6.140625" customWidth="1"/>
    <col min="2" max="2" width="13.5703125" customWidth="1"/>
    <col min="4" max="4" width="58" customWidth="1"/>
    <col min="6" max="6" width="10.5703125" customWidth="1"/>
    <col min="7" max="7" width="30.42578125" customWidth="1"/>
    <col min="9" max="9" width="27.7109375" style="92" customWidth="1"/>
    <col min="10" max="10" width="13.85546875" style="93" customWidth="1"/>
    <col min="11" max="11" width="13.85546875" style="94" customWidth="1"/>
    <col min="12" max="12" width="13.85546875" style="93" customWidth="1"/>
    <col min="13" max="13" width="9.140625" style="95"/>
    <col min="14" max="14" width="12.28515625" bestFit="1" customWidth="1"/>
    <col min="16" max="16" width="14.42578125" bestFit="1" customWidth="1"/>
  </cols>
  <sheetData>
    <row r="1" spans="1:16" x14ac:dyDescent="0.25">
      <c r="A1" s="82" t="s">
        <v>0</v>
      </c>
      <c r="B1" s="82" t="s">
        <v>1</v>
      </c>
      <c r="C1" s="82" t="s">
        <v>2</v>
      </c>
      <c r="D1" s="82" t="s">
        <v>3</v>
      </c>
      <c r="E1" s="83" t="s">
        <v>4</v>
      </c>
      <c r="F1" s="82" t="s">
        <v>182</v>
      </c>
      <c r="G1" s="82" t="s">
        <v>183</v>
      </c>
      <c r="I1" s="97"/>
      <c r="J1" s="96" t="s">
        <v>195</v>
      </c>
    </row>
    <row r="2" spans="1:16" x14ac:dyDescent="0.25">
      <c r="A2" s="84"/>
      <c r="B2" s="85"/>
      <c r="C2" s="85"/>
      <c r="D2" s="86" t="str" cm="1">
        <f t="array" ref="D2:G2">'Orçamento '!A5:D5</f>
        <v>PM ALVORADA - MALHA VIÁRIA</v>
      </c>
      <c r="E2" s="85">
        <v>0</v>
      </c>
      <c r="F2" s="87">
        <v>0</v>
      </c>
      <c r="G2" s="88">
        <v>0</v>
      </c>
    </row>
    <row r="3" spans="1:16" x14ac:dyDescent="0.25">
      <c r="A3" s="50" t="s">
        <v>38</v>
      </c>
      <c r="B3" s="51"/>
      <c r="C3" s="52"/>
      <c r="D3" s="53" t="s">
        <v>101</v>
      </c>
      <c r="E3" s="54"/>
      <c r="F3" s="55"/>
      <c r="G3" s="55"/>
      <c r="I3" s="172">
        <f>'Orçamento '!I5</f>
        <v>21931502.790000003</v>
      </c>
      <c r="M3"/>
    </row>
    <row r="4" spans="1:16" x14ac:dyDescent="0.25">
      <c r="A4" s="56" t="s">
        <v>39</v>
      </c>
      <c r="B4" s="57"/>
      <c r="C4" s="58"/>
      <c r="D4" s="59" t="s">
        <v>101</v>
      </c>
      <c r="E4" s="40"/>
      <c r="F4" s="41"/>
      <c r="G4" s="41"/>
      <c r="M4"/>
    </row>
    <row r="5" spans="1:16" x14ac:dyDescent="0.25">
      <c r="A5" s="49" t="s">
        <v>100</v>
      </c>
      <c r="B5" s="32" t="s">
        <v>33</v>
      </c>
      <c r="C5" s="32" t="s">
        <v>9</v>
      </c>
      <c r="D5" s="33" t="str">
        <f>'Orçamento '!D7</f>
        <v>Administração Local</v>
      </c>
      <c r="E5" s="34" t="s">
        <v>157</v>
      </c>
      <c r="F5" s="89">
        <f>J5</f>
        <v>12</v>
      </c>
      <c r="G5" s="35" t="s">
        <v>212</v>
      </c>
      <c r="I5" s="98" t="s">
        <v>196</v>
      </c>
      <c r="J5" s="102">
        <v>12</v>
      </c>
      <c r="M5"/>
    </row>
    <row r="6" spans="1:16" x14ac:dyDescent="0.25">
      <c r="A6" s="60" t="s">
        <v>40</v>
      </c>
      <c r="B6" s="61"/>
      <c r="C6" s="62"/>
      <c r="D6" s="53" t="s">
        <v>102</v>
      </c>
      <c r="E6" s="63" t="s">
        <v>47</v>
      </c>
      <c r="F6" s="64"/>
      <c r="G6" s="64"/>
      <c r="M6"/>
    </row>
    <row r="7" spans="1:16" x14ac:dyDescent="0.25">
      <c r="A7" s="36" t="s">
        <v>41</v>
      </c>
      <c r="B7" s="37"/>
      <c r="C7" s="38"/>
      <c r="D7" s="39" t="s">
        <v>103</v>
      </c>
      <c r="E7" s="65" t="s">
        <v>47</v>
      </c>
      <c r="F7" s="66"/>
      <c r="G7" s="66"/>
      <c r="M7"/>
    </row>
    <row r="8" spans="1:16" ht="51" x14ac:dyDescent="0.25">
      <c r="A8" s="49" t="s">
        <v>129</v>
      </c>
      <c r="B8" s="32" t="s">
        <v>33</v>
      </c>
      <c r="C8" s="32" t="s">
        <v>10</v>
      </c>
      <c r="D8" s="33" t="str">
        <f>'Orçamento '!D10</f>
        <v>Fresagem De Pavimento Asfáltico (Profundidade Até 5,0cm) -Inclusive, Remoção E Transporte Do  Material Dmt Até 10Km</v>
      </c>
      <c r="E8" s="34" t="s">
        <v>350</v>
      </c>
      <c r="F8" s="35">
        <f>J8</f>
        <v>25000</v>
      </c>
      <c r="G8" s="35" t="s">
        <v>184</v>
      </c>
      <c r="I8" s="92" t="s">
        <v>213</v>
      </c>
      <c r="J8" s="105">
        <v>25000</v>
      </c>
      <c r="K8" s="100" t="s">
        <v>197</v>
      </c>
      <c r="L8" s="103">
        <v>0.05</v>
      </c>
      <c r="M8" s="100" t="s">
        <v>198</v>
      </c>
      <c r="N8" s="103">
        <v>1.1000000000000001</v>
      </c>
    </row>
    <row r="9" spans="1:16" ht="51" x14ac:dyDescent="0.25">
      <c r="A9" s="49" t="s">
        <v>130</v>
      </c>
      <c r="B9" s="32" t="s">
        <v>33</v>
      </c>
      <c r="C9" s="32" t="s">
        <v>27</v>
      </c>
      <c r="D9" s="33" t="str">
        <f>'Orçamento '!D11</f>
        <v>Demolição Parcial De Pavimento Asfáltico, De Forma Mecanizada, Sem Reaproveitamento, Inclusive Carga, Descarga E Transporte Para Bota-Fora Dmt Até 10Km</v>
      </c>
      <c r="E9" s="34" t="s">
        <v>350</v>
      </c>
      <c r="F9" s="35">
        <f>J9</f>
        <v>3000</v>
      </c>
      <c r="G9" s="9" t="s">
        <v>186</v>
      </c>
      <c r="I9" s="92" t="s">
        <v>214</v>
      </c>
      <c r="J9" s="96">
        <v>3000</v>
      </c>
      <c r="K9" s="100" t="s">
        <v>215</v>
      </c>
      <c r="L9" s="103">
        <v>0.05</v>
      </c>
      <c r="M9" s="100" t="s">
        <v>198</v>
      </c>
      <c r="N9" s="103">
        <v>1.5</v>
      </c>
    </row>
    <row r="10" spans="1:16" ht="63.75" x14ac:dyDescent="0.25">
      <c r="A10" s="49" t="s">
        <v>131</v>
      </c>
      <c r="B10" s="32" t="s">
        <v>33</v>
      </c>
      <c r="C10" s="32" t="s">
        <v>12</v>
      </c>
      <c r="D10" s="33" t="str">
        <f>'Orçamento '!D12</f>
        <v>Demolição De Guias, Sarjetas Ou Sarjetões, De Forma Mecanizada, Sem Reaproveitamento, inclusive Carga, Descarga e Transporte Para Bota-Fora Dmt Até 10Km</v>
      </c>
      <c r="E10" s="34" t="s">
        <v>43</v>
      </c>
      <c r="F10" s="35">
        <f>J10</f>
        <v>3000</v>
      </c>
      <c r="G10" s="9" t="s">
        <v>187</v>
      </c>
      <c r="I10" s="92" t="s">
        <v>217</v>
      </c>
      <c r="J10" s="96">
        <v>3000</v>
      </c>
      <c r="K10" s="100" t="s">
        <v>215</v>
      </c>
      <c r="L10" s="103">
        <v>0.3</v>
      </c>
      <c r="M10" s="100" t="s">
        <v>199</v>
      </c>
      <c r="N10" s="103">
        <v>1.5</v>
      </c>
    </row>
    <row r="11" spans="1:16" ht="63.75" x14ac:dyDescent="0.25">
      <c r="A11" s="49" t="s">
        <v>132</v>
      </c>
      <c r="B11" s="32" t="s">
        <v>33</v>
      </c>
      <c r="C11" s="32" t="s">
        <v>254</v>
      </c>
      <c r="D11" s="33" t="str">
        <f>'Orçamento '!D13</f>
        <v>Remoção Piso Intertravado/Paralelepípedos, Inclusive Carga, Descarga E Transporte Para Bota-Fora Dmt Até 10 Km</v>
      </c>
      <c r="E11" s="34" t="s">
        <v>350</v>
      </c>
      <c r="F11" s="35">
        <f>J11</f>
        <v>7000</v>
      </c>
      <c r="G11" s="9" t="s">
        <v>186</v>
      </c>
      <c r="I11" s="92" t="s">
        <v>216</v>
      </c>
      <c r="J11" s="96">
        <v>7000</v>
      </c>
      <c r="K11" s="100" t="s">
        <v>215</v>
      </c>
      <c r="L11" s="103">
        <v>0.08</v>
      </c>
      <c r="M11" s="100" t="s">
        <v>199</v>
      </c>
      <c r="N11" s="103">
        <v>1.5</v>
      </c>
    </row>
    <row r="12" spans="1:16" ht="90" x14ac:dyDescent="0.25">
      <c r="A12" s="49" t="s">
        <v>133</v>
      </c>
      <c r="B12" s="32" t="s">
        <v>33</v>
      </c>
      <c r="C12" s="32" t="s">
        <v>255</v>
      </c>
      <c r="D12" s="33" t="str">
        <f>'Orçamento '!D14</f>
        <v>Escavação Mecanizada De Vala Com Prof. Até 1,5m (Média Montante E Jusante/Uma Composição Por Trecho), Escavadeira (0,8³), Larg. De 1,5m A 2,5m, Em Solo Mole, Em Locais Com Alto Nível De Interferência, Inclusive Carga, Descarga,Espalhamento E Transporte Para Bota-Fora Dmt Até 10Km</v>
      </c>
      <c r="E12" s="34" t="s">
        <v>19</v>
      </c>
      <c r="F12" s="35">
        <f>J12*L12</f>
        <v>7000.0000000000009</v>
      </c>
      <c r="G12" s="35" t="s">
        <v>188</v>
      </c>
      <c r="I12" s="92" t="s">
        <v>218</v>
      </c>
      <c r="J12" s="96">
        <f>J9+J11</f>
        <v>10000</v>
      </c>
      <c r="K12" s="100" t="s">
        <v>219</v>
      </c>
      <c r="L12" s="103">
        <f>J17+J16+J18</f>
        <v>0.70000000000000007</v>
      </c>
      <c r="M12" s="100" t="s">
        <v>220</v>
      </c>
      <c r="N12" s="103">
        <v>1.35</v>
      </c>
    </row>
    <row r="13" spans="1:16" ht="30" x14ac:dyDescent="0.25">
      <c r="A13" s="49" t="s">
        <v>134</v>
      </c>
      <c r="B13" s="23" t="s">
        <v>8</v>
      </c>
      <c r="C13" s="23" t="s">
        <v>78</v>
      </c>
      <c r="D13" s="24" t="str">
        <f>'Orçamento '!D15</f>
        <v>Limpeza Manual De Vegetação Em Terreno Com Enxada. Af_03/2024</v>
      </c>
      <c r="E13" s="25" t="s">
        <v>350</v>
      </c>
      <c r="F13" s="9">
        <f>1000*0.1</f>
        <v>100</v>
      </c>
      <c r="G13" s="9" t="s">
        <v>185</v>
      </c>
      <c r="M13" s="101"/>
    </row>
    <row r="14" spans="1:16" x14ac:dyDescent="0.25">
      <c r="A14" s="36" t="s">
        <v>137</v>
      </c>
      <c r="B14" s="37"/>
      <c r="C14" s="38"/>
      <c r="D14" s="39" t="s">
        <v>327</v>
      </c>
      <c r="E14" s="65" t="s">
        <v>47</v>
      </c>
      <c r="F14" s="66"/>
      <c r="G14" s="66"/>
      <c r="M14" s="101"/>
    </row>
    <row r="15" spans="1:16" ht="45" x14ac:dyDescent="0.25">
      <c r="A15" s="48" t="s">
        <v>136</v>
      </c>
      <c r="B15" s="23" t="s">
        <v>8</v>
      </c>
      <c r="C15" s="23" t="s">
        <v>28</v>
      </c>
      <c r="D15" s="24" t="s">
        <v>111</v>
      </c>
      <c r="E15" s="25" t="s">
        <v>45</v>
      </c>
      <c r="F15" s="9">
        <f>J15</f>
        <v>10000</v>
      </c>
      <c r="G15" s="9" t="s">
        <v>189</v>
      </c>
      <c r="I15" s="92" t="s">
        <v>189</v>
      </c>
      <c r="J15" s="106">
        <f>J12</f>
        <v>10000</v>
      </c>
    </row>
    <row r="16" spans="1:16" ht="45" x14ac:dyDescent="0.25">
      <c r="A16" s="48" t="s">
        <v>138</v>
      </c>
      <c r="B16" s="23" t="s">
        <v>8</v>
      </c>
      <c r="C16" s="23" t="s">
        <v>333</v>
      </c>
      <c r="D16" s="24" t="s">
        <v>332</v>
      </c>
      <c r="E16" s="25" t="s">
        <v>159</v>
      </c>
      <c r="F16" s="162">
        <f>J15*J16</f>
        <v>3000</v>
      </c>
      <c r="G16" s="9" t="s">
        <v>190</v>
      </c>
      <c r="I16" s="98" t="s">
        <v>334</v>
      </c>
      <c r="J16" s="103">
        <v>0.3</v>
      </c>
      <c r="K16" s="98" t="s">
        <v>202</v>
      </c>
      <c r="L16" s="103">
        <v>1.1000000000000001</v>
      </c>
      <c r="M16" s="100" t="s">
        <v>203</v>
      </c>
      <c r="N16" s="103">
        <v>1.5</v>
      </c>
      <c r="P16" s="129"/>
    </row>
    <row r="17" spans="1:14" ht="60" x14ac:dyDescent="0.25">
      <c r="A17" s="48" t="s">
        <v>139</v>
      </c>
      <c r="B17" s="23" t="s">
        <v>8</v>
      </c>
      <c r="C17" s="23" t="s">
        <v>13</v>
      </c>
      <c r="D17" s="24" t="s">
        <v>113</v>
      </c>
      <c r="E17" s="25" t="s">
        <v>159</v>
      </c>
      <c r="F17" s="162">
        <f>F16*L16</f>
        <v>3300.0000000000005</v>
      </c>
      <c r="G17" s="91" t="s">
        <v>191</v>
      </c>
      <c r="I17" s="98" t="s">
        <v>201</v>
      </c>
      <c r="J17" s="103">
        <f>0.25</f>
        <v>0.25</v>
      </c>
      <c r="K17" s="98" t="s">
        <v>202</v>
      </c>
      <c r="L17" s="103">
        <v>1.2</v>
      </c>
      <c r="M17" s="100" t="s">
        <v>203</v>
      </c>
      <c r="N17" s="103">
        <v>1.6</v>
      </c>
    </row>
    <row r="18" spans="1:14" ht="60" x14ac:dyDescent="0.25">
      <c r="A18" s="48" t="s">
        <v>140</v>
      </c>
      <c r="B18" s="23" t="s">
        <v>8</v>
      </c>
      <c r="C18" s="23" t="s">
        <v>24</v>
      </c>
      <c r="D18" s="24" t="s">
        <v>114</v>
      </c>
      <c r="E18" s="25" t="s">
        <v>161</v>
      </c>
      <c r="F18" s="162">
        <f>(F17)*N16*J20</f>
        <v>148500.00000000003</v>
      </c>
      <c r="G18" s="91" t="s">
        <v>359</v>
      </c>
      <c r="I18" s="98" t="s">
        <v>200</v>
      </c>
      <c r="J18" s="103">
        <v>0.15</v>
      </c>
      <c r="K18" s="98" t="s">
        <v>204</v>
      </c>
      <c r="L18" s="103">
        <v>1.5</v>
      </c>
      <c r="M18" s="100" t="s">
        <v>203</v>
      </c>
      <c r="N18" s="103">
        <v>1.8149999999999999</v>
      </c>
    </row>
    <row r="19" spans="1:14" ht="45" x14ac:dyDescent="0.25">
      <c r="A19" s="48" t="s">
        <v>141</v>
      </c>
      <c r="B19" s="23" t="s">
        <v>8</v>
      </c>
      <c r="C19" s="23" t="s">
        <v>29</v>
      </c>
      <c r="D19" s="24" t="s">
        <v>112</v>
      </c>
      <c r="E19" s="25" t="s">
        <v>159</v>
      </c>
      <c r="F19" s="9">
        <f>J15*J17</f>
        <v>2500</v>
      </c>
      <c r="G19" s="9" t="s">
        <v>190</v>
      </c>
      <c r="I19" s="98" t="s">
        <v>222</v>
      </c>
      <c r="J19" s="103">
        <v>0.03</v>
      </c>
      <c r="K19" s="98" t="s">
        <v>223</v>
      </c>
      <c r="L19" s="103">
        <v>1.1000000000000001</v>
      </c>
      <c r="M19" s="100" t="s">
        <v>203</v>
      </c>
      <c r="N19" s="103">
        <v>1.74</v>
      </c>
    </row>
    <row r="20" spans="1:14" ht="60" x14ac:dyDescent="0.25">
      <c r="A20" s="48" t="s">
        <v>142</v>
      </c>
      <c r="B20" s="23" t="s">
        <v>8</v>
      </c>
      <c r="C20" s="23" t="s">
        <v>13</v>
      </c>
      <c r="D20" s="24" t="s">
        <v>113</v>
      </c>
      <c r="E20" s="25" t="s">
        <v>159</v>
      </c>
      <c r="F20" s="9">
        <f>F19*L17</f>
        <v>3000</v>
      </c>
      <c r="G20" s="91" t="s">
        <v>191</v>
      </c>
      <c r="I20" s="98" t="s">
        <v>205</v>
      </c>
      <c r="J20" s="103">
        <v>30</v>
      </c>
    </row>
    <row r="21" spans="1:14" ht="59.45" customHeight="1" x14ac:dyDescent="0.25">
      <c r="A21" s="48" t="s">
        <v>143</v>
      </c>
      <c r="B21" s="23" t="s">
        <v>8</v>
      </c>
      <c r="C21" s="23" t="s">
        <v>24</v>
      </c>
      <c r="D21" s="24" t="s">
        <v>114</v>
      </c>
      <c r="E21" s="25" t="s">
        <v>161</v>
      </c>
      <c r="F21" s="9">
        <f>F20*N17*J20/L17</f>
        <v>120000</v>
      </c>
      <c r="G21" s="91" t="s">
        <v>359</v>
      </c>
      <c r="H21" s="173"/>
    </row>
    <row r="22" spans="1:14" ht="30" x14ac:dyDescent="0.25">
      <c r="A22" s="48" t="s">
        <v>144</v>
      </c>
      <c r="B22" s="23" t="s">
        <v>33</v>
      </c>
      <c r="C22" s="23" t="s">
        <v>34</v>
      </c>
      <c r="D22" s="24" t="s">
        <v>173</v>
      </c>
      <c r="E22" s="25" t="s">
        <v>19</v>
      </c>
      <c r="F22" s="9">
        <f>J15*J19</f>
        <v>300</v>
      </c>
      <c r="G22" s="9" t="s">
        <v>190</v>
      </c>
    </row>
    <row r="23" spans="1:14" ht="60" x14ac:dyDescent="0.25">
      <c r="A23" s="48" t="s">
        <v>145</v>
      </c>
      <c r="B23" s="23" t="s">
        <v>8</v>
      </c>
      <c r="C23" s="23" t="s">
        <v>13</v>
      </c>
      <c r="D23" s="24" t="s">
        <v>113</v>
      </c>
      <c r="E23" s="25" t="s">
        <v>19</v>
      </c>
      <c r="F23" s="9">
        <f>F22*L19</f>
        <v>330</v>
      </c>
      <c r="G23" s="91" t="s">
        <v>191</v>
      </c>
    </row>
    <row r="24" spans="1:14" ht="60.6" customHeight="1" x14ac:dyDescent="0.25">
      <c r="A24" s="48" t="s">
        <v>146</v>
      </c>
      <c r="B24" s="23" t="s">
        <v>8</v>
      </c>
      <c r="C24" s="23" t="s">
        <v>24</v>
      </c>
      <c r="D24" s="24" t="s">
        <v>114</v>
      </c>
      <c r="E24" s="25" t="s">
        <v>174</v>
      </c>
      <c r="F24" s="9">
        <f>F23*N19*J20</f>
        <v>17226</v>
      </c>
      <c r="G24" s="91" t="s">
        <v>221</v>
      </c>
    </row>
    <row r="25" spans="1:14" ht="45" x14ac:dyDescent="0.25">
      <c r="A25" s="48" t="s">
        <v>329</v>
      </c>
      <c r="B25" s="23" t="s">
        <v>8</v>
      </c>
      <c r="C25" s="23" t="s">
        <v>30</v>
      </c>
      <c r="D25" s="24" t="s">
        <v>115</v>
      </c>
      <c r="E25" s="25" t="s">
        <v>159</v>
      </c>
      <c r="F25" s="9">
        <f>J15*J18</f>
        <v>1500</v>
      </c>
      <c r="G25" s="9" t="s">
        <v>190</v>
      </c>
    </row>
    <row r="26" spans="1:14" ht="60" x14ac:dyDescent="0.25">
      <c r="A26" s="48" t="s">
        <v>330</v>
      </c>
      <c r="B26" s="23" t="s">
        <v>8</v>
      </c>
      <c r="C26" s="23" t="s">
        <v>13</v>
      </c>
      <c r="D26" s="24" t="s">
        <v>113</v>
      </c>
      <c r="E26" s="25" t="s">
        <v>159</v>
      </c>
      <c r="F26" s="9">
        <f>F25*L18</f>
        <v>2250</v>
      </c>
      <c r="G26" s="91" t="s">
        <v>191</v>
      </c>
      <c r="K26" s="100"/>
      <c r="L26" s="99"/>
    </row>
    <row r="27" spans="1:14" ht="45" x14ac:dyDescent="0.25">
      <c r="A27" s="48" t="s">
        <v>331</v>
      </c>
      <c r="B27" s="23" t="s">
        <v>8</v>
      </c>
      <c r="C27" s="23" t="s">
        <v>24</v>
      </c>
      <c r="D27" s="24" t="s">
        <v>114</v>
      </c>
      <c r="E27" s="25" t="s">
        <v>161</v>
      </c>
      <c r="F27" s="9">
        <f>F26*N18*J20</f>
        <v>122512.5</v>
      </c>
      <c r="G27" s="91" t="s">
        <v>192</v>
      </c>
      <c r="I27" s="92" t="s">
        <v>224</v>
      </c>
      <c r="J27" s="106">
        <f>J15-J33</f>
        <v>7900</v>
      </c>
    </row>
    <row r="28" spans="1:14" ht="30" x14ac:dyDescent="0.25">
      <c r="A28" s="48" t="s">
        <v>147</v>
      </c>
      <c r="B28" s="23" t="s">
        <v>33</v>
      </c>
      <c r="C28" s="23" t="s">
        <v>256</v>
      </c>
      <c r="D28" s="24" t="s">
        <v>117</v>
      </c>
      <c r="E28" s="25" t="s">
        <v>44</v>
      </c>
      <c r="F28" s="9">
        <f>J27</f>
        <v>7900</v>
      </c>
      <c r="G28" s="9" t="s">
        <v>193</v>
      </c>
      <c r="I28" s="92" t="s">
        <v>225</v>
      </c>
      <c r="J28" s="107">
        <f>J15+J8-J33</f>
        <v>32900</v>
      </c>
    </row>
    <row r="29" spans="1:14" ht="30" x14ac:dyDescent="0.25">
      <c r="A29" s="48" t="s">
        <v>148</v>
      </c>
      <c r="B29" s="23" t="s">
        <v>33</v>
      </c>
      <c r="C29" s="23" t="s">
        <v>37</v>
      </c>
      <c r="D29" s="24" t="s">
        <v>118</v>
      </c>
      <c r="E29" s="25" t="s">
        <v>44</v>
      </c>
      <c r="F29" s="9">
        <f>J28</f>
        <v>32900</v>
      </c>
      <c r="G29" s="9" t="s">
        <v>194</v>
      </c>
      <c r="I29" s="92" t="s">
        <v>226</v>
      </c>
      <c r="J29" s="107">
        <f>J28</f>
        <v>32900</v>
      </c>
      <c r="K29" s="100" t="s">
        <v>206</v>
      </c>
      <c r="L29" s="103">
        <v>0.06</v>
      </c>
    </row>
    <row r="30" spans="1:14" ht="45" x14ac:dyDescent="0.25">
      <c r="A30" s="48" t="s">
        <v>149</v>
      </c>
      <c r="B30" s="23" t="s">
        <v>8</v>
      </c>
      <c r="C30" s="23" t="s">
        <v>31</v>
      </c>
      <c r="D30" s="24" t="s">
        <v>119</v>
      </c>
      <c r="E30" s="25" t="s">
        <v>159</v>
      </c>
      <c r="F30" s="9">
        <f>J29*L29</f>
        <v>1974</v>
      </c>
      <c r="G30" s="9" t="s">
        <v>227</v>
      </c>
      <c r="I30" s="98" t="s">
        <v>207</v>
      </c>
      <c r="J30" s="103">
        <v>1.1000000000000001</v>
      </c>
      <c r="K30" s="100" t="s">
        <v>209</v>
      </c>
      <c r="L30" s="104">
        <v>5.5E-2</v>
      </c>
    </row>
    <row r="31" spans="1:14" ht="60" x14ac:dyDescent="0.25">
      <c r="A31" s="48" t="s">
        <v>150</v>
      </c>
      <c r="B31" s="23" t="s">
        <v>8</v>
      </c>
      <c r="C31" s="23" t="s">
        <v>13</v>
      </c>
      <c r="D31" s="24" t="s">
        <v>113</v>
      </c>
      <c r="E31" s="25" t="s">
        <v>159</v>
      </c>
      <c r="F31" s="9">
        <f>F30*J30</f>
        <v>2171.4</v>
      </c>
      <c r="G31" s="91" t="s">
        <v>364</v>
      </c>
      <c r="I31" s="92" t="s">
        <v>208</v>
      </c>
      <c r="J31" s="103">
        <v>2.5499999999999998</v>
      </c>
      <c r="K31" s="94" t="s">
        <v>211</v>
      </c>
      <c r="L31" s="103">
        <v>30</v>
      </c>
    </row>
    <row r="32" spans="1:14" ht="30" x14ac:dyDescent="0.25">
      <c r="A32" s="48" t="s">
        <v>151</v>
      </c>
      <c r="B32" s="23" t="s">
        <v>8</v>
      </c>
      <c r="C32" s="23" t="s">
        <v>24</v>
      </c>
      <c r="D32" s="24" t="s">
        <v>114</v>
      </c>
      <c r="E32" s="25" t="s">
        <v>161</v>
      </c>
      <c r="F32" s="9">
        <f>F31*J31*J32</f>
        <v>166112.09999999998</v>
      </c>
      <c r="G32" s="91" t="s">
        <v>365</v>
      </c>
      <c r="I32" s="92" t="s">
        <v>210</v>
      </c>
      <c r="J32" s="103">
        <v>30</v>
      </c>
    </row>
    <row r="33" spans="1:14" ht="30" x14ac:dyDescent="0.25">
      <c r="A33" s="48" t="s">
        <v>177</v>
      </c>
      <c r="B33" s="23" t="s">
        <v>8</v>
      </c>
      <c r="C33" s="23" t="s">
        <v>338</v>
      </c>
      <c r="D33" s="24" t="s">
        <v>339</v>
      </c>
      <c r="E33" s="25" t="s">
        <v>45</v>
      </c>
      <c r="F33" s="9">
        <f>J33</f>
        <v>2100</v>
      </c>
      <c r="G33" s="9" t="s">
        <v>228</v>
      </c>
      <c r="I33" s="92" t="s">
        <v>228</v>
      </c>
      <c r="J33" s="96">
        <f>300*7</f>
        <v>2100</v>
      </c>
      <c r="M33" s="161"/>
    </row>
    <row r="34" spans="1:14" ht="60" x14ac:dyDescent="0.25">
      <c r="A34" s="48" t="s">
        <v>178</v>
      </c>
      <c r="B34" s="23" t="s">
        <v>8</v>
      </c>
      <c r="C34" s="23" t="s">
        <v>13</v>
      </c>
      <c r="D34" s="24" t="s">
        <v>113</v>
      </c>
      <c r="E34" s="25" t="s">
        <v>159</v>
      </c>
      <c r="F34" s="9">
        <f>J33*J34</f>
        <v>20.58</v>
      </c>
      <c r="G34" s="91" t="s">
        <v>340</v>
      </c>
      <c r="I34" s="98" t="s">
        <v>347</v>
      </c>
      <c r="J34" s="103">
        <v>9.7999999999999997E-3</v>
      </c>
      <c r="K34" s="98"/>
      <c r="M34" s="100" t="s">
        <v>203</v>
      </c>
      <c r="N34" s="103">
        <v>1.74</v>
      </c>
    </row>
    <row r="35" spans="1:14" ht="60" x14ac:dyDescent="0.25">
      <c r="A35" s="48" t="s">
        <v>179</v>
      </c>
      <c r="B35" s="23" t="s">
        <v>8</v>
      </c>
      <c r="C35" s="23" t="s">
        <v>24</v>
      </c>
      <c r="D35" s="24" t="s">
        <v>114</v>
      </c>
      <c r="E35" s="25" t="s">
        <v>161</v>
      </c>
      <c r="F35" s="9">
        <f>F34*N34*J35</f>
        <v>1074.2759999999998</v>
      </c>
      <c r="G35" s="91" t="s">
        <v>341</v>
      </c>
      <c r="I35" s="98" t="s">
        <v>205</v>
      </c>
      <c r="J35" s="103">
        <v>30</v>
      </c>
      <c r="M35" s="161"/>
    </row>
    <row r="36" spans="1:14" ht="60" x14ac:dyDescent="0.25">
      <c r="A36" s="48" t="s">
        <v>342</v>
      </c>
      <c r="B36" s="23" t="s">
        <v>8</v>
      </c>
      <c r="C36" s="23" t="s">
        <v>13</v>
      </c>
      <c r="D36" s="24" t="s">
        <v>113</v>
      </c>
      <c r="E36" s="25" t="s">
        <v>159</v>
      </c>
      <c r="F36" s="31">
        <f>J33*J36</f>
        <v>119.28</v>
      </c>
      <c r="G36" s="91" t="s">
        <v>346</v>
      </c>
      <c r="I36" s="98" t="s">
        <v>348</v>
      </c>
      <c r="J36" s="103">
        <v>5.6800000000000003E-2</v>
      </c>
      <c r="K36" s="98"/>
      <c r="L36" s="93">
        <v>1.3</v>
      </c>
      <c r="M36" s="100" t="s">
        <v>203</v>
      </c>
      <c r="N36" s="103">
        <v>1.6</v>
      </c>
    </row>
    <row r="37" spans="1:14" ht="60" x14ac:dyDescent="0.25">
      <c r="A37" s="48" t="s">
        <v>343</v>
      </c>
      <c r="B37" s="23" t="s">
        <v>8</v>
      </c>
      <c r="C37" s="23" t="s">
        <v>24</v>
      </c>
      <c r="D37" s="24" t="s">
        <v>114</v>
      </c>
      <c r="E37" s="25" t="s">
        <v>161</v>
      </c>
      <c r="F37" s="31">
        <f>F36*N36*J37</f>
        <v>5725.4400000000005</v>
      </c>
      <c r="G37" s="91" t="s">
        <v>341</v>
      </c>
      <c r="I37" s="98" t="s">
        <v>345</v>
      </c>
      <c r="J37" s="103">
        <v>30</v>
      </c>
      <c r="M37" s="161"/>
    </row>
    <row r="38" spans="1:14" ht="60" x14ac:dyDescent="0.25">
      <c r="A38" s="48" t="s">
        <v>344</v>
      </c>
      <c r="B38" s="28" t="s">
        <v>8</v>
      </c>
      <c r="C38" s="28" t="s">
        <v>35</v>
      </c>
      <c r="D38" s="29" t="s">
        <v>124</v>
      </c>
      <c r="E38" s="30" t="s">
        <v>160</v>
      </c>
      <c r="F38" s="31">
        <f>J38</f>
        <v>2000</v>
      </c>
      <c r="G38" s="31" t="s">
        <v>229</v>
      </c>
      <c r="I38" s="92" t="s">
        <v>229</v>
      </c>
      <c r="J38" s="96">
        <v>2000</v>
      </c>
    </row>
    <row r="39" spans="1:14" x14ac:dyDescent="0.25">
      <c r="A39" s="36" t="s">
        <v>98</v>
      </c>
      <c r="B39" s="37"/>
      <c r="C39" s="38"/>
      <c r="D39" s="39" t="s">
        <v>328</v>
      </c>
      <c r="E39" s="65" t="s">
        <v>47</v>
      </c>
      <c r="F39" s="66"/>
      <c r="G39" s="66"/>
    </row>
    <row r="40" spans="1:14" ht="45" x14ac:dyDescent="0.25">
      <c r="A40" s="49" t="s">
        <v>152</v>
      </c>
      <c r="B40" s="32" t="s">
        <v>33</v>
      </c>
      <c r="C40" s="32" t="s">
        <v>26</v>
      </c>
      <c r="D40" s="33" t="s">
        <v>337</v>
      </c>
      <c r="E40" s="34" t="s">
        <v>159</v>
      </c>
      <c r="F40" s="35">
        <f>J40*L40</f>
        <v>3040</v>
      </c>
      <c r="G40" s="35" t="s">
        <v>230</v>
      </c>
      <c r="I40" s="92" t="s">
        <v>226</v>
      </c>
      <c r="J40" s="108">
        <v>38000</v>
      </c>
      <c r="K40" s="100" t="s">
        <v>206</v>
      </c>
      <c r="L40" s="103">
        <v>0.08</v>
      </c>
      <c r="N40" s="90">
        <f>F40/L40</f>
        <v>38000</v>
      </c>
    </row>
    <row r="41" spans="1:14" ht="45" x14ac:dyDescent="0.25">
      <c r="A41" s="49" t="s">
        <v>153</v>
      </c>
      <c r="B41" s="23" t="s">
        <v>25</v>
      </c>
      <c r="C41" s="23" t="s">
        <v>92</v>
      </c>
      <c r="D41" s="33" t="s">
        <v>175</v>
      </c>
      <c r="E41" s="25" t="s">
        <v>176</v>
      </c>
      <c r="F41" s="9">
        <f>F40*L41</f>
        <v>7751.9999999999991</v>
      </c>
      <c r="G41" s="91" t="s">
        <v>366</v>
      </c>
      <c r="I41" s="98" t="s">
        <v>207</v>
      </c>
      <c r="J41" s="103">
        <v>1.1000000000000001</v>
      </c>
      <c r="K41" s="92" t="s">
        <v>208</v>
      </c>
      <c r="L41" s="103">
        <v>2.5499999999999998</v>
      </c>
    </row>
    <row r="42" spans="1:14" x14ac:dyDescent="0.25">
      <c r="A42" s="36" t="s">
        <v>99</v>
      </c>
      <c r="B42" s="37"/>
      <c r="C42" s="38"/>
      <c r="D42" s="39" t="s">
        <v>324</v>
      </c>
      <c r="E42" s="65" t="s">
        <v>47</v>
      </c>
      <c r="F42" s="66"/>
      <c r="G42" s="66"/>
    </row>
    <row r="43" spans="1:14" ht="30" x14ac:dyDescent="0.25">
      <c r="A43" s="48" t="s">
        <v>154</v>
      </c>
      <c r="B43" s="23" t="s">
        <v>22</v>
      </c>
      <c r="C43" s="23" t="s">
        <v>258</v>
      </c>
      <c r="D43" s="24" t="s">
        <v>317</v>
      </c>
      <c r="E43" s="25" t="s">
        <v>160</v>
      </c>
      <c r="F43" s="9">
        <f>J43</f>
        <v>10000</v>
      </c>
      <c r="G43" s="9" t="str">
        <f>I43</f>
        <v>Estimativa</v>
      </c>
      <c r="I43" s="92" t="s">
        <v>326</v>
      </c>
      <c r="J43" s="96">
        <v>10000</v>
      </c>
    </row>
    <row r="44" spans="1:14" ht="30" x14ac:dyDescent="0.25">
      <c r="A44" s="48" t="s">
        <v>155</v>
      </c>
      <c r="B44" s="23" t="s">
        <v>22</v>
      </c>
      <c r="C44" s="23" t="s">
        <v>260</v>
      </c>
      <c r="D44" s="24" t="s">
        <v>319</v>
      </c>
      <c r="E44" s="25" t="s">
        <v>43</v>
      </c>
      <c r="F44" s="9">
        <f>J44</f>
        <v>3000</v>
      </c>
      <c r="G44" s="9" t="str">
        <f>I43</f>
        <v>Estimativa</v>
      </c>
      <c r="I44" s="92" t="s">
        <v>326</v>
      </c>
      <c r="J44" s="96">
        <v>3000</v>
      </c>
    </row>
    <row r="45" spans="1:14" ht="30" x14ac:dyDescent="0.25">
      <c r="A45" s="163" t="s">
        <v>156</v>
      </c>
      <c r="B45" s="164" t="s">
        <v>11</v>
      </c>
      <c r="C45" s="164" t="s">
        <v>257</v>
      </c>
      <c r="D45" s="165" t="s">
        <v>335</v>
      </c>
      <c r="E45" s="166" t="s">
        <v>160</v>
      </c>
      <c r="F45" s="171">
        <f>F44+F43</f>
        <v>13000</v>
      </c>
      <c r="G45" s="171" t="s">
        <v>325</v>
      </c>
      <c r="H45" s="173"/>
      <c r="J45" s="96"/>
    </row>
  </sheetData>
  <phoneticPr fontId="8" type="noConversion"/>
  <conditionalFormatting sqref="A3:A43">
    <cfRule type="expression" dxfId="24" priority="14" stopIfTrue="1">
      <formula>$A3=1</formula>
    </cfRule>
    <cfRule type="expression" dxfId="23" priority="15" stopIfTrue="1">
      <formula>OR($A3=0,$A3=2,$A3=3,$A3=4)</formula>
    </cfRule>
  </conditionalFormatting>
  <conditionalFormatting sqref="A2:G2">
    <cfRule type="expression" dxfId="22" priority="16" stopIfTrue="1">
      <formula>$A2=#REF!</formula>
    </cfRule>
    <cfRule type="expression" dxfId="21" priority="17" stopIfTrue="1">
      <formula>UPPER(LEFT($A2,5))="NÍVEL"</formula>
    </cfRule>
  </conditionalFormatting>
  <conditionalFormatting sqref="B3:C15 B19:C33 B34:B37 B38:C43">
    <cfRule type="expression" dxfId="20" priority="9" stopIfTrue="1">
      <formula>$A3=1</formula>
    </cfRule>
    <cfRule type="expression" dxfId="19" priority="10" stopIfTrue="1">
      <formula>OR($A3=0,$A3=2,$A3=3,$A3=4)</formula>
    </cfRule>
  </conditionalFormatting>
  <conditionalFormatting sqref="B2:F2">
    <cfRule type="expression" dxfId="18" priority="18" stopIfTrue="1">
      <formula>$A2=#REF!</formula>
    </cfRule>
  </conditionalFormatting>
  <conditionalFormatting sqref="D3:D15 D19:D33 D38:D43">
    <cfRule type="beginsWith" dxfId="17" priority="8" operator="beginsWith" text="(">
      <formula>LEFT(D3,LEN("("))="("</formula>
    </cfRule>
    <cfRule type="expression" dxfId="16" priority="11" stopIfTrue="1">
      <formula>$A3=1</formula>
    </cfRule>
    <cfRule type="expression" dxfId="15" priority="12" stopIfTrue="1">
      <formula>OR($A3=0,$A3=2,$A3=3,$A3=4)</formula>
    </cfRule>
  </conditionalFormatting>
  <conditionalFormatting sqref="E3:F4 E5 E38:F43 G38:G44">
    <cfRule type="expression" dxfId="14" priority="7" stopIfTrue="1">
      <formula>OR($A3=0,$A3=2,$A3=3,$A3=4)</formula>
    </cfRule>
    <cfRule type="expression" dxfId="13" priority="13" stopIfTrue="1">
      <formula>$A3=1</formula>
    </cfRule>
  </conditionalFormatting>
  <conditionalFormatting sqref="F44">
    <cfRule type="expression" dxfId="12" priority="3" stopIfTrue="1">
      <formula>OR($A44=0,$A44=2,$A44=3,$A44=4)</formula>
    </cfRule>
    <cfRule type="expression" dxfId="11" priority="4" stopIfTrue="1">
      <formula>$A44=1</formula>
    </cfRule>
  </conditionalFormatting>
  <conditionalFormatting sqref="G3:G33 E6:F15 E16:E18 E19:F33">
    <cfRule type="expression" dxfId="10" priority="1" stopIfTrue="1">
      <formula>OR($A3=0,$A3=2,$A3=3,$A3=4)</formula>
    </cfRule>
    <cfRule type="expression" dxfId="9" priority="2" stopIfTrue="1">
      <formula>$A3=1</formula>
    </cfRule>
  </conditionalFormatting>
  <dataValidations xWindow="746" yWindow="584" count="3">
    <dataValidation allowBlank="1" showInputMessage="1" showErrorMessage="1" prompt="A entrada de quantidades é feita na coluna AJ se acompanhamento por BM, ou na aba &quot;Memória de Cálculo/PLQ&quot; se acompanhamento por PLE." sqref="F3:F4 F6:F44 G3:G44" xr:uid="{5E128FE4-D96F-4CF1-9BFE-97C638899EFC}"/>
    <dataValidation type="list" allowBlank="1" sqref="B3:B44" xr:uid="{7D870390-DD6E-405F-8342-F0A0E8D33916}">
      <formula1>"SINAPI,SINAPI-I,SICRO,Composição,Cotação"</formula1>
      <formula2>0</formula2>
    </dataValidation>
    <dataValidation type="list" errorStyle="information" allowBlank="1" showInputMessage="1" prompt="Selecione uma sigla de unidade na lista suspensa." sqref="E3:E44" xr:uid="{E2801338-5D75-4A72-A777-C12265D5C516}">
      <formula1>ListaTgov.Unidades</formula1>
    </dataValidation>
  </dataValidations>
  <pageMargins left="0.511811024" right="0.511811024" top="0.78740157499999996" bottom="0.78740157499999996" header="0.31496062000000002" footer="0.31496062000000002"/>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C29DB-0FED-4F85-A466-2E233D774EA1}">
  <dimension ref="A1:H91"/>
  <sheetViews>
    <sheetView topLeftCell="A34" zoomScale="130" zoomScaleNormal="130" workbookViewId="0">
      <selection activeCell="L16" sqref="L16"/>
    </sheetView>
  </sheetViews>
  <sheetFormatPr defaultRowHeight="15" x14ac:dyDescent="0.25"/>
  <cols>
    <col min="1" max="1" width="10.140625" bestFit="1" customWidth="1"/>
    <col min="2" max="2" width="7" style="119" bestFit="1" customWidth="1"/>
    <col min="3" max="3" width="53.85546875" customWidth="1"/>
    <col min="4" max="4" width="7.140625" bestFit="1" customWidth="1"/>
    <col min="5" max="5" width="10" bestFit="1" customWidth="1"/>
    <col min="6" max="6" width="11.42578125" style="149" customWidth="1"/>
    <col min="7" max="7" width="10.7109375" bestFit="1" customWidth="1"/>
  </cols>
  <sheetData>
    <row r="1" spans="1:8" x14ac:dyDescent="0.25">
      <c r="A1" s="2" t="s">
        <v>47</v>
      </c>
      <c r="B1" s="144"/>
      <c r="C1" s="3"/>
      <c r="D1" s="1"/>
      <c r="E1" s="1"/>
      <c r="F1" s="4" t="s">
        <v>48</v>
      </c>
      <c r="G1" s="4" t="s">
        <v>352</v>
      </c>
    </row>
    <row r="2" spans="1:8" x14ac:dyDescent="0.25">
      <c r="A2" s="145" t="s">
        <v>49</v>
      </c>
      <c r="B2" s="146" t="s">
        <v>50</v>
      </c>
      <c r="C2" s="147" t="s">
        <v>51</v>
      </c>
      <c r="D2" s="145" t="s">
        <v>52</v>
      </c>
      <c r="E2" s="145" t="s">
        <v>53</v>
      </c>
      <c r="F2" s="145" t="s">
        <v>54</v>
      </c>
      <c r="G2" s="145" t="s">
        <v>54</v>
      </c>
    </row>
    <row r="3" spans="1:8" x14ac:dyDescent="0.25">
      <c r="A3" s="10" t="s">
        <v>33</v>
      </c>
      <c r="B3" s="10" t="s">
        <v>9</v>
      </c>
      <c r="C3" s="8" t="s">
        <v>101</v>
      </c>
      <c r="D3" s="10" t="s">
        <v>42</v>
      </c>
      <c r="E3" s="148"/>
      <c r="F3" s="137"/>
      <c r="G3" s="138">
        <f>SUM(G4:G9)</f>
        <v>52226.11</v>
      </c>
    </row>
    <row r="4" spans="1:8" x14ac:dyDescent="0.25">
      <c r="A4" s="5" t="s">
        <v>8</v>
      </c>
      <c r="B4" s="5" t="s">
        <v>83</v>
      </c>
      <c r="C4" s="6" t="str">
        <f>VLOOKUP(B4,'Lista preços'!$B$4:$E$100,2,FALSE)</f>
        <v>Engenheiro Civil De Obra Pleno Com Encargos Complementares</v>
      </c>
      <c r="D4" s="7" t="str">
        <f>VLOOKUP(B4,'Lista preços'!$B$4:$E$100,3,FALSE)</f>
        <v>mês</v>
      </c>
      <c r="E4" s="11">
        <v>0.5</v>
      </c>
      <c r="F4" s="12">
        <f>VLOOKUP(B4,'Lista preços'!$B$4:$E$100,4,FALSE)</f>
        <v>23805.45</v>
      </c>
      <c r="G4" s="12">
        <f>TRUNC(E4*F4,2)</f>
        <v>11902.72</v>
      </c>
    </row>
    <row r="5" spans="1:8" x14ac:dyDescent="0.25">
      <c r="A5" s="5" t="s">
        <v>8</v>
      </c>
      <c r="B5" s="5" t="s">
        <v>241</v>
      </c>
      <c r="C5" s="6" t="str">
        <f>VLOOKUP(B5,'Lista preços'!$B$4:$E$100,2,FALSE)</f>
        <v>Mestre De Obras Com Encargos Complementares</v>
      </c>
      <c r="D5" s="7" t="str">
        <f>VLOOKUP(B5,'Lista preços'!$B$4:$E$100,3,FALSE)</f>
        <v>mês</v>
      </c>
      <c r="E5" s="11">
        <v>1</v>
      </c>
      <c r="F5" s="12">
        <f>VLOOKUP(B5,'Lista preços'!$B$4:$E$100,4,FALSE)</f>
        <v>21786.74</v>
      </c>
      <c r="G5" s="12">
        <f t="shared" ref="G5:G8" si="0">TRUNC(E5*F5,2)</f>
        <v>21786.74</v>
      </c>
    </row>
    <row r="6" spans="1:8" x14ac:dyDescent="0.25">
      <c r="A6" s="5" t="s">
        <v>8</v>
      </c>
      <c r="B6" s="5" t="s">
        <v>85</v>
      </c>
      <c r="C6" s="6" t="str">
        <f>VLOOKUP(B6,'Lista preços'!$B$4:$E$100,2,FALSE)</f>
        <v>Topografo Com Encargos Complementares</v>
      </c>
      <c r="D6" s="7" t="str">
        <f>VLOOKUP(B6,'Lista preços'!$B$4:$E$100,3,FALSE)</f>
        <v>mês</v>
      </c>
      <c r="E6" s="11">
        <v>0.5</v>
      </c>
      <c r="F6" s="12">
        <f>VLOOKUP(B6,'Lista preços'!$B$4:$E$100,4,FALSE)</f>
        <v>7936.87</v>
      </c>
      <c r="G6" s="12">
        <f t="shared" si="0"/>
        <v>3968.43</v>
      </c>
    </row>
    <row r="7" spans="1:8" x14ac:dyDescent="0.25">
      <c r="A7" s="13" t="s">
        <v>8</v>
      </c>
      <c r="B7" s="13" t="s">
        <v>86</v>
      </c>
      <c r="C7" s="6" t="str">
        <f>VLOOKUP(B7,'Lista preços'!$B$4:$E$100,2,FALSE)</f>
        <v>Auxiliar De Topógrafo Com Encargos Complementares</v>
      </c>
      <c r="D7" s="7" t="str">
        <f>VLOOKUP(B7,'Lista preços'!$B$4:$E$100,3,FALSE)</f>
        <v>mês</v>
      </c>
      <c r="E7" s="11">
        <v>0.5</v>
      </c>
      <c r="F7" s="12">
        <f>VLOOKUP(B7,'Lista preços'!$B$4:$E$100,4,FALSE)</f>
        <v>3810.97</v>
      </c>
      <c r="G7" s="12">
        <f t="shared" si="0"/>
        <v>1905.48</v>
      </c>
    </row>
    <row r="8" spans="1:8" x14ac:dyDescent="0.25">
      <c r="A8" s="18" t="s">
        <v>22</v>
      </c>
      <c r="B8" s="18" t="s">
        <v>87</v>
      </c>
      <c r="C8" s="6" t="str">
        <f>VLOOKUP(B8,'Lista preços'!$B$4:$E$100,2,FALSE)</f>
        <v>Veículo Leve -53 Kw</v>
      </c>
      <c r="D8" s="7" t="str">
        <f>VLOOKUP(B8,'Lista preços'!$B$4:$E$100,3,FALSE)</f>
        <v>h</v>
      </c>
      <c r="E8" s="11">
        <v>190</v>
      </c>
      <c r="F8" s="12">
        <f>VLOOKUP(B8,'Lista preços'!$B$4:$E$100,4,FALSE)</f>
        <v>66.646000000000001</v>
      </c>
      <c r="G8" s="12">
        <f t="shared" si="0"/>
        <v>12662.74</v>
      </c>
    </row>
    <row r="9" spans="1:8" x14ac:dyDescent="0.25">
      <c r="A9" s="5"/>
      <c r="B9" s="5"/>
      <c r="C9" s="6" t="s">
        <v>47</v>
      </c>
      <c r="D9" s="7" t="s">
        <v>47</v>
      </c>
      <c r="E9" s="11"/>
      <c r="F9" s="12"/>
      <c r="G9" s="12"/>
    </row>
    <row r="11" spans="1:8" ht="23.25" x14ac:dyDescent="0.25">
      <c r="A11" s="10" t="s">
        <v>33</v>
      </c>
      <c r="B11" s="10" t="s">
        <v>10</v>
      </c>
      <c r="C11" s="8" t="s">
        <v>262</v>
      </c>
      <c r="D11" s="10" t="s">
        <v>350</v>
      </c>
      <c r="E11" s="148"/>
      <c r="F11" s="137"/>
      <c r="G11" s="138">
        <f>SUM(G12:G14)</f>
        <v>9.2100000000000009</v>
      </c>
    </row>
    <row r="12" spans="1:8" ht="23.25" x14ac:dyDescent="0.25">
      <c r="A12" s="5" t="s">
        <v>8</v>
      </c>
      <c r="B12" s="5" t="s">
        <v>15</v>
      </c>
      <c r="C12" s="143" t="str">
        <f>VLOOKUP(B12,'Lista preços'!$B$4:$E$100,2,FALSE)</f>
        <v>Fresagem De Pavimento Asfáltico (Profundidade Até 5,0 Cm) - Exclusive Transporte. Af_11/2019</v>
      </c>
      <c r="D12" s="12" t="s">
        <v>350</v>
      </c>
      <c r="E12" s="11">
        <v>1</v>
      </c>
      <c r="F12" s="12">
        <f>VLOOKUP(B12,'Lista preços'!$B$4:$E$100,4,FALSE)</f>
        <v>7.44</v>
      </c>
      <c r="G12" s="12">
        <f>TRUNC(E12*F12,2)</f>
        <v>7.44</v>
      </c>
    </row>
    <row r="13" spans="1:8" ht="23.25" x14ac:dyDescent="0.25">
      <c r="A13" s="5" t="s">
        <v>8</v>
      </c>
      <c r="B13" s="5" t="s">
        <v>94</v>
      </c>
      <c r="C13" s="143" t="str">
        <f>VLOOKUP(B13,'Lista preços'!$B$4:$E$100,2,FALSE)</f>
        <v>Transporte Com Caminhão Basculante De 6 M³, Em Via Urbana Pavimentada, Dmt Até 30 Km (Unidade: M³xKm). Af_07/2020</v>
      </c>
      <c r="D13" s="12" t="s">
        <v>354</v>
      </c>
      <c r="E13" s="11">
        <f>E12*0.05*1.1*10</f>
        <v>0.55000000000000004</v>
      </c>
      <c r="F13" s="12">
        <f>VLOOKUP(B13,'Lista preços'!$B$4:$E$100,4,FALSE)</f>
        <v>3.23</v>
      </c>
      <c r="G13" s="12">
        <f>TRUNC(E13*F13,2)</f>
        <v>1.77</v>
      </c>
      <c r="H13" s="173"/>
    </row>
    <row r="14" spans="1:8" x14ac:dyDescent="0.25">
      <c r="A14" s="13"/>
      <c r="B14" s="13"/>
      <c r="C14" s="14" t="s">
        <v>47</v>
      </c>
      <c r="D14" s="15" t="s">
        <v>47</v>
      </c>
      <c r="E14" s="16"/>
      <c r="F14" s="12"/>
      <c r="G14" s="17"/>
    </row>
    <row r="16" spans="1:8" ht="34.5" x14ac:dyDescent="0.25">
      <c r="A16" s="10" t="s">
        <v>33</v>
      </c>
      <c r="B16" s="10" t="s">
        <v>27</v>
      </c>
      <c r="C16" s="8" t="s">
        <v>261</v>
      </c>
      <c r="D16" s="10" t="s">
        <v>350</v>
      </c>
      <c r="E16" s="148"/>
      <c r="F16" s="137"/>
      <c r="G16" s="138">
        <f>SUM(G17:G20)</f>
        <v>27.759999999999998</v>
      </c>
    </row>
    <row r="17" spans="1:8" ht="23.25" x14ac:dyDescent="0.25">
      <c r="A17" s="5" t="s">
        <v>8</v>
      </c>
      <c r="B17" s="5" t="s">
        <v>17</v>
      </c>
      <c r="C17" s="143" t="str">
        <f>VLOOKUP(B17,'Lista preços'!$B$4:$E$100,2,FALSE)</f>
        <v>Demolição Parcial De Pavimento Asfáltico, De Forma Mecanizada, Sem Reaproveitamento. Af_09/2023</v>
      </c>
      <c r="D17" s="12" t="str">
        <f>VLOOKUP(B17,'Lista preços'!$B$4:$E$100,3,FALSE)</f>
        <v>m2</v>
      </c>
      <c r="E17" s="11">
        <v>1</v>
      </c>
      <c r="F17" s="12">
        <f>VLOOKUP(B17,'Lista preços'!$B$4:$E$100,4,FALSE)</f>
        <v>24.61</v>
      </c>
      <c r="G17" s="12">
        <f>TRUNC(E17*F17,2)</f>
        <v>24.61</v>
      </c>
    </row>
    <row r="18" spans="1:8" ht="34.5" x14ac:dyDescent="0.25">
      <c r="A18" s="5" t="s">
        <v>8</v>
      </c>
      <c r="B18" s="5" t="s">
        <v>18</v>
      </c>
      <c r="C18" s="143" t="str">
        <f>VLOOKUP(B18,'Lista preços'!$B$4:$E$100,2,FALSE)</f>
        <v>Carga, Manobra E Descarga De Entulho Em Caminhão Basculante 14 M³ - Carga Com Escavadeira Hidráulica  (Caçamba De 0,80 M³ / 111 Hp) E Descarga Livre (Unidade: M3). Af_07/2020</v>
      </c>
      <c r="D18" s="12" t="str">
        <f>VLOOKUP(B18,'Lista preços'!$B$4:$E$100,3,FALSE)</f>
        <v>m3</v>
      </c>
      <c r="E18" s="11">
        <f>E17*0.05*1.5</f>
        <v>7.5000000000000011E-2</v>
      </c>
      <c r="F18" s="12">
        <f>VLOOKUP(B18,'Lista preços'!$B$4:$E$100,4,FALSE)</f>
        <v>9.83</v>
      </c>
      <c r="G18" s="12">
        <f>TRUNC(E18*F18,2)</f>
        <v>0.73</v>
      </c>
    </row>
    <row r="19" spans="1:8" ht="23.25" x14ac:dyDescent="0.25">
      <c r="A19" s="5" t="s">
        <v>8</v>
      </c>
      <c r="B19" s="5" t="s">
        <v>94</v>
      </c>
      <c r="C19" s="143" t="str">
        <f>VLOOKUP(B19,'Lista preços'!$B$4:$E$100,2,FALSE)</f>
        <v>Transporte Com Caminhão Basculante De 6 M³, Em Via Urbana Pavimentada, Dmt Até 30 Km (Unidade: M³xKm). Af_07/2020</v>
      </c>
      <c r="D19" s="12" t="str">
        <f>VLOOKUP(B19,'Lista preços'!$B$4:$E$100,3,FALSE)</f>
        <v>m3xkm</v>
      </c>
      <c r="E19" s="11">
        <f>E18*10</f>
        <v>0.75000000000000011</v>
      </c>
      <c r="F19" s="12">
        <f>VLOOKUP(B19,'Lista preços'!$B$4:$E$100,4,FALSE)</f>
        <v>3.23</v>
      </c>
      <c r="G19" s="12">
        <f>TRUNC(E19*F19,2)</f>
        <v>2.42</v>
      </c>
    </row>
    <row r="20" spans="1:8" x14ac:dyDescent="0.25">
      <c r="A20" s="13"/>
      <c r="B20" s="13"/>
      <c r="C20" s="14" t="s">
        <v>47</v>
      </c>
      <c r="D20" s="15" t="s">
        <v>47</v>
      </c>
      <c r="E20" s="16"/>
      <c r="F20" s="12"/>
      <c r="G20" s="17"/>
    </row>
    <row r="22" spans="1:8" ht="34.5" x14ac:dyDescent="0.25">
      <c r="A22" s="10" t="s">
        <v>33</v>
      </c>
      <c r="B22" s="10" t="s">
        <v>12</v>
      </c>
      <c r="C22" s="8" t="s">
        <v>355</v>
      </c>
      <c r="D22" s="10" t="s">
        <v>160</v>
      </c>
      <c r="E22" s="148"/>
      <c r="F22" s="137"/>
      <c r="G22" s="138">
        <f>SUM(G23:G26)</f>
        <v>35.200000000000003</v>
      </c>
    </row>
    <row r="23" spans="1:8" ht="23.25" x14ac:dyDescent="0.25">
      <c r="A23" s="5" t="s">
        <v>8</v>
      </c>
      <c r="B23" s="5" t="s">
        <v>20</v>
      </c>
      <c r="C23" s="143" t="str">
        <f>VLOOKUP(B23,'Lista preços'!$B$4:$E$100,2,FALSE)</f>
        <v>Demolição De Guias, Sarjetas Ou Sarjetões, De Forma Mecanizada, Sem Reaproveitamento. Af_09/2023</v>
      </c>
      <c r="D23" s="12" t="str">
        <f>VLOOKUP(B23,'Lista preços'!$B$4:$E$100,3,FALSE)</f>
        <v>m</v>
      </c>
      <c r="E23" s="11">
        <v>1</v>
      </c>
      <c r="F23" s="12">
        <f>VLOOKUP(B23,'Lista preços'!$B$4:$E$100,4,FALSE)</f>
        <v>16.25</v>
      </c>
      <c r="G23" s="12">
        <f>TRUNC(E23*F23,2)</f>
        <v>16.25</v>
      </c>
    </row>
    <row r="24" spans="1:8" ht="34.5" x14ac:dyDescent="0.25">
      <c r="A24" s="5" t="s">
        <v>8</v>
      </c>
      <c r="B24" s="5" t="s">
        <v>18</v>
      </c>
      <c r="C24" s="143" t="str">
        <f>VLOOKUP(B24,'Lista preços'!$B$4:$E$100,2,FALSE)</f>
        <v>Carga, Manobra E Descarga De Entulho Em Caminhão Basculante 14 M³ - Carga Com Escavadeira Hidráulica  (Caçamba De 0,80 M³ / 111 Hp) E Descarga Livre (Unidade: M3). Af_07/2020</v>
      </c>
      <c r="D24" s="12" t="str">
        <f>VLOOKUP(B24,'Lista preços'!$B$4:$E$100,3,FALSE)</f>
        <v>m3</v>
      </c>
      <c r="E24" s="11">
        <f>E23*0.3*1.5</f>
        <v>0.44999999999999996</v>
      </c>
      <c r="F24" s="12">
        <f>VLOOKUP(B24,'Lista preços'!$B$4:$E$100,4,FALSE)</f>
        <v>9.83</v>
      </c>
      <c r="G24" s="12">
        <f>TRUNC(E24*F24,2)</f>
        <v>4.42</v>
      </c>
      <c r="H24" s="173"/>
    </row>
    <row r="25" spans="1:8" ht="23.25" x14ac:dyDescent="0.25">
      <c r="A25" s="5" t="s">
        <v>8</v>
      </c>
      <c r="B25" s="5" t="s">
        <v>94</v>
      </c>
      <c r="C25" s="143" t="str">
        <f>VLOOKUP(B25,'Lista preços'!$B$4:$E$100,2,FALSE)</f>
        <v>Transporte Com Caminhão Basculante De 6 M³, Em Via Urbana Pavimentada, Dmt Até 30 Km (Unidade: M³xKm). Af_07/2020</v>
      </c>
      <c r="D25" s="12" t="str">
        <f>VLOOKUP(B25,'Lista preços'!$B$4:$E$100,3,FALSE)</f>
        <v>m3xkm</v>
      </c>
      <c r="E25" s="11">
        <f>E24*10</f>
        <v>4.5</v>
      </c>
      <c r="F25" s="12">
        <f>VLOOKUP(B25,'Lista preços'!$B$4:$E$100,4,FALSE)</f>
        <v>3.23</v>
      </c>
      <c r="G25" s="12">
        <f>TRUNC(E25*F25,2)</f>
        <v>14.53</v>
      </c>
      <c r="H25" s="173"/>
    </row>
    <row r="26" spans="1:8" x14ac:dyDescent="0.25">
      <c r="A26" s="13"/>
      <c r="B26" s="13"/>
      <c r="C26" s="14" t="s">
        <v>47</v>
      </c>
      <c r="D26" s="15" t="s">
        <v>47</v>
      </c>
      <c r="E26" s="16"/>
      <c r="F26" s="12"/>
      <c r="G26" s="17"/>
    </row>
    <row r="28" spans="1:8" ht="23.25" x14ac:dyDescent="0.25">
      <c r="A28" s="10" t="s">
        <v>33</v>
      </c>
      <c r="B28" s="10" t="s">
        <v>254</v>
      </c>
      <c r="C28" s="8" t="s">
        <v>321</v>
      </c>
      <c r="D28" s="10" t="s">
        <v>45</v>
      </c>
      <c r="E28" s="148"/>
      <c r="F28" s="137"/>
      <c r="G28" s="138">
        <f>SUM(G29:G32)</f>
        <v>9.4</v>
      </c>
    </row>
    <row r="29" spans="1:8" x14ac:dyDescent="0.25">
      <c r="A29" s="5" t="s">
        <v>22</v>
      </c>
      <c r="B29" s="5" t="s">
        <v>76</v>
      </c>
      <c r="C29" s="143" t="str">
        <f>VLOOKUP(B29,'Lista preços'!$B$4:$E$100,2,FALSE)</f>
        <v>Remoção Piso Intertravado/Paralelepípedos</v>
      </c>
      <c r="D29" s="12" t="str">
        <f>VLOOKUP(B29,'Lista preços'!$B$4:$E$100,3,FALSE)</f>
        <v>m2</v>
      </c>
      <c r="E29" s="11">
        <v>1</v>
      </c>
      <c r="F29" s="12">
        <f>VLOOKUP(B29,'Lista preços'!$B$4:$E$100,4,FALSE)</f>
        <v>4.3600000000000003</v>
      </c>
      <c r="G29" s="12">
        <f>TRUNC(E29*F29,2)</f>
        <v>4.3600000000000003</v>
      </c>
    </row>
    <row r="30" spans="1:8" ht="34.5" x14ac:dyDescent="0.25">
      <c r="A30" s="5" t="s">
        <v>8</v>
      </c>
      <c r="B30" s="5" t="s">
        <v>18</v>
      </c>
      <c r="C30" s="143" t="str">
        <f>VLOOKUP(B30,'Lista preços'!$B$4:$E$100,2,FALSE)</f>
        <v>Carga, Manobra E Descarga De Entulho Em Caminhão Basculante 14 M³ - Carga Com Escavadeira Hidráulica  (Caçamba De 0,80 M³ / 111 Hp) E Descarga Livre (Unidade: M3). Af_07/2020</v>
      </c>
      <c r="D30" s="12" t="str">
        <f>VLOOKUP(B30,'Lista preços'!$B$4:$E$100,3,FALSE)</f>
        <v>m3</v>
      </c>
      <c r="E30" s="11">
        <f>E29*0.08*1.5</f>
        <v>0.12</v>
      </c>
      <c r="F30" s="12">
        <f>VLOOKUP(B30,'Lista preços'!$B$4:$E$100,4,FALSE)</f>
        <v>9.83</v>
      </c>
      <c r="G30" s="12">
        <f>TRUNC(E30*F30,2)</f>
        <v>1.17</v>
      </c>
    </row>
    <row r="31" spans="1:8" ht="23.25" x14ac:dyDescent="0.25">
      <c r="A31" s="5" t="s">
        <v>8</v>
      </c>
      <c r="B31" s="5" t="s">
        <v>94</v>
      </c>
      <c r="C31" s="143" t="str">
        <f>VLOOKUP(B31,'Lista preços'!$B$4:$E$100,2,FALSE)</f>
        <v>Transporte Com Caminhão Basculante De 6 M³, Em Via Urbana Pavimentada, Dmt Até 30 Km (Unidade: M³xKm). Af_07/2020</v>
      </c>
      <c r="D31" s="12" t="str">
        <f>VLOOKUP(B31,'Lista preços'!$B$4:$E$100,3,FALSE)</f>
        <v>m3xkm</v>
      </c>
      <c r="E31" s="11">
        <f>E30*10</f>
        <v>1.2</v>
      </c>
      <c r="F31" s="12">
        <f>VLOOKUP(B31,'Lista preços'!$B$4:$E$100,4,FALSE)</f>
        <v>3.23</v>
      </c>
      <c r="G31" s="12">
        <f>TRUNC(E31*F31,2)</f>
        <v>3.87</v>
      </c>
    </row>
    <row r="32" spans="1:8" x14ac:dyDescent="0.25">
      <c r="A32" s="13"/>
      <c r="B32" s="13"/>
      <c r="C32" s="14" t="s">
        <v>47</v>
      </c>
      <c r="D32" s="15" t="s">
        <v>47</v>
      </c>
      <c r="E32" s="16"/>
      <c r="F32" s="12"/>
      <c r="G32" s="17"/>
    </row>
    <row r="34" spans="1:7" ht="45.75" x14ac:dyDescent="0.25">
      <c r="A34" s="10" t="s">
        <v>33</v>
      </c>
      <c r="B34" s="10" t="s">
        <v>255</v>
      </c>
      <c r="C34" s="8" t="s">
        <v>322</v>
      </c>
      <c r="D34" s="10" t="s">
        <v>159</v>
      </c>
      <c r="E34" s="148"/>
      <c r="F34" s="137"/>
      <c r="G34" s="138">
        <f>SUM(G35:G38)</f>
        <v>70.67</v>
      </c>
    </row>
    <row r="35" spans="1:7" ht="34.5" x14ac:dyDescent="0.25">
      <c r="A35" s="5" t="s">
        <v>8</v>
      </c>
      <c r="B35" s="5" t="s">
        <v>77</v>
      </c>
      <c r="C35" s="143" t="str">
        <f>VLOOKUP(B35,'Lista preços'!$B$4:$E$100,2,FALSE)</f>
        <v>Escavação Mecanizada De Vala Com Prof. Até 1,5 M (Média Montante E Jusante/Uma Composição Por Trecho), Escavadeira (0,8 M3), Larg. De 1,5 M A 2,5 M, Em Solo Mole, Em Locais Com Alto Nível De Interferência. Af_09/2024</v>
      </c>
      <c r="D35" s="12" t="str">
        <f>VLOOKUP(B35,'Lista preços'!$B$4:$E$100,3,FALSE)</f>
        <v>m3</v>
      </c>
      <c r="E35" s="11">
        <v>1</v>
      </c>
      <c r="F35" s="12">
        <f>VLOOKUP(B35,'Lista preços'!$B$4:$E$100,4,FALSE)</f>
        <v>13.8</v>
      </c>
      <c r="G35" s="12">
        <f>TRUNC(E35*F35,2)</f>
        <v>13.8</v>
      </c>
    </row>
    <row r="36" spans="1:7" ht="34.5" x14ac:dyDescent="0.25">
      <c r="A36" s="5" t="s">
        <v>8</v>
      </c>
      <c r="B36" s="5" t="s">
        <v>18</v>
      </c>
      <c r="C36" s="143" t="str">
        <f>VLOOKUP(B36,'Lista preços'!$B$4:$E$100,2,FALSE)</f>
        <v>Carga, Manobra E Descarga De Entulho Em Caminhão Basculante 14 M³ - Carga Com Escavadeira Hidráulica  (Caçamba De 0,80 M³ / 111 Hp) E Descarga Livre (Unidade: M3). Af_07/2020</v>
      </c>
      <c r="D36" s="12" t="str">
        <f>VLOOKUP(B36,'Lista preços'!$B$4:$E$100,3,FALSE)</f>
        <v>m3</v>
      </c>
      <c r="E36" s="11">
        <f>E35*1.35</f>
        <v>1.35</v>
      </c>
      <c r="F36" s="12">
        <f>VLOOKUP(B36,'Lista preços'!$B$4:$E$100,4,FALSE)</f>
        <v>9.83</v>
      </c>
      <c r="G36" s="12">
        <f>TRUNC(E36*F36,2)</f>
        <v>13.27</v>
      </c>
    </row>
    <row r="37" spans="1:7" ht="23.25" x14ac:dyDescent="0.25">
      <c r="A37" s="5" t="s">
        <v>8</v>
      </c>
      <c r="B37" s="5" t="s">
        <v>94</v>
      </c>
      <c r="C37" s="143" t="str">
        <f>VLOOKUP(B37,'Lista preços'!$B$4:$E$100,2,FALSE)</f>
        <v>Transporte Com Caminhão Basculante De 6 M³, Em Via Urbana Pavimentada, Dmt Até 30 Km (Unidade: M³xKm). Af_07/2020</v>
      </c>
      <c r="D37" s="12" t="str">
        <f>VLOOKUP(B37,'Lista preços'!$B$4:$E$100,3,FALSE)</f>
        <v>m3xkm</v>
      </c>
      <c r="E37" s="11">
        <f>E36*10</f>
        <v>13.5</v>
      </c>
      <c r="F37" s="12">
        <f>VLOOKUP(B37,'Lista preços'!$B$4:$E$100,4,FALSE)</f>
        <v>3.23</v>
      </c>
      <c r="G37" s="12">
        <f>TRUNC(E37*F37,2)</f>
        <v>43.6</v>
      </c>
    </row>
    <row r="38" spans="1:7" x14ac:dyDescent="0.25">
      <c r="A38" s="13"/>
      <c r="B38" s="13"/>
      <c r="C38" s="14" t="s">
        <v>47</v>
      </c>
      <c r="D38" s="15" t="s">
        <v>47</v>
      </c>
      <c r="E38" s="16"/>
      <c r="F38" s="12"/>
      <c r="G38" s="17"/>
    </row>
    <row r="40" spans="1:7" x14ac:dyDescent="0.25">
      <c r="A40" s="10" t="s">
        <v>33</v>
      </c>
      <c r="B40" s="10" t="s">
        <v>34</v>
      </c>
      <c r="C40" s="8" t="s">
        <v>173</v>
      </c>
      <c r="D40" s="10" t="s">
        <v>19</v>
      </c>
      <c r="E40" s="148"/>
      <c r="F40" s="137"/>
      <c r="G40" s="138">
        <f>SUM(G41:G47)</f>
        <v>167.15</v>
      </c>
    </row>
    <row r="41" spans="1:7" ht="23.25" x14ac:dyDescent="0.25">
      <c r="A41" s="5" t="s">
        <v>8</v>
      </c>
      <c r="B41" s="5" t="s">
        <v>167</v>
      </c>
      <c r="C41" s="6" t="str">
        <f>VLOOKUP(B41,'Lista preços'!$B$4:$E$100,2,FALSE)</f>
        <v>Motoniveladora Potência Básica Líquida (Primeira Marcha) 125 Hp, Peso Bruto 13032 Kg, Largura Da Lâmina De 3,7 M - Chp Diurno. Af_06/2014</v>
      </c>
      <c r="D41" s="7" t="str">
        <f>VLOOKUP(B41,'Lista preços'!$B$4:$E$100,3,FALSE)</f>
        <v>chp</v>
      </c>
      <c r="E41" s="11">
        <v>3.3000000000000002E-2</v>
      </c>
      <c r="F41" s="12">
        <f>VLOOKUP(B41,'Lista preços'!$B$4:$E$100,4,FALSE)</f>
        <v>279.07</v>
      </c>
      <c r="G41" s="12">
        <f t="shared" ref="G41:G46" si="1">TRUNC(E41*F41,2)</f>
        <v>9.1999999999999993</v>
      </c>
    </row>
    <row r="42" spans="1:7" ht="23.25" x14ac:dyDescent="0.25">
      <c r="A42" s="5" t="s">
        <v>8</v>
      </c>
      <c r="B42" s="5" t="s">
        <v>168</v>
      </c>
      <c r="C42" s="6" t="str">
        <f>VLOOKUP(B42,'Lista preços'!$B$4:$E$100,2,FALSE)</f>
        <v>Motoniveladora Potência Básica Líquida (Primeira Marcha) 125 Hp, Peso Bruto 13032 Kg, Largura Da Lâmina De 3,7 M - Chi Diurno. Af_06/2014</v>
      </c>
      <c r="D42" s="7" t="str">
        <f>VLOOKUP(B42,'Lista preços'!$B$4:$E$100,3,FALSE)</f>
        <v>chi</v>
      </c>
      <c r="E42" s="11">
        <v>3.7000000000000002E-3</v>
      </c>
      <c r="F42" s="12">
        <f>VLOOKUP(B42,'Lista preços'!$B$4:$E$100,4,FALSE)</f>
        <v>120.08</v>
      </c>
      <c r="G42" s="12">
        <f t="shared" si="1"/>
        <v>0.44</v>
      </c>
    </row>
    <row r="43" spans="1:7" ht="34.5" x14ac:dyDescent="0.25">
      <c r="A43" s="5" t="s">
        <v>8</v>
      </c>
      <c r="B43" s="5" t="s">
        <v>169</v>
      </c>
      <c r="C43" s="6" t="str">
        <f>VLOOKUP(B43,'Lista preços'!$B$4:$E$100,2,FALSE)</f>
        <v>Caminhão Pipa 6.000 L, Peso Bruto Total 13.000 Kg, Distância Entre Eixos 4,80 M, Potência 189 Cv Inclusive Tanque De Aço Para Transporte De Água, Capacidade 6 M3 - Chp Diurno. Af_06/2014</v>
      </c>
      <c r="D43" s="7" t="str">
        <f>VLOOKUP(B43,'Lista preços'!$B$4:$E$100,3,FALSE)</f>
        <v>chp</v>
      </c>
      <c r="E43" s="11">
        <v>0.111</v>
      </c>
      <c r="F43" s="12">
        <f>VLOOKUP(B43,'Lista preços'!$B$4:$E$100,4,FALSE)</f>
        <v>268.22000000000003</v>
      </c>
      <c r="G43" s="12">
        <f t="shared" si="1"/>
        <v>29.77</v>
      </c>
    </row>
    <row r="44" spans="1:7" x14ac:dyDescent="0.25">
      <c r="A44" s="5" t="s">
        <v>8</v>
      </c>
      <c r="B44" s="5" t="s">
        <v>65</v>
      </c>
      <c r="C44" s="6" t="str">
        <f>VLOOKUP(B44,'Lista preços'!$B$4:$E$100,2,FALSE)</f>
        <v>Ajudante De Pedreiro Com Encargos Complementares</v>
      </c>
      <c r="D44" s="7" t="str">
        <f>VLOOKUP(B44,'Lista preços'!$B$4:$E$100,3,FALSE)</f>
        <v>h</v>
      </c>
      <c r="E44" s="11">
        <v>0.74</v>
      </c>
      <c r="F44" s="12">
        <f>VLOOKUP(B44,'Lista preços'!$B$4:$E$100,4,FALSE)</f>
        <v>25.66</v>
      </c>
      <c r="G44" s="12">
        <f t="shared" si="1"/>
        <v>18.98</v>
      </c>
    </row>
    <row r="45" spans="1:7" ht="34.5" x14ac:dyDescent="0.25">
      <c r="A45" s="5" t="s">
        <v>8</v>
      </c>
      <c r="B45" s="5" t="s">
        <v>170</v>
      </c>
      <c r="C45" s="6" t="str">
        <f>VLOOKUP(B45,'Lista preços'!$B$4:$E$100,2,FALSE)</f>
        <v>Rolo Compactador Vibratório De Um Cilindro Aço Liso, Potência 80 Hp, Peso Operacional Máximo 8,1 T, Impacto Dinâmico 16,15 / 9,5 T, Largura De Trabalho 1,68 M - Chp Diurno. Af_06/2014</v>
      </c>
      <c r="D45" s="7" t="str">
        <f>VLOOKUP(B45,'Lista preços'!$B$4:$E$100,3,FALSE)</f>
        <v>chp</v>
      </c>
      <c r="E45" s="11">
        <v>9.4000000000000004E-3</v>
      </c>
      <c r="F45" s="12">
        <f>VLOOKUP(B45,'Lista preços'!$B$4:$E$100,4,FALSE)</f>
        <v>175.57</v>
      </c>
      <c r="G45" s="12">
        <f t="shared" si="1"/>
        <v>1.65</v>
      </c>
    </row>
    <row r="46" spans="1:7" x14ac:dyDescent="0.25">
      <c r="A46" s="5" t="s">
        <v>25</v>
      </c>
      <c r="B46" s="5" t="s">
        <v>171</v>
      </c>
      <c r="C46" s="6" t="str">
        <f>VLOOKUP(B46,'Lista preços'!$B$4:$E$100,2,FALSE)</f>
        <v>Po De Pedra (Posto Pedreira/Fornecedor, Sem Frete)</v>
      </c>
      <c r="D46" s="7" t="str">
        <f>VLOOKUP(B46,'Lista preços'!$B$4:$E$100,3,FALSE)</f>
        <v>m3</v>
      </c>
      <c r="E46" s="11">
        <v>1.2</v>
      </c>
      <c r="F46" s="12">
        <f>VLOOKUP(B46,'Lista preços'!$B$4:$E$100,4,FALSE)</f>
        <v>89.26</v>
      </c>
      <c r="G46" s="12">
        <f t="shared" si="1"/>
        <v>107.11</v>
      </c>
    </row>
    <row r="47" spans="1:7" x14ac:dyDescent="0.25">
      <c r="A47" s="5"/>
      <c r="B47" s="5"/>
      <c r="C47" s="6" t="s">
        <v>47</v>
      </c>
      <c r="D47" s="7" t="s">
        <v>47</v>
      </c>
      <c r="E47" s="11"/>
      <c r="F47" s="7"/>
      <c r="G47" s="12"/>
    </row>
    <row r="51" spans="1:8" x14ac:dyDescent="0.25">
      <c r="A51" s="10" t="s">
        <v>33</v>
      </c>
      <c r="B51" s="10" t="s">
        <v>256</v>
      </c>
      <c r="C51" s="8" t="s">
        <v>117</v>
      </c>
      <c r="D51" s="10" t="s">
        <v>44</v>
      </c>
      <c r="E51" s="148"/>
      <c r="F51" s="137"/>
      <c r="G51" s="138">
        <f>SUM(G52:G61)</f>
        <v>8.5999999999999979</v>
      </c>
    </row>
    <row r="52" spans="1:8" ht="34.5" x14ac:dyDescent="0.25">
      <c r="A52" s="5" t="s">
        <v>8</v>
      </c>
      <c r="B52" s="5">
        <v>91486</v>
      </c>
      <c r="C52" s="6" t="str">
        <f>VLOOKUP(B52,'Lista preços'!$B$4:$E$100,2,FALSE)</f>
        <v>Espargidor De Asfalto Pressurizado, Tanque 6 M3 Com Isolação Térmica, Aquecido Com 2 Maçaricos, Com Barra Espargidora 3,60 M, Montado Sobre Caminhão  Toco, Pbt 14.300 Kg, Potência 185 Cv - Chi Diurno. Af_05/2023</v>
      </c>
      <c r="D52" s="7" t="str">
        <f>VLOOKUP(B52,'Lista preços'!$B$4:$E$100,3,FALSE)</f>
        <v>chi</v>
      </c>
      <c r="E52" s="11">
        <v>7.2039000000000001E-3</v>
      </c>
      <c r="F52" s="12">
        <f>VLOOKUP(B52,'Lista preços'!$B$4:$E$100,4,FALSE)</f>
        <v>74.599999999999994</v>
      </c>
      <c r="G52" s="12">
        <f t="shared" ref="G52:G59" si="2">TRUNC(E52*F52,2)</f>
        <v>0.53</v>
      </c>
    </row>
    <row r="53" spans="1:8" ht="23.25" x14ac:dyDescent="0.25">
      <c r="A53" s="5" t="s">
        <v>8</v>
      </c>
      <c r="B53" s="5">
        <v>89036</v>
      </c>
      <c r="C53" s="6" t="str">
        <f>VLOOKUP(B53,'Lista preços'!$B$4:$E$100,2,FALSE)</f>
        <v>Trator De Pneus, Potência 85 Cv, Tração 4X4, Peso Com Lastro De 4.675 Kg - Chi Diurno. Af_06/2014</v>
      </c>
      <c r="D53" s="7" t="str">
        <f>VLOOKUP(B53,'Lista preços'!$B$4:$E$100,3,FALSE)</f>
        <v>chi</v>
      </c>
      <c r="E53" s="11">
        <v>7.2039000000000001E-3</v>
      </c>
      <c r="F53" s="12">
        <f>VLOOKUP(B53,'Lista preços'!$B$4:$E$100,4,FALSE)</f>
        <v>63.07</v>
      </c>
      <c r="G53" s="12">
        <f t="shared" si="2"/>
        <v>0.45</v>
      </c>
    </row>
    <row r="54" spans="1:8" ht="23.25" x14ac:dyDescent="0.25">
      <c r="A54" s="5" t="s">
        <v>8</v>
      </c>
      <c r="B54" s="5">
        <v>89035</v>
      </c>
      <c r="C54" s="6" t="str">
        <f>VLOOKUP(B54,'Lista preços'!$B$4:$E$100,2,FALSE)</f>
        <v>Trator De Pneus, Potência 85 Cv, Tração 4X4, Peso Com Lastro De 4.675 Kg - Chp Diurno. Af_06/2014</v>
      </c>
      <c r="D54" s="7" t="str">
        <f>VLOOKUP(B54,'Lista preços'!$B$4:$E$100,3,FALSE)</f>
        <v>chp</v>
      </c>
      <c r="E54" s="11">
        <v>1.637E-3</v>
      </c>
      <c r="F54" s="12">
        <f>VLOOKUP(B54,'Lista preços'!$B$4:$E$100,4,FALSE)</f>
        <v>148.9</v>
      </c>
      <c r="G54" s="12">
        <f t="shared" si="2"/>
        <v>0.24</v>
      </c>
    </row>
    <row r="55" spans="1:8" x14ac:dyDescent="0.25">
      <c r="A55" s="5" t="s">
        <v>8</v>
      </c>
      <c r="B55" s="5">
        <v>88316</v>
      </c>
      <c r="C55" s="6" t="str">
        <f>VLOOKUP(B55,'Lista preços'!$B$4:$E$100,2,FALSE)</f>
        <v>Servente Com Encargos Complementares</v>
      </c>
      <c r="D55" s="7" t="str">
        <f>VLOOKUP(B55,'Lista preços'!$B$4:$E$100,3,FALSE)</f>
        <v>h</v>
      </c>
      <c r="E55" s="11">
        <v>8.1172999999999992E-3</v>
      </c>
      <c r="F55" s="12">
        <f>VLOOKUP(B55,'Lista preços'!$B$4:$E$100,4,FALSE)</f>
        <v>24.31</v>
      </c>
      <c r="G55" s="12">
        <f t="shared" si="2"/>
        <v>0.19</v>
      </c>
    </row>
    <row r="56" spans="1:8" ht="34.5" x14ac:dyDescent="0.25">
      <c r="A56" s="5" t="s">
        <v>8</v>
      </c>
      <c r="B56" s="5">
        <v>83362</v>
      </c>
      <c r="C56" s="6" t="str">
        <f>VLOOKUP(B56,'Lista preços'!$B$4:$E$100,2,FALSE)</f>
        <v>Espargidor De Asfalto Pressurizado, Tanque 6 M3 Com Isolação Térmica, Aquecido Com 2 Maçaricos, Com Barra Espargidora 3,60 M, Montado Sobre Caminhão  Toco, Pbt 14.300 Kg, Potência 185 Cv - Chp Diurno. Af_05/2023</v>
      </c>
      <c r="D56" s="7" t="str">
        <f>VLOOKUP(B56,'Lista preços'!$B$4:$E$100,3,FALSE)</f>
        <v>chp</v>
      </c>
      <c r="E56" s="11">
        <v>9.1339999999999998E-4</v>
      </c>
      <c r="F56" s="12">
        <f>VLOOKUP(B56,'Lista preços'!$B$4:$E$100,4,FALSE)</f>
        <v>282.86</v>
      </c>
      <c r="G56" s="12">
        <f t="shared" si="2"/>
        <v>0.25</v>
      </c>
    </row>
    <row r="57" spans="1:8" x14ac:dyDescent="0.25">
      <c r="A57" s="5" t="s">
        <v>11</v>
      </c>
      <c r="B57" s="5" t="s">
        <v>251</v>
      </c>
      <c r="C57" s="6" t="str">
        <f>VLOOKUP(B57,'Lista preços'!$B$4:$E$100,2,FALSE)</f>
        <v>Asfalto Diulido De Petroleo Cm-30</v>
      </c>
      <c r="D57" s="7" t="str">
        <f>VLOOKUP(B57,'Lista preços'!$B$4:$E$100,3,FALSE)</f>
        <v>kg</v>
      </c>
      <c r="E57" s="11">
        <v>1.2</v>
      </c>
      <c r="F57" s="12">
        <f>VLOOKUP(B57,'Lista preços'!$B$4:$E$100,4,FALSE)</f>
        <v>5.7385343947757308</v>
      </c>
      <c r="G57" s="12">
        <f t="shared" si="2"/>
        <v>6.88</v>
      </c>
      <c r="H57" s="173"/>
    </row>
    <row r="58" spans="1:8" ht="23.25" x14ac:dyDescent="0.25">
      <c r="A58" s="5" t="s">
        <v>8</v>
      </c>
      <c r="B58" s="5">
        <v>5841</v>
      </c>
      <c r="C58" s="6" t="str">
        <f>VLOOKUP(B58,'Lista preços'!$B$4:$E$100,2,FALSE)</f>
        <v>Vassoura Mecânica Rebocável Com Escova Cilíndrica, Largura Útil De Varrimento De 2,44 M - Chi Diurno. Af_06/2014</v>
      </c>
      <c r="D58" s="7" t="str">
        <f>VLOOKUP(B58,'Lista preços'!$B$4:$E$100,3,FALSE)</f>
        <v>chi</v>
      </c>
      <c r="E58" s="11">
        <v>6.4802999999999996E-3</v>
      </c>
      <c r="F58" s="12">
        <f>VLOOKUP(B58,'Lista preços'!$B$4:$E$100,4,FALSE)</f>
        <v>6.8</v>
      </c>
      <c r="G58" s="12">
        <f t="shared" si="2"/>
        <v>0.04</v>
      </c>
    </row>
    <row r="59" spans="1:8" ht="23.25" x14ac:dyDescent="0.25">
      <c r="A59" s="5" t="s">
        <v>8</v>
      </c>
      <c r="B59" s="5">
        <v>5839</v>
      </c>
      <c r="C59" s="6" t="str">
        <f>VLOOKUP(B59,'Lista preços'!$B$4:$E$100,2,FALSE)</f>
        <v>Vassoura Mecânica Rebocável Com Escova Cilíndrica, Largura Útil De Varrimento De 2,44 M - Chp Diurno. Af_06/2014</v>
      </c>
      <c r="D59" s="7" t="str">
        <f>VLOOKUP(B59,'Lista preços'!$B$4:$E$100,3,FALSE)</f>
        <v>chp</v>
      </c>
      <c r="E59" s="11">
        <v>1.637E-3</v>
      </c>
      <c r="F59" s="12">
        <f>VLOOKUP(B59,'Lista preços'!$B$4:$E$100,4,FALSE)</f>
        <v>13.53</v>
      </c>
      <c r="G59" s="12">
        <f t="shared" si="2"/>
        <v>0.02</v>
      </c>
    </row>
    <row r="60" spans="1:8" x14ac:dyDescent="0.25">
      <c r="A60" s="5"/>
      <c r="B60" s="5"/>
      <c r="C60" s="6" t="s">
        <v>47</v>
      </c>
      <c r="D60" s="7" t="s">
        <v>47</v>
      </c>
      <c r="E60" s="11"/>
      <c r="F60" s="12"/>
      <c r="G60" s="12"/>
    </row>
    <row r="61" spans="1:8" x14ac:dyDescent="0.25">
      <c r="A61" s="5"/>
      <c r="B61" s="5"/>
      <c r="C61" s="6" t="s">
        <v>47</v>
      </c>
      <c r="D61" s="7" t="s">
        <v>47</v>
      </c>
      <c r="E61" s="11"/>
      <c r="F61" s="12"/>
      <c r="G61" s="12"/>
    </row>
    <row r="63" spans="1:8" x14ac:dyDescent="0.25">
      <c r="A63" s="10" t="s">
        <v>33</v>
      </c>
      <c r="B63" s="10" t="s">
        <v>37</v>
      </c>
      <c r="C63" s="8" t="s">
        <v>118</v>
      </c>
      <c r="D63" s="10" t="s">
        <v>44</v>
      </c>
      <c r="E63" s="148"/>
      <c r="F63" s="137"/>
      <c r="G63" s="138">
        <f>SUM(G64:G73)</f>
        <v>3.2299999999999995</v>
      </c>
    </row>
    <row r="64" spans="1:8" ht="34.5" x14ac:dyDescent="0.25">
      <c r="A64" s="5" t="s">
        <v>8</v>
      </c>
      <c r="B64" s="5">
        <v>91486</v>
      </c>
      <c r="C64" s="6" t="str">
        <f>VLOOKUP(B64,'Lista preços'!$B$4:$E$100,2,FALSE)</f>
        <v>Espargidor De Asfalto Pressurizado, Tanque 6 M3 Com Isolação Térmica, Aquecido Com 2 Maçaricos, Com Barra Espargidora 3,60 M, Montado Sobre Caminhão  Toco, Pbt 14.300 Kg, Potência 185 Cv - Chi Diurno. Af_05/2023</v>
      </c>
      <c r="D64" s="7" t="str">
        <f>VLOOKUP(B64,'Lista preços'!$B$4:$E$100,3,FALSE)</f>
        <v>chi</v>
      </c>
      <c r="E64" s="11">
        <v>6.9274999999999996E-3</v>
      </c>
      <c r="F64" s="12">
        <f>VLOOKUP(B64,'Lista preços'!$B$4:$E$100,4,FALSE)</f>
        <v>74.599999999999994</v>
      </c>
      <c r="G64" s="12">
        <f t="shared" ref="G64:G71" si="3">TRUNC(E64*F64,2)</f>
        <v>0.51</v>
      </c>
    </row>
    <row r="65" spans="1:8" ht="23.25" x14ac:dyDescent="0.25">
      <c r="A65" s="5" t="s">
        <v>8</v>
      </c>
      <c r="B65" s="5">
        <v>89036</v>
      </c>
      <c r="C65" s="6" t="str">
        <f>VLOOKUP(B65,'Lista preços'!$B$4:$E$100,2,FALSE)</f>
        <v>Trator De Pneus, Potência 85 Cv, Tração 4X4, Peso Com Lastro De 4.675 Kg - Chi Diurno. Af_06/2014</v>
      </c>
      <c r="D65" s="7" t="str">
        <f>VLOOKUP(B65,'Lista preços'!$B$4:$E$100,3,FALSE)</f>
        <v>chi</v>
      </c>
      <c r="E65" s="11">
        <v>6.9274999999999996E-3</v>
      </c>
      <c r="F65" s="12">
        <f>VLOOKUP(B65,'Lista preços'!$B$4:$E$100,4,FALSE)</f>
        <v>63.07</v>
      </c>
      <c r="G65" s="12">
        <f t="shared" si="3"/>
        <v>0.43</v>
      </c>
    </row>
    <row r="66" spans="1:8" ht="23.25" x14ac:dyDescent="0.25">
      <c r="A66" s="5" t="s">
        <v>8</v>
      </c>
      <c r="B66" s="5">
        <v>89035</v>
      </c>
      <c r="C66" s="6" t="str">
        <f>VLOOKUP(B66,'Lista preços'!$B$4:$E$100,2,FALSE)</f>
        <v>Trator De Pneus, Potência 85 Cv, Tração 4X4, Peso Com Lastro De 4.675 Kg - Chp Diurno. Af_06/2014</v>
      </c>
      <c r="D66" s="7" t="str">
        <f>VLOOKUP(B66,'Lista preços'!$B$4:$E$100,3,FALSE)</f>
        <v>chp</v>
      </c>
      <c r="E66" s="11">
        <v>1.637E-3</v>
      </c>
      <c r="F66" s="12">
        <f>VLOOKUP(B66,'Lista preços'!$B$4:$E$100,4,FALSE)</f>
        <v>148.9</v>
      </c>
      <c r="G66" s="12">
        <f t="shared" si="3"/>
        <v>0.24</v>
      </c>
    </row>
    <row r="67" spans="1:8" x14ac:dyDescent="0.25">
      <c r="A67" s="5" t="s">
        <v>8</v>
      </c>
      <c r="B67" s="5">
        <v>88316</v>
      </c>
      <c r="C67" s="6" t="str">
        <f>VLOOKUP(B67,'Lista preços'!$B$4:$E$100,2,FALSE)</f>
        <v>Servente Com Encargos Complementares</v>
      </c>
      <c r="D67" s="7" t="str">
        <f>VLOOKUP(B67,'Lista preços'!$B$4:$E$100,3,FALSE)</f>
        <v>h</v>
      </c>
      <c r="E67" s="11">
        <v>7.3504E-3</v>
      </c>
      <c r="F67" s="12">
        <f>VLOOKUP(B67,'Lista preços'!$B$4:$E$100,4,FALSE)</f>
        <v>24.31</v>
      </c>
      <c r="G67" s="12">
        <f t="shared" si="3"/>
        <v>0.17</v>
      </c>
    </row>
    <row r="68" spans="1:8" ht="34.5" x14ac:dyDescent="0.25">
      <c r="A68" s="5" t="s">
        <v>8</v>
      </c>
      <c r="B68" s="5">
        <v>83362</v>
      </c>
      <c r="C68" s="6" t="str">
        <f>VLOOKUP(B68,'Lista preços'!$B$4:$E$100,2,FALSE)</f>
        <v>Espargidor De Asfalto Pressurizado, Tanque 6 M3 Com Isolação Térmica, Aquecido Com 2 Maçaricos, Com Barra Espargidora 3,60 M, Montado Sobre Caminhão  Toco, Pbt 14.300 Kg, Potência 185 Cv - Chp Diurno. Af_05/2023</v>
      </c>
      <c r="D68" s="7" t="str">
        <f>VLOOKUP(B68,'Lista preços'!$B$4:$E$100,3,FALSE)</f>
        <v>chp</v>
      </c>
      <c r="E68" s="11">
        <v>4.2289999999999998E-4</v>
      </c>
      <c r="F68" s="12">
        <f>VLOOKUP(B68,'Lista preços'!$B$4:$E$100,4,FALSE)</f>
        <v>282.86</v>
      </c>
      <c r="G68" s="12">
        <f t="shared" si="3"/>
        <v>0.11</v>
      </c>
    </row>
    <row r="69" spans="1:8" x14ac:dyDescent="0.25">
      <c r="A69" s="5" t="s">
        <v>11</v>
      </c>
      <c r="B69" s="5" t="s">
        <v>253</v>
      </c>
      <c r="C69" s="6" t="str">
        <f>VLOOKUP(B69,'Lista preços'!$B$4:$E$100,2,FALSE)</f>
        <v>Emulsao Asfaltica Cationica Rr-2C Para Uso Em Pavimentação Asfaltica</v>
      </c>
      <c r="D69" s="7" t="str">
        <f>VLOOKUP(B69,'Lista preços'!$B$4:$E$100,3,FALSE)</f>
        <v>kg</v>
      </c>
      <c r="E69" s="11">
        <v>0.45</v>
      </c>
      <c r="F69" s="12">
        <f>VLOOKUP(B69,'Lista preços'!$B$4:$E$100,4,FALSE)</f>
        <v>3.836389711772128</v>
      </c>
      <c r="G69" s="12">
        <f t="shared" si="3"/>
        <v>1.72</v>
      </c>
      <c r="H69" s="173"/>
    </row>
    <row r="70" spans="1:8" ht="23.25" x14ac:dyDescent="0.25">
      <c r="A70" s="5" t="s">
        <v>8</v>
      </c>
      <c r="B70" s="5">
        <v>5841</v>
      </c>
      <c r="C70" s="6" t="str">
        <f>VLOOKUP(B70,'Lista preços'!$B$4:$E$100,2,FALSE)</f>
        <v>Vassoura Mecânica Rebocável Com Escova Cilíndrica, Largura Útil De Varrimento De 2,44 M - Chi Diurno. Af_06/2014</v>
      </c>
      <c r="D70" s="7" t="str">
        <f>VLOOKUP(B70,'Lista preços'!$B$4:$E$100,3,FALSE)</f>
        <v>chi</v>
      </c>
      <c r="E70" s="11">
        <v>5.7134000000000004E-3</v>
      </c>
      <c r="F70" s="12">
        <f>VLOOKUP(B70,'Lista preços'!$B$4:$E$100,4,FALSE)</f>
        <v>6.8</v>
      </c>
      <c r="G70" s="12">
        <f t="shared" si="3"/>
        <v>0.03</v>
      </c>
    </row>
    <row r="71" spans="1:8" ht="23.25" x14ac:dyDescent="0.25">
      <c r="A71" s="5" t="s">
        <v>8</v>
      </c>
      <c r="B71" s="5">
        <v>5839</v>
      </c>
      <c r="C71" s="6" t="str">
        <f>VLOOKUP(B71,'Lista preços'!$B$4:$E$100,2,FALSE)</f>
        <v>Vassoura Mecânica Rebocável Com Escova Cilíndrica, Largura Útil De Varrimento De 2,44 M - Chp Diurno. Af_06/2014</v>
      </c>
      <c r="D71" s="7" t="str">
        <f>VLOOKUP(B71,'Lista preços'!$B$4:$E$100,3,FALSE)</f>
        <v>chp</v>
      </c>
      <c r="E71" s="11">
        <v>1.637E-3</v>
      </c>
      <c r="F71" s="12">
        <f>VLOOKUP(B71,'Lista preços'!$B$4:$E$100,4,FALSE)</f>
        <v>13.53</v>
      </c>
      <c r="G71" s="12">
        <f t="shared" si="3"/>
        <v>0.02</v>
      </c>
    </row>
    <row r="72" spans="1:8" x14ac:dyDescent="0.25">
      <c r="A72" s="18"/>
      <c r="B72" s="18"/>
      <c r="C72" s="19" t="s">
        <v>47</v>
      </c>
      <c r="D72" s="20" t="s">
        <v>47</v>
      </c>
      <c r="E72" s="21"/>
      <c r="F72" s="22"/>
      <c r="G72" s="22"/>
    </row>
    <row r="73" spans="1:8" x14ac:dyDescent="0.25">
      <c r="A73" s="5"/>
      <c r="B73" s="5"/>
      <c r="C73" s="6" t="s">
        <v>47</v>
      </c>
      <c r="D73" s="7" t="s">
        <v>47</v>
      </c>
      <c r="E73" s="11"/>
      <c r="F73" s="12"/>
      <c r="G73" s="12"/>
    </row>
    <row r="75" spans="1:8" ht="23.25" x14ac:dyDescent="0.25">
      <c r="A75" s="10" t="s">
        <v>33</v>
      </c>
      <c r="B75" s="10" t="s">
        <v>26</v>
      </c>
      <c r="C75" s="8" t="s">
        <v>181</v>
      </c>
      <c r="D75" s="10" t="s">
        <v>19</v>
      </c>
      <c r="E75" s="148"/>
      <c r="F75" s="137"/>
      <c r="G75" s="138">
        <f>SUM(G76:G83)</f>
        <v>619.31000000000006</v>
      </c>
    </row>
    <row r="76" spans="1:8" ht="34.5" x14ac:dyDescent="0.25">
      <c r="A76" s="5" t="s">
        <v>8</v>
      </c>
      <c r="B76" s="5" t="s">
        <v>164</v>
      </c>
      <c r="C76" s="6" t="str">
        <f>VLOOKUP(B76,'Lista preços'!$B$4:$E$100,2,FALSE)</f>
        <v>Rolo Compactador Vibratorio Tandem, Aco Liso, Potencia 125 Hp, Peso Sem/Com Lastro 10,20/11,65 T, Largura De Trabalho 1,73 M - Chp Diurno. Af_11/2016</v>
      </c>
      <c r="D76" s="7" t="str">
        <f>VLOOKUP(B76,'Lista preços'!$B$4:$E$100,3,FALSE)</f>
        <v>chp</v>
      </c>
      <c r="E76" s="11">
        <v>9.5100000000000004E-2</v>
      </c>
      <c r="F76" s="12">
        <f>VLOOKUP(B76,'Lista preços'!$B$4:$E$100,4,FALSE)</f>
        <v>248.28</v>
      </c>
      <c r="G76" s="12">
        <f t="shared" ref="G76:G80" si="4">TRUNC(E76*F76,2)</f>
        <v>23.61</v>
      </c>
    </row>
    <row r="77" spans="1:8" ht="34.5" x14ac:dyDescent="0.25">
      <c r="A77" s="5" t="s">
        <v>8</v>
      </c>
      <c r="B77" s="5" t="s">
        <v>165</v>
      </c>
      <c r="C77" s="6" t="str">
        <f>VLOOKUP(B77,'Lista preços'!$B$4:$E$100,2,FALSE)</f>
        <v>Rolo Compactador Vibratorio Tandem, Aco Liso, Potencia 125 Hp, Peso Sem/Com Lastro 10,20/11,65 T, Largura De Trabalho 1,73 M - Chi Diurno. Af_11/2016</v>
      </c>
      <c r="D77" s="7" t="str">
        <f>VLOOKUP(B77,'Lista preços'!$B$4:$E$100,3,FALSE)</f>
        <v>chi</v>
      </c>
      <c r="E77" s="11">
        <v>8.1500000000000003E-2</v>
      </c>
      <c r="F77" s="12">
        <f>VLOOKUP(B77,'Lista preços'!$B$4:$E$100,4,FALSE)</f>
        <v>97.56</v>
      </c>
      <c r="G77" s="12">
        <f t="shared" si="4"/>
        <v>7.95</v>
      </c>
    </row>
    <row r="78" spans="1:8" x14ac:dyDescent="0.25">
      <c r="A78" s="5" t="s">
        <v>8</v>
      </c>
      <c r="B78" s="5">
        <v>88316</v>
      </c>
      <c r="C78" s="6" t="str">
        <f>VLOOKUP(B78,'Lista preços'!$B$4:$E$100,2,FALSE)</f>
        <v>Servente Com Encargos Complementares</v>
      </c>
      <c r="D78" s="7" t="str">
        <f>VLOOKUP(B78,'Lista preços'!$B$4:$E$100,3,FALSE)</f>
        <v>h</v>
      </c>
      <c r="E78" s="11">
        <v>14.126300000000001</v>
      </c>
      <c r="F78" s="12">
        <f>VLOOKUP(B78,'Lista preços'!$B$4:$E$100,4,FALSE)</f>
        <v>24.31</v>
      </c>
      <c r="G78" s="12">
        <f t="shared" si="4"/>
        <v>343.41</v>
      </c>
    </row>
    <row r="79" spans="1:8" x14ac:dyDescent="0.25">
      <c r="A79" s="5" t="s">
        <v>8</v>
      </c>
      <c r="B79" s="5" t="s">
        <v>166</v>
      </c>
      <c r="C79" s="6" t="str">
        <f>VLOOKUP(B79,'Lista preços'!$B$4:$E$100,2,FALSE)</f>
        <v>Rasteleiro Com Encargos Complementares</v>
      </c>
      <c r="D79" s="7" t="str">
        <f>VLOOKUP(B79,'Lista preços'!$B$4:$E$100,3,FALSE)</f>
        <v>h</v>
      </c>
      <c r="E79" s="11">
        <v>7.0631500000000003</v>
      </c>
      <c r="F79" s="12">
        <f>VLOOKUP(B79,'Lista preços'!$B$4:$E$100,4,FALSE)</f>
        <v>24.47</v>
      </c>
      <c r="G79" s="12">
        <f t="shared" si="4"/>
        <v>172.83</v>
      </c>
    </row>
    <row r="80" spans="1:8" x14ac:dyDescent="0.25">
      <c r="A80" s="5" t="s">
        <v>22</v>
      </c>
      <c r="B80" s="5" t="s">
        <v>180</v>
      </c>
      <c r="C80" s="6" t="str">
        <f>VLOOKUP(B80,'Lista preços'!$B$4:$E$100,2,FALSE)</f>
        <v>Caminhão Com Caçamba Térmica Com Capacidade De 6 M³ - 188 Kw</v>
      </c>
      <c r="D80" s="7" t="str">
        <f>VLOOKUP(B80,'Lista preços'!$B$4:$E$100,3,FALSE)</f>
        <v>h</v>
      </c>
      <c r="E80" s="11">
        <v>0.25</v>
      </c>
      <c r="F80" s="12">
        <f>VLOOKUP(B80,'Lista preços'!$B$4:$E$100,4,FALSE)</f>
        <v>199.7696</v>
      </c>
      <c r="G80" s="12">
        <f t="shared" si="4"/>
        <v>49.94</v>
      </c>
    </row>
    <row r="81" spans="1:7" x14ac:dyDescent="0.25">
      <c r="A81" s="5" t="s">
        <v>11</v>
      </c>
      <c r="B81" s="5" t="s">
        <v>253</v>
      </c>
      <c r="C81" s="6" t="str">
        <f>VLOOKUP(B81,'Lista preços'!$B$4:$E$100,2,FALSE)</f>
        <v>Emulsao Asfaltica Cationica Rr-2C Para Uso Em Pavimentação Asfaltica</v>
      </c>
      <c r="D81" s="7" t="str">
        <f>VLOOKUP(B81,'Lista preços'!$B$4:$E$100,3,FALSE)</f>
        <v>kg</v>
      </c>
      <c r="E81" s="11">
        <f>1/0.08*0.45</f>
        <v>5.625</v>
      </c>
      <c r="F81" s="12">
        <f>VLOOKUP(B81,'Lista preços'!$B$4:$E$100,4,FALSE)</f>
        <v>3.836389711772128</v>
      </c>
      <c r="G81" s="12">
        <f t="shared" ref="G81" si="5">TRUNC(E81*F81,2)</f>
        <v>21.57</v>
      </c>
    </row>
    <row r="82" spans="1:7" x14ac:dyDescent="0.25">
      <c r="A82" s="5"/>
      <c r="B82" s="5"/>
      <c r="C82" s="6" t="s">
        <v>47</v>
      </c>
      <c r="D82" s="7" t="s">
        <v>47</v>
      </c>
      <c r="E82" s="11"/>
      <c r="F82" s="12"/>
      <c r="G82" s="12"/>
    </row>
    <row r="83" spans="1:7" x14ac:dyDescent="0.25">
      <c r="A83" s="5"/>
      <c r="B83" s="5"/>
      <c r="C83" s="6" t="s">
        <v>47</v>
      </c>
      <c r="D83" s="7" t="s">
        <v>47</v>
      </c>
      <c r="E83" s="11"/>
      <c r="F83" s="12"/>
      <c r="G83" s="12"/>
    </row>
    <row r="86" spans="1:7" x14ac:dyDescent="0.25">
      <c r="A86" s="10" t="s">
        <v>33</v>
      </c>
      <c r="B86" s="10" t="s">
        <v>36</v>
      </c>
      <c r="C86" s="8" t="s">
        <v>125</v>
      </c>
      <c r="D86" s="10" t="s">
        <v>43</v>
      </c>
      <c r="E86" s="148"/>
      <c r="F86" s="137"/>
      <c r="G86" s="138">
        <f>SUM(G87:G91)</f>
        <v>26.62</v>
      </c>
    </row>
    <row r="87" spans="1:7" ht="23.25" x14ac:dyDescent="0.25">
      <c r="A87" s="18" t="s">
        <v>8</v>
      </c>
      <c r="B87" s="18" t="s">
        <v>93</v>
      </c>
      <c r="C87" s="19" t="str">
        <f>VLOOKUP(B87,'Lista preços'!$B$4:$E$100,2,FALSE)</f>
        <v>Argamassa Traço 1:3 (Em Volume De Cimento E Areia Média Úmida), Preparo Manual. Af_08/2019</v>
      </c>
      <c r="D87" s="20" t="str">
        <f>VLOOKUP(B87,'Lista preços'!$B$4:$E$100,3,FALSE)</f>
        <v>m3</v>
      </c>
      <c r="E87" s="21">
        <v>1.8E-3</v>
      </c>
      <c r="F87" s="12">
        <f>VLOOKUP(B87,'Lista preços'!$B$4:$E$100,4,FALSE)</f>
        <v>754.3</v>
      </c>
      <c r="G87" s="12">
        <f>TRUNC(E87*F87,2)</f>
        <v>1.35</v>
      </c>
    </row>
    <row r="88" spans="1:7" x14ac:dyDescent="0.25">
      <c r="A88" s="5" t="s">
        <v>8</v>
      </c>
      <c r="B88" s="5">
        <v>88316</v>
      </c>
      <c r="C88" s="6" t="str">
        <f>VLOOKUP(B88,'Lista preços'!$B$4:$E$100,2,FALSE)</f>
        <v>Servente Com Encargos Complementares</v>
      </c>
      <c r="D88" s="7" t="str">
        <f>VLOOKUP(B88,'Lista preços'!$B$4:$E$100,3,FALSE)</f>
        <v>h</v>
      </c>
      <c r="E88" s="11">
        <v>0.4592</v>
      </c>
      <c r="F88" s="12">
        <f>VLOOKUP(B88,'Lista preços'!$B$4:$E$100,4,FALSE)</f>
        <v>24.31</v>
      </c>
      <c r="G88" s="12">
        <f>TRUNC(E88*F88,2)</f>
        <v>11.16</v>
      </c>
    </row>
    <row r="89" spans="1:7" x14ac:dyDescent="0.25">
      <c r="A89" s="5" t="s">
        <v>8</v>
      </c>
      <c r="B89" s="5" t="s">
        <v>66</v>
      </c>
      <c r="C89" s="6" t="str">
        <f>VLOOKUP(B89,'Lista preços'!$B$4:$E$100,2,FALSE)</f>
        <v>Pedreiro Com Encargos Complementares</v>
      </c>
      <c r="D89" s="7" t="str">
        <f>VLOOKUP(B89,'Lista preços'!$B$4:$E$100,3,FALSE)</f>
        <v>h</v>
      </c>
      <c r="E89" s="11">
        <v>0.4592</v>
      </c>
      <c r="F89" s="12">
        <f>VLOOKUP(B89,'Lista preços'!$B$4:$E$100,4,FALSE)</f>
        <v>29.39</v>
      </c>
      <c r="G89" s="12">
        <f>TRUNC(E89*F89,2)</f>
        <v>13.49</v>
      </c>
    </row>
    <row r="90" spans="1:7" x14ac:dyDescent="0.25">
      <c r="A90" s="5" t="s">
        <v>25</v>
      </c>
      <c r="B90" s="5" t="s">
        <v>57</v>
      </c>
      <c r="C90" s="6" t="str">
        <f>VLOOKUP(B90,'Lista preços'!$B$4:$E$100,2,FALSE)</f>
        <v>Areia Media - Posto Jazida/Fornecedor (Retirado Na Jazida, Sem Transporte)</v>
      </c>
      <c r="D90" s="7" t="str">
        <f>VLOOKUP(B90,'Lista preços'!$B$4:$E$100,3,FALSE)</f>
        <v>m3</v>
      </c>
      <c r="E90" s="11">
        <v>6.6E-3</v>
      </c>
      <c r="F90" s="12">
        <f>VLOOKUP(B90,'Lista preços'!$B$4:$E$100,4,FALSE)</f>
        <v>95</v>
      </c>
      <c r="G90" s="12">
        <f>TRUNC(E90*F90,2)</f>
        <v>0.62</v>
      </c>
    </row>
    <row r="91" spans="1:7" ht="34.5" x14ac:dyDescent="0.25">
      <c r="A91" s="5" t="s">
        <v>8</v>
      </c>
      <c r="B91" s="5" t="s">
        <v>14</v>
      </c>
      <c r="C91" s="6" t="str">
        <f>VLOOKUP(B91,'Lista preços'!$B$4:$E$100,2,FALSE)</f>
        <v>Transporte Com Caminhão Basculante De 10 M³, Em Via Urbana Pavimentada, Adicional Para Dmt Excedente A 30 Km (Unidade: M3Xkm). Af_07/2020</v>
      </c>
      <c r="D91" s="7" t="str">
        <f>VLOOKUP(B91,'Lista preços'!$B$4:$E$100,3,FALSE)</f>
        <v>m3Xkm</v>
      </c>
      <c r="E91" s="11">
        <v>6.6E-3</v>
      </c>
      <c r="F91" s="12">
        <f>VLOOKUP(B91,'Lista preços'!$B$4:$E$100,4,FALSE)</f>
        <v>1.06</v>
      </c>
      <c r="G91" s="12">
        <f>TRUNC(E91*F91,2)</f>
        <v>0</v>
      </c>
    </row>
  </sheetData>
  <pageMargins left="0.511811024" right="0.511811024" top="0.78740157499999996" bottom="0.78740157499999996" header="0.31496062000000002" footer="0.31496062000000002"/>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F8F23-3DE7-4C35-A171-2DA226643C42}">
  <dimension ref="A1:E100"/>
  <sheetViews>
    <sheetView workbookViewId="0">
      <selection activeCell="C38" sqref="C38"/>
    </sheetView>
  </sheetViews>
  <sheetFormatPr defaultRowHeight="15" x14ac:dyDescent="0.25"/>
  <cols>
    <col min="1" max="1" width="18" customWidth="1"/>
    <col min="2" max="2" width="9.140625" style="119"/>
    <col min="3" max="3" width="80.7109375" customWidth="1"/>
    <col min="4" max="4" width="9.140625" style="110"/>
    <col min="5" max="5" width="13.28515625" style="129" bestFit="1" customWidth="1"/>
  </cols>
  <sheetData>
    <row r="1" spans="1:5" x14ac:dyDescent="0.25">
      <c r="A1" s="121" t="s">
        <v>233</v>
      </c>
      <c r="B1" s="117"/>
      <c r="C1" s="120"/>
      <c r="D1" s="125"/>
      <c r="E1" s="126"/>
    </row>
    <row r="2" spans="1:5" x14ac:dyDescent="0.25">
      <c r="A2" s="111" t="s">
        <v>1</v>
      </c>
      <c r="B2" s="118" t="s">
        <v>2</v>
      </c>
      <c r="C2" s="112" t="s">
        <v>3</v>
      </c>
      <c r="D2" s="112" t="s">
        <v>4</v>
      </c>
      <c r="E2" s="127" t="s">
        <v>232</v>
      </c>
    </row>
    <row r="3" spans="1:5" x14ac:dyDescent="0.25">
      <c r="A3" s="124" t="s">
        <v>234</v>
      </c>
      <c r="B3" s="123"/>
      <c r="C3" s="122"/>
      <c r="D3" s="122"/>
      <c r="E3" s="128"/>
    </row>
    <row r="4" spans="1:5" x14ac:dyDescent="0.25">
      <c r="A4" t="s">
        <v>33</v>
      </c>
      <c r="B4" s="119" t="s">
        <v>9</v>
      </c>
      <c r="C4" t="s">
        <v>101</v>
      </c>
      <c r="D4" s="110" t="s">
        <v>157</v>
      </c>
      <c r="E4" s="129">
        <f>Composições!G3</f>
        <v>52226.11</v>
      </c>
    </row>
    <row r="5" spans="1:5" x14ac:dyDescent="0.25">
      <c r="A5" t="s">
        <v>33</v>
      </c>
      <c r="B5" s="119" t="s">
        <v>10</v>
      </c>
      <c r="C5" t="s">
        <v>351</v>
      </c>
      <c r="D5" s="110" t="s">
        <v>45</v>
      </c>
      <c r="E5" s="129">
        <f>Composições!G11</f>
        <v>9.2100000000000009</v>
      </c>
    </row>
    <row r="6" spans="1:5" x14ac:dyDescent="0.25">
      <c r="A6" t="s">
        <v>33</v>
      </c>
      <c r="B6" s="119" t="s">
        <v>27</v>
      </c>
      <c r="C6" t="s">
        <v>263</v>
      </c>
      <c r="D6" s="110" t="s">
        <v>45</v>
      </c>
      <c r="E6" s="129">
        <f>Composições!G16</f>
        <v>27.759999999999998</v>
      </c>
    </row>
    <row r="7" spans="1:5" x14ac:dyDescent="0.25">
      <c r="A7" t="s">
        <v>33</v>
      </c>
      <c r="B7" s="119" t="s">
        <v>12</v>
      </c>
      <c r="C7" t="s">
        <v>320</v>
      </c>
      <c r="D7" s="110" t="s">
        <v>160</v>
      </c>
      <c r="E7" s="129">
        <f>Composições!G22</f>
        <v>35.200000000000003</v>
      </c>
    </row>
    <row r="8" spans="1:5" x14ac:dyDescent="0.25">
      <c r="A8" t="s">
        <v>33</v>
      </c>
      <c r="B8" s="119" t="s">
        <v>254</v>
      </c>
      <c r="C8" t="s">
        <v>321</v>
      </c>
      <c r="D8" s="110" t="s">
        <v>45</v>
      </c>
      <c r="E8" s="129">
        <f>Composições!G28</f>
        <v>9.4</v>
      </c>
    </row>
    <row r="9" spans="1:5" x14ac:dyDescent="0.25">
      <c r="A9" t="s">
        <v>33</v>
      </c>
      <c r="B9" s="119" t="s">
        <v>255</v>
      </c>
      <c r="C9" t="s">
        <v>322</v>
      </c>
      <c r="D9" s="110" t="s">
        <v>159</v>
      </c>
      <c r="E9" s="129">
        <f>Composições!G34</f>
        <v>70.67</v>
      </c>
    </row>
    <row r="10" spans="1:5" x14ac:dyDescent="0.25">
      <c r="A10" t="s">
        <v>33</v>
      </c>
      <c r="B10" s="119" t="s">
        <v>34</v>
      </c>
      <c r="C10" t="s">
        <v>173</v>
      </c>
      <c r="D10" s="110" t="s">
        <v>19</v>
      </c>
      <c r="E10" s="129">
        <f>Composições!G40</f>
        <v>167.15</v>
      </c>
    </row>
    <row r="11" spans="1:5" x14ac:dyDescent="0.25">
      <c r="A11" t="s">
        <v>33</v>
      </c>
      <c r="B11" s="119" t="s">
        <v>256</v>
      </c>
      <c r="C11" t="s">
        <v>117</v>
      </c>
      <c r="D11" s="110" t="s">
        <v>45</v>
      </c>
      <c r="E11" s="129">
        <f>Composições!G51</f>
        <v>8.5999999999999979</v>
      </c>
    </row>
    <row r="12" spans="1:5" x14ac:dyDescent="0.25">
      <c r="A12" t="s">
        <v>33</v>
      </c>
      <c r="B12" s="119" t="s">
        <v>37</v>
      </c>
      <c r="C12" t="s">
        <v>118</v>
      </c>
      <c r="D12" s="110" t="s">
        <v>45</v>
      </c>
      <c r="E12" s="129">
        <f>Composições!G63</f>
        <v>3.2299999999999995</v>
      </c>
    </row>
    <row r="13" spans="1:5" x14ac:dyDescent="0.25">
      <c r="A13" t="s">
        <v>33</v>
      </c>
      <c r="B13" s="119" t="s">
        <v>26</v>
      </c>
      <c r="C13" t="s">
        <v>181</v>
      </c>
      <c r="D13" s="110" t="s">
        <v>159</v>
      </c>
      <c r="E13" s="129">
        <f>Composições!G75</f>
        <v>619.31000000000006</v>
      </c>
    </row>
    <row r="14" spans="1:5" x14ac:dyDescent="0.25">
      <c r="A14" t="s">
        <v>33</v>
      </c>
      <c r="B14" s="119" t="s">
        <v>36</v>
      </c>
      <c r="C14" t="s">
        <v>125</v>
      </c>
      <c r="D14" s="110" t="s">
        <v>160</v>
      </c>
      <c r="E14" s="129">
        <f>Composições!G86</f>
        <v>26.62</v>
      </c>
    </row>
    <row r="15" spans="1:5" x14ac:dyDescent="0.25">
      <c r="A15" s="153" t="s">
        <v>235</v>
      </c>
      <c r="B15" s="150"/>
      <c r="C15" s="151"/>
      <c r="D15" s="151"/>
      <c r="E15" s="152"/>
    </row>
    <row r="16" spans="1:5" x14ac:dyDescent="0.25">
      <c r="A16" t="s">
        <v>8</v>
      </c>
      <c r="B16" s="119" t="s">
        <v>16</v>
      </c>
      <c r="C16" t="s">
        <v>105</v>
      </c>
      <c r="D16" s="110" t="s">
        <v>159</v>
      </c>
      <c r="E16" s="129">
        <v>1.5</v>
      </c>
    </row>
    <row r="17" spans="1:5" x14ac:dyDescent="0.25">
      <c r="A17" t="s">
        <v>8</v>
      </c>
      <c r="B17" s="119" t="s">
        <v>28</v>
      </c>
      <c r="C17" t="s">
        <v>111</v>
      </c>
      <c r="D17" s="110" t="s">
        <v>45</v>
      </c>
      <c r="E17" s="129">
        <v>3.14</v>
      </c>
    </row>
    <row r="18" spans="1:5" x14ac:dyDescent="0.25">
      <c r="A18" t="s">
        <v>8</v>
      </c>
      <c r="B18" s="119" t="s">
        <v>13</v>
      </c>
      <c r="C18" t="s">
        <v>113</v>
      </c>
      <c r="D18" s="110" t="s">
        <v>159</v>
      </c>
      <c r="E18" s="129">
        <v>9.3800000000000008</v>
      </c>
    </row>
    <row r="19" spans="1:5" x14ac:dyDescent="0.25">
      <c r="A19" t="s">
        <v>8</v>
      </c>
      <c r="B19" s="119" t="s">
        <v>18</v>
      </c>
      <c r="C19" t="s">
        <v>107</v>
      </c>
      <c r="D19" s="110" t="s">
        <v>159</v>
      </c>
      <c r="E19" s="129">
        <v>9.83</v>
      </c>
    </row>
    <row r="20" spans="1:5" x14ac:dyDescent="0.25">
      <c r="A20" t="s">
        <v>8</v>
      </c>
      <c r="B20" s="119" t="s">
        <v>80</v>
      </c>
      <c r="C20" t="s">
        <v>121</v>
      </c>
      <c r="D20" s="110" t="s">
        <v>45</v>
      </c>
      <c r="E20" s="129">
        <v>64.23</v>
      </c>
    </row>
    <row r="21" spans="1:5" x14ac:dyDescent="0.25">
      <c r="A21" t="s">
        <v>8</v>
      </c>
      <c r="B21" s="119" t="s">
        <v>97</v>
      </c>
      <c r="C21" t="s">
        <v>123</v>
      </c>
      <c r="D21" s="110" t="s">
        <v>45</v>
      </c>
      <c r="E21" s="129">
        <v>33.83</v>
      </c>
    </row>
    <row r="22" spans="1:5" x14ac:dyDescent="0.25">
      <c r="A22" t="s">
        <v>8</v>
      </c>
      <c r="B22" s="119" t="s">
        <v>77</v>
      </c>
      <c r="C22" t="s">
        <v>109</v>
      </c>
      <c r="D22" s="110" t="s">
        <v>159</v>
      </c>
      <c r="E22" s="129">
        <v>13.8</v>
      </c>
    </row>
    <row r="23" spans="1:5" x14ac:dyDescent="0.25">
      <c r="A23" t="s">
        <v>8</v>
      </c>
      <c r="B23" s="119" t="s">
        <v>32</v>
      </c>
      <c r="C23" t="s">
        <v>120</v>
      </c>
      <c r="D23" s="110" t="s">
        <v>161</v>
      </c>
      <c r="E23" s="129">
        <v>1.49</v>
      </c>
    </row>
    <row r="24" spans="1:5" x14ac:dyDescent="0.25">
      <c r="A24" t="s">
        <v>8</v>
      </c>
      <c r="B24" s="119" t="s">
        <v>20</v>
      </c>
      <c r="C24" t="s">
        <v>108</v>
      </c>
      <c r="D24" s="110" t="s">
        <v>160</v>
      </c>
      <c r="E24" s="129">
        <v>16.25</v>
      </c>
    </row>
    <row r="25" spans="1:5" x14ac:dyDescent="0.25">
      <c r="A25" t="s">
        <v>8</v>
      </c>
      <c r="B25" s="119" t="s">
        <v>29</v>
      </c>
      <c r="C25" t="s">
        <v>112</v>
      </c>
      <c r="D25" s="110" t="s">
        <v>159</v>
      </c>
      <c r="E25" s="129">
        <v>150.49</v>
      </c>
    </row>
    <row r="26" spans="1:5" x14ac:dyDescent="0.25">
      <c r="A26" t="s">
        <v>8</v>
      </c>
      <c r="B26" s="119" t="s">
        <v>81</v>
      </c>
      <c r="C26" t="s">
        <v>126</v>
      </c>
      <c r="D26" s="110" t="s">
        <v>163</v>
      </c>
      <c r="E26" s="129">
        <v>275.02999999999997</v>
      </c>
    </row>
    <row r="27" spans="1:5" x14ac:dyDescent="0.25">
      <c r="A27" t="s">
        <v>8</v>
      </c>
      <c r="B27" s="119" t="s">
        <v>96</v>
      </c>
      <c r="C27" t="s">
        <v>122</v>
      </c>
      <c r="D27" s="110" t="s">
        <v>45</v>
      </c>
      <c r="E27" s="129">
        <v>83.43</v>
      </c>
    </row>
    <row r="28" spans="1:5" x14ac:dyDescent="0.25">
      <c r="A28" t="s">
        <v>8</v>
      </c>
      <c r="B28" s="119" t="s">
        <v>338</v>
      </c>
      <c r="C28" t="s">
        <v>339</v>
      </c>
      <c r="D28" s="110" t="s">
        <v>45</v>
      </c>
      <c r="E28" s="129">
        <v>80.88</v>
      </c>
    </row>
    <row r="29" spans="1:5" x14ac:dyDescent="0.25">
      <c r="A29" t="s">
        <v>8</v>
      </c>
      <c r="B29" s="119" t="s">
        <v>56</v>
      </c>
      <c r="C29" t="s">
        <v>128</v>
      </c>
      <c r="D29" s="110" t="s">
        <v>163</v>
      </c>
      <c r="E29" s="129">
        <v>286.67</v>
      </c>
    </row>
    <row r="30" spans="1:5" x14ac:dyDescent="0.25">
      <c r="A30" t="s">
        <v>8</v>
      </c>
      <c r="B30" s="119" t="s">
        <v>35</v>
      </c>
      <c r="C30" t="s">
        <v>124</v>
      </c>
      <c r="D30" s="110" t="s">
        <v>160</v>
      </c>
      <c r="E30" s="129">
        <v>50.87</v>
      </c>
    </row>
    <row r="31" spans="1:5" x14ac:dyDescent="0.25">
      <c r="A31" t="s">
        <v>8</v>
      </c>
      <c r="B31" s="119" t="s">
        <v>79</v>
      </c>
      <c r="C31" t="s">
        <v>116</v>
      </c>
      <c r="D31" s="110" t="s">
        <v>159</v>
      </c>
      <c r="E31" s="129">
        <v>87.33</v>
      </c>
    </row>
    <row r="32" spans="1:5" x14ac:dyDescent="0.25">
      <c r="A32" t="s">
        <v>8</v>
      </c>
      <c r="B32" s="119" t="s">
        <v>24</v>
      </c>
      <c r="C32" t="s">
        <v>114</v>
      </c>
      <c r="D32" s="110" t="s">
        <v>161</v>
      </c>
      <c r="E32" s="129">
        <v>1.8</v>
      </c>
    </row>
    <row r="33" spans="1:5" x14ac:dyDescent="0.25">
      <c r="A33" t="s">
        <v>8</v>
      </c>
      <c r="B33" s="119" t="s">
        <v>31</v>
      </c>
      <c r="C33" t="s">
        <v>119</v>
      </c>
      <c r="D33" s="110" t="s">
        <v>159</v>
      </c>
      <c r="E33" s="129">
        <v>2206.88</v>
      </c>
    </row>
    <row r="34" spans="1:5" x14ac:dyDescent="0.25">
      <c r="A34" t="s">
        <v>8</v>
      </c>
      <c r="B34" s="119" t="s">
        <v>15</v>
      </c>
      <c r="C34" t="s">
        <v>104</v>
      </c>
      <c r="D34" s="110" t="s">
        <v>45</v>
      </c>
      <c r="E34" s="129">
        <v>7.44</v>
      </c>
    </row>
    <row r="35" spans="1:5" x14ac:dyDescent="0.25">
      <c r="A35" t="s">
        <v>8</v>
      </c>
      <c r="B35" s="119" t="s">
        <v>30</v>
      </c>
      <c r="C35" t="s">
        <v>115</v>
      </c>
      <c r="D35" s="110" t="s">
        <v>159</v>
      </c>
      <c r="E35" s="129">
        <v>169.39</v>
      </c>
    </row>
    <row r="36" spans="1:5" x14ac:dyDescent="0.25">
      <c r="A36" t="s">
        <v>8</v>
      </c>
      <c r="B36" s="119" t="s">
        <v>17</v>
      </c>
      <c r="C36" t="s">
        <v>106</v>
      </c>
      <c r="D36" s="110" t="s">
        <v>45</v>
      </c>
      <c r="E36" s="129">
        <v>24.61</v>
      </c>
    </row>
    <row r="37" spans="1:5" x14ac:dyDescent="0.25">
      <c r="A37" t="s">
        <v>8</v>
      </c>
      <c r="B37" s="119" t="s">
        <v>94</v>
      </c>
      <c r="C37" t="s">
        <v>353</v>
      </c>
      <c r="D37" s="110" t="s">
        <v>158</v>
      </c>
      <c r="E37" s="129">
        <v>3.23</v>
      </c>
    </row>
    <row r="38" spans="1:5" x14ac:dyDescent="0.25">
      <c r="A38" t="s">
        <v>8</v>
      </c>
      <c r="B38" s="119" t="s">
        <v>78</v>
      </c>
      <c r="C38" t="s">
        <v>110</v>
      </c>
      <c r="D38" s="110" t="s">
        <v>45</v>
      </c>
      <c r="E38" s="129">
        <v>5.18</v>
      </c>
    </row>
    <row r="39" spans="1:5" x14ac:dyDescent="0.25">
      <c r="A39" t="s">
        <v>8</v>
      </c>
      <c r="B39" s="119">
        <v>91486</v>
      </c>
      <c r="C39" t="s">
        <v>264</v>
      </c>
      <c r="D39" s="110" t="s">
        <v>239</v>
      </c>
      <c r="E39" s="129">
        <v>74.599999999999994</v>
      </c>
    </row>
    <row r="40" spans="1:5" x14ac:dyDescent="0.25">
      <c r="A40" t="s">
        <v>8</v>
      </c>
      <c r="B40" s="119">
        <v>89036</v>
      </c>
      <c r="C40" t="s">
        <v>265</v>
      </c>
      <c r="D40" s="110" t="s">
        <v>239</v>
      </c>
      <c r="E40" s="129">
        <v>63.07</v>
      </c>
    </row>
    <row r="41" spans="1:5" x14ac:dyDescent="0.25">
      <c r="A41" t="s">
        <v>8</v>
      </c>
      <c r="B41" s="119">
        <v>5841</v>
      </c>
      <c r="C41" t="s">
        <v>266</v>
      </c>
      <c r="D41" s="110" t="s">
        <v>239</v>
      </c>
      <c r="E41" s="129">
        <v>6.8</v>
      </c>
    </row>
    <row r="42" spans="1:5" x14ac:dyDescent="0.25">
      <c r="A42" t="s">
        <v>8</v>
      </c>
      <c r="B42" s="119" t="s">
        <v>165</v>
      </c>
      <c r="C42" t="s">
        <v>267</v>
      </c>
      <c r="D42" s="110" t="s">
        <v>239</v>
      </c>
      <c r="E42" s="129">
        <v>97.56</v>
      </c>
    </row>
    <row r="43" spans="1:5" x14ac:dyDescent="0.25">
      <c r="A43" t="s">
        <v>8</v>
      </c>
      <c r="B43" s="119" t="s">
        <v>168</v>
      </c>
      <c r="C43" t="s">
        <v>268</v>
      </c>
      <c r="D43" s="110" t="s">
        <v>239</v>
      </c>
      <c r="E43" s="129">
        <v>120.08</v>
      </c>
    </row>
    <row r="44" spans="1:5" x14ac:dyDescent="0.25">
      <c r="A44" t="s">
        <v>8</v>
      </c>
      <c r="B44" s="119" t="s">
        <v>88</v>
      </c>
      <c r="C44" t="s">
        <v>269</v>
      </c>
      <c r="D44" s="110" t="s">
        <v>163</v>
      </c>
      <c r="E44" s="129">
        <v>160.79</v>
      </c>
    </row>
    <row r="45" spans="1:5" x14ac:dyDescent="0.25">
      <c r="A45" t="s">
        <v>8</v>
      </c>
      <c r="B45" s="119">
        <v>89035</v>
      </c>
      <c r="C45" t="s">
        <v>270</v>
      </c>
      <c r="D45" s="110" t="s">
        <v>163</v>
      </c>
      <c r="E45" s="129">
        <v>148.9</v>
      </c>
    </row>
    <row r="46" spans="1:5" x14ac:dyDescent="0.25">
      <c r="A46" t="s">
        <v>8</v>
      </c>
      <c r="B46" s="119">
        <v>83362</v>
      </c>
      <c r="C46" t="s">
        <v>271</v>
      </c>
      <c r="D46" s="110" t="s">
        <v>163</v>
      </c>
      <c r="E46" s="129">
        <v>282.86</v>
      </c>
    </row>
    <row r="47" spans="1:5" x14ac:dyDescent="0.25">
      <c r="A47" t="s">
        <v>8</v>
      </c>
      <c r="B47" s="119">
        <v>5839</v>
      </c>
      <c r="C47" t="s">
        <v>272</v>
      </c>
      <c r="D47" s="110" t="s">
        <v>163</v>
      </c>
      <c r="E47" s="129">
        <v>13.53</v>
      </c>
    </row>
    <row r="48" spans="1:5" x14ac:dyDescent="0.25">
      <c r="A48" t="s">
        <v>8</v>
      </c>
      <c r="B48" s="119" t="s">
        <v>164</v>
      </c>
      <c r="C48" t="s">
        <v>273</v>
      </c>
      <c r="D48" s="110" t="s">
        <v>163</v>
      </c>
      <c r="E48" s="129">
        <v>248.28</v>
      </c>
    </row>
    <row r="49" spans="1:5" x14ac:dyDescent="0.25">
      <c r="A49" t="s">
        <v>8</v>
      </c>
      <c r="B49" s="119" t="s">
        <v>58</v>
      </c>
      <c r="C49" t="s">
        <v>274</v>
      </c>
      <c r="D49" s="110" t="s">
        <v>163</v>
      </c>
      <c r="E49" s="129">
        <v>373.4</v>
      </c>
    </row>
    <row r="50" spans="1:5" x14ac:dyDescent="0.25">
      <c r="A50" t="s">
        <v>8</v>
      </c>
      <c r="B50" s="119" t="s">
        <v>67</v>
      </c>
      <c r="C50" t="s">
        <v>275</v>
      </c>
      <c r="D50" s="110" t="s">
        <v>163</v>
      </c>
      <c r="E50" s="129">
        <v>154.88999999999999</v>
      </c>
    </row>
    <row r="51" spans="1:5" x14ac:dyDescent="0.25">
      <c r="A51" t="s">
        <v>8</v>
      </c>
      <c r="B51" s="119" t="s">
        <v>68</v>
      </c>
      <c r="C51" t="s">
        <v>276</v>
      </c>
      <c r="D51" s="110" t="s">
        <v>163</v>
      </c>
      <c r="E51" s="129">
        <v>143.25</v>
      </c>
    </row>
    <row r="52" spans="1:5" x14ac:dyDescent="0.25">
      <c r="A52" t="s">
        <v>8</v>
      </c>
      <c r="B52" s="119" t="s">
        <v>69</v>
      </c>
      <c r="C52" t="s">
        <v>277</v>
      </c>
      <c r="D52" s="110" t="s">
        <v>163</v>
      </c>
      <c r="E52" s="129">
        <v>202.28</v>
      </c>
    </row>
    <row r="53" spans="1:5" x14ac:dyDescent="0.25">
      <c r="A53" t="s">
        <v>8</v>
      </c>
      <c r="B53" s="119" t="s">
        <v>167</v>
      </c>
      <c r="C53" t="s">
        <v>278</v>
      </c>
      <c r="D53" s="110" t="s">
        <v>163</v>
      </c>
      <c r="E53" s="129">
        <v>279.07</v>
      </c>
    </row>
    <row r="54" spans="1:5" x14ac:dyDescent="0.25">
      <c r="A54" t="s">
        <v>8</v>
      </c>
      <c r="B54" s="119" t="s">
        <v>169</v>
      </c>
      <c r="C54" t="s">
        <v>279</v>
      </c>
      <c r="D54" s="110" t="s">
        <v>163</v>
      </c>
      <c r="E54" s="129">
        <v>268.22000000000003</v>
      </c>
    </row>
    <row r="55" spans="1:5" x14ac:dyDescent="0.25">
      <c r="A55" t="s">
        <v>8</v>
      </c>
      <c r="B55" s="119" t="s">
        <v>170</v>
      </c>
      <c r="C55" t="s">
        <v>280</v>
      </c>
      <c r="D55" s="110" t="s">
        <v>163</v>
      </c>
      <c r="E55" s="129">
        <v>175.57</v>
      </c>
    </row>
    <row r="56" spans="1:5" x14ac:dyDescent="0.25">
      <c r="A56" t="s">
        <v>8</v>
      </c>
      <c r="B56" s="119">
        <v>88316</v>
      </c>
      <c r="C56" t="s">
        <v>281</v>
      </c>
      <c r="D56" s="110" t="s">
        <v>70</v>
      </c>
      <c r="E56" s="129">
        <v>24.31</v>
      </c>
    </row>
    <row r="57" spans="1:5" x14ac:dyDescent="0.25">
      <c r="A57" t="s">
        <v>8</v>
      </c>
      <c r="B57" s="119" t="s">
        <v>166</v>
      </c>
      <c r="C57" t="s">
        <v>282</v>
      </c>
      <c r="D57" s="110" t="s">
        <v>70</v>
      </c>
      <c r="E57" s="129">
        <v>24.47</v>
      </c>
    </row>
    <row r="58" spans="1:5" x14ac:dyDescent="0.25">
      <c r="A58" t="s">
        <v>8</v>
      </c>
      <c r="B58" s="119" t="s">
        <v>59</v>
      </c>
      <c r="C58" t="s">
        <v>283</v>
      </c>
      <c r="D58" s="110" t="s">
        <v>70</v>
      </c>
      <c r="E58" s="129">
        <v>29.08</v>
      </c>
    </row>
    <row r="59" spans="1:5" x14ac:dyDescent="0.25">
      <c r="A59" t="s">
        <v>8</v>
      </c>
      <c r="B59" s="119" t="s">
        <v>66</v>
      </c>
      <c r="C59" t="s">
        <v>284</v>
      </c>
      <c r="D59" s="110" t="s">
        <v>70</v>
      </c>
      <c r="E59" s="129">
        <v>29.39</v>
      </c>
    </row>
    <row r="60" spans="1:5" x14ac:dyDescent="0.25">
      <c r="A60" t="s">
        <v>8</v>
      </c>
      <c r="B60" s="119" t="s">
        <v>65</v>
      </c>
      <c r="C60" t="s">
        <v>285</v>
      </c>
      <c r="D60" s="110" t="s">
        <v>70</v>
      </c>
      <c r="E60" s="129">
        <v>25.66</v>
      </c>
    </row>
    <row r="61" spans="1:5" x14ac:dyDescent="0.25">
      <c r="A61" t="s">
        <v>8</v>
      </c>
      <c r="B61" s="119" t="s">
        <v>73</v>
      </c>
      <c r="C61" t="s">
        <v>286</v>
      </c>
      <c r="D61" s="110" t="s">
        <v>240</v>
      </c>
      <c r="E61" s="129">
        <v>17.52</v>
      </c>
    </row>
    <row r="62" spans="1:5" x14ac:dyDescent="0.25">
      <c r="A62" t="s">
        <v>8</v>
      </c>
      <c r="B62" s="119" t="s">
        <v>71</v>
      </c>
      <c r="C62" t="s">
        <v>287</v>
      </c>
      <c r="D62" s="110" t="s">
        <v>45</v>
      </c>
      <c r="E62" s="129">
        <v>142.77000000000001</v>
      </c>
    </row>
    <row r="63" spans="1:5" x14ac:dyDescent="0.25">
      <c r="A63" t="s">
        <v>8</v>
      </c>
      <c r="B63" s="119" t="s">
        <v>74</v>
      </c>
      <c r="C63" t="s">
        <v>288</v>
      </c>
      <c r="D63" s="110" t="s">
        <v>45</v>
      </c>
      <c r="E63" s="129">
        <v>324.69</v>
      </c>
    </row>
    <row r="64" spans="1:5" x14ac:dyDescent="0.25">
      <c r="A64" t="s">
        <v>8</v>
      </c>
      <c r="B64" s="119" t="s">
        <v>93</v>
      </c>
      <c r="C64" t="s">
        <v>289</v>
      </c>
      <c r="D64" s="110" t="s">
        <v>159</v>
      </c>
      <c r="E64" s="129">
        <v>754.3</v>
      </c>
    </row>
    <row r="65" spans="1:5" x14ac:dyDescent="0.25">
      <c r="A65" t="s">
        <v>8</v>
      </c>
      <c r="B65" s="119" t="s">
        <v>21</v>
      </c>
      <c r="C65" t="s">
        <v>290</v>
      </c>
      <c r="D65" s="110" t="s">
        <v>159</v>
      </c>
      <c r="E65" s="129">
        <v>298.51</v>
      </c>
    </row>
    <row r="66" spans="1:5" x14ac:dyDescent="0.25">
      <c r="A66" t="s">
        <v>8</v>
      </c>
      <c r="B66" s="119" t="s">
        <v>23</v>
      </c>
      <c r="C66" t="s">
        <v>291</v>
      </c>
      <c r="D66" s="110" t="s">
        <v>159</v>
      </c>
      <c r="E66" s="129">
        <v>207.11</v>
      </c>
    </row>
    <row r="67" spans="1:5" x14ac:dyDescent="0.25">
      <c r="A67" t="s">
        <v>8</v>
      </c>
      <c r="B67" s="119" t="s">
        <v>72</v>
      </c>
      <c r="C67" t="s">
        <v>292</v>
      </c>
      <c r="D67" s="110" t="s">
        <v>159</v>
      </c>
      <c r="E67" s="129">
        <v>570.74</v>
      </c>
    </row>
    <row r="68" spans="1:5" x14ac:dyDescent="0.25">
      <c r="A68" t="s">
        <v>8</v>
      </c>
      <c r="B68" s="119" t="s">
        <v>60</v>
      </c>
      <c r="C68" t="s">
        <v>293</v>
      </c>
      <c r="D68" s="110" t="s">
        <v>159</v>
      </c>
      <c r="E68" s="129">
        <v>592.09</v>
      </c>
    </row>
    <row r="69" spans="1:5" x14ac:dyDescent="0.25">
      <c r="A69" t="s">
        <v>8</v>
      </c>
      <c r="B69" s="119" t="s">
        <v>14</v>
      </c>
      <c r="C69" t="s">
        <v>294</v>
      </c>
      <c r="D69" s="110" t="s">
        <v>238</v>
      </c>
      <c r="E69" s="129">
        <v>1.06</v>
      </c>
    </row>
    <row r="70" spans="1:5" x14ac:dyDescent="0.25">
      <c r="A70" t="s">
        <v>8</v>
      </c>
      <c r="B70" s="119" t="s">
        <v>83</v>
      </c>
      <c r="C70" t="s">
        <v>295</v>
      </c>
      <c r="D70" s="110" t="s">
        <v>157</v>
      </c>
      <c r="E70" s="129">
        <v>23805.45</v>
      </c>
    </row>
    <row r="71" spans="1:5" x14ac:dyDescent="0.25">
      <c r="A71" t="s">
        <v>8</v>
      </c>
      <c r="B71" s="119" t="s">
        <v>84</v>
      </c>
      <c r="C71" t="s">
        <v>296</v>
      </c>
      <c r="D71" s="110" t="s">
        <v>157</v>
      </c>
      <c r="E71" s="129">
        <v>13223.17</v>
      </c>
    </row>
    <row r="72" spans="1:5" x14ac:dyDescent="0.25">
      <c r="A72" t="s">
        <v>8</v>
      </c>
      <c r="B72" s="119" t="s">
        <v>241</v>
      </c>
      <c r="C72" s="109" t="s">
        <v>297</v>
      </c>
      <c r="D72" s="110" t="s">
        <v>157</v>
      </c>
      <c r="E72" s="129">
        <v>21786.74</v>
      </c>
    </row>
    <row r="73" spans="1:5" x14ac:dyDescent="0.25">
      <c r="A73" t="s">
        <v>8</v>
      </c>
      <c r="B73" s="119" t="s">
        <v>85</v>
      </c>
      <c r="C73" t="s">
        <v>298</v>
      </c>
      <c r="D73" s="110" t="s">
        <v>157</v>
      </c>
      <c r="E73" s="129">
        <v>7936.87</v>
      </c>
    </row>
    <row r="74" spans="1:5" x14ac:dyDescent="0.25">
      <c r="A74" t="s">
        <v>8</v>
      </c>
      <c r="B74" s="119" t="s">
        <v>86</v>
      </c>
      <c r="C74" t="s">
        <v>299</v>
      </c>
      <c r="D74" s="110" t="s">
        <v>157</v>
      </c>
      <c r="E74" s="129">
        <v>3810.97</v>
      </c>
    </row>
    <row r="75" spans="1:5" x14ac:dyDescent="0.25">
      <c r="A75" t="s">
        <v>8</v>
      </c>
      <c r="B75" s="119" t="s">
        <v>89</v>
      </c>
      <c r="C75" t="s">
        <v>300</v>
      </c>
      <c r="D75" s="110" t="s">
        <v>239</v>
      </c>
      <c r="E75" s="129">
        <v>81.47</v>
      </c>
    </row>
    <row r="76" spans="1:5" x14ac:dyDescent="0.25">
      <c r="A76" t="s">
        <v>8</v>
      </c>
      <c r="B76" s="119" t="s">
        <v>333</v>
      </c>
      <c r="C76" t="s">
        <v>332</v>
      </c>
      <c r="D76" s="110" t="s">
        <v>159</v>
      </c>
      <c r="E76" s="129">
        <v>118.52</v>
      </c>
    </row>
    <row r="77" spans="1:5" x14ac:dyDescent="0.25">
      <c r="A77" t="s">
        <v>22</v>
      </c>
      <c r="B77" s="119" t="s">
        <v>76</v>
      </c>
      <c r="C77" t="s">
        <v>172</v>
      </c>
      <c r="D77" s="110" t="s">
        <v>45</v>
      </c>
      <c r="E77" s="129">
        <v>4.3600000000000003</v>
      </c>
    </row>
    <row r="78" spans="1:5" x14ac:dyDescent="0.25">
      <c r="A78" t="s">
        <v>22</v>
      </c>
      <c r="B78" s="119" t="s">
        <v>82</v>
      </c>
      <c r="C78" t="s">
        <v>127</v>
      </c>
      <c r="D78" s="110" t="s">
        <v>70</v>
      </c>
      <c r="E78" s="129">
        <v>153.15369999999999</v>
      </c>
    </row>
    <row r="79" spans="1:5" x14ac:dyDescent="0.25">
      <c r="A79" t="s">
        <v>22</v>
      </c>
      <c r="B79" s="119" t="s">
        <v>87</v>
      </c>
      <c r="C79" t="s">
        <v>312</v>
      </c>
      <c r="D79" s="110" t="s">
        <v>70</v>
      </c>
      <c r="E79" s="129">
        <v>66.646000000000001</v>
      </c>
    </row>
    <row r="80" spans="1:5" x14ac:dyDescent="0.25">
      <c r="A80" t="s">
        <v>22</v>
      </c>
      <c r="B80" s="119" t="s">
        <v>180</v>
      </c>
      <c r="C80" t="s">
        <v>313</v>
      </c>
      <c r="D80" s="110" t="s">
        <v>70</v>
      </c>
      <c r="E80" s="129">
        <v>199.7696</v>
      </c>
    </row>
    <row r="81" spans="1:5" x14ac:dyDescent="0.25">
      <c r="A81" t="s">
        <v>22</v>
      </c>
      <c r="B81" s="119" t="s">
        <v>258</v>
      </c>
      <c r="C81" t="s">
        <v>317</v>
      </c>
      <c r="D81" s="110" t="s">
        <v>160</v>
      </c>
      <c r="E81" s="129">
        <v>23.69</v>
      </c>
    </row>
    <row r="82" spans="1:5" x14ac:dyDescent="0.25">
      <c r="A82" t="s">
        <v>22</v>
      </c>
      <c r="B82" s="119" t="s">
        <v>259</v>
      </c>
      <c r="C82" t="s">
        <v>318</v>
      </c>
      <c r="D82" s="110" t="s">
        <v>45</v>
      </c>
      <c r="E82" s="129">
        <v>0.08</v>
      </c>
    </row>
    <row r="83" spans="1:5" x14ac:dyDescent="0.25">
      <c r="A83" t="s">
        <v>22</v>
      </c>
      <c r="B83" s="119" t="s">
        <v>260</v>
      </c>
      <c r="C83" t="s">
        <v>319</v>
      </c>
      <c r="D83" s="110" t="s">
        <v>160</v>
      </c>
      <c r="E83" s="129">
        <v>71.83</v>
      </c>
    </row>
    <row r="84" spans="1:5" x14ac:dyDescent="0.25">
      <c r="A84" s="124" t="s">
        <v>236</v>
      </c>
      <c r="B84" s="123"/>
      <c r="C84" s="122" t="s">
        <v>47</v>
      </c>
      <c r="D84" s="122"/>
      <c r="E84" s="128"/>
    </row>
    <row r="85" spans="1:5" x14ac:dyDescent="0.25">
      <c r="A85" t="s">
        <v>25</v>
      </c>
      <c r="B85" s="119" t="s">
        <v>231</v>
      </c>
      <c r="C85" t="s">
        <v>301</v>
      </c>
      <c r="D85" s="110" t="s">
        <v>43</v>
      </c>
      <c r="E85" s="129">
        <v>3.6</v>
      </c>
    </row>
    <row r="86" spans="1:5" x14ac:dyDescent="0.25">
      <c r="A86" t="s">
        <v>25</v>
      </c>
      <c r="B86" s="119" t="s">
        <v>92</v>
      </c>
      <c r="C86" t="s">
        <v>175</v>
      </c>
      <c r="D86" s="110" t="s">
        <v>176</v>
      </c>
      <c r="E86" s="129">
        <v>812.5</v>
      </c>
    </row>
    <row r="87" spans="1:5" x14ac:dyDescent="0.25">
      <c r="A87" t="s">
        <v>25</v>
      </c>
      <c r="B87" s="119" t="s">
        <v>90</v>
      </c>
      <c r="C87" t="s">
        <v>302</v>
      </c>
      <c r="D87" s="110" t="s">
        <v>70</v>
      </c>
      <c r="E87" s="129">
        <v>38.729999999999997</v>
      </c>
    </row>
    <row r="88" spans="1:5" x14ac:dyDescent="0.25">
      <c r="A88" t="s">
        <v>25</v>
      </c>
      <c r="B88" s="119" t="s">
        <v>91</v>
      </c>
      <c r="C88" t="s">
        <v>303</v>
      </c>
      <c r="D88" s="110" t="s">
        <v>70</v>
      </c>
      <c r="E88" s="129">
        <v>17.96</v>
      </c>
    </row>
    <row r="89" spans="1:5" x14ac:dyDescent="0.25">
      <c r="A89" t="s">
        <v>25</v>
      </c>
      <c r="B89" s="119" t="s">
        <v>62</v>
      </c>
      <c r="C89" t="s">
        <v>304</v>
      </c>
      <c r="D89" s="110" t="s">
        <v>240</v>
      </c>
      <c r="E89" s="129">
        <v>13.85</v>
      </c>
    </row>
    <row r="90" spans="1:5" x14ac:dyDescent="0.25">
      <c r="A90" t="s">
        <v>25</v>
      </c>
      <c r="B90" s="119" t="s">
        <v>61</v>
      </c>
      <c r="C90" t="s">
        <v>305</v>
      </c>
      <c r="D90" s="110" t="s">
        <v>43</v>
      </c>
      <c r="E90" s="129">
        <v>3.61</v>
      </c>
    </row>
    <row r="91" spans="1:5" x14ac:dyDescent="0.25">
      <c r="A91" t="s">
        <v>25</v>
      </c>
      <c r="B91" s="119" t="s">
        <v>63</v>
      </c>
      <c r="C91" t="s">
        <v>306</v>
      </c>
      <c r="D91" s="110" t="s">
        <v>45</v>
      </c>
      <c r="E91" s="129">
        <v>1.96</v>
      </c>
    </row>
    <row r="92" spans="1:5" x14ac:dyDescent="0.25">
      <c r="A92" t="s">
        <v>25</v>
      </c>
      <c r="B92" s="119" t="s">
        <v>64</v>
      </c>
      <c r="C92" t="s">
        <v>307</v>
      </c>
      <c r="D92" s="110" t="s">
        <v>45</v>
      </c>
      <c r="E92" s="129">
        <v>19.149999999999999</v>
      </c>
    </row>
    <row r="93" spans="1:5" x14ac:dyDescent="0.25">
      <c r="A93" t="s">
        <v>25</v>
      </c>
      <c r="B93" s="119" t="s">
        <v>57</v>
      </c>
      <c r="C93" t="s">
        <v>308</v>
      </c>
      <c r="D93" s="110" t="s">
        <v>159</v>
      </c>
      <c r="E93" s="129">
        <v>95</v>
      </c>
    </row>
    <row r="94" spans="1:5" x14ac:dyDescent="0.25">
      <c r="A94" t="s">
        <v>25</v>
      </c>
      <c r="B94" s="119" t="s">
        <v>171</v>
      </c>
      <c r="C94" t="s">
        <v>309</v>
      </c>
      <c r="D94" s="110" t="s">
        <v>159</v>
      </c>
      <c r="E94" s="129">
        <v>89.26</v>
      </c>
    </row>
    <row r="95" spans="1:5" x14ac:dyDescent="0.25">
      <c r="A95" t="s">
        <v>25</v>
      </c>
      <c r="B95" s="119" t="s">
        <v>55</v>
      </c>
      <c r="C95" t="s">
        <v>310</v>
      </c>
      <c r="D95" s="110" t="s">
        <v>162</v>
      </c>
      <c r="E95" s="130">
        <v>132.80000000000001</v>
      </c>
    </row>
    <row r="96" spans="1:5" x14ac:dyDescent="0.25">
      <c r="A96" t="s">
        <v>25</v>
      </c>
      <c r="B96" s="119" t="s">
        <v>75</v>
      </c>
      <c r="C96" t="s">
        <v>311</v>
      </c>
      <c r="D96" s="110" t="s">
        <v>162</v>
      </c>
      <c r="E96" s="129">
        <v>51.5</v>
      </c>
    </row>
    <row r="97" spans="1:5" x14ac:dyDescent="0.25">
      <c r="A97" t="s">
        <v>11</v>
      </c>
      <c r="B97" s="119" t="s">
        <v>251</v>
      </c>
      <c r="C97" t="s">
        <v>315</v>
      </c>
      <c r="D97" s="110" t="s">
        <v>240</v>
      </c>
      <c r="E97" s="129">
        <f>'Mat asfalt.'!D2</f>
        <v>5.7385343947757308</v>
      </c>
    </row>
    <row r="98" spans="1:5" x14ac:dyDescent="0.25">
      <c r="A98" t="s">
        <v>11</v>
      </c>
      <c r="B98" s="119" t="s">
        <v>252</v>
      </c>
      <c r="C98" t="s">
        <v>314</v>
      </c>
      <c r="D98" s="110" t="s">
        <v>240</v>
      </c>
      <c r="E98" s="129">
        <f>'Mat asfalt.'!D4</f>
        <v>3.836389711772128</v>
      </c>
    </row>
    <row r="99" spans="1:5" x14ac:dyDescent="0.25">
      <c r="A99" t="s">
        <v>11</v>
      </c>
      <c r="B99" t="s">
        <v>257</v>
      </c>
      <c r="C99" t="s">
        <v>316</v>
      </c>
      <c r="D99" s="110" t="s">
        <v>160</v>
      </c>
      <c r="E99" s="129">
        <v>28.22</v>
      </c>
    </row>
    <row r="100" spans="1:5" x14ac:dyDescent="0.25">
      <c r="C100" t="s">
        <v>47</v>
      </c>
    </row>
  </sheetData>
  <autoFilter ref="A2:E96" xr:uid="{8EBF8F23-3DE7-4C35-A171-2DA226643C42}"/>
  <pageMargins left="0.511811024" right="0.511811024" top="0.78740157499999996" bottom="0.78740157499999996" header="0.31496062000000002" footer="0.31496062000000002"/>
  <pageSetup paperSize="9" orientation="landscape" r:id="rId1"/>
  <ignoredErrors>
    <ignoredError sqref="B86:B94 B75 B29:B71 B96 B4:B6 B16:B2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4DD7C-7B49-45FB-A853-AC2234B6AFAC}">
  <dimension ref="B1:D11"/>
  <sheetViews>
    <sheetView workbookViewId="0">
      <selection activeCell="E22" sqref="E22"/>
    </sheetView>
  </sheetViews>
  <sheetFormatPr defaultRowHeight="15" x14ac:dyDescent="0.25"/>
  <cols>
    <col min="2" max="2" width="31.42578125" bestFit="1" customWidth="1"/>
    <col min="3" max="3" width="14.85546875" customWidth="1"/>
    <col min="4" max="4" width="21.7109375" bestFit="1" customWidth="1"/>
  </cols>
  <sheetData>
    <row r="1" spans="2:4" x14ac:dyDescent="0.25">
      <c r="B1" s="142" t="s">
        <v>248</v>
      </c>
      <c r="C1" s="142" t="s">
        <v>249</v>
      </c>
      <c r="D1" s="142" t="s">
        <v>250</v>
      </c>
    </row>
    <row r="2" spans="2:4" x14ac:dyDescent="0.25">
      <c r="B2" t="s">
        <v>245</v>
      </c>
      <c r="C2" s="140">
        <v>4.5891346481741255</v>
      </c>
      <c r="D2" s="141">
        <f>C2/(1-(C9+C10+C11-(C10+C11)*C9))</f>
        <v>5.7385343947757308</v>
      </c>
    </row>
    <row r="3" spans="2:4" x14ac:dyDescent="0.25">
      <c r="B3" t="s">
        <v>246</v>
      </c>
      <c r="C3" s="140">
        <v>3.7160873912617984</v>
      </c>
      <c r="D3" s="141">
        <f>C3/(1-(C9+C10+C11-(C10+C11)*C9))</f>
        <v>4.6468227549681425</v>
      </c>
    </row>
    <row r="4" spans="2:4" x14ac:dyDescent="0.25">
      <c r="B4" t="s">
        <v>247</v>
      </c>
      <c r="C4" s="140">
        <v>3.0679800344527295</v>
      </c>
      <c r="D4" s="141">
        <f>C4/(1-(C9+C10+C11-(C10+C11)*C9))</f>
        <v>3.836389711772128</v>
      </c>
    </row>
    <row r="9" spans="2:4" x14ac:dyDescent="0.25">
      <c r="B9" t="s">
        <v>242</v>
      </c>
      <c r="C9" s="139">
        <v>0.17</v>
      </c>
    </row>
    <row r="10" spans="2:4" x14ac:dyDescent="0.25">
      <c r="B10" t="s">
        <v>243</v>
      </c>
      <c r="C10" s="139">
        <v>6.4999999999999997E-3</v>
      </c>
    </row>
    <row r="11" spans="2:4" x14ac:dyDescent="0.25">
      <c r="B11" t="s">
        <v>244</v>
      </c>
      <c r="C11" s="139">
        <v>0.03</v>
      </c>
    </row>
  </sheetData>
  <pageMargins left="0.511811024" right="0.511811024" top="0.78740157499999996" bottom="0.78740157499999996" header="0.31496062000000002" footer="0.31496062000000002"/>
  <pageSetup paperSize="9" orientation="portrait" verticalDpi="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06B90-44FE-4CB1-B869-35D47610A58A}">
  <sheetPr>
    <pageSetUpPr fitToPage="1"/>
  </sheetPr>
  <dimension ref="B1:AO49"/>
  <sheetViews>
    <sheetView showGridLines="0" tabSelected="1" zoomScale="120" workbookViewId="0">
      <selection activeCell="AI32" sqref="AI32"/>
    </sheetView>
  </sheetViews>
  <sheetFormatPr defaultColWidth="3.7109375" defaultRowHeight="12.75" x14ac:dyDescent="0.2"/>
  <cols>
    <col min="1" max="1" width="3.7109375" style="182" customWidth="1"/>
    <col min="2" max="5" width="4.28515625" style="182" customWidth="1"/>
    <col min="6" max="6" width="9.7109375" style="182" customWidth="1"/>
    <col min="7" max="7" width="7.85546875" style="182" customWidth="1"/>
    <col min="8" max="8" width="8.85546875" style="182" customWidth="1"/>
    <col min="9" max="9" width="7.85546875" style="182" customWidth="1"/>
    <col min="10" max="10" width="8.5703125" style="182" customWidth="1"/>
    <col min="11" max="12" width="3.42578125" style="182" customWidth="1"/>
    <col min="13" max="13" width="2.85546875" style="182" customWidth="1"/>
    <col min="14" max="15" width="2.7109375" style="182" customWidth="1"/>
    <col min="16" max="16" width="2.85546875" style="182" customWidth="1"/>
    <col min="17" max="18" width="2.7109375" style="182" customWidth="1"/>
    <col min="19" max="19" width="3" style="182" customWidth="1"/>
    <col min="20" max="20" width="10" style="181" customWidth="1"/>
    <col min="21" max="26" width="3.7109375" style="182" customWidth="1"/>
    <col min="27" max="27" width="10.85546875" style="182" hidden="1" customWidth="1"/>
    <col min="28" max="28" width="7" style="182" hidden="1" customWidth="1"/>
    <col min="29" max="257" width="3.7109375" style="182"/>
    <col min="258" max="261" width="4.28515625" style="182" customWidth="1"/>
    <col min="262" max="262" width="9.7109375" style="182" customWidth="1"/>
    <col min="263" max="263" width="7.85546875" style="182" customWidth="1"/>
    <col min="264" max="264" width="8.85546875" style="182" customWidth="1"/>
    <col min="265" max="265" width="7.85546875" style="182" customWidth="1"/>
    <col min="266" max="266" width="8.5703125" style="182" customWidth="1"/>
    <col min="267" max="268" width="3.42578125" style="182" customWidth="1"/>
    <col min="269" max="269" width="2.85546875" style="182" customWidth="1"/>
    <col min="270" max="271" width="2.7109375" style="182" customWidth="1"/>
    <col min="272" max="272" width="2.85546875" style="182" customWidth="1"/>
    <col min="273" max="274" width="2.7109375" style="182" customWidth="1"/>
    <col min="275" max="275" width="3" style="182" customWidth="1"/>
    <col min="276" max="276" width="10" style="182" customWidth="1"/>
    <col min="277" max="282" width="3.7109375" style="182"/>
    <col min="283" max="284" width="0" style="182" hidden="1" customWidth="1"/>
    <col min="285" max="513" width="3.7109375" style="182"/>
    <col min="514" max="517" width="4.28515625" style="182" customWidth="1"/>
    <col min="518" max="518" width="9.7109375" style="182" customWidth="1"/>
    <col min="519" max="519" width="7.85546875" style="182" customWidth="1"/>
    <col min="520" max="520" width="8.85546875" style="182" customWidth="1"/>
    <col min="521" max="521" width="7.85546875" style="182" customWidth="1"/>
    <col min="522" max="522" width="8.5703125" style="182" customWidth="1"/>
    <col min="523" max="524" width="3.42578125" style="182" customWidth="1"/>
    <col min="525" max="525" width="2.85546875" style="182" customWidth="1"/>
    <col min="526" max="527" width="2.7109375" style="182" customWidth="1"/>
    <col min="528" max="528" width="2.85546875" style="182" customWidth="1"/>
    <col min="529" max="530" width="2.7109375" style="182" customWidth="1"/>
    <col min="531" max="531" width="3" style="182" customWidth="1"/>
    <col min="532" max="532" width="10" style="182" customWidth="1"/>
    <col min="533" max="538" width="3.7109375" style="182"/>
    <col min="539" max="540" width="0" style="182" hidden="1" customWidth="1"/>
    <col min="541" max="769" width="3.7109375" style="182"/>
    <col min="770" max="773" width="4.28515625" style="182" customWidth="1"/>
    <col min="774" max="774" width="9.7109375" style="182" customWidth="1"/>
    <col min="775" max="775" width="7.85546875" style="182" customWidth="1"/>
    <col min="776" max="776" width="8.85546875" style="182" customWidth="1"/>
    <col min="777" max="777" width="7.85546875" style="182" customWidth="1"/>
    <col min="778" max="778" width="8.5703125" style="182" customWidth="1"/>
    <col min="779" max="780" width="3.42578125" style="182" customWidth="1"/>
    <col min="781" max="781" width="2.85546875" style="182" customWidth="1"/>
    <col min="782" max="783" width="2.7109375" style="182" customWidth="1"/>
    <col min="784" max="784" width="2.85546875" style="182" customWidth="1"/>
    <col min="785" max="786" width="2.7109375" style="182" customWidth="1"/>
    <col min="787" max="787" width="3" style="182" customWidth="1"/>
    <col min="788" max="788" width="10" style="182" customWidth="1"/>
    <col min="789" max="794" width="3.7109375" style="182"/>
    <col min="795" max="796" width="0" style="182" hidden="1" customWidth="1"/>
    <col min="797" max="1025" width="3.7109375" style="182"/>
    <col min="1026" max="1029" width="4.28515625" style="182" customWidth="1"/>
    <col min="1030" max="1030" width="9.7109375" style="182" customWidth="1"/>
    <col min="1031" max="1031" width="7.85546875" style="182" customWidth="1"/>
    <col min="1032" max="1032" width="8.85546875" style="182" customWidth="1"/>
    <col min="1033" max="1033" width="7.85546875" style="182" customWidth="1"/>
    <col min="1034" max="1034" width="8.5703125" style="182" customWidth="1"/>
    <col min="1035" max="1036" width="3.42578125" style="182" customWidth="1"/>
    <col min="1037" max="1037" width="2.85546875" style="182" customWidth="1"/>
    <col min="1038" max="1039" width="2.7109375" style="182" customWidth="1"/>
    <col min="1040" max="1040" width="2.85546875" style="182" customWidth="1"/>
    <col min="1041" max="1042" width="2.7109375" style="182" customWidth="1"/>
    <col min="1043" max="1043" width="3" style="182" customWidth="1"/>
    <col min="1044" max="1044" width="10" style="182" customWidth="1"/>
    <col min="1045" max="1050" width="3.7109375" style="182"/>
    <col min="1051" max="1052" width="0" style="182" hidden="1" customWidth="1"/>
    <col min="1053" max="1281" width="3.7109375" style="182"/>
    <col min="1282" max="1285" width="4.28515625" style="182" customWidth="1"/>
    <col min="1286" max="1286" width="9.7109375" style="182" customWidth="1"/>
    <col min="1287" max="1287" width="7.85546875" style="182" customWidth="1"/>
    <col min="1288" max="1288" width="8.85546875" style="182" customWidth="1"/>
    <col min="1289" max="1289" width="7.85546875" style="182" customWidth="1"/>
    <col min="1290" max="1290" width="8.5703125" style="182" customWidth="1"/>
    <col min="1291" max="1292" width="3.42578125" style="182" customWidth="1"/>
    <col min="1293" max="1293" width="2.85546875" style="182" customWidth="1"/>
    <col min="1294" max="1295" width="2.7109375" style="182" customWidth="1"/>
    <col min="1296" max="1296" width="2.85546875" style="182" customWidth="1"/>
    <col min="1297" max="1298" width="2.7109375" style="182" customWidth="1"/>
    <col min="1299" max="1299" width="3" style="182" customWidth="1"/>
    <col min="1300" max="1300" width="10" style="182" customWidth="1"/>
    <col min="1301" max="1306" width="3.7109375" style="182"/>
    <col min="1307" max="1308" width="0" style="182" hidden="1" customWidth="1"/>
    <col min="1309" max="1537" width="3.7109375" style="182"/>
    <col min="1538" max="1541" width="4.28515625" style="182" customWidth="1"/>
    <col min="1542" max="1542" width="9.7109375" style="182" customWidth="1"/>
    <col min="1543" max="1543" width="7.85546875" style="182" customWidth="1"/>
    <col min="1544" max="1544" width="8.85546875" style="182" customWidth="1"/>
    <col min="1545" max="1545" width="7.85546875" style="182" customWidth="1"/>
    <col min="1546" max="1546" width="8.5703125" style="182" customWidth="1"/>
    <col min="1547" max="1548" width="3.42578125" style="182" customWidth="1"/>
    <col min="1549" max="1549" width="2.85546875" style="182" customWidth="1"/>
    <col min="1550" max="1551" width="2.7109375" style="182" customWidth="1"/>
    <col min="1552" max="1552" width="2.85546875" style="182" customWidth="1"/>
    <col min="1553" max="1554" width="2.7109375" style="182" customWidth="1"/>
    <col min="1555" max="1555" width="3" style="182" customWidth="1"/>
    <col min="1556" max="1556" width="10" style="182" customWidth="1"/>
    <col min="1557" max="1562" width="3.7109375" style="182"/>
    <col min="1563" max="1564" width="0" style="182" hidden="1" customWidth="1"/>
    <col min="1565" max="1793" width="3.7109375" style="182"/>
    <col min="1794" max="1797" width="4.28515625" style="182" customWidth="1"/>
    <col min="1798" max="1798" width="9.7109375" style="182" customWidth="1"/>
    <col min="1799" max="1799" width="7.85546875" style="182" customWidth="1"/>
    <col min="1800" max="1800" width="8.85546875" style="182" customWidth="1"/>
    <col min="1801" max="1801" width="7.85546875" style="182" customWidth="1"/>
    <col min="1802" max="1802" width="8.5703125" style="182" customWidth="1"/>
    <col min="1803" max="1804" width="3.42578125" style="182" customWidth="1"/>
    <col min="1805" max="1805" width="2.85546875" style="182" customWidth="1"/>
    <col min="1806" max="1807" width="2.7109375" style="182" customWidth="1"/>
    <col min="1808" max="1808" width="2.85546875" style="182" customWidth="1"/>
    <col min="1809" max="1810" width="2.7109375" style="182" customWidth="1"/>
    <col min="1811" max="1811" width="3" style="182" customWidth="1"/>
    <col min="1812" max="1812" width="10" style="182" customWidth="1"/>
    <col min="1813" max="1818" width="3.7109375" style="182"/>
    <col min="1819" max="1820" width="0" style="182" hidden="1" customWidth="1"/>
    <col min="1821" max="2049" width="3.7109375" style="182"/>
    <col min="2050" max="2053" width="4.28515625" style="182" customWidth="1"/>
    <col min="2054" max="2054" width="9.7109375" style="182" customWidth="1"/>
    <col min="2055" max="2055" width="7.85546875" style="182" customWidth="1"/>
    <col min="2056" max="2056" width="8.85546875" style="182" customWidth="1"/>
    <col min="2057" max="2057" width="7.85546875" style="182" customWidth="1"/>
    <col min="2058" max="2058" width="8.5703125" style="182" customWidth="1"/>
    <col min="2059" max="2060" width="3.42578125" style="182" customWidth="1"/>
    <col min="2061" max="2061" width="2.85546875" style="182" customWidth="1"/>
    <col min="2062" max="2063" width="2.7109375" style="182" customWidth="1"/>
    <col min="2064" max="2064" width="2.85546875" style="182" customWidth="1"/>
    <col min="2065" max="2066" width="2.7109375" style="182" customWidth="1"/>
    <col min="2067" max="2067" width="3" style="182" customWidth="1"/>
    <col min="2068" max="2068" width="10" style="182" customWidth="1"/>
    <col min="2069" max="2074" width="3.7109375" style="182"/>
    <col min="2075" max="2076" width="0" style="182" hidden="1" customWidth="1"/>
    <col min="2077" max="2305" width="3.7109375" style="182"/>
    <col min="2306" max="2309" width="4.28515625" style="182" customWidth="1"/>
    <col min="2310" max="2310" width="9.7109375" style="182" customWidth="1"/>
    <col min="2311" max="2311" width="7.85546875" style="182" customWidth="1"/>
    <col min="2312" max="2312" width="8.85546875" style="182" customWidth="1"/>
    <col min="2313" max="2313" width="7.85546875" style="182" customWidth="1"/>
    <col min="2314" max="2314" width="8.5703125" style="182" customWidth="1"/>
    <col min="2315" max="2316" width="3.42578125" style="182" customWidth="1"/>
    <col min="2317" max="2317" width="2.85546875" style="182" customWidth="1"/>
    <col min="2318" max="2319" width="2.7109375" style="182" customWidth="1"/>
    <col min="2320" max="2320" width="2.85546875" style="182" customWidth="1"/>
    <col min="2321" max="2322" width="2.7109375" style="182" customWidth="1"/>
    <col min="2323" max="2323" width="3" style="182" customWidth="1"/>
    <col min="2324" max="2324" width="10" style="182" customWidth="1"/>
    <col min="2325" max="2330" width="3.7109375" style="182"/>
    <col min="2331" max="2332" width="0" style="182" hidden="1" customWidth="1"/>
    <col min="2333" max="2561" width="3.7109375" style="182"/>
    <col min="2562" max="2565" width="4.28515625" style="182" customWidth="1"/>
    <col min="2566" max="2566" width="9.7109375" style="182" customWidth="1"/>
    <col min="2567" max="2567" width="7.85546875" style="182" customWidth="1"/>
    <col min="2568" max="2568" width="8.85546875" style="182" customWidth="1"/>
    <col min="2569" max="2569" width="7.85546875" style="182" customWidth="1"/>
    <col min="2570" max="2570" width="8.5703125" style="182" customWidth="1"/>
    <col min="2571" max="2572" width="3.42578125" style="182" customWidth="1"/>
    <col min="2573" max="2573" width="2.85546875" style="182" customWidth="1"/>
    <col min="2574" max="2575" width="2.7109375" style="182" customWidth="1"/>
    <col min="2576" max="2576" width="2.85546875" style="182" customWidth="1"/>
    <col min="2577" max="2578" width="2.7109375" style="182" customWidth="1"/>
    <col min="2579" max="2579" width="3" style="182" customWidth="1"/>
    <col min="2580" max="2580" width="10" style="182" customWidth="1"/>
    <col min="2581" max="2586" width="3.7109375" style="182"/>
    <col min="2587" max="2588" width="0" style="182" hidden="1" customWidth="1"/>
    <col min="2589" max="2817" width="3.7109375" style="182"/>
    <col min="2818" max="2821" width="4.28515625" style="182" customWidth="1"/>
    <col min="2822" max="2822" width="9.7109375" style="182" customWidth="1"/>
    <col min="2823" max="2823" width="7.85546875" style="182" customWidth="1"/>
    <col min="2824" max="2824" width="8.85546875" style="182" customWidth="1"/>
    <col min="2825" max="2825" width="7.85546875" style="182" customWidth="1"/>
    <col min="2826" max="2826" width="8.5703125" style="182" customWidth="1"/>
    <col min="2827" max="2828" width="3.42578125" style="182" customWidth="1"/>
    <col min="2829" max="2829" width="2.85546875" style="182" customWidth="1"/>
    <col min="2830" max="2831" width="2.7109375" style="182" customWidth="1"/>
    <col min="2832" max="2832" width="2.85546875" style="182" customWidth="1"/>
    <col min="2833" max="2834" width="2.7109375" style="182" customWidth="1"/>
    <col min="2835" max="2835" width="3" style="182" customWidth="1"/>
    <col min="2836" max="2836" width="10" style="182" customWidth="1"/>
    <col min="2837" max="2842" width="3.7109375" style="182"/>
    <col min="2843" max="2844" width="0" style="182" hidden="1" customWidth="1"/>
    <col min="2845" max="3073" width="3.7109375" style="182"/>
    <col min="3074" max="3077" width="4.28515625" style="182" customWidth="1"/>
    <col min="3078" max="3078" width="9.7109375" style="182" customWidth="1"/>
    <col min="3079" max="3079" width="7.85546875" style="182" customWidth="1"/>
    <col min="3080" max="3080" width="8.85546875" style="182" customWidth="1"/>
    <col min="3081" max="3081" width="7.85546875" style="182" customWidth="1"/>
    <col min="3082" max="3082" width="8.5703125" style="182" customWidth="1"/>
    <col min="3083" max="3084" width="3.42578125" style="182" customWidth="1"/>
    <col min="3085" max="3085" width="2.85546875" style="182" customWidth="1"/>
    <col min="3086" max="3087" width="2.7109375" style="182" customWidth="1"/>
    <col min="3088" max="3088" width="2.85546875" style="182" customWidth="1"/>
    <col min="3089" max="3090" width="2.7109375" style="182" customWidth="1"/>
    <col min="3091" max="3091" width="3" style="182" customWidth="1"/>
    <col min="3092" max="3092" width="10" style="182" customWidth="1"/>
    <col min="3093" max="3098" width="3.7109375" style="182"/>
    <col min="3099" max="3100" width="0" style="182" hidden="1" customWidth="1"/>
    <col min="3101" max="3329" width="3.7109375" style="182"/>
    <col min="3330" max="3333" width="4.28515625" style="182" customWidth="1"/>
    <col min="3334" max="3334" width="9.7109375" style="182" customWidth="1"/>
    <col min="3335" max="3335" width="7.85546875" style="182" customWidth="1"/>
    <col min="3336" max="3336" width="8.85546875" style="182" customWidth="1"/>
    <col min="3337" max="3337" width="7.85546875" style="182" customWidth="1"/>
    <col min="3338" max="3338" width="8.5703125" style="182" customWidth="1"/>
    <col min="3339" max="3340" width="3.42578125" style="182" customWidth="1"/>
    <col min="3341" max="3341" width="2.85546875" style="182" customWidth="1"/>
    <col min="3342" max="3343" width="2.7109375" style="182" customWidth="1"/>
    <col min="3344" max="3344" width="2.85546875" style="182" customWidth="1"/>
    <col min="3345" max="3346" width="2.7109375" style="182" customWidth="1"/>
    <col min="3347" max="3347" width="3" style="182" customWidth="1"/>
    <col min="3348" max="3348" width="10" style="182" customWidth="1"/>
    <col min="3349" max="3354" width="3.7109375" style="182"/>
    <col min="3355" max="3356" width="0" style="182" hidden="1" customWidth="1"/>
    <col min="3357" max="3585" width="3.7109375" style="182"/>
    <col min="3586" max="3589" width="4.28515625" style="182" customWidth="1"/>
    <col min="3590" max="3590" width="9.7109375" style="182" customWidth="1"/>
    <col min="3591" max="3591" width="7.85546875" style="182" customWidth="1"/>
    <col min="3592" max="3592" width="8.85546875" style="182" customWidth="1"/>
    <col min="3593" max="3593" width="7.85546875" style="182" customWidth="1"/>
    <col min="3594" max="3594" width="8.5703125" style="182" customWidth="1"/>
    <col min="3595" max="3596" width="3.42578125" style="182" customWidth="1"/>
    <col min="3597" max="3597" width="2.85546875" style="182" customWidth="1"/>
    <col min="3598" max="3599" width="2.7109375" style="182" customWidth="1"/>
    <col min="3600" max="3600" width="2.85546875" style="182" customWidth="1"/>
    <col min="3601" max="3602" width="2.7109375" style="182" customWidth="1"/>
    <col min="3603" max="3603" width="3" style="182" customWidth="1"/>
    <col min="3604" max="3604" width="10" style="182" customWidth="1"/>
    <col min="3605" max="3610" width="3.7109375" style="182"/>
    <col min="3611" max="3612" width="0" style="182" hidden="1" customWidth="1"/>
    <col min="3613" max="3841" width="3.7109375" style="182"/>
    <col min="3842" max="3845" width="4.28515625" style="182" customWidth="1"/>
    <col min="3846" max="3846" width="9.7109375" style="182" customWidth="1"/>
    <col min="3847" max="3847" width="7.85546875" style="182" customWidth="1"/>
    <col min="3848" max="3848" width="8.85546875" style="182" customWidth="1"/>
    <col min="3849" max="3849" width="7.85546875" style="182" customWidth="1"/>
    <col min="3850" max="3850" width="8.5703125" style="182" customWidth="1"/>
    <col min="3851" max="3852" width="3.42578125" style="182" customWidth="1"/>
    <col min="3853" max="3853" width="2.85546875" style="182" customWidth="1"/>
    <col min="3854" max="3855" width="2.7109375" style="182" customWidth="1"/>
    <col min="3856" max="3856" width="2.85546875" style="182" customWidth="1"/>
    <col min="3857" max="3858" width="2.7109375" style="182" customWidth="1"/>
    <col min="3859" max="3859" width="3" style="182" customWidth="1"/>
    <col min="3860" max="3860" width="10" style="182" customWidth="1"/>
    <col min="3861" max="3866" width="3.7109375" style="182"/>
    <col min="3867" max="3868" width="0" style="182" hidden="1" customWidth="1"/>
    <col min="3869" max="4097" width="3.7109375" style="182"/>
    <col min="4098" max="4101" width="4.28515625" style="182" customWidth="1"/>
    <col min="4102" max="4102" width="9.7109375" style="182" customWidth="1"/>
    <col min="4103" max="4103" width="7.85546875" style="182" customWidth="1"/>
    <col min="4104" max="4104" width="8.85546875" style="182" customWidth="1"/>
    <col min="4105" max="4105" width="7.85546875" style="182" customWidth="1"/>
    <col min="4106" max="4106" width="8.5703125" style="182" customWidth="1"/>
    <col min="4107" max="4108" width="3.42578125" style="182" customWidth="1"/>
    <col min="4109" max="4109" width="2.85546875" style="182" customWidth="1"/>
    <col min="4110" max="4111" width="2.7109375" style="182" customWidth="1"/>
    <col min="4112" max="4112" width="2.85546875" style="182" customWidth="1"/>
    <col min="4113" max="4114" width="2.7109375" style="182" customWidth="1"/>
    <col min="4115" max="4115" width="3" style="182" customWidth="1"/>
    <col min="4116" max="4116" width="10" style="182" customWidth="1"/>
    <col min="4117" max="4122" width="3.7109375" style="182"/>
    <col min="4123" max="4124" width="0" style="182" hidden="1" customWidth="1"/>
    <col min="4125" max="4353" width="3.7109375" style="182"/>
    <col min="4354" max="4357" width="4.28515625" style="182" customWidth="1"/>
    <col min="4358" max="4358" width="9.7109375" style="182" customWidth="1"/>
    <col min="4359" max="4359" width="7.85546875" style="182" customWidth="1"/>
    <col min="4360" max="4360" width="8.85546875" style="182" customWidth="1"/>
    <col min="4361" max="4361" width="7.85546875" style="182" customWidth="1"/>
    <col min="4362" max="4362" width="8.5703125" style="182" customWidth="1"/>
    <col min="4363" max="4364" width="3.42578125" style="182" customWidth="1"/>
    <col min="4365" max="4365" width="2.85546875" style="182" customWidth="1"/>
    <col min="4366" max="4367" width="2.7109375" style="182" customWidth="1"/>
    <col min="4368" max="4368" width="2.85546875" style="182" customWidth="1"/>
    <col min="4369" max="4370" width="2.7109375" style="182" customWidth="1"/>
    <col min="4371" max="4371" width="3" style="182" customWidth="1"/>
    <col min="4372" max="4372" width="10" style="182" customWidth="1"/>
    <col min="4373" max="4378" width="3.7109375" style="182"/>
    <col min="4379" max="4380" width="0" style="182" hidden="1" customWidth="1"/>
    <col min="4381" max="4609" width="3.7109375" style="182"/>
    <col min="4610" max="4613" width="4.28515625" style="182" customWidth="1"/>
    <col min="4614" max="4614" width="9.7109375" style="182" customWidth="1"/>
    <col min="4615" max="4615" width="7.85546875" style="182" customWidth="1"/>
    <col min="4616" max="4616" width="8.85546875" style="182" customWidth="1"/>
    <col min="4617" max="4617" width="7.85546875" style="182" customWidth="1"/>
    <col min="4618" max="4618" width="8.5703125" style="182" customWidth="1"/>
    <col min="4619" max="4620" width="3.42578125" style="182" customWidth="1"/>
    <col min="4621" max="4621" width="2.85546875" style="182" customWidth="1"/>
    <col min="4622" max="4623" width="2.7109375" style="182" customWidth="1"/>
    <col min="4624" max="4624" width="2.85546875" style="182" customWidth="1"/>
    <col min="4625" max="4626" width="2.7109375" style="182" customWidth="1"/>
    <col min="4627" max="4627" width="3" style="182" customWidth="1"/>
    <col min="4628" max="4628" width="10" style="182" customWidth="1"/>
    <col min="4629" max="4634" width="3.7109375" style="182"/>
    <col min="4635" max="4636" width="0" style="182" hidden="1" customWidth="1"/>
    <col min="4637" max="4865" width="3.7109375" style="182"/>
    <col min="4866" max="4869" width="4.28515625" style="182" customWidth="1"/>
    <col min="4870" max="4870" width="9.7109375" style="182" customWidth="1"/>
    <col min="4871" max="4871" width="7.85546875" style="182" customWidth="1"/>
    <col min="4872" max="4872" width="8.85546875" style="182" customWidth="1"/>
    <col min="4873" max="4873" width="7.85546875" style="182" customWidth="1"/>
    <col min="4874" max="4874" width="8.5703125" style="182" customWidth="1"/>
    <col min="4875" max="4876" width="3.42578125" style="182" customWidth="1"/>
    <col min="4877" max="4877" width="2.85546875" style="182" customWidth="1"/>
    <col min="4878" max="4879" width="2.7109375" style="182" customWidth="1"/>
    <col min="4880" max="4880" width="2.85546875" style="182" customWidth="1"/>
    <col min="4881" max="4882" width="2.7109375" style="182" customWidth="1"/>
    <col min="4883" max="4883" width="3" style="182" customWidth="1"/>
    <col min="4884" max="4884" width="10" style="182" customWidth="1"/>
    <col min="4885" max="4890" width="3.7109375" style="182"/>
    <col min="4891" max="4892" width="0" style="182" hidden="1" customWidth="1"/>
    <col min="4893" max="5121" width="3.7109375" style="182"/>
    <col min="5122" max="5125" width="4.28515625" style="182" customWidth="1"/>
    <col min="5126" max="5126" width="9.7109375" style="182" customWidth="1"/>
    <col min="5127" max="5127" width="7.85546875" style="182" customWidth="1"/>
    <col min="5128" max="5128" width="8.85546875" style="182" customWidth="1"/>
    <col min="5129" max="5129" width="7.85546875" style="182" customWidth="1"/>
    <col min="5130" max="5130" width="8.5703125" style="182" customWidth="1"/>
    <col min="5131" max="5132" width="3.42578125" style="182" customWidth="1"/>
    <col min="5133" max="5133" width="2.85546875" style="182" customWidth="1"/>
    <col min="5134" max="5135" width="2.7109375" style="182" customWidth="1"/>
    <col min="5136" max="5136" width="2.85546875" style="182" customWidth="1"/>
    <col min="5137" max="5138" width="2.7109375" style="182" customWidth="1"/>
    <col min="5139" max="5139" width="3" style="182" customWidth="1"/>
    <col min="5140" max="5140" width="10" style="182" customWidth="1"/>
    <col min="5141" max="5146" width="3.7109375" style="182"/>
    <col min="5147" max="5148" width="0" style="182" hidden="1" customWidth="1"/>
    <col min="5149" max="5377" width="3.7109375" style="182"/>
    <col min="5378" max="5381" width="4.28515625" style="182" customWidth="1"/>
    <col min="5382" max="5382" width="9.7109375" style="182" customWidth="1"/>
    <col min="5383" max="5383" width="7.85546875" style="182" customWidth="1"/>
    <col min="5384" max="5384" width="8.85546875" style="182" customWidth="1"/>
    <col min="5385" max="5385" width="7.85546875" style="182" customWidth="1"/>
    <col min="5386" max="5386" width="8.5703125" style="182" customWidth="1"/>
    <col min="5387" max="5388" width="3.42578125" style="182" customWidth="1"/>
    <col min="5389" max="5389" width="2.85546875" style="182" customWidth="1"/>
    <col min="5390" max="5391" width="2.7109375" style="182" customWidth="1"/>
    <col min="5392" max="5392" width="2.85546875" style="182" customWidth="1"/>
    <col min="5393" max="5394" width="2.7109375" style="182" customWidth="1"/>
    <col min="5395" max="5395" width="3" style="182" customWidth="1"/>
    <col min="5396" max="5396" width="10" style="182" customWidth="1"/>
    <col min="5397" max="5402" width="3.7109375" style="182"/>
    <col min="5403" max="5404" width="0" style="182" hidden="1" customWidth="1"/>
    <col min="5405" max="5633" width="3.7109375" style="182"/>
    <col min="5634" max="5637" width="4.28515625" style="182" customWidth="1"/>
    <col min="5638" max="5638" width="9.7109375" style="182" customWidth="1"/>
    <col min="5639" max="5639" width="7.85546875" style="182" customWidth="1"/>
    <col min="5640" max="5640" width="8.85546875" style="182" customWidth="1"/>
    <col min="5641" max="5641" width="7.85546875" style="182" customWidth="1"/>
    <col min="5642" max="5642" width="8.5703125" style="182" customWidth="1"/>
    <col min="5643" max="5644" width="3.42578125" style="182" customWidth="1"/>
    <col min="5645" max="5645" width="2.85546875" style="182" customWidth="1"/>
    <col min="5646" max="5647" width="2.7109375" style="182" customWidth="1"/>
    <col min="5648" max="5648" width="2.85546875" style="182" customWidth="1"/>
    <col min="5649" max="5650" width="2.7109375" style="182" customWidth="1"/>
    <col min="5651" max="5651" width="3" style="182" customWidth="1"/>
    <col min="5652" max="5652" width="10" style="182" customWidth="1"/>
    <col min="5653" max="5658" width="3.7109375" style="182"/>
    <col min="5659" max="5660" width="0" style="182" hidden="1" customWidth="1"/>
    <col min="5661" max="5889" width="3.7109375" style="182"/>
    <col min="5890" max="5893" width="4.28515625" style="182" customWidth="1"/>
    <col min="5894" max="5894" width="9.7109375" style="182" customWidth="1"/>
    <col min="5895" max="5895" width="7.85546875" style="182" customWidth="1"/>
    <col min="5896" max="5896" width="8.85546875" style="182" customWidth="1"/>
    <col min="5897" max="5897" width="7.85546875" style="182" customWidth="1"/>
    <col min="5898" max="5898" width="8.5703125" style="182" customWidth="1"/>
    <col min="5899" max="5900" width="3.42578125" style="182" customWidth="1"/>
    <col min="5901" max="5901" width="2.85546875" style="182" customWidth="1"/>
    <col min="5902" max="5903" width="2.7109375" style="182" customWidth="1"/>
    <col min="5904" max="5904" width="2.85546875" style="182" customWidth="1"/>
    <col min="5905" max="5906" width="2.7109375" style="182" customWidth="1"/>
    <col min="5907" max="5907" width="3" style="182" customWidth="1"/>
    <col min="5908" max="5908" width="10" style="182" customWidth="1"/>
    <col min="5909" max="5914" width="3.7109375" style="182"/>
    <col min="5915" max="5916" width="0" style="182" hidden="1" customWidth="1"/>
    <col min="5917" max="6145" width="3.7109375" style="182"/>
    <col min="6146" max="6149" width="4.28515625" style="182" customWidth="1"/>
    <col min="6150" max="6150" width="9.7109375" style="182" customWidth="1"/>
    <col min="6151" max="6151" width="7.85546875" style="182" customWidth="1"/>
    <col min="6152" max="6152" width="8.85546875" style="182" customWidth="1"/>
    <col min="6153" max="6153" width="7.85546875" style="182" customWidth="1"/>
    <col min="6154" max="6154" width="8.5703125" style="182" customWidth="1"/>
    <col min="6155" max="6156" width="3.42578125" style="182" customWidth="1"/>
    <col min="6157" max="6157" width="2.85546875" style="182" customWidth="1"/>
    <col min="6158" max="6159" width="2.7109375" style="182" customWidth="1"/>
    <col min="6160" max="6160" width="2.85546875" style="182" customWidth="1"/>
    <col min="6161" max="6162" width="2.7109375" style="182" customWidth="1"/>
    <col min="6163" max="6163" width="3" style="182" customWidth="1"/>
    <col min="6164" max="6164" width="10" style="182" customWidth="1"/>
    <col min="6165" max="6170" width="3.7109375" style="182"/>
    <col min="6171" max="6172" width="0" style="182" hidden="1" customWidth="1"/>
    <col min="6173" max="6401" width="3.7109375" style="182"/>
    <col min="6402" max="6405" width="4.28515625" style="182" customWidth="1"/>
    <col min="6406" max="6406" width="9.7109375" style="182" customWidth="1"/>
    <col min="6407" max="6407" width="7.85546875" style="182" customWidth="1"/>
    <col min="6408" max="6408" width="8.85546875" style="182" customWidth="1"/>
    <col min="6409" max="6409" width="7.85546875" style="182" customWidth="1"/>
    <col min="6410" max="6410" width="8.5703125" style="182" customWidth="1"/>
    <col min="6411" max="6412" width="3.42578125" style="182" customWidth="1"/>
    <col min="6413" max="6413" width="2.85546875" style="182" customWidth="1"/>
    <col min="6414" max="6415" width="2.7109375" style="182" customWidth="1"/>
    <col min="6416" max="6416" width="2.85546875" style="182" customWidth="1"/>
    <col min="6417" max="6418" width="2.7109375" style="182" customWidth="1"/>
    <col min="6419" max="6419" width="3" style="182" customWidth="1"/>
    <col min="6420" max="6420" width="10" style="182" customWidth="1"/>
    <col min="6421" max="6426" width="3.7109375" style="182"/>
    <col min="6427" max="6428" width="0" style="182" hidden="1" customWidth="1"/>
    <col min="6429" max="6657" width="3.7109375" style="182"/>
    <col min="6658" max="6661" width="4.28515625" style="182" customWidth="1"/>
    <col min="6662" max="6662" width="9.7109375" style="182" customWidth="1"/>
    <col min="6663" max="6663" width="7.85546875" style="182" customWidth="1"/>
    <col min="6664" max="6664" width="8.85546875" style="182" customWidth="1"/>
    <col min="6665" max="6665" width="7.85546875" style="182" customWidth="1"/>
    <col min="6666" max="6666" width="8.5703125" style="182" customWidth="1"/>
    <col min="6667" max="6668" width="3.42578125" style="182" customWidth="1"/>
    <col min="6669" max="6669" width="2.85546875" style="182" customWidth="1"/>
    <col min="6670" max="6671" width="2.7109375" style="182" customWidth="1"/>
    <col min="6672" max="6672" width="2.85546875" style="182" customWidth="1"/>
    <col min="6673" max="6674" width="2.7109375" style="182" customWidth="1"/>
    <col min="6675" max="6675" width="3" style="182" customWidth="1"/>
    <col min="6676" max="6676" width="10" style="182" customWidth="1"/>
    <col min="6677" max="6682" width="3.7109375" style="182"/>
    <col min="6683" max="6684" width="0" style="182" hidden="1" customWidth="1"/>
    <col min="6685" max="6913" width="3.7109375" style="182"/>
    <col min="6914" max="6917" width="4.28515625" style="182" customWidth="1"/>
    <col min="6918" max="6918" width="9.7109375" style="182" customWidth="1"/>
    <col min="6919" max="6919" width="7.85546875" style="182" customWidth="1"/>
    <col min="6920" max="6920" width="8.85546875" style="182" customWidth="1"/>
    <col min="6921" max="6921" width="7.85546875" style="182" customWidth="1"/>
    <col min="6922" max="6922" width="8.5703125" style="182" customWidth="1"/>
    <col min="6923" max="6924" width="3.42578125" style="182" customWidth="1"/>
    <col min="6925" max="6925" width="2.85546875" style="182" customWidth="1"/>
    <col min="6926" max="6927" width="2.7109375" style="182" customWidth="1"/>
    <col min="6928" max="6928" width="2.85546875" style="182" customWidth="1"/>
    <col min="6929" max="6930" width="2.7109375" style="182" customWidth="1"/>
    <col min="6931" max="6931" width="3" style="182" customWidth="1"/>
    <col min="6932" max="6932" width="10" style="182" customWidth="1"/>
    <col min="6933" max="6938" width="3.7109375" style="182"/>
    <col min="6939" max="6940" width="0" style="182" hidden="1" customWidth="1"/>
    <col min="6941" max="7169" width="3.7109375" style="182"/>
    <col min="7170" max="7173" width="4.28515625" style="182" customWidth="1"/>
    <col min="7174" max="7174" width="9.7109375" style="182" customWidth="1"/>
    <col min="7175" max="7175" width="7.85546875" style="182" customWidth="1"/>
    <col min="7176" max="7176" width="8.85546875" style="182" customWidth="1"/>
    <col min="7177" max="7177" width="7.85546875" style="182" customWidth="1"/>
    <col min="7178" max="7178" width="8.5703125" style="182" customWidth="1"/>
    <col min="7179" max="7180" width="3.42578125" style="182" customWidth="1"/>
    <col min="7181" max="7181" width="2.85546875" style="182" customWidth="1"/>
    <col min="7182" max="7183" width="2.7109375" style="182" customWidth="1"/>
    <col min="7184" max="7184" width="2.85546875" style="182" customWidth="1"/>
    <col min="7185" max="7186" width="2.7109375" style="182" customWidth="1"/>
    <col min="7187" max="7187" width="3" style="182" customWidth="1"/>
    <col min="7188" max="7188" width="10" style="182" customWidth="1"/>
    <col min="7189" max="7194" width="3.7109375" style="182"/>
    <col min="7195" max="7196" width="0" style="182" hidden="1" customWidth="1"/>
    <col min="7197" max="7425" width="3.7109375" style="182"/>
    <col min="7426" max="7429" width="4.28515625" style="182" customWidth="1"/>
    <col min="7430" max="7430" width="9.7109375" style="182" customWidth="1"/>
    <col min="7431" max="7431" width="7.85546875" style="182" customWidth="1"/>
    <col min="7432" max="7432" width="8.85546875" style="182" customWidth="1"/>
    <col min="7433" max="7433" width="7.85546875" style="182" customWidth="1"/>
    <col min="7434" max="7434" width="8.5703125" style="182" customWidth="1"/>
    <col min="7435" max="7436" width="3.42578125" style="182" customWidth="1"/>
    <col min="7437" max="7437" width="2.85546875" style="182" customWidth="1"/>
    <col min="7438" max="7439" width="2.7109375" style="182" customWidth="1"/>
    <col min="7440" max="7440" width="2.85546875" style="182" customWidth="1"/>
    <col min="7441" max="7442" width="2.7109375" style="182" customWidth="1"/>
    <col min="7443" max="7443" width="3" style="182" customWidth="1"/>
    <col min="7444" max="7444" width="10" style="182" customWidth="1"/>
    <col min="7445" max="7450" width="3.7109375" style="182"/>
    <col min="7451" max="7452" width="0" style="182" hidden="1" customWidth="1"/>
    <col min="7453" max="7681" width="3.7109375" style="182"/>
    <col min="7682" max="7685" width="4.28515625" style="182" customWidth="1"/>
    <col min="7686" max="7686" width="9.7109375" style="182" customWidth="1"/>
    <col min="7687" max="7687" width="7.85546875" style="182" customWidth="1"/>
    <col min="7688" max="7688" width="8.85546875" style="182" customWidth="1"/>
    <col min="7689" max="7689" width="7.85546875" style="182" customWidth="1"/>
    <col min="7690" max="7690" width="8.5703125" style="182" customWidth="1"/>
    <col min="7691" max="7692" width="3.42578125" style="182" customWidth="1"/>
    <col min="7693" max="7693" width="2.85546875" style="182" customWidth="1"/>
    <col min="7694" max="7695" width="2.7109375" style="182" customWidth="1"/>
    <col min="7696" max="7696" width="2.85546875" style="182" customWidth="1"/>
    <col min="7697" max="7698" width="2.7109375" style="182" customWidth="1"/>
    <col min="7699" max="7699" width="3" style="182" customWidth="1"/>
    <col min="7700" max="7700" width="10" style="182" customWidth="1"/>
    <col min="7701" max="7706" width="3.7109375" style="182"/>
    <col min="7707" max="7708" width="0" style="182" hidden="1" customWidth="1"/>
    <col min="7709" max="7937" width="3.7109375" style="182"/>
    <col min="7938" max="7941" width="4.28515625" style="182" customWidth="1"/>
    <col min="7942" max="7942" width="9.7109375" style="182" customWidth="1"/>
    <col min="7943" max="7943" width="7.85546875" style="182" customWidth="1"/>
    <col min="7944" max="7944" width="8.85546875" style="182" customWidth="1"/>
    <col min="7945" max="7945" width="7.85546875" style="182" customWidth="1"/>
    <col min="7946" max="7946" width="8.5703125" style="182" customWidth="1"/>
    <col min="7947" max="7948" width="3.42578125" style="182" customWidth="1"/>
    <col min="7949" max="7949" width="2.85546875" style="182" customWidth="1"/>
    <col min="7950" max="7951" width="2.7109375" style="182" customWidth="1"/>
    <col min="7952" max="7952" width="2.85546875" style="182" customWidth="1"/>
    <col min="7953" max="7954" width="2.7109375" style="182" customWidth="1"/>
    <col min="7955" max="7955" width="3" style="182" customWidth="1"/>
    <col min="7956" max="7956" width="10" style="182" customWidth="1"/>
    <col min="7957" max="7962" width="3.7109375" style="182"/>
    <col min="7963" max="7964" width="0" style="182" hidden="1" customWidth="1"/>
    <col min="7965" max="8193" width="3.7109375" style="182"/>
    <col min="8194" max="8197" width="4.28515625" style="182" customWidth="1"/>
    <col min="8198" max="8198" width="9.7109375" style="182" customWidth="1"/>
    <col min="8199" max="8199" width="7.85546875" style="182" customWidth="1"/>
    <col min="8200" max="8200" width="8.85546875" style="182" customWidth="1"/>
    <col min="8201" max="8201" width="7.85546875" style="182" customWidth="1"/>
    <col min="8202" max="8202" width="8.5703125" style="182" customWidth="1"/>
    <col min="8203" max="8204" width="3.42578125" style="182" customWidth="1"/>
    <col min="8205" max="8205" width="2.85546875" style="182" customWidth="1"/>
    <col min="8206" max="8207" width="2.7109375" style="182" customWidth="1"/>
    <col min="8208" max="8208" width="2.85546875" style="182" customWidth="1"/>
    <col min="8209" max="8210" width="2.7109375" style="182" customWidth="1"/>
    <col min="8211" max="8211" width="3" style="182" customWidth="1"/>
    <col min="8212" max="8212" width="10" style="182" customWidth="1"/>
    <col min="8213" max="8218" width="3.7109375" style="182"/>
    <col min="8219" max="8220" width="0" style="182" hidden="1" customWidth="1"/>
    <col min="8221" max="8449" width="3.7109375" style="182"/>
    <col min="8450" max="8453" width="4.28515625" style="182" customWidth="1"/>
    <col min="8454" max="8454" width="9.7109375" style="182" customWidth="1"/>
    <col min="8455" max="8455" width="7.85546875" style="182" customWidth="1"/>
    <col min="8456" max="8456" width="8.85546875" style="182" customWidth="1"/>
    <col min="8457" max="8457" width="7.85546875" style="182" customWidth="1"/>
    <col min="8458" max="8458" width="8.5703125" style="182" customWidth="1"/>
    <col min="8459" max="8460" width="3.42578125" style="182" customWidth="1"/>
    <col min="8461" max="8461" width="2.85546875" style="182" customWidth="1"/>
    <col min="8462" max="8463" width="2.7109375" style="182" customWidth="1"/>
    <col min="8464" max="8464" width="2.85546875" style="182" customWidth="1"/>
    <col min="8465" max="8466" width="2.7109375" style="182" customWidth="1"/>
    <col min="8467" max="8467" width="3" style="182" customWidth="1"/>
    <col min="8468" max="8468" width="10" style="182" customWidth="1"/>
    <col min="8469" max="8474" width="3.7109375" style="182"/>
    <col min="8475" max="8476" width="0" style="182" hidden="1" customWidth="1"/>
    <col min="8477" max="8705" width="3.7109375" style="182"/>
    <col min="8706" max="8709" width="4.28515625" style="182" customWidth="1"/>
    <col min="8710" max="8710" width="9.7109375" style="182" customWidth="1"/>
    <col min="8711" max="8711" width="7.85546875" style="182" customWidth="1"/>
    <col min="8712" max="8712" width="8.85546875" style="182" customWidth="1"/>
    <col min="8713" max="8713" width="7.85546875" style="182" customWidth="1"/>
    <col min="8714" max="8714" width="8.5703125" style="182" customWidth="1"/>
    <col min="8715" max="8716" width="3.42578125" style="182" customWidth="1"/>
    <col min="8717" max="8717" width="2.85546875" style="182" customWidth="1"/>
    <col min="8718" max="8719" width="2.7109375" style="182" customWidth="1"/>
    <col min="8720" max="8720" width="2.85546875" style="182" customWidth="1"/>
    <col min="8721" max="8722" width="2.7109375" style="182" customWidth="1"/>
    <col min="8723" max="8723" width="3" style="182" customWidth="1"/>
    <col min="8724" max="8724" width="10" style="182" customWidth="1"/>
    <col min="8725" max="8730" width="3.7109375" style="182"/>
    <col min="8731" max="8732" width="0" style="182" hidden="1" customWidth="1"/>
    <col min="8733" max="8961" width="3.7109375" style="182"/>
    <col min="8962" max="8965" width="4.28515625" style="182" customWidth="1"/>
    <col min="8966" max="8966" width="9.7109375" style="182" customWidth="1"/>
    <col min="8967" max="8967" width="7.85546875" style="182" customWidth="1"/>
    <col min="8968" max="8968" width="8.85546875" style="182" customWidth="1"/>
    <col min="8969" max="8969" width="7.85546875" style="182" customWidth="1"/>
    <col min="8970" max="8970" width="8.5703125" style="182" customWidth="1"/>
    <col min="8971" max="8972" width="3.42578125" style="182" customWidth="1"/>
    <col min="8973" max="8973" width="2.85546875" style="182" customWidth="1"/>
    <col min="8974" max="8975" width="2.7109375" style="182" customWidth="1"/>
    <col min="8976" max="8976" width="2.85546875" style="182" customWidth="1"/>
    <col min="8977" max="8978" width="2.7109375" style="182" customWidth="1"/>
    <col min="8979" max="8979" width="3" style="182" customWidth="1"/>
    <col min="8980" max="8980" width="10" style="182" customWidth="1"/>
    <col min="8981" max="8986" width="3.7109375" style="182"/>
    <col min="8987" max="8988" width="0" style="182" hidden="1" customWidth="1"/>
    <col min="8989" max="9217" width="3.7109375" style="182"/>
    <col min="9218" max="9221" width="4.28515625" style="182" customWidth="1"/>
    <col min="9222" max="9222" width="9.7109375" style="182" customWidth="1"/>
    <col min="9223" max="9223" width="7.85546875" style="182" customWidth="1"/>
    <col min="9224" max="9224" width="8.85546875" style="182" customWidth="1"/>
    <col min="9225" max="9225" width="7.85546875" style="182" customWidth="1"/>
    <col min="9226" max="9226" width="8.5703125" style="182" customWidth="1"/>
    <col min="9227" max="9228" width="3.42578125" style="182" customWidth="1"/>
    <col min="9229" max="9229" width="2.85546875" style="182" customWidth="1"/>
    <col min="9230" max="9231" width="2.7109375" style="182" customWidth="1"/>
    <col min="9232" max="9232" width="2.85546875" style="182" customWidth="1"/>
    <col min="9233" max="9234" width="2.7109375" style="182" customWidth="1"/>
    <col min="9235" max="9235" width="3" style="182" customWidth="1"/>
    <col min="9236" max="9236" width="10" style="182" customWidth="1"/>
    <col min="9237" max="9242" width="3.7109375" style="182"/>
    <col min="9243" max="9244" width="0" style="182" hidden="1" customWidth="1"/>
    <col min="9245" max="9473" width="3.7109375" style="182"/>
    <col min="9474" max="9477" width="4.28515625" style="182" customWidth="1"/>
    <col min="9478" max="9478" width="9.7109375" style="182" customWidth="1"/>
    <col min="9479" max="9479" width="7.85546875" style="182" customWidth="1"/>
    <col min="9480" max="9480" width="8.85546875" style="182" customWidth="1"/>
    <col min="9481" max="9481" width="7.85546875" style="182" customWidth="1"/>
    <col min="9482" max="9482" width="8.5703125" style="182" customWidth="1"/>
    <col min="9483" max="9484" width="3.42578125" style="182" customWidth="1"/>
    <col min="9485" max="9485" width="2.85546875" style="182" customWidth="1"/>
    <col min="9486" max="9487" width="2.7109375" style="182" customWidth="1"/>
    <col min="9488" max="9488" width="2.85546875" style="182" customWidth="1"/>
    <col min="9489" max="9490" width="2.7109375" style="182" customWidth="1"/>
    <col min="9491" max="9491" width="3" style="182" customWidth="1"/>
    <col min="9492" max="9492" width="10" style="182" customWidth="1"/>
    <col min="9493" max="9498" width="3.7109375" style="182"/>
    <col min="9499" max="9500" width="0" style="182" hidden="1" customWidth="1"/>
    <col min="9501" max="9729" width="3.7109375" style="182"/>
    <col min="9730" max="9733" width="4.28515625" style="182" customWidth="1"/>
    <col min="9734" max="9734" width="9.7109375" style="182" customWidth="1"/>
    <col min="9735" max="9735" width="7.85546875" style="182" customWidth="1"/>
    <col min="9736" max="9736" width="8.85546875" style="182" customWidth="1"/>
    <col min="9737" max="9737" width="7.85546875" style="182" customWidth="1"/>
    <col min="9738" max="9738" width="8.5703125" style="182" customWidth="1"/>
    <col min="9739" max="9740" width="3.42578125" style="182" customWidth="1"/>
    <col min="9741" max="9741" width="2.85546875" style="182" customWidth="1"/>
    <col min="9742" max="9743" width="2.7109375" style="182" customWidth="1"/>
    <col min="9744" max="9744" width="2.85546875" style="182" customWidth="1"/>
    <col min="9745" max="9746" width="2.7109375" style="182" customWidth="1"/>
    <col min="9747" max="9747" width="3" style="182" customWidth="1"/>
    <col min="9748" max="9748" width="10" style="182" customWidth="1"/>
    <col min="9749" max="9754" width="3.7109375" style="182"/>
    <col min="9755" max="9756" width="0" style="182" hidden="1" customWidth="1"/>
    <col min="9757" max="9985" width="3.7109375" style="182"/>
    <col min="9986" max="9989" width="4.28515625" style="182" customWidth="1"/>
    <col min="9990" max="9990" width="9.7109375" style="182" customWidth="1"/>
    <col min="9991" max="9991" width="7.85546875" style="182" customWidth="1"/>
    <col min="9992" max="9992" width="8.85546875" style="182" customWidth="1"/>
    <col min="9993" max="9993" width="7.85546875" style="182" customWidth="1"/>
    <col min="9994" max="9994" width="8.5703125" style="182" customWidth="1"/>
    <col min="9995" max="9996" width="3.42578125" style="182" customWidth="1"/>
    <col min="9997" max="9997" width="2.85546875" style="182" customWidth="1"/>
    <col min="9998" max="9999" width="2.7109375" style="182" customWidth="1"/>
    <col min="10000" max="10000" width="2.85546875" style="182" customWidth="1"/>
    <col min="10001" max="10002" width="2.7109375" style="182" customWidth="1"/>
    <col min="10003" max="10003" width="3" style="182" customWidth="1"/>
    <col min="10004" max="10004" width="10" style="182" customWidth="1"/>
    <col min="10005" max="10010" width="3.7109375" style="182"/>
    <col min="10011" max="10012" width="0" style="182" hidden="1" customWidth="1"/>
    <col min="10013" max="10241" width="3.7109375" style="182"/>
    <col min="10242" max="10245" width="4.28515625" style="182" customWidth="1"/>
    <col min="10246" max="10246" width="9.7109375" style="182" customWidth="1"/>
    <col min="10247" max="10247" width="7.85546875" style="182" customWidth="1"/>
    <col min="10248" max="10248" width="8.85546875" style="182" customWidth="1"/>
    <col min="10249" max="10249" width="7.85546875" style="182" customWidth="1"/>
    <col min="10250" max="10250" width="8.5703125" style="182" customWidth="1"/>
    <col min="10251" max="10252" width="3.42578125" style="182" customWidth="1"/>
    <col min="10253" max="10253" width="2.85546875" style="182" customWidth="1"/>
    <col min="10254" max="10255" width="2.7109375" style="182" customWidth="1"/>
    <col min="10256" max="10256" width="2.85546875" style="182" customWidth="1"/>
    <col min="10257" max="10258" width="2.7109375" style="182" customWidth="1"/>
    <col min="10259" max="10259" width="3" style="182" customWidth="1"/>
    <col min="10260" max="10260" width="10" style="182" customWidth="1"/>
    <col min="10261" max="10266" width="3.7109375" style="182"/>
    <col min="10267" max="10268" width="0" style="182" hidden="1" customWidth="1"/>
    <col min="10269" max="10497" width="3.7109375" style="182"/>
    <col min="10498" max="10501" width="4.28515625" style="182" customWidth="1"/>
    <col min="10502" max="10502" width="9.7109375" style="182" customWidth="1"/>
    <col min="10503" max="10503" width="7.85546875" style="182" customWidth="1"/>
    <col min="10504" max="10504" width="8.85546875" style="182" customWidth="1"/>
    <col min="10505" max="10505" width="7.85546875" style="182" customWidth="1"/>
    <col min="10506" max="10506" width="8.5703125" style="182" customWidth="1"/>
    <col min="10507" max="10508" width="3.42578125" style="182" customWidth="1"/>
    <col min="10509" max="10509" width="2.85546875" style="182" customWidth="1"/>
    <col min="10510" max="10511" width="2.7109375" style="182" customWidth="1"/>
    <col min="10512" max="10512" width="2.85546875" style="182" customWidth="1"/>
    <col min="10513" max="10514" width="2.7109375" style="182" customWidth="1"/>
    <col min="10515" max="10515" width="3" style="182" customWidth="1"/>
    <col min="10516" max="10516" width="10" style="182" customWidth="1"/>
    <col min="10517" max="10522" width="3.7109375" style="182"/>
    <col min="10523" max="10524" width="0" style="182" hidden="1" customWidth="1"/>
    <col min="10525" max="10753" width="3.7109375" style="182"/>
    <col min="10754" max="10757" width="4.28515625" style="182" customWidth="1"/>
    <col min="10758" max="10758" width="9.7109375" style="182" customWidth="1"/>
    <col min="10759" max="10759" width="7.85546875" style="182" customWidth="1"/>
    <col min="10760" max="10760" width="8.85546875" style="182" customWidth="1"/>
    <col min="10761" max="10761" width="7.85546875" style="182" customWidth="1"/>
    <col min="10762" max="10762" width="8.5703125" style="182" customWidth="1"/>
    <col min="10763" max="10764" width="3.42578125" style="182" customWidth="1"/>
    <col min="10765" max="10765" width="2.85546875" style="182" customWidth="1"/>
    <col min="10766" max="10767" width="2.7109375" style="182" customWidth="1"/>
    <col min="10768" max="10768" width="2.85546875" style="182" customWidth="1"/>
    <col min="10769" max="10770" width="2.7109375" style="182" customWidth="1"/>
    <col min="10771" max="10771" width="3" style="182" customWidth="1"/>
    <col min="10772" max="10772" width="10" style="182" customWidth="1"/>
    <col min="10773" max="10778" width="3.7109375" style="182"/>
    <col min="10779" max="10780" width="0" style="182" hidden="1" customWidth="1"/>
    <col min="10781" max="11009" width="3.7109375" style="182"/>
    <col min="11010" max="11013" width="4.28515625" style="182" customWidth="1"/>
    <col min="11014" max="11014" width="9.7109375" style="182" customWidth="1"/>
    <col min="11015" max="11015" width="7.85546875" style="182" customWidth="1"/>
    <col min="11016" max="11016" width="8.85546875" style="182" customWidth="1"/>
    <col min="11017" max="11017" width="7.85546875" style="182" customWidth="1"/>
    <col min="11018" max="11018" width="8.5703125" style="182" customWidth="1"/>
    <col min="11019" max="11020" width="3.42578125" style="182" customWidth="1"/>
    <col min="11021" max="11021" width="2.85546875" style="182" customWidth="1"/>
    <col min="11022" max="11023" width="2.7109375" style="182" customWidth="1"/>
    <col min="11024" max="11024" width="2.85546875" style="182" customWidth="1"/>
    <col min="11025" max="11026" width="2.7109375" style="182" customWidth="1"/>
    <col min="11027" max="11027" width="3" style="182" customWidth="1"/>
    <col min="11028" max="11028" width="10" style="182" customWidth="1"/>
    <col min="11029" max="11034" width="3.7109375" style="182"/>
    <col min="11035" max="11036" width="0" style="182" hidden="1" customWidth="1"/>
    <col min="11037" max="11265" width="3.7109375" style="182"/>
    <col min="11266" max="11269" width="4.28515625" style="182" customWidth="1"/>
    <col min="11270" max="11270" width="9.7109375" style="182" customWidth="1"/>
    <col min="11271" max="11271" width="7.85546875" style="182" customWidth="1"/>
    <col min="11272" max="11272" width="8.85546875" style="182" customWidth="1"/>
    <col min="11273" max="11273" width="7.85546875" style="182" customWidth="1"/>
    <col min="11274" max="11274" width="8.5703125" style="182" customWidth="1"/>
    <col min="11275" max="11276" width="3.42578125" style="182" customWidth="1"/>
    <col min="11277" max="11277" width="2.85546875" style="182" customWidth="1"/>
    <col min="11278" max="11279" width="2.7109375" style="182" customWidth="1"/>
    <col min="11280" max="11280" width="2.85546875" style="182" customWidth="1"/>
    <col min="11281" max="11282" width="2.7109375" style="182" customWidth="1"/>
    <col min="11283" max="11283" width="3" style="182" customWidth="1"/>
    <col min="11284" max="11284" width="10" style="182" customWidth="1"/>
    <col min="11285" max="11290" width="3.7109375" style="182"/>
    <col min="11291" max="11292" width="0" style="182" hidden="1" customWidth="1"/>
    <col min="11293" max="11521" width="3.7109375" style="182"/>
    <col min="11522" max="11525" width="4.28515625" style="182" customWidth="1"/>
    <col min="11526" max="11526" width="9.7109375" style="182" customWidth="1"/>
    <col min="11527" max="11527" width="7.85546875" style="182" customWidth="1"/>
    <col min="11528" max="11528" width="8.85546875" style="182" customWidth="1"/>
    <col min="11529" max="11529" width="7.85546875" style="182" customWidth="1"/>
    <col min="11530" max="11530" width="8.5703125" style="182" customWidth="1"/>
    <col min="11531" max="11532" width="3.42578125" style="182" customWidth="1"/>
    <col min="11533" max="11533" width="2.85546875" style="182" customWidth="1"/>
    <col min="11534" max="11535" width="2.7109375" style="182" customWidth="1"/>
    <col min="11536" max="11536" width="2.85546875" style="182" customWidth="1"/>
    <col min="11537" max="11538" width="2.7109375" style="182" customWidth="1"/>
    <col min="11539" max="11539" width="3" style="182" customWidth="1"/>
    <col min="11540" max="11540" width="10" style="182" customWidth="1"/>
    <col min="11541" max="11546" width="3.7109375" style="182"/>
    <col min="11547" max="11548" width="0" style="182" hidden="1" customWidth="1"/>
    <col min="11549" max="11777" width="3.7109375" style="182"/>
    <col min="11778" max="11781" width="4.28515625" style="182" customWidth="1"/>
    <col min="11782" max="11782" width="9.7109375" style="182" customWidth="1"/>
    <col min="11783" max="11783" width="7.85546875" style="182" customWidth="1"/>
    <col min="11784" max="11784" width="8.85546875" style="182" customWidth="1"/>
    <col min="11785" max="11785" width="7.85546875" style="182" customWidth="1"/>
    <col min="11786" max="11786" width="8.5703125" style="182" customWidth="1"/>
    <col min="11787" max="11788" width="3.42578125" style="182" customWidth="1"/>
    <col min="11789" max="11789" width="2.85546875" style="182" customWidth="1"/>
    <col min="11790" max="11791" width="2.7109375" style="182" customWidth="1"/>
    <col min="11792" max="11792" width="2.85546875" style="182" customWidth="1"/>
    <col min="11793" max="11794" width="2.7109375" style="182" customWidth="1"/>
    <col min="11795" max="11795" width="3" style="182" customWidth="1"/>
    <col min="11796" max="11796" width="10" style="182" customWidth="1"/>
    <col min="11797" max="11802" width="3.7109375" style="182"/>
    <col min="11803" max="11804" width="0" style="182" hidden="1" customWidth="1"/>
    <col min="11805" max="12033" width="3.7109375" style="182"/>
    <col min="12034" max="12037" width="4.28515625" style="182" customWidth="1"/>
    <col min="12038" max="12038" width="9.7109375" style="182" customWidth="1"/>
    <col min="12039" max="12039" width="7.85546875" style="182" customWidth="1"/>
    <col min="12040" max="12040" width="8.85546875" style="182" customWidth="1"/>
    <col min="12041" max="12041" width="7.85546875" style="182" customWidth="1"/>
    <col min="12042" max="12042" width="8.5703125" style="182" customWidth="1"/>
    <col min="12043" max="12044" width="3.42578125" style="182" customWidth="1"/>
    <col min="12045" max="12045" width="2.85546875" style="182" customWidth="1"/>
    <col min="12046" max="12047" width="2.7109375" style="182" customWidth="1"/>
    <col min="12048" max="12048" width="2.85546875" style="182" customWidth="1"/>
    <col min="12049" max="12050" width="2.7109375" style="182" customWidth="1"/>
    <col min="12051" max="12051" width="3" style="182" customWidth="1"/>
    <col min="12052" max="12052" width="10" style="182" customWidth="1"/>
    <col min="12053" max="12058" width="3.7109375" style="182"/>
    <col min="12059" max="12060" width="0" style="182" hidden="1" customWidth="1"/>
    <col min="12061" max="12289" width="3.7109375" style="182"/>
    <col min="12290" max="12293" width="4.28515625" style="182" customWidth="1"/>
    <col min="12294" max="12294" width="9.7109375" style="182" customWidth="1"/>
    <col min="12295" max="12295" width="7.85546875" style="182" customWidth="1"/>
    <col min="12296" max="12296" width="8.85546875" style="182" customWidth="1"/>
    <col min="12297" max="12297" width="7.85546875" style="182" customWidth="1"/>
    <col min="12298" max="12298" width="8.5703125" style="182" customWidth="1"/>
    <col min="12299" max="12300" width="3.42578125" style="182" customWidth="1"/>
    <col min="12301" max="12301" width="2.85546875" style="182" customWidth="1"/>
    <col min="12302" max="12303" width="2.7109375" style="182" customWidth="1"/>
    <col min="12304" max="12304" width="2.85546875" style="182" customWidth="1"/>
    <col min="12305" max="12306" width="2.7109375" style="182" customWidth="1"/>
    <col min="12307" max="12307" width="3" style="182" customWidth="1"/>
    <col min="12308" max="12308" width="10" style="182" customWidth="1"/>
    <col min="12309" max="12314" width="3.7109375" style="182"/>
    <col min="12315" max="12316" width="0" style="182" hidden="1" customWidth="1"/>
    <col min="12317" max="12545" width="3.7109375" style="182"/>
    <col min="12546" max="12549" width="4.28515625" style="182" customWidth="1"/>
    <col min="12550" max="12550" width="9.7109375" style="182" customWidth="1"/>
    <col min="12551" max="12551" width="7.85546875" style="182" customWidth="1"/>
    <col min="12552" max="12552" width="8.85546875" style="182" customWidth="1"/>
    <col min="12553" max="12553" width="7.85546875" style="182" customWidth="1"/>
    <col min="12554" max="12554" width="8.5703125" style="182" customWidth="1"/>
    <col min="12555" max="12556" width="3.42578125" style="182" customWidth="1"/>
    <col min="12557" max="12557" width="2.85546875" style="182" customWidth="1"/>
    <col min="12558" max="12559" width="2.7109375" style="182" customWidth="1"/>
    <col min="12560" max="12560" width="2.85546875" style="182" customWidth="1"/>
    <col min="12561" max="12562" width="2.7109375" style="182" customWidth="1"/>
    <col min="12563" max="12563" width="3" style="182" customWidth="1"/>
    <col min="12564" max="12564" width="10" style="182" customWidth="1"/>
    <col min="12565" max="12570" width="3.7109375" style="182"/>
    <col min="12571" max="12572" width="0" style="182" hidden="1" customWidth="1"/>
    <col min="12573" max="12801" width="3.7109375" style="182"/>
    <col min="12802" max="12805" width="4.28515625" style="182" customWidth="1"/>
    <col min="12806" max="12806" width="9.7109375" style="182" customWidth="1"/>
    <col min="12807" max="12807" width="7.85546875" style="182" customWidth="1"/>
    <col min="12808" max="12808" width="8.85546875" style="182" customWidth="1"/>
    <col min="12809" max="12809" width="7.85546875" style="182" customWidth="1"/>
    <col min="12810" max="12810" width="8.5703125" style="182" customWidth="1"/>
    <col min="12811" max="12812" width="3.42578125" style="182" customWidth="1"/>
    <col min="12813" max="12813" width="2.85546875" style="182" customWidth="1"/>
    <col min="12814" max="12815" width="2.7109375" style="182" customWidth="1"/>
    <col min="12816" max="12816" width="2.85546875" style="182" customWidth="1"/>
    <col min="12817" max="12818" width="2.7109375" style="182" customWidth="1"/>
    <col min="12819" max="12819" width="3" style="182" customWidth="1"/>
    <col min="12820" max="12820" width="10" style="182" customWidth="1"/>
    <col min="12821" max="12826" width="3.7109375" style="182"/>
    <col min="12827" max="12828" width="0" style="182" hidden="1" customWidth="1"/>
    <col min="12829" max="13057" width="3.7109375" style="182"/>
    <col min="13058" max="13061" width="4.28515625" style="182" customWidth="1"/>
    <col min="13062" max="13062" width="9.7109375" style="182" customWidth="1"/>
    <col min="13063" max="13063" width="7.85546875" style="182" customWidth="1"/>
    <col min="13064" max="13064" width="8.85546875" style="182" customWidth="1"/>
    <col min="13065" max="13065" width="7.85546875" style="182" customWidth="1"/>
    <col min="13066" max="13066" width="8.5703125" style="182" customWidth="1"/>
    <col min="13067" max="13068" width="3.42578125" style="182" customWidth="1"/>
    <col min="13069" max="13069" width="2.85546875" style="182" customWidth="1"/>
    <col min="13070" max="13071" width="2.7109375" style="182" customWidth="1"/>
    <col min="13072" max="13072" width="2.85546875" style="182" customWidth="1"/>
    <col min="13073" max="13074" width="2.7109375" style="182" customWidth="1"/>
    <col min="13075" max="13075" width="3" style="182" customWidth="1"/>
    <col min="13076" max="13076" width="10" style="182" customWidth="1"/>
    <col min="13077" max="13082" width="3.7109375" style="182"/>
    <col min="13083" max="13084" width="0" style="182" hidden="1" customWidth="1"/>
    <col min="13085" max="13313" width="3.7109375" style="182"/>
    <col min="13314" max="13317" width="4.28515625" style="182" customWidth="1"/>
    <col min="13318" max="13318" width="9.7109375" style="182" customWidth="1"/>
    <col min="13319" max="13319" width="7.85546875" style="182" customWidth="1"/>
    <col min="13320" max="13320" width="8.85546875" style="182" customWidth="1"/>
    <col min="13321" max="13321" width="7.85546875" style="182" customWidth="1"/>
    <col min="13322" max="13322" width="8.5703125" style="182" customWidth="1"/>
    <col min="13323" max="13324" width="3.42578125" style="182" customWidth="1"/>
    <col min="13325" max="13325" width="2.85546875" style="182" customWidth="1"/>
    <col min="13326" max="13327" width="2.7109375" style="182" customWidth="1"/>
    <col min="13328" max="13328" width="2.85546875" style="182" customWidth="1"/>
    <col min="13329" max="13330" width="2.7109375" style="182" customWidth="1"/>
    <col min="13331" max="13331" width="3" style="182" customWidth="1"/>
    <col min="13332" max="13332" width="10" style="182" customWidth="1"/>
    <col min="13333" max="13338" width="3.7109375" style="182"/>
    <col min="13339" max="13340" width="0" style="182" hidden="1" customWidth="1"/>
    <col min="13341" max="13569" width="3.7109375" style="182"/>
    <col min="13570" max="13573" width="4.28515625" style="182" customWidth="1"/>
    <col min="13574" max="13574" width="9.7109375" style="182" customWidth="1"/>
    <col min="13575" max="13575" width="7.85546875" style="182" customWidth="1"/>
    <col min="13576" max="13576" width="8.85546875" style="182" customWidth="1"/>
    <col min="13577" max="13577" width="7.85546875" style="182" customWidth="1"/>
    <col min="13578" max="13578" width="8.5703125" style="182" customWidth="1"/>
    <col min="13579" max="13580" width="3.42578125" style="182" customWidth="1"/>
    <col min="13581" max="13581" width="2.85546875" style="182" customWidth="1"/>
    <col min="13582" max="13583" width="2.7109375" style="182" customWidth="1"/>
    <col min="13584" max="13584" width="2.85546875" style="182" customWidth="1"/>
    <col min="13585" max="13586" width="2.7109375" style="182" customWidth="1"/>
    <col min="13587" max="13587" width="3" style="182" customWidth="1"/>
    <col min="13588" max="13588" width="10" style="182" customWidth="1"/>
    <col min="13589" max="13594" width="3.7109375" style="182"/>
    <col min="13595" max="13596" width="0" style="182" hidden="1" customWidth="1"/>
    <col min="13597" max="13825" width="3.7109375" style="182"/>
    <col min="13826" max="13829" width="4.28515625" style="182" customWidth="1"/>
    <col min="13830" max="13830" width="9.7109375" style="182" customWidth="1"/>
    <col min="13831" max="13831" width="7.85546875" style="182" customWidth="1"/>
    <col min="13832" max="13832" width="8.85546875" style="182" customWidth="1"/>
    <col min="13833" max="13833" width="7.85546875" style="182" customWidth="1"/>
    <col min="13834" max="13834" width="8.5703125" style="182" customWidth="1"/>
    <col min="13835" max="13836" width="3.42578125" style="182" customWidth="1"/>
    <col min="13837" max="13837" width="2.85546875" style="182" customWidth="1"/>
    <col min="13838" max="13839" width="2.7109375" style="182" customWidth="1"/>
    <col min="13840" max="13840" width="2.85546875" style="182" customWidth="1"/>
    <col min="13841" max="13842" width="2.7109375" style="182" customWidth="1"/>
    <col min="13843" max="13843" width="3" style="182" customWidth="1"/>
    <col min="13844" max="13844" width="10" style="182" customWidth="1"/>
    <col min="13845" max="13850" width="3.7109375" style="182"/>
    <col min="13851" max="13852" width="0" style="182" hidden="1" customWidth="1"/>
    <col min="13853" max="14081" width="3.7109375" style="182"/>
    <col min="14082" max="14085" width="4.28515625" style="182" customWidth="1"/>
    <col min="14086" max="14086" width="9.7109375" style="182" customWidth="1"/>
    <col min="14087" max="14087" width="7.85546875" style="182" customWidth="1"/>
    <col min="14088" max="14088" width="8.85546875" style="182" customWidth="1"/>
    <col min="14089" max="14089" width="7.85546875" style="182" customWidth="1"/>
    <col min="14090" max="14090" width="8.5703125" style="182" customWidth="1"/>
    <col min="14091" max="14092" width="3.42578125" style="182" customWidth="1"/>
    <col min="14093" max="14093" width="2.85546875" style="182" customWidth="1"/>
    <col min="14094" max="14095" width="2.7109375" style="182" customWidth="1"/>
    <col min="14096" max="14096" width="2.85546875" style="182" customWidth="1"/>
    <col min="14097" max="14098" width="2.7109375" style="182" customWidth="1"/>
    <col min="14099" max="14099" width="3" style="182" customWidth="1"/>
    <col min="14100" max="14100" width="10" style="182" customWidth="1"/>
    <col min="14101" max="14106" width="3.7109375" style="182"/>
    <col min="14107" max="14108" width="0" style="182" hidden="1" customWidth="1"/>
    <col min="14109" max="14337" width="3.7109375" style="182"/>
    <col min="14338" max="14341" width="4.28515625" style="182" customWidth="1"/>
    <col min="14342" max="14342" width="9.7109375" style="182" customWidth="1"/>
    <col min="14343" max="14343" width="7.85546875" style="182" customWidth="1"/>
    <col min="14344" max="14344" width="8.85546875" style="182" customWidth="1"/>
    <col min="14345" max="14345" width="7.85546875" style="182" customWidth="1"/>
    <col min="14346" max="14346" width="8.5703125" style="182" customWidth="1"/>
    <col min="14347" max="14348" width="3.42578125" style="182" customWidth="1"/>
    <col min="14349" max="14349" width="2.85546875" style="182" customWidth="1"/>
    <col min="14350" max="14351" width="2.7109375" style="182" customWidth="1"/>
    <col min="14352" max="14352" width="2.85546875" style="182" customWidth="1"/>
    <col min="14353" max="14354" width="2.7109375" style="182" customWidth="1"/>
    <col min="14355" max="14355" width="3" style="182" customWidth="1"/>
    <col min="14356" max="14356" width="10" style="182" customWidth="1"/>
    <col min="14357" max="14362" width="3.7109375" style="182"/>
    <col min="14363" max="14364" width="0" style="182" hidden="1" customWidth="1"/>
    <col min="14365" max="14593" width="3.7109375" style="182"/>
    <col min="14594" max="14597" width="4.28515625" style="182" customWidth="1"/>
    <col min="14598" max="14598" width="9.7109375" style="182" customWidth="1"/>
    <col min="14599" max="14599" width="7.85546875" style="182" customWidth="1"/>
    <col min="14600" max="14600" width="8.85546875" style="182" customWidth="1"/>
    <col min="14601" max="14601" width="7.85546875" style="182" customWidth="1"/>
    <col min="14602" max="14602" width="8.5703125" style="182" customWidth="1"/>
    <col min="14603" max="14604" width="3.42578125" style="182" customWidth="1"/>
    <col min="14605" max="14605" width="2.85546875" style="182" customWidth="1"/>
    <col min="14606" max="14607" width="2.7109375" style="182" customWidth="1"/>
    <col min="14608" max="14608" width="2.85546875" style="182" customWidth="1"/>
    <col min="14609" max="14610" width="2.7109375" style="182" customWidth="1"/>
    <col min="14611" max="14611" width="3" style="182" customWidth="1"/>
    <col min="14612" max="14612" width="10" style="182" customWidth="1"/>
    <col min="14613" max="14618" width="3.7109375" style="182"/>
    <col min="14619" max="14620" width="0" style="182" hidden="1" customWidth="1"/>
    <col min="14621" max="14849" width="3.7109375" style="182"/>
    <col min="14850" max="14853" width="4.28515625" style="182" customWidth="1"/>
    <col min="14854" max="14854" width="9.7109375" style="182" customWidth="1"/>
    <col min="14855" max="14855" width="7.85546875" style="182" customWidth="1"/>
    <col min="14856" max="14856" width="8.85546875" style="182" customWidth="1"/>
    <col min="14857" max="14857" width="7.85546875" style="182" customWidth="1"/>
    <col min="14858" max="14858" width="8.5703125" style="182" customWidth="1"/>
    <col min="14859" max="14860" width="3.42578125" style="182" customWidth="1"/>
    <col min="14861" max="14861" width="2.85546875" style="182" customWidth="1"/>
    <col min="14862" max="14863" width="2.7109375" style="182" customWidth="1"/>
    <col min="14864" max="14864" width="2.85546875" style="182" customWidth="1"/>
    <col min="14865" max="14866" width="2.7109375" style="182" customWidth="1"/>
    <col min="14867" max="14867" width="3" style="182" customWidth="1"/>
    <col min="14868" max="14868" width="10" style="182" customWidth="1"/>
    <col min="14869" max="14874" width="3.7109375" style="182"/>
    <col min="14875" max="14876" width="0" style="182" hidden="1" customWidth="1"/>
    <col min="14877" max="15105" width="3.7109375" style="182"/>
    <col min="15106" max="15109" width="4.28515625" style="182" customWidth="1"/>
    <col min="15110" max="15110" width="9.7109375" style="182" customWidth="1"/>
    <col min="15111" max="15111" width="7.85546875" style="182" customWidth="1"/>
    <col min="15112" max="15112" width="8.85546875" style="182" customWidth="1"/>
    <col min="15113" max="15113" width="7.85546875" style="182" customWidth="1"/>
    <col min="15114" max="15114" width="8.5703125" style="182" customWidth="1"/>
    <col min="15115" max="15116" width="3.42578125" style="182" customWidth="1"/>
    <col min="15117" max="15117" width="2.85546875" style="182" customWidth="1"/>
    <col min="15118" max="15119" width="2.7109375" style="182" customWidth="1"/>
    <col min="15120" max="15120" width="2.85546875" style="182" customWidth="1"/>
    <col min="15121" max="15122" width="2.7109375" style="182" customWidth="1"/>
    <col min="15123" max="15123" width="3" style="182" customWidth="1"/>
    <col min="15124" max="15124" width="10" style="182" customWidth="1"/>
    <col min="15125" max="15130" width="3.7109375" style="182"/>
    <col min="15131" max="15132" width="0" style="182" hidden="1" customWidth="1"/>
    <col min="15133" max="15361" width="3.7109375" style="182"/>
    <col min="15362" max="15365" width="4.28515625" style="182" customWidth="1"/>
    <col min="15366" max="15366" width="9.7109375" style="182" customWidth="1"/>
    <col min="15367" max="15367" width="7.85546875" style="182" customWidth="1"/>
    <col min="15368" max="15368" width="8.85546875" style="182" customWidth="1"/>
    <col min="15369" max="15369" width="7.85546875" style="182" customWidth="1"/>
    <col min="15370" max="15370" width="8.5703125" style="182" customWidth="1"/>
    <col min="15371" max="15372" width="3.42578125" style="182" customWidth="1"/>
    <col min="15373" max="15373" width="2.85546875" style="182" customWidth="1"/>
    <col min="15374" max="15375" width="2.7109375" style="182" customWidth="1"/>
    <col min="15376" max="15376" width="2.85546875" style="182" customWidth="1"/>
    <col min="15377" max="15378" width="2.7109375" style="182" customWidth="1"/>
    <col min="15379" max="15379" width="3" style="182" customWidth="1"/>
    <col min="15380" max="15380" width="10" style="182" customWidth="1"/>
    <col min="15381" max="15386" width="3.7109375" style="182"/>
    <col min="15387" max="15388" width="0" style="182" hidden="1" customWidth="1"/>
    <col min="15389" max="15617" width="3.7109375" style="182"/>
    <col min="15618" max="15621" width="4.28515625" style="182" customWidth="1"/>
    <col min="15622" max="15622" width="9.7109375" style="182" customWidth="1"/>
    <col min="15623" max="15623" width="7.85546875" style="182" customWidth="1"/>
    <col min="15624" max="15624" width="8.85546875" style="182" customWidth="1"/>
    <col min="15625" max="15625" width="7.85546875" style="182" customWidth="1"/>
    <col min="15626" max="15626" width="8.5703125" style="182" customWidth="1"/>
    <col min="15627" max="15628" width="3.42578125" style="182" customWidth="1"/>
    <col min="15629" max="15629" width="2.85546875" style="182" customWidth="1"/>
    <col min="15630" max="15631" width="2.7109375" style="182" customWidth="1"/>
    <col min="15632" max="15632" width="2.85546875" style="182" customWidth="1"/>
    <col min="15633" max="15634" width="2.7109375" style="182" customWidth="1"/>
    <col min="15635" max="15635" width="3" style="182" customWidth="1"/>
    <col min="15636" max="15636" width="10" style="182" customWidth="1"/>
    <col min="15637" max="15642" width="3.7109375" style="182"/>
    <col min="15643" max="15644" width="0" style="182" hidden="1" customWidth="1"/>
    <col min="15645" max="15873" width="3.7109375" style="182"/>
    <col min="15874" max="15877" width="4.28515625" style="182" customWidth="1"/>
    <col min="15878" max="15878" width="9.7109375" style="182" customWidth="1"/>
    <col min="15879" max="15879" width="7.85546875" style="182" customWidth="1"/>
    <col min="15880" max="15880" width="8.85546875" style="182" customWidth="1"/>
    <col min="15881" max="15881" width="7.85546875" style="182" customWidth="1"/>
    <col min="15882" max="15882" width="8.5703125" style="182" customWidth="1"/>
    <col min="15883" max="15884" width="3.42578125" style="182" customWidth="1"/>
    <col min="15885" max="15885" width="2.85546875" style="182" customWidth="1"/>
    <col min="15886" max="15887" width="2.7109375" style="182" customWidth="1"/>
    <col min="15888" max="15888" width="2.85546875" style="182" customWidth="1"/>
    <col min="15889" max="15890" width="2.7109375" style="182" customWidth="1"/>
    <col min="15891" max="15891" width="3" style="182" customWidth="1"/>
    <col min="15892" max="15892" width="10" style="182" customWidth="1"/>
    <col min="15893" max="15898" width="3.7109375" style="182"/>
    <col min="15899" max="15900" width="0" style="182" hidden="1" customWidth="1"/>
    <col min="15901" max="16129" width="3.7109375" style="182"/>
    <col min="16130" max="16133" width="4.28515625" style="182" customWidth="1"/>
    <col min="16134" max="16134" width="9.7109375" style="182" customWidth="1"/>
    <col min="16135" max="16135" width="7.85546875" style="182" customWidth="1"/>
    <col min="16136" max="16136" width="8.85546875" style="182" customWidth="1"/>
    <col min="16137" max="16137" width="7.85546875" style="182" customWidth="1"/>
    <col min="16138" max="16138" width="8.5703125" style="182" customWidth="1"/>
    <col min="16139" max="16140" width="3.42578125" style="182" customWidth="1"/>
    <col min="16141" max="16141" width="2.85546875" style="182" customWidth="1"/>
    <col min="16142" max="16143" width="2.7109375" style="182" customWidth="1"/>
    <col min="16144" max="16144" width="2.85546875" style="182" customWidth="1"/>
    <col min="16145" max="16146" width="2.7109375" style="182" customWidth="1"/>
    <col min="16147" max="16147" width="3" style="182" customWidth="1"/>
    <col min="16148" max="16148" width="10" style="182" customWidth="1"/>
    <col min="16149" max="16154" width="3.7109375" style="182"/>
    <col min="16155" max="16156" width="0" style="182" hidden="1" customWidth="1"/>
    <col min="16157" max="16384" width="3.7109375" style="182"/>
  </cols>
  <sheetData>
    <row r="1" spans="2:41" ht="18" x14ac:dyDescent="0.25">
      <c r="B1" s="180" t="s">
        <v>368</v>
      </c>
      <c r="C1" s="180"/>
      <c r="D1" s="180"/>
      <c r="E1" s="180"/>
      <c r="F1" s="180"/>
      <c r="G1" s="180"/>
      <c r="H1" s="180"/>
      <c r="I1" s="180"/>
      <c r="J1" s="180"/>
      <c r="K1" s="180"/>
      <c r="L1" s="180"/>
      <c r="M1" s="180"/>
      <c r="N1" s="180"/>
      <c r="O1" s="180"/>
      <c r="P1" s="180"/>
      <c r="Q1" s="180"/>
      <c r="R1" s="180"/>
      <c r="S1" s="180"/>
    </row>
    <row r="3" spans="2:41" x14ac:dyDescent="0.2">
      <c r="B3" s="183" t="s">
        <v>369</v>
      </c>
      <c r="C3" s="184"/>
      <c r="D3" s="184"/>
      <c r="E3" s="184"/>
      <c r="F3" s="184"/>
      <c r="G3" s="185" t="s">
        <v>370</v>
      </c>
      <c r="H3" s="185"/>
      <c r="I3" s="185"/>
      <c r="J3" s="185"/>
      <c r="K3" s="185"/>
      <c r="L3" s="185"/>
      <c r="M3" s="185"/>
      <c r="N3" s="185"/>
      <c r="O3" s="185"/>
      <c r="P3" s="185"/>
      <c r="Q3" s="185"/>
      <c r="R3" s="185"/>
      <c r="S3" s="186"/>
      <c r="T3" s="181" t="b">
        <f>IF(LEN(G3)&lt;6,FALSE,TRUE)</f>
        <v>1</v>
      </c>
    </row>
    <row r="4" spans="2:41" x14ac:dyDescent="0.2">
      <c r="B4" s="187" t="s">
        <v>371</v>
      </c>
      <c r="C4" s="188"/>
      <c r="D4" s="188"/>
      <c r="E4" s="188"/>
      <c r="F4" s="188"/>
      <c r="G4" s="189" t="s">
        <v>409</v>
      </c>
      <c r="H4" s="189"/>
      <c r="I4" s="189"/>
      <c r="J4" s="189"/>
      <c r="K4" s="189"/>
      <c r="L4" s="189"/>
      <c r="M4" s="189"/>
      <c r="N4" s="189"/>
      <c r="O4" s="189"/>
      <c r="P4" s="189"/>
      <c r="Q4" s="189"/>
      <c r="R4" s="189"/>
      <c r="S4" s="190"/>
      <c r="T4" s="181" t="b">
        <f>IF(LEN(G4)&lt;9,FALSE,TRUE)</f>
        <v>1</v>
      </c>
    </row>
    <row r="5" spans="2:41" x14ac:dyDescent="0.2">
      <c r="B5" s="187" t="s">
        <v>372</v>
      </c>
      <c r="C5" s="188"/>
      <c r="D5" s="188"/>
      <c r="E5" s="188"/>
      <c r="F5" s="188"/>
      <c r="G5" s="189" t="s">
        <v>408</v>
      </c>
      <c r="H5" s="189"/>
      <c r="I5" s="189"/>
      <c r="J5" s="189"/>
      <c r="K5" s="189"/>
      <c r="L5" s="189"/>
      <c r="M5" s="189"/>
      <c r="N5" s="189"/>
      <c r="O5" s="189"/>
      <c r="P5" s="189"/>
      <c r="Q5" s="189"/>
      <c r="R5" s="189"/>
      <c r="S5" s="190"/>
      <c r="T5" s="181" t="b">
        <f>IF(LEN(G5)&lt;6,FALSE,TRUE)</f>
        <v>1</v>
      </c>
    </row>
    <row r="6" spans="2:41" x14ac:dyDescent="0.2">
      <c r="B6" s="187" t="s">
        <v>373</v>
      </c>
      <c r="C6" s="188"/>
      <c r="D6" s="188"/>
      <c r="E6" s="188"/>
      <c r="F6" s="188"/>
      <c r="G6" s="191" t="s">
        <v>374</v>
      </c>
      <c r="H6" s="192"/>
      <c r="I6" s="192"/>
      <c r="J6" s="192"/>
      <c r="K6" s="192"/>
      <c r="L6" s="192"/>
      <c r="M6" s="192"/>
      <c r="N6" s="192"/>
      <c r="O6" s="192"/>
      <c r="P6" s="192"/>
      <c r="Q6" s="192"/>
      <c r="R6" s="192"/>
      <c r="S6" s="193"/>
      <c r="T6" s="181" t="b">
        <f>IF(LEN(G6)&lt;4,FALSE,TRUE)</f>
        <v>1</v>
      </c>
    </row>
    <row r="7" spans="2:41" ht="18.95" customHeight="1" x14ac:dyDescent="0.2">
      <c r="B7" s="187" t="s">
        <v>375</v>
      </c>
      <c r="C7" s="188"/>
      <c r="D7" s="188"/>
      <c r="E7" s="188"/>
      <c r="F7" s="188"/>
      <c r="G7" s="194"/>
      <c r="H7" s="195"/>
      <c r="I7" s="195"/>
      <c r="J7" s="196"/>
      <c r="K7" s="196"/>
      <c r="L7" s="196"/>
      <c r="M7" s="196"/>
      <c r="N7" s="196"/>
      <c r="O7" s="196"/>
      <c r="P7" s="196"/>
      <c r="Q7" s="196"/>
      <c r="R7" s="196"/>
      <c r="S7" s="197"/>
    </row>
    <row r="8" spans="2:41" ht="18.95" customHeight="1" x14ac:dyDescent="0.2">
      <c r="B8" s="198" t="s">
        <v>376</v>
      </c>
      <c r="C8" s="199"/>
      <c r="D8" s="199"/>
      <c r="E8" s="199"/>
      <c r="F8" s="199"/>
      <c r="G8" s="200"/>
      <c r="H8" s="201"/>
      <c r="I8" s="201"/>
      <c r="J8" s="202"/>
      <c r="K8" s="202"/>
      <c r="L8" s="202"/>
      <c r="M8" s="202"/>
      <c r="N8" s="202"/>
      <c r="O8" s="202"/>
      <c r="P8" s="202"/>
      <c r="Q8" s="202"/>
      <c r="R8" s="202"/>
      <c r="S8" s="203"/>
    </row>
    <row r="9" spans="2:41" ht="18.95" customHeight="1" x14ac:dyDescent="0.2">
      <c r="B9" s="204" t="s">
        <v>377</v>
      </c>
      <c r="C9" s="204"/>
      <c r="D9" s="204"/>
      <c r="E9" s="204"/>
      <c r="F9" s="204"/>
      <c r="G9" s="204"/>
      <c r="H9" s="204"/>
      <c r="I9" s="204"/>
      <c r="J9" s="204"/>
      <c r="K9" s="204"/>
      <c r="L9" s="204"/>
      <c r="M9" s="204"/>
      <c r="N9" s="204"/>
      <c r="O9" s="204"/>
      <c r="P9" s="204"/>
      <c r="Q9" s="204"/>
      <c r="R9" s="205">
        <v>1</v>
      </c>
      <c r="S9" s="205"/>
    </row>
    <row r="10" spans="2:41" ht="18.95" customHeight="1" x14ac:dyDescent="0.2">
      <c r="B10" s="204" t="s">
        <v>378</v>
      </c>
      <c r="C10" s="204"/>
      <c r="D10" s="204"/>
      <c r="E10" s="204"/>
      <c r="F10" s="204"/>
      <c r="G10" s="204"/>
      <c r="H10" s="204"/>
      <c r="I10" s="204"/>
      <c r="J10" s="204"/>
      <c r="K10" s="204"/>
      <c r="L10" s="204"/>
      <c r="M10" s="204"/>
      <c r="N10" s="204"/>
      <c r="O10" s="204"/>
      <c r="P10" s="204"/>
      <c r="Q10" s="204"/>
      <c r="R10" s="206">
        <v>0.04</v>
      </c>
      <c r="S10" s="206"/>
    </row>
    <row r="11" spans="2:41" ht="24.95" customHeight="1" thickBot="1" x14ac:dyDescent="0.25">
      <c r="B11" s="207" t="str">
        <f>IF(OR(T3=FALSE,T4=FALSE,T5=FALSE,T6=FALSE),("Atenção - Não esqueça de preencher o(s) campo(s): -" &amp; IF(T3=FALSE," TOMADOR -","") &amp; IF(T4=FALSE," Nº DO CONTRATO -","") &amp; IF(T5=FALSE," NOME DA OBRA -","") &amp; IF(T6=FALSE," MUNICÍPIO ONDE SE LOCALIZA A OBRA -","")  &amp; ""),".")</f>
        <v>.</v>
      </c>
      <c r="C11" s="207"/>
      <c r="D11" s="207"/>
      <c r="E11" s="207"/>
      <c r="F11" s="207"/>
      <c r="G11" s="207"/>
      <c r="H11" s="207"/>
      <c r="I11" s="207"/>
      <c r="J11" s="207"/>
      <c r="K11" s="207"/>
      <c r="L11" s="207"/>
      <c r="M11" s="207"/>
      <c r="N11" s="207"/>
      <c r="O11" s="207"/>
      <c r="P11" s="207"/>
      <c r="Q11" s="207"/>
      <c r="R11" s="207"/>
      <c r="S11" s="207"/>
    </row>
    <row r="12" spans="2:41" ht="35.25" customHeight="1" x14ac:dyDescent="0.2">
      <c r="B12" s="208" t="s">
        <v>379</v>
      </c>
      <c r="C12" s="209"/>
      <c r="D12" s="209"/>
      <c r="E12" s="209"/>
      <c r="F12" s="209"/>
      <c r="G12" s="210" t="s">
        <v>380</v>
      </c>
      <c r="H12" s="211"/>
      <c r="I12" s="212"/>
      <c r="J12" s="181"/>
      <c r="K12" s="213" t="s">
        <v>381</v>
      </c>
      <c r="L12" s="214"/>
      <c r="M12" s="214"/>
      <c r="N12" s="214"/>
      <c r="O12" s="214"/>
      <c r="P12" s="214"/>
      <c r="Q12" s="214"/>
      <c r="R12" s="214"/>
      <c r="S12" s="215"/>
      <c r="U12" s="216"/>
      <c r="V12" s="216"/>
      <c r="W12" s="216"/>
      <c r="X12" s="216"/>
      <c r="Y12" s="216"/>
      <c r="Z12" s="216"/>
      <c r="AA12" s="216"/>
      <c r="AB12" s="216"/>
      <c r="AC12" s="216"/>
      <c r="AD12" s="216"/>
      <c r="AE12" s="216"/>
      <c r="AF12" s="216"/>
      <c r="AG12" s="216"/>
      <c r="AH12" s="216"/>
      <c r="AI12" s="216"/>
      <c r="AJ12" s="216"/>
      <c r="AK12" s="216"/>
      <c r="AL12" s="216"/>
      <c r="AM12" s="216"/>
      <c r="AN12" s="216"/>
      <c r="AO12" s="216"/>
    </row>
    <row r="13" spans="2:41" ht="21.75" customHeight="1" x14ac:dyDescent="0.2">
      <c r="B13" s="217"/>
      <c r="C13" s="218"/>
      <c r="D13" s="218"/>
      <c r="E13" s="218"/>
      <c r="F13" s="218"/>
      <c r="G13" s="219"/>
      <c r="H13" s="220"/>
      <c r="I13" s="221"/>
      <c r="J13" s="181"/>
      <c r="K13" s="222" t="s">
        <v>382</v>
      </c>
      <c r="L13" s="223"/>
      <c r="M13" s="223"/>
      <c r="N13" s="223" t="s">
        <v>383</v>
      </c>
      <c r="O13" s="223"/>
      <c r="P13" s="223"/>
      <c r="Q13" s="223" t="s">
        <v>384</v>
      </c>
      <c r="R13" s="223"/>
      <c r="S13" s="224"/>
    </row>
    <row r="14" spans="2:41" ht="16.5" customHeight="1" x14ac:dyDescent="0.2">
      <c r="B14" s="225" t="s">
        <v>385</v>
      </c>
      <c r="C14" s="226"/>
      <c r="D14" s="226"/>
      <c r="E14" s="226"/>
      <c r="F14" s="226"/>
      <c r="G14" s="227">
        <v>3.8</v>
      </c>
      <c r="H14" s="228"/>
      <c r="I14" s="229"/>
      <c r="K14" s="230">
        <f>CHOOSE([2]Plan4!$B$17,[2]Plan4!C6,[2]Plan4!D6,[2]Plan4!E6,[2]Plan4!F6,[2]Plan4!G6,[2]Plan4!H6)</f>
        <v>3.8</v>
      </c>
      <c r="L14" s="231"/>
      <c r="M14" s="231"/>
      <c r="N14" s="231">
        <f>CHOOSE([2]Plan4!$B$17,[2]Plan4!I6,[2]Plan4!J6,[2]Plan4!K6,[2]Plan4!L6,[2]Plan4!M6,[2]Plan4!N6)</f>
        <v>4.01</v>
      </c>
      <c r="O14" s="231"/>
      <c r="P14" s="231"/>
      <c r="Q14" s="231">
        <f>CHOOSE([2]Plan4!$B$17,[2]Plan4!O6,[2]Plan4!P6,[2]Plan4!Q6,[2]Plan4!R6,[2]Plan4!S6,[2]Plan4!T6)</f>
        <v>4.67</v>
      </c>
      <c r="R14" s="231"/>
      <c r="S14" s="232"/>
      <c r="T14" s="233" t="str">
        <f t="shared" ref="T14:T20" si="0">IF(G14&lt;K14," Atenção",IF(G14&gt;Q14,"Atenção","OK"))</f>
        <v>OK</v>
      </c>
      <c r="U14" s="181"/>
    </row>
    <row r="15" spans="2:41" ht="16.5" customHeight="1" x14ac:dyDescent="0.2">
      <c r="B15" s="234" t="s">
        <v>386</v>
      </c>
      <c r="C15" s="235"/>
      <c r="D15" s="235"/>
      <c r="E15" s="235"/>
      <c r="F15" s="235"/>
      <c r="G15" s="236">
        <v>0.32</v>
      </c>
      <c r="H15" s="237"/>
      <c r="I15" s="238"/>
      <c r="K15" s="230">
        <f>CHOOSE([2]Plan4!$B$17,[2]Plan4!C7,[2]Plan4!D7,[2]Plan4!E7,[2]Plan4!F7,[2]Plan4!G7,[2]Plan4!H7)</f>
        <v>0.32</v>
      </c>
      <c r="L15" s="231"/>
      <c r="M15" s="231"/>
      <c r="N15" s="231">
        <f>CHOOSE([2]Plan4!$B$17,[2]Plan4!I7,[2]Plan4!J7,[2]Plan4!K7,[2]Plan4!L7,[2]Plan4!M7,[2]Plan4!N7)</f>
        <v>0.4</v>
      </c>
      <c r="O15" s="231"/>
      <c r="P15" s="231"/>
      <c r="Q15" s="231">
        <f>CHOOSE([2]Plan4!$B$17,[2]Plan4!O7,[2]Plan4!P7,[2]Plan4!Q7,[2]Plan4!R7,[2]Plan4!S7,[2]Plan4!T7)</f>
        <v>0.74</v>
      </c>
      <c r="R15" s="231"/>
      <c r="S15" s="232"/>
      <c r="T15" s="233" t="str">
        <f t="shared" si="0"/>
        <v>OK</v>
      </c>
    </row>
    <row r="16" spans="2:41" ht="16.5" customHeight="1" x14ac:dyDescent="0.2">
      <c r="B16" s="234" t="s">
        <v>387</v>
      </c>
      <c r="C16" s="235"/>
      <c r="D16" s="235"/>
      <c r="E16" s="235"/>
      <c r="F16" s="235"/>
      <c r="G16" s="236">
        <v>0.5</v>
      </c>
      <c r="H16" s="237"/>
      <c r="I16" s="238"/>
      <c r="K16" s="230">
        <f>CHOOSE([2]Plan4!$B$17,[2]Plan4!C8,[2]Plan4!D8,[2]Plan4!E8,[2]Plan4!F8,[2]Plan4!G8,[2]Plan4!H8)</f>
        <v>0.5</v>
      </c>
      <c r="L16" s="231"/>
      <c r="M16" s="231"/>
      <c r="N16" s="231">
        <f>CHOOSE([2]Plan4!$B$17,[2]Plan4!I8,[2]Plan4!J8,[2]Plan4!K8,[2]Plan4!L8,[2]Plan4!M8,[2]Plan4!N8)</f>
        <v>0.56000000000000005</v>
      </c>
      <c r="O16" s="231"/>
      <c r="P16" s="231"/>
      <c r="Q16" s="231">
        <f>CHOOSE([2]Plan4!$B$17,[2]Plan4!O8,[2]Plan4!P8,[2]Plan4!Q8,[2]Plan4!R8,[2]Plan4!S8,[2]Plan4!T8)</f>
        <v>0.97</v>
      </c>
      <c r="R16" s="231"/>
      <c r="S16" s="232"/>
      <c r="T16" s="233" t="str">
        <f t="shared" si="0"/>
        <v>OK</v>
      </c>
    </row>
    <row r="17" spans="2:22" ht="16.5" customHeight="1" x14ac:dyDescent="0.2">
      <c r="B17" s="234" t="s">
        <v>388</v>
      </c>
      <c r="C17" s="235"/>
      <c r="D17" s="235"/>
      <c r="E17" s="235"/>
      <c r="F17" s="235"/>
      <c r="G17" s="236">
        <v>1.02</v>
      </c>
      <c r="H17" s="237"/>
      <c r="I17" s="238"/>
      <c r="K17" s="230">
        <f>CHOOSE([2]Plan4!$B$17,[2]Plan4!C9,[2]Plan4!D9,[2]Plan4!E9,[2]Plan4!F9,[2]Plan4!G9,[2]Plan4!H9)</f>
        <v>1.02</v>
      </c>
      <c r="L17" s="231"/>
      <c r="M17" s="231"/>
      <c r="N17" s="231">
        <f>CHOOSE([2]Plan4!$B$17,[2]Plan4!I9,[2]Plan4!J9,[2]Plan4!K9,[2]Plan4!L9,[2]Plan4!M9,[2]Plan4!N9)</f>
        <v>1.1100000000000001</v>
      </c>
      <c r="O17" s="231"/>
      <c r="P17" s="231"/>
      <c r="Q17" s="231">
        <f>CHOOSE([2]Plan4!$B$17,[2]Plan4!O9,[2]Plan4!P9,[2]Plan4!Q9,[2]Plan4!R9,[2]Plan4!S9,[2]Plan4!T9)</f>
        <v>1.21</v>
      </c>
      <c r="R17" s="231"/>
      <c r="S17" s="232"/>
      <c r="T17" s="233" t="str">
        <f t="shared" si="0"/>
        <v>OK</v>
      </c>
    </row>
    <row r="18" spans="2:22" ht="16.5" customHeight="1" x14ac:dyDescent="0.2">
      <c r="B18" s="234" t="s">
        <v>389</v>
      </c>
      <c r="C18" s="235"/>
      <c r="D18" s="235"/>
      <c r="E18" s="235"/>
      <c r="F18" s="235"/>
      <c r="G18" s="236">
        <v>6.64</v>
      </c>
      <c r="H18" s="237"/>
      <c r="I18" s="238"/>
      <c r="K18" s="230">
        <f>CHOOSE([2]Plan4!$B$17,[2]Plan4!C10,[2]Plan4!D10,[2]Plan4!E10,[2]Plan4!F10,[2]Plan4!G10,[2]Plan4!H10)</f>
        <v>6.64</v>
      </c>
      <c r="L18" s="231"/>
      <c r="M18" s="231"/>
      <c r="N18" s="231">
        <f>CHOOSE([2]Plan4!$B$17,[2]Plan4!I10,[2]Plan4!J10,[2]Plan4!K10,[2]Plan4!L10,[2]Plan4!M10,[2]Plan4!N10)</f>
        <v>7.3</v>
      </c>
      <c r="O18" s="231"/>
      <c r="P18" s="231"/>
      <c r="Q18" s="231">
        <f>CHOOSE([2]Plan4!$B$17,[2]Plan4!O10,[2]Plan4!P10,[2]Plan4!Q10,[2]Plan4!R10,[2]Plan4!S10,[2]Plan4!T10)</f>
        <v>8.69</v>
      </c>
      <c r="R18" s="231"/>
      <c r="S18" s="232"/>
      <c r="T18" s="233" t="str">
        <f t="shared" si="0"/>
        <v>OK</v>
      </c>
    </row>
    <row r="19" spans="2:22" ht="16.5" customHeight="1" x14ac:dyDescent="0.25">
      <c r="B19" s="239" t="s">
        <v>390</v>
      </c>
      <c r="C19" s="240"/>
      <c r="D19" s="240"/>
      <c r="E19" s="240"/>
      <c r="F19" s="240"/>
      <c r="G19" s="236">
        <v>0.65</v>
      </c>
      <c r="H19" s="237"/>
      <c r="I19" s="238"/>
      <c r="K19" s="230">
        <f>CHOOSE([2]Plan4!$B$17,[2]Plan4!C11,[2]Plan4!D11,[2]Plan4!E11,[2]Plan4!F11,[2]Plan4!G11,[2]Plan4!H11)</f>
        <v>0.65</v>
      </c>
      <c r="L19" s="231"/>
      <c r="M19" s="231"/>
      <c r="N19" s="231">
        <f>CHOOSE([2]Plan4!$B$17,[2]Plan4!I11,[2]Plan4!J11,[2]Plan4!K11,[2]Plan4!L11,[2]Plan4!M11,[2]Plan4!N11)</f>
        <v>0.65</v>
      </c>
      <c r="O19" s="231"/>
      <c r="P19" s="231"/>
      <c r="Q19" s="231">
        <f>CHOOSE([2]Plan4!$B$17,[2]Plan4!O11,[2]Plan4!P11,[2]Plan4!Q11,[2]Plan4!R11,[2]Plan4!S11,[2]Plan4!T11)</f>
        <v>0.65</v>
      </c>
      <c r="R19" s="231"/>
      <c r="S19" s="232"/>
      <c r="T19" s="233" t="str">
        <f t="shared" si="0"/>
        <v>OK</v>
      </c>
      <c r="U19" s="241"/>
      <c r="V19" s="241"/>
    </row>
    <row r="20" spans="2:22" ht="16.5" customHeight="1" x14ac:dyDescent="0.2">
      <c r="B20" s="239" t="s">
        <v>391</v>
      </c>
      <c r="C20" s="240"/>
      <c r="D20" s="240"/>
      <c r="E20" s="240"/>
      <c r="F20" s="240"/>
      <c r="G20" s="236">
        <v>3</v>
      </c>
      <c r="H20" s="237"/>
      <c r="I20" s="238"/>
      <c r="K20" s="230">
        <f>CHOOSE([2]Plan4!$B$17,[2]Plan4!C12,[2]Plan4!D12,[2]Plan4!E12,[2]Plan4!F12,[2]Plan4!G12,[2]Plan4!H12)</f>
        <v>3</v>
      </c>
      <c r="L20" s="231"/>
      <c r="M20" s="231"/>
      <c r="N20" s="231">
        <f>CHOOSE([2]Plan4!$B$17,[2]Plan4!I12,[2]Plan4!J12,[2]Plan4!K12,[2]Plan4!L12,[2]Plan4!M12,[2]Plan4!N12)</f>
        <v>3</v>
      </c>
      <c r="O20" s="231"/>
      <c r="P20" s="231"/>
      <c r="Q20" s="231">
        <f>CHOOSE([2]Plan4!$B$17,[2]Plan4!O12,[2]Plan4!P12,[2]Plan4!Q12,[2]Plan4!R12,[2]Plan4!S12,[2]Plan4!T12)</f>
        <v>3</v>
      </c>
      <c r="R20" s="231"/>
      <c r="S20" s="232"/>
      <c r="T20" s="233" t="str">
        <f t="shared" si="0"/>
        <v>OK</v>
      </c>
      <c r="U20" s="181"/>
    </row>
    <row r="21" spans="2:22" ht="16.5" customHeight="1" x14ac:dyDescent="0.2">
      <c r="B21" s="239" t="s">
        <v>392</v>
      </c>
      <c r="C21" s="240"/>
      <c r="D21" s="240"/>
      <c r="E21" s="240"/>
      <c r="F21" s="240"/>
      <c r="G21" s="242">
        <f>R9*R10*100</f>
        <v>4</v>
      </c>
      <c r="H21" s="243"/>
      <c r="I21" s="244"/>
      <c r="K21" s="245">
        <f>CHOOSE([2]Plan4!$B$17,[2]Plan4!C13,[2]Plan4!D13,[2]Plan4!E13,[2]Plan4!F13,[2]Plan4!G13,[2]Plan4!H13)</f>
        <v>2</v>
      </c>
      <c r="L21" s="246"/>
      <c r="M21" s="246"/>
      <c r="N21" s="246">
        <f>CHOOSE([2]Plan4!$B$17,[2]Plan4!I13,[2]Plan4!J13,[2]Plan4!K13,[2]Plan4!L13,[2]Plan4!M13,[2]Plan4!N13)</f>
        <v>2</v>
      </c>
      <c r="O21" s="246"/>
      <c r="P21" s="246"/>
      <c r="Q21" s="246">
        <f>CHOOSE([2]Plan4!$B$17,[2]Plan4!O13,[2]Plan4!P13,[2]Plan4!Q13,[2]Plan4!R13,[2]Plan4!S13,[2]Plan4!T13)</f>
        <v>5</v>
      </c>
      <c r="R21" s="246"/>
      <c r="S21" s="247"/>
      <c r="T21" s="182"/>
      <c r="U21" s="181"/>
    </row>
    <row r="22" spans="2:22" ht="16.5" customHeight="1" thickBot="1" x14ac:dyDescent="0.25">
      <c r="B22" s="248" t="s">
        <v>393</v>
      </c>
      <c r="C22" s="249"/>
      <c r="D22" s="249"/>
      <c r="E22" s="249"/>
      <c r="F22" s="249"/>
      <c r="G22" s="250">
        <f>IF([2]Plan4!B26=1,4.5,0)</f>
        <v>0</v>
      </c>
      <c r="H22" s="251"/>
      <c r="I22" s="252"/>
      <c r="J22" s="181"/>
      <c r="K22" s="253"/>
      <c r="L22" s="253"/>
      <c r="M22" s="253"/>
      <c r="N22" s="253"/>
      <c r="O22" s="253"/>
      <c r="P22" s="253"/>
      <c r="Q22" s="253"/>
      <c r="R22" s="253"/>
      <c r="S22" s="253"/>
    </row>
    <row r="23" spans="2:22" ht="26.25" customHeight="1" thickBot="1" x14ac:dyDescent="0.25">
      <c r="B23" s="254" t="s">
        <v>394</v>
      </c>
      <c r="C23" s="255"/>
      <c r="D23" s="255"/>
      <c r="E23" s="255"/>
      <c r="F23" s="256"/>
      <c r="G23" s="257">
        <f>TRUNC((((((1+G14/100+G15/100+G16/100)*(1+G17/100)*(1+G18/100))/(1-(G19/100+G20/100+G21/100+G22/100)))-1)*100),2)</f>
        <v>22.04</v>
      </c>
      <c r="H23" s="258"/>
      <c r="I23" s="259"/>
      <c r="J23" s="181"/>
      <c r="K23" s="260"/>
      <c r="L23" s="261"/>
      <c r="M23" s="261"/>
      <c r="N23" s="261"/>
      <c r="O23" s="261"/>
      <c r="P23" s="261"/>
      <c r="Q23" s="261"/>
      <c r="R23" s="261"/>
      <c r="S23" s="262"/>
    </row>
    <row r="24" spans="2:22" ht="15" customHeight="1" x14ac:dyDescent="0.2"/>
    <row r="25" spans="2:22" ht="30.75" customHeight="1" x14ac:dyDescent="0.2">
      <c r="B25" s="263" t="s">
        <v>395</v>
      </c>
      <c r="C25" s="264"/>
      <c r="D25" s="264"/>
      <c r="E25" s="264"/>
      <c r="F25" s="264"/>
      <c r="G25" s="264"/>
      <c r="H25" s="264"/>
      <c r="I25" s="265"/>
      <c r="J25" s="266"/>
      <c r="K25" s="213" t="s">
        <v>396</v>
      </c>
      <c r="L25" s="214"/>
      <c r="M25" s="214"/>
      <c r="N25" s="214"/>
      <c r="O25" s="214"/>
      <c r="P25" s="214"/>
      <c r="Q25" s="214"/>
      <c r="R25" s="214"/>
      <c r="S25" s="215"/>
    </row>
    <row r="26" spans="2:22" ht="22.5" customHeight="1" x14ac:dyDescent="0.2">
      <c r="B26" s="267" t="s">
        <v>397</v>
      </c>
      <c r="C26" s="268"/>
      <c r="D26" s="268"/>
      <c r="E26" s="268"/>
      <c r="F26" s="268"/>
      <c r="G26" s="246">
        <f>TRUNC(((((1+G14/100+G15/100+G16/100)*(1+G17/100)*(1+G18/100))/(1-(G19/100+G20/100+G21/100)))-1)*100,2)</f>
        <v>22.04</v>
      </c>
      <c r="H26" s="246"/>
      <c r="I26" s="247"/>
      <c r="J26" s="269" t="str">
        <f>IF(G26&lt;K26," Atenção",IF(G26&gt;Q26,"Atenção","OK"))</f>
        <v>OK</v>
      </c>
      <c r="K26" s="245">
        <f>CHOOSE([2]Plan4!$B$17,[2]Plan4!O19,[2]Plan4!O20,[2]Plan4!O21,[2]Plan4!O22,[2]Plan4!O23,[2]Plan4!O24)</f>
        <v>19.600000000000001</v>
      </c>
      <c r="L26" s="246"/>
      <c r="M26" s="246"/>
      <c r="N26" s="246">
        <f>CHOOSE([2]Plan4!$B$17,[2]Plan4!Q19,[2]Plan4!Q20,[2]Plan4!Q21,[2]Plan4!Q22,[2]Plan4!Q23,[2]Plan4!Q24)</f>
        <v>20.97</v>
      </c>
      <c r="O26" s="246"/>
      <c r="P26" s="246"/>
      <c r="Q26" s="246">
        <f>CHOOSE([2]Plan4!$B$17,[2]Plan4!S19,[2]Plan4!S20,[2]Plan4!S21,[2]Plan4!S22,[2]Plan4!S23,[2]Plan4!S24)</f>
        <v>24.23</v>
      </c>
      <c r="R26" s="246"/>
      <c r="S26" s="247"/>
    </row>
    <row r="27" spans="2:22" ht="17.25" customHeight="1" x14ac:dyDescent="0.2">
      <c r="B27" s="270" t="str">
        <f>IF(J26&lt;&gt;"OK", "O valor de BDI sem a desoneração está fora da faixa admitida no Acórdão TCU Plenária 2622/2013.",".")</f>
        <v>.</v>
      </c>
      <c r="C27" s="270"/>
      <c r="D27" s="270"/>
      <c r="E27" s="270"/>
      <c r="F27" s="270"/>
      <c r="G27" s="270"/>
      <c r="H27" s="270"/>
      <c r="I27" s="270"/>
      <c r="J27" s="270"/>
      <c r="K27" s="270"/>
      <c r="L27" s="270"/>
      <c r="M27" s="270"/>
      <c r="N27" s="270"/>
      <c r="O27" s="270"/>
      <c r="P27" s="270"/>
      <c r="Q27" s="270"/>
      <c r="R27" s="270"/>
      <c r="S27" s="270"/>
    </row>
    <row r="28" spans="2:22" ht="15.75" x14ac:dyDescent="0.25">
      <c r="B28" s="271" t="s">
        <v>398</v>
      </c>
      <c r="C28" s="271"/>
      <c r="D28" s="271"/>
      <c r="E28" s="271"/>
      <c r="F28" s="271"/>
      <c r="G28" s="271"/>
      <c r="H28" s="271"/>
      <c r="I28" s="271"/>
      <c r="J28" s="271"/>
      <c r="K28" s="271"/>
      <c r="L28" s="271"/>
      <c r="M28" s="271"/>
      <c r="N28" s="271"/>
      <c r="O28" s="271"/>
      <c r="P28" s="271"/>
      <c r="Q28" s="271"/>
      <c r="R28" s="271"/>
      <c r="S28" s="271"/>
    </row>
    <row r="29" spans="2:22" ht="129" customHeight="1" x14ac:dyDescent="0.2">
      <c r="B29" s="272" t="str">
        <f>"DECLARO que, de acordo com a legislação tributária do município de "&amp;G6&amp;", considerando a natureza da obra acima discriminada, para cálculo do valor de ISS a ser cobrado da empresa construtora, é aplicada a aliquota de "&amp;IF(G21="",0,G21)&amp;"% sobre o valor total da obra."&amp;"
"&amp;"
"&amp;"DECLARO que o percentual de encargos sociais utilizados no valor da mão-de-obra do orçamento são os encargos sociais praticados pelo SINAPI e/ou SICRO."&amp;"
"&amp;"
"&amp;"DECLARO que o orçamento da obra foi verificado com os custos nas duas possibilidades de CONTRIBUIÇÃO PREVIDENCIÁRIA e foi adotada a modalidade "&amp;IF([2]Plan4!B26=1,"COM DESONERAÇÃO"&amp;" por ser a mais adequada ao Tomador "&amp;G3&amp;".",IF([2]Plan4!B26=2,"SEM DESONERAÇÃO","")&amp;" por ser a mais adequada ao Tomador "&amp;G3&amp;".")</f>
        <v>DECLARO que, de acordo com a legislação tributária do município de Alvorada/RS, considerando a natureza da obra acima discriminada, para cálculo do valor de ISS a ser cobrado da empresa construtora, é aplicada a aliquota de 4% sobre o valor total da obra.
DECLARO que o percentual de encargos sociais utilizados no valor da mão-de-obra do orçamento são os encargos sociais praticados pelo SINAPI e/ou SICRO.
DECLARO que o orçamento da obra foi verificado com os custos nas duas possibilidades de CONTRIBUIÇÃO PREVIDENCIÁRIA e foi adotada a modalidade SEM DESONERAÇÃO por ser a mais adequada ao Tomador Município de Alvorada.</v>
      </c>
      <c r="C29" s="272"/>
      <c r="D29" s="272"/>
      <c r="E29" s="272"/>
      <c r="F29" s="272"/>
      <c r="G29" s="272"/>
      <c r="H29" s="272"/>
      <c r="I29" s="272"/>
      <c r="J29" s="272"/>
      <c r="K29" s="272"/>
      <c r="L29" s="272"/>
      <c r="M29" s="272"/>
      <c r="N29" s="272"/>
      <c r="O29" s="272"/>
      <c r="P29" s="272"/>
      <c r="Q29" s="272"/>
      <c r="R29" s="272"/>
      <c r="S29" s="272"/>
    </row>
    <row r="30" spans="2:22" ht="22.5" customHeight="1" x14ac:dyDescent="0.2">
      <c r="B30" s="273" t="str">
        <f>IF(OR(T34=FALSE,T35=FALSE,T37=FALSE,J41=FALSE),("Atenção - Não esqueça de preencher o(s) campo(s): -" &amp; IF(T34=FALSE," Nº DA ART/RRT -","") &amp; IF(T35=FALSE," DATA -","") &amp; IF(T37=FALSE," IDENTIFICAÇÃO DO RESPONSÁVEL TÉCNICO -","") &amp; IF(J41=FALSE," IDENTIFICAÇÃO DO TOMADOR -","") &amp; ""),".")</f>
        <v>.</v>
      </c>
      <c r="C30" s="273"/>
      <c r="D30" s="273"/>
      <c r="E30" s="273"/>
      <c r="F30" s="273"/>
      <c r="G30" s="273"/>
      <c r="H30" s="273"/>
      <c r="I30" s="273"/>
      <c r="J30" s="273"/>
      <c r="K30" s="273"/>
      <c r="L30" s="273"/>
      <c r="M30" s="273"/>
      <c r="N30" s="273"/>
      <c r="O30" s="273"/>
      <c r="P30" s="273"/>
      <c r="Q30" s="273"/>
      <c r="R30" s="273"/>
      <c r="S30" s="273"/>
    </row>
    <row r="31" spans="2:22" ht="12.75" customHeight="1" x14ac:dyDescent="0.2">
      <c r="B31" s="182" t="s">
        <v>399</v>
      </c>
      <c r="T31" s="182"/>
    </row>
    <row r="32" spans="2:22" ht="38.25" customHeight="1" x14ac:dyDescent="0.2">
      <c r="B32" s="274"/>
      <c r="C32" s="275"/>
      <c r="D32" s="275"/>
      <c r="E32" s="275"/>
      <c r="F32" s="275"/>
      <c r="G32" s="275"/>
      <c r="H32" s="275"/>
      <c r="I32" s="275"/>
      <c r="J32" s="275"/>
      <c r="K32" s="275"/>
      <c r="L32" s="275"/>
      <c r="M32" s="275"/>
      <c r="N32" s="275"/>
      <c r="O32" s="275"/>
      <c r="P32" s="275"/>
      <c r="Q32" s="275"/>
      <c r="R32" s="275"/>
      <c r="S32" s="276"/>
      <c r="T32" s="182"/>
    </row>
    <row r="33" spans="2:20" ht="17.100000000000001" customHeight="1" x14ac:dyDescent="0.2">
      <c r="T33" s="182"/>
    </row>
    <row r="34" spans="2:20" ht="20.100000000000001" customHeight="1" x14ac:dyDescent="0.2">
      <c r="B34" s="277"/>
      <c r="C34" s="278"/>
      <c r="D34" s="278"/>
      <c r="E34" s="278"/>
      <c r="F34" s="278"/>
      <c r="G34" s="278"/>
      <c r="H34" s="278"/>
      <c r="I34" s="278"/>
      <c r="J34" s="279" t="s">
        <v>410</v>
      </c>
      <c r="K34" s="279"/>
      <c r="L34" s="279"/>
      <c r="M34" s="279"/>
      <c r="N34" s="279"/>
      <c r="O34" s="279"/>
      <c r="P34" s="279"/>
      <c r="Q34" s="279"/>
      <c r="R34" s="279"/>
      <c r="S34" s="280"/>
      <c r="T34" s="181" t="b">
        <f>IF(LEN(J34)&lt;4,FALSE,TRUE)</f>
        <v>1</v>
      </c>
    </row>
    <row r="35" spans="2:20" ht="14.25" customHeight="1" x14ac:dyDescent="0.2">
      <c r="B35" s="281" t="s">
        <v>400</v>
      </c>
      <c r="C35" s="282"/>
      <c r="D35" s="282"/>
      <c r="E35" s="282"/>
      <c r="F35" s="282"/>
      <c r="G35" s="282"/>
      <c r="H35" s="282"/>
      <c r="I35" s="282"/>
      <c r="J35" s="283" t="s">
        <v>401</v>
      </c>
      <c r="K35" s="284"/>
      <c r="L35" s="284"/>
      <c r="M35" s="284"/>
      <c r="N35" s="284"/>
      <c r="O35" s="284"/>
      <c r="P35" s="284"/>
      <c r="Q35" s="284"/>
      <c r="R35" s="284"/>
      <c r="S35" s="285"/>
      <c r="T35" s="181" t="b">
        <f>IF(LEN(J36)&lt;4,FALSE,TRUE)</f>
        <v>1</v>
      </c>
    </row>
    <row r="36" spans="2:20" ht="12.75" customHeight="1" x14ac:dyDescent="0.2">
      <c r="B36" s="286" t="s">
        <v>407</v>
      </c>
      <c r="C36" s="287"/>
      <c r="D36" s="287"/>
      <c r="E36" s="287"/>
      <c r="F36" s="287"/>
      <c r="G36" s="287"/>
      <c r="H36" s="287"/>
      <c r="I36" s="287"/>
      <c r="J36" s="288">
        <v>46002</v>
      </c>
      <c r="K36" s="288"/>
      <c r="L36" s="288"/>
      <c r="M36" s="288"/>
      <c r="N36" s="288"/>
      <c r="O36" s="288"/>
      <c r="P36" s="288"/>
      <c r="Q36" s="288"/>
      <c r="R36" s="288"/>
      <c r="S36" s="289"/>
    </row>
    <row r="37" spans="2:20" ht="12.75" customHeight="1" x14ac:dyDescent="0.2">
      <c r="B37" s="290" t="s">
        <v>402</v>
      </c>
      <c r="C37" s="291"/>
      <c r="D37" s="291"/>
      <c r="E37" s="291"/>
      <c r="F37" s="291"/>
      <c r="G37" s="291"/>
      <c r="H37" s="291"/>
      <c r="I37" s="291"/>
      <c r="J37" s="291" t="s">
        <v>403</v>
      </c>
      <c r="K37" s="291"/>
      <c r="L37" s="291"/>
      <c r="M37" s="291"/>
      <c r="N37" s="291"/>
      <c r="O37" s="291"/>
      <c r="P37" s="291"/>
      <c r="Q37" s="291"/>
      <c r="R37" s="291"/>
      <c r="S37" s="292"/>
      <c r="T37" s="181" t="b">
        <f>IF(LEN(B36)&lt;4,FALSE,TRUE)</f>
        <v>1</v>
      </c>
    </row>
    <row r="38" spans="2:20" ht="17.100000000000001" customHeight="1" x14ac:dyDescent="0.2">
      <c r="B38" s="293"/>
      <c r="C38" s="293"/>
      <c r="D38" s="293"/>
      <c r="E38" s="293"/>
      <c r="F38" s="293"/>
      <c r="G38" s="293"/>
      <c r="H38" s="293"/>
      <c r="I38" s="293"/>
      <c r="J38" s="293"/>
      <c r="K38" s="293"/>
      <c r="L38" s="293"/>
      <c r="M38" s="293"/>
      <c r="N38" s="293"/>
      <c r="O38" s="293"/>
      <c r="P38" s="293"/>
      <c r="Q38" s="293"/>
      <c r="R38" s="293"/>
      <c r="S38" s="293"/>
    </row>
    <row r="39" spans="2:20" ht="20.100000000000001" customHeight="1" x14ac:dyDescent="0.2">
      <c r="B39" s="277"/>
      <c r="C39" s="278"/>
      <c r="D39" s="278"/>
      <c r="E39" s="278"/>
      <c r="F39" s="278"/>
      <c r="G39" s="278"/>
      <c r="H39" s="278"/>
      <c r="I39" s="294"/>
    </row>
    <row r="40" spans="2:20" x14ac:dyDescent="0.2">
      <c r="B40" s="281" t="s">
        <v>404</v>
      </c>
      <c r="C40" s="282"/>
      <c r="D40" s="282"/>
      <c r="E40" s="282"/>
      <c r="F40" s="282"/>
      <c r="G40" s="282"/>
      <c r="H40" s="282"/>
      <c r="I40" s="295"/>
    </row>
    <row r="41" spans="2:20" x14ac:dyDescent="0.2">
      <c r="B41" s="286" t="s">
        <v>405</v>
      </c>
      <c r="C41" s="287"/>
      <c r="D41" s="287"/>
      <c r="E41" s="287"/>
      <c r="F41" s="287"/>
      <c r="G41" s="287"/>
      <c r="H41" s="287"/>
      <c r="I41" s="296"/>
      <c r="J41" s="181" t="b">
        <f>IF(LEN(B41)&lt;4,FALSE,TRUE)</f>
        <v>1</v>
      </c>
    </row>
    <row r="42" spans="2:20" x14ac:dyDescent="0.2">
      <c r="B42" s="290" t="s">
        <v>406</v>
      </c>
      <c r="C42" s="291"/>
      <c r="D42" s="291"/>
      <c r="E42" s="291"/>
      <c r="F42" s="291"/>
      <c r="G42" s="291"/>
      <c r="H42" s="291"/>
      <c r="I42" s="292"/>
      <c r="T42" s="182"/>
    </row>
    <row r="43" spans="2:20" x14ac:dyDescent="0.2">
      <c r="T43" s="182"/>
    </row>
    <row r="49" ht="12.75" customHeight="1" x14ac:dyDescent="0.2"/>
  </sheetData>
  <sheetProtection password="C664" sheet="1" objects="1" scenarios="1"/>
  <mergeCells count="94">
    <mergeCell ref="B38:S38"/>
    <mergeCell ref="B39:I39"/>
    <mergeCell ref="B40:I40"/>
    <mergeCell ref="B41:I41"/>
    <mergeCell ref="B42:I42"/>
    <mergeCell ref="B35:I35"/>
    <mergeCell ref="J35:S35"/>
    <mergeCell ref="B36:I36"/>
    <mergeCell ref="J36:S36"/>
    <mergeCell ref="B37:I37"/>
    <mergeCell ref="J37:S37"/>
    <mergeCell ref="B27:S27"/>
    <mergeCell ref="B28:S28"/>
    <mergeCell ref="B29:S29"/>
    <mergeCell ref="B30:S30"/>
    <mergeCell ref="B32:S32"/>
    <mergeCell ref="B34:I34"/>
    <mergeCell ref="J34:S34"/>
    <mergeCell ref="B25:I25"/>
    <mergeCell ref="K25:S25"/>
    <mergeCell ref="B26:F26"/>
    <mergeCell ref="G26:I26"/>
    <mergeCell ref="K26:M26"/>
    <mergeCell ref="N26:P26"/>
    <mergeCell ref="Q26:S26"/>
    <mergeCell ref="B22:F22"/>
    <mergeCell ref="G22:I22"/>
    <mergeCell ref="K22:M22"/>
    <mergeCell ref="N22:P22"/>
    <mergeCell ref="Q22:S22"/>
    <mergeCell ref="B23:F23"/>
    <mergeCell ref="G23:I23"/>
    <mergeCell ref="B20:F20"/>
    <mergeCell ref="G20:I20"/>
    <mergeCell ref="K20:M20"/>
    <mergeCell ref="N20:P20"/>
    <mergeCell ref="Q20:S20"/>
    <mergeCell ref="B21:F21"/>
    <mergeCell ref="G21:I21"/>
    <mergeCell ref="K21:M21"/>
    <mergeCell ref="N21:P21"/>
    <mergeCell ref="Q21:S21"/>
    <mergeCell ref="B18:F18"/>
    <mergeCell ref="G18:I18"/>
    <mergeCell ref="K18:M18"/>
    <mergeCell ref="N18:P18"/>
    <mergeCell ref="Q18:S18"/>
    <mergeCell ref="B19:F19"/>
    <mergeCell ref="G19:I19"/>
    <mergeCell ref="K19:M19"/>
    <mergeCell ref="N19:P19"/>
    <mergeCell ref="Q19:S19"/>
    <mergeCell ref="B16:F16"/>
    <mergeCell ref="G16:I16"/>
    <mergeCell ref="K16:M16"/>
    <mergeCell ref="N16:P16"/>
    <mergeCell ref="Q16:S16"/>
    <mergeCell ref="B17:F17"/>
    <mergeCell ref="G17:I17"/>
    <mergeCell ref="K17:M17"/>
    <mergeCell ref="N17:P17"/>
    <mergeCell ref="Q17:S17"/>
    <mergeCell ref="B14:F14"/>
    <mergeCell ref="G14:I14"/>
    <mergeCell ref="K14:M14"/>
    <mergeCell ref="N14:P14"/>
    <mergeCell ref="Q14:S14"/>
    <mergeCell ref="B15:F15"/>
    <mergeCell ref="G15:I15"/>
    <mergeCell ref="K15:M15"/>
    <mergeCell ref="N15:P15"/>
    <mergeCell ref="Q15:S15"/>
    <mergeCell ref="B10:Q10"/>
    <mergeCell ref="R10:S10"/>
    <mergeCell ref="B11:S11"/>
    <mergeCell ref="B12:F13"/>
    <mergeCell ref="G12:I13"/>
    <mergeCell ref="K12:S12"/>
    <mergeCell ref="K13:M13"/>
    <mergeCell ref="N13:P13"/>
    <mergeCell ref="Q13:S13"/>
    <mergeCell ref="B6:F6"/>
    <mergeCell ref="G6:S6"/>
    <mergeCell ref="B7:F7"/>
    <mergeCell ref="B8:F8"/>
    <mergeCell ref="B9:Q9"/>
    <mergeCell ref="R9:S9"/>
    <mergeCell ref="B1:S1"/>
    <mergeCell ref="B3:F3"/>
    <mergeCell ref="G3:S3"/>
    <mergeCell ref="B4:F4"/>
    <mergeCell ref="G4:S4"/>
    <mergeCell ref="B5:F5"/>
    <mergeCell ref="G5:S5"/>
  </mergeCells>
  <conditionalFormatting sqref="T14:T20 J26">
    <cfRule type="cellIs" dxfId="8" priority="5" stopIfTrue="1" operator="notEqual">
      <formula>"OK"</formula>
    </cfRule>
  </conditionalFormatting>
  <conditionalFormatting sqref="G3:S3 B32:S32 G14:I20 R9:S10 B41:I41 G6:S6">
    <cfRule type="cellIs" dxfId="7" priority="6" stopIfTrue="1" operator="equal">
      <formula>0</formula>
    </cfRule>
  </conditionalFormatting>
  <conditionalFormatting sqref="B11:S11">
    <cfRule type="cellIs" dxfId="6" priority="7" stopIfTrue="1" operator="notEqual">
      <formula>"."</formula>
    </cfRule>
  </conditionalFormatting>
  <conditionalFormatting sqref="B27:S27">
    <cfRule type="cellIs" dxfId="5" priority="8" stopIfTrue="1" operator="notEqual">
      <formula>"."</formula>
    </cfRule>
  </conditionalFormatting>
  <conditionalFormatting sqref="B30:S30">
    <cfRule type="cellIs" dxfId="4" priority="9" stopIfTrue="1" operator="notEqual">
      <formula>"."</formula>
    </cfRule>
  </conditionalFormatting>
  <conditionalFormatting sqref="B36:I36">
    <cfRule type="cellIs" dxfId="3" priority="4" stopIfTrue="1" operator="equal">
      <formula>0</formula>
    </cfRule>
  </conditionalFormatting>
  <conditionalFormatting sqref="G4:S5">
    <cfRule type="cellIs" dxfId="2" priority="3" stopIfTrue="1" operator="equal">
      <formula>0</formula>
    </cfRule>
  </conditionalFormatting>
  <conditionalFormatting sqref="J34:S34">
    <cfRule type="cellIs" dxfId="1" priority="2" stopIfTrue="1" operator="equal">
      <formula>0</formula>
    </cfRule>
  </conditionalFormatting>
  <conditionalFormatting sqref="J36:S36">
    <cfRule type="cellIs" dxfId="0" priority="1" stopIfTrue="1" operator="equal">
      <formula>0</formula>
    </cfRule>
  </conditionalFormatting>
  <pageMargins left="0.78740157499999996" right="0.78740157499999996" top="0.49" bottom="0.5" header="0.49212598499999999" footer="0.49212598499999999"/>
  <pageSetup paperSize="9" scale="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Drop Down 1">
              <controlPr defaultSize="0" autoLine="0" autoPict="0">
                <anchor moveWithCells="1">
                  <from>
                    <xdr:col>6</xdr:col>
                    <xdr:colOff>9525</xdr:colOff>
                    <xdr:row>6</xdr:row>
                    <xdr:rowOff>9525</xdr:rowOff>
                  </from>
                  <to>
                    <xdr:col>18</xdr:col>
                    <xdr:colOff>190500</xdr:colOff>
                    <xdr:row>6</xdr:row>
                    <xdr:rowOff>228600</xdr:rowOff>
                  </to>
                </anchor>
              </controlPr>
            </control>
          </mc:Choice>
        </mc:AlternateContent>
        <mc:AlternateContent xmlns:mc="http://schemas.openxmlformats.org/markup-compatibility/2006">
          <mc:Choice Requires="x14">
            <control shapeId="7170" r:id="rId5" name="Drop Down 2">
              <controlPr defaultSize="0" autoLine="0" autoPict="0">
                <anchor moveWithCells="1">
                  <from>
                    <xdr:col>6</xdr:col>
                    <xdr:colOff>9525</xdr:colOff>
                    <xdr:row>7</xdr:row>
                    <xdr:rowOff>9525</xdr:rowOff>
                  </from>
                  <to>
                    <xdr:col>19</xdr:col>
                    <xdr:colOff>0</xdr:colOff>
                    <xdr:row>7</xdr:row>
                    <xdr:rowOff>228600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3</vt:i4>
      </vt:variant>
    </vt:vector>
  </HeadingPairs>
  <TitlesOfParts>
    <vt:vector size="9" baseType="lpstr">
      <vt:lpstr>Orçamento </vt:lpstr>
      <vt:lpstr>Memória</vt:lpstr>
      <vt:lpstr>Composições</vt:lpstr>
      <vt:lpstr>Lista preços</vt:lpstr>
      <vt:lpstr>Mat asfalt.</vt:lpstr>
      <vt:lpstr>BDI</vt:lpstr>
      <vt:lpstr>BDI!Area_de_impressao</vt:lpstr>
      <vt:lpstr>'Orçamento '!Area_de_impressao</vt:lpstr>
      <vt:lpstr>'Orçamento '!Titulos_de_impressao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2025-12-03T21:41:38Z</dcterms:created>
  <dcterms:modified xsi:type="dcterms:W3CDTF">2026-02-09T18:26:08Z</dcterms:modified>
</cp:coreProperties>
</file>