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EstaPasta_de_trabalho" defaultThemeVersion="124226"/>
  <bookViews>
    <workbookView xWindow="-120" yWindow="-120" windowWidth="29040" windowHeight="13740" tabRatio="924" firstSheet="2" activeTab="2"/>
  </bookViews>
  <sheets>
    <sheet name="BASE EDITAL" sheetId="8" state="hidden" r:id="rId1"/>
    <sheet name="BASE FORMAÇÃO" sheetId="1" state="hidden" r:id="rId2"/>
    <sheet name="EDITAL" sheetId="29" r:id="rId3"/>
    <sheet name="CALCULO PREÇO UNITÁRIO" sheetId="18" r:id="rId4"/>
    <sheet name="QUANTITATIVOS" sheetId="30" r:id="rId5"/>
    <sheet name="PARÂMETROS - MESA" sheetId="22" r:id="rId6"/>
    <sheet name="PARÂMETROS - EST" sheetId="15" r:id="rId7"/>
    <sheet name="MAT SER E DESP - MESA" sheetId="23" r:id="rId8"/>
    <sheet name="MAT SER E DESP - EST" sheetId="14" r:id="rId9"/>
    <sheet name="Energia Elétrica - MESA" sheetId="27" r:id="rId10"/>
    <sheet name="Energia Elétrica - EST" sheetId="16" r:id="rId11"/>
    <sheet name="Equipamentos - MESA" sheetId="25" r:id="rId12"/>
    <sheet name="Equipamentos - EST" sheetId="19" r:id="rId13"/>
    <sheet name="Iluminação - MESA" sheetId="26" r:id="rId14"/>
    <sheet name="Iluminação - EST" sheetId="20" r:id="rId15"/>
    <sheet name="Consumíveis - MESA" sheetId="28" r:id="rId16"/>
    <sheet name="Consumíveis - EST" sheetId="17" r:id="rId17"/>
    <sheet name="MAPA DE PREÇOS" sheetId="2" r:id="rId18"/>
    <sheet name="EDITAL_A" sheetId="11" r:id="rId19"/>
    <sheet name="CRONOGRAMA" sheetId="12" state="hidden" r:id="rId20"/>
    <sheet name="ABC" sheetId="10" r:id="rId21"/>
    <sheet name="METODOLOGIA" sheetId="9" r:id="rId22"/>
    <sheet name="EDITAL (MAIOR DESCONTO)" sheetId="13" state="hidden" r:id="rId23"/>
    <sheet name="Tabela de Apoio" sheetId="5" state="hidden" r:id="rId24"/>
  </sheets>
  <definedNames>
    <definedName name="_xlnm._FilterDatabase" localSheetId="1" hidden="1">'BASE FORMAÇÃO'!$A$1:$K$1</definedName>
    <definedName name="_xlnm._FilterDatabase" localSheetId="4" hidden="1">QUANTITATIVOS!$A$7:$K$7</definedName>
    <definedName name="Excel_BuiltIn_Print_Area" localSheetId="17">'MAPA DE PREÇOS'!$N$6:$P$33</definedName>
  </definedNames>
  <calcPr calcId="181029"/>
</workbook>
</file>

<file path=xl/calcChain.xml><?xml version="1.0" encoding="utf-8"?>
<calcChain xmlns="http://schemas.openxmlformats.org/spreadsheetml/2006/main">
  <c r="C227" i="14" l="1"/>
  <c r="D95" i="14" l="1"/>
  <c r="D117" i="14" s="1"/>
  <c r="D139" i="14" s="1"/>
  <c r="D161" i="14" s="1"/>
  <c r="F20" i="22" l="1"/>
  <c r="F20" i="15"/>
  <c r="F6" i="29" l="1"/>
  <c r="F7" i="29"/>
  <c r="F8" i="29"/>
  <c r="F9" i="29"/>
  <c r="F10" i="29"/>
  <c r="F11" i="29"/>
  <c r="F12" i="29"/>
  <c r="F13" i="29"/>
  <c r="F14" i="29"/>
  <c r="F15" i="29"/>
  <c r="F16" i="29"/>
  <c r="F17" i="29"/>
  <c r="F18" i="29"/>
  <c r="F19" i="29"/>
  <c r="F20" i="29"/>
  <c r="F5" i="29"/>
  <c r="F23" i="29" s="1"/>
  <c r="D18" i="18" l="1"/>
  <c r="D10" i="18"/>
  <c r="D22" i="29"/>
  <c r="F22" i="29" s="1"/>
  <c r="D21" i="29"/>
  <c r="E9" i="30"/>
  <c r="G6" i="29" s="1"/>
  <c r="E10" i="30"/>
  <c r="G7" i="29" s="1"/>
  <c r="E11" i="30"/>
  <c r="G8" i="29" s="1"/>
  <c r="E12" i="30"/>
  <c r="G9" i="29" s="1"/>
  <c r="E13" i="30"/>
  <c r="G10" i="29" s="1"/>
  <c r="E14" i="30"/>
  <c r="G11" i="29" s="1"/>
  <c r="E15" i="30"/>
  <c r="G12" i="29" s="1"/>
  <c r="E16" i="30"/>
  <c r="G13" i="29" s="1"/>
  <c r="E17" i="30"/>
  <c r="G14" i="29" s="1"/>
  <c r="E18" i="30"/>
  <c r="G15" i="29" s="1"/>
  <c r="E19" i="30"/>
  <c r="G16" i="29" s="1"/>
  <c r="E20" i="30"/>
  <c r="G17" i="29" s="1"/>
  <c r="E21" i="30"/>
  <c r="G18" i="29" s="1"/>
  <c r="E22" i="30"/>
  <c r="G19" i="29" s="1"/>
  <c r="E23" i="30"/>
  <c r="G20" i="29" s="1"/>
  <c r="E8" i="30"/>
  <c r="G5" i="29" s="1"/>
  <c r="E9" i="29"/>
  <c r="E17" i="29"/>
  <c r="I9" i="30"/>
  <c r="E6" i="29" s="1"/>
  <c r="H10" i="30"/>
  <c r="I10" i="30"/>
  <c r="E7" i="29" s="1"/>
  <c r="I12" i="30"/>
  <c r="I13" i="30"/>
  <c r="E10" i="29" s="1"/>
  <c r="H14" i="30"/>
  <c r="I14" i="30"/>
  <c r="E11" i="29" s="1"/>
  <c r="I16" i="30"/>
  <c r="E13" i="29" s="1"/>
  <c r="I17" i="30"/>
  <c r="E14" i="29" s="1"/>
  <c r="H18" i="30"/>
  <c r="I18" i="30"/>
  <c r="E15" i="29" s="1"/>
  <c r="I20" i="30"/>
  <c r="I21" i="30"/>
  <c r="E18" i="29" s="1"/>
  <c r="H22" i="30"/>
  <c r="I22" i="30"/>
  <c r="E19" i="29" s="1"/>
  <c r="G24" i="30"/>
  <c r="I19" i="30" s="1"/>
  <c r="E16" i="29" s="1"/>
  <c r="F24" i="30"/>
  <c r="H11" i="30" s="1"/>
  <c r="H9" i="29" l="1"/>
  <c r="H17" i="29"/>
  <c r="H7" i="29"/>
  <c r="H21" i="30"/>
  <c r="H17" i="30"/>
  <c r="H13" i="30"/>
  <c r="H9" i="30"/>
  <c r="H14" i="29"/>
  <c r="H6" i="29"/>
  <c r="H16" i="29"/>
  <c r="H15" i="29"/>
  <c r="H8" i="30"/>
  <c r="H24" i="30" s="1"/>
  <c r="I8" i="30"/>
  <c r="E5" i="29" s="1"/>
  <c r="I23" i="30"/>
  <c r="E20" i="29" s="1"/>
  <c r="H20" i="29" s="1"/>
  <c r="I15" i="30"/>
  <c r="E12" i="29" s="1"/>
  <c r="I11" i="30"/>
  <c r="E8" i="29" s="1"/>
  <c r="H8" i="29" s="1"/>
  <c r="H19" i="29"/>
  <c r="H11" i="29"/>
  <c r="H13" i="29"/>
  <c r="H20" i="30"/>
  <c r="H16" i="30"/>
  <c r="H12" i="30"/>
  <c r="H12" i="29"/>
  <c r="H23" i="30"/>
  <c r="H19" i="30"/>
  <c r="H15" i="30"/>
  <c r="H18" i="29"/>
  <c r="H10" i="29"/>
  <c r="D23" i="29"/>
  <c r="F21" i="29"/>
  <c r="G21" i="29"/>
  <c r="E21" i="29"/>
  <c r="G23" i="29"/>
  <c r="G22" i="29"/>
  <c r="E23" i="29" l="1"/>
  <c r="H5" i="29"/>
  <c r="I24" i="30"/>
  <c r="E22" i="29"/>
  <c r="H22" i="29" s="1"/>
  <c r="H21" i="29"/>
  <c r="D8" i="15"/>
  <c r="D11" i="15" s="1"/>
  <c r="D8" i="22"/>
  <c r="H23" i="29"/>
  <c r="D9" i="18" l="1"/>
  <c r="D11" i="22"/>
  <c r="D11" i="18" l="1"/>
  <c r="D17" i="18"/>
  <c r="D19" i="18" s="1"/>
  <c r="C34" i="28"/>
  <c r="C32" i="28"/>
  <c r="C31" i="28"/>
  <c r="C23" i="28"/>
  <c r="C24" i="28" s="1"/>
  <c r="C11" i="28"/>
  <c r="C9" i="28"/>
  <c r="C8" i="28"/>
  <c r="C7" i="28"/>
  <c r="D9" i="26"/>
  <c r="E9" i="26" s="1"/>
  <c r="G9" i="26" s="1"/>
  <c r="D8" i="26"/>
  <c r="D6" i="26"/>
  <c r="E6" i="26" s="1"/>
  <c r="G6" i="26" s="1"/>
  <c r="D5" i="26"/>
  <c r="C8" i="25"/>
  <c r="C14" i="25" s="1"/>
  <c r="D205" i="23"/>
  <c r="D176" i="23"/>
  <c r="D161" i="23"/>
  <c r="D139" i="23"/>
  <c r="D117" i="23"/>
  <c r="D95" i="23"/>
  <c r="C17" i="23"/>
  <c r="D153" i="23" s="1"/>
  <c r="D165" i="23" s="1"/>
  <c r="C16" i="23"/>
  <c r="D131" i="23" s="1"/>
  <c r="C15" i="23"/>
  <c r="C12" i="23"/>
  <c r="E21" i="27" s="1"/>
  <c r="V28" i="27" s="1"/>
  <c r="C11" i="23"/>
  <c r="E20" i="27" s="1"/>
  <c r="V27" i="27" s="1"/>
  <c r="C9" i="23"/>
  <c r="C8" i="23"/>
  <c r="G25" i="25" s="1"/>
  <c r="C7" i="23"/>
  <c r="D34" i="22"/>
  <c r="D35" i="22" s="1"/>
  <c r="D24" i="22"/>
  <c r="C57" i="28"/>
  <c r="C54" i="28"/>
  <c r="F11" i="28"/>
  <c r="F9" i="28"/>
  <c r="E9" i="28"/>
  <c r="E8" i="28"/>
  <c r="G8" i="28"/>
  <c r="G12" i="28" s="1"/>
  <c r="G13" i="28" s="1"/>
  <c r="E17" i="28" s="1"/>
  <c r="F43" i="27"/>
  <c r="F42" i="27"/>
  <c r="F41" i="27"/>
  <c r="E38" i="27"/>
  <c r="G43" i="27" s="1"/>
  <c r="V30" i="27"/>
  <c r="F22" i="27"/>
  <c r="V29" i="27" s="1"/>
  <c r="T14" i="27"/>
  <c r="T16" i="27" s="1"/>
  <c r="U16" i="27" s="1"/>
  <c r="X6" i="27"/>
  <c r="X7" i="27" s="1"/>
  <c r="E8" i="26"/>
  <c r="G8" i="26" s="1"/>
  <c r="E5" i="26"/>
  <c r="G5" i="26" s="1"/>
  <c r="C30" i="25"/>
  <c r="G14" i="25"/>
  <c r="C48" i="28" s="1"/>
  <c r="G12" i="25"/>
  <c r="C46" i="28" s="1"/>
  <c r="C10" i="25"/>
  <c r="C12" i="25" s="1"/>
  <c r="G8" i="25"/>
  <c r="G13" i="25" s="1"/>
  <c r="C44" i="28" s="1"/>
  <c r="C229" i="23"/>
  <c r="D215" i="23" s="1"/>
  <c r="D206" i="23"/>
  <c r="D159" i="23"/>
  <c r="D137" i="23"/>
  <c r="D115" i="23"/>
  <c r="D93" i="23"/>
  <c r="D71" i="23"/>
  <c r="H15" i="23"/>
  <c r="D44" i="22"/>
  <c r="D41" i="22"/>
  <c r="D37" i="22"/>
  <c r="D26" i="22"/>
  <c r="C10" i="28" s="1"/>
  <c r="F10" i="28" s="1"/>
  <c r="C7" i="22"/>
  <c r="C25" i="25" l="1"/>
  <c r="C37" i="25" s="1"/>
  <c r="C12" i="28"/>
  <c r="D7" i="26"/>
  <c r="E7" i="26" s="1"/>
  <c r="G7" i="26" s="1"/>
  <c r="D29" i="23"/>
  <c r="C33" i="28"/>
  <c r="C35" i="28" s="1"/>
  <c r="C37" i="28" s="1"/>
  <c r="C39" i="28" s="1"/>
  <c r="C41" i="28" s="1"/>
  <c r="C42" i="28" s="1"/>
  <c r="D192" i="23" s="1"/>
  <c r="G33" i="25"/>
  <c r="G34" i="25" s="1"/>
  <c r="G30" i="25"/>
  <c r="C28" i="25"/>
  <c r="C31" i="25" s="1"/>
  <c r="C15" i="25"/>
  <c r="C17" i="25" s="1"/>
  <c r="C19" i="25" s="1"/>
  <c r="D191" i="23"/>
  <c r="I6" i="26"/>
  <c r="D11" i="27" s="1"/>
  <c r="C8" i="22"/>
  <c r="C11" i="22"/>
  <c r="E7" i="28"/>
  <c r="E10" i="28"/>
  <c r="F8" i="28"/>
  <c r="E11" i="28"/>
  <c r="F7" i="28"/>
  <c r="F12" i="28" s="1"/>
  <c r="F13" i="28" s="1"/>
  <c r="E16" i="28" s="1"/>
  <c r="AB6" i="27"/>
  <c r="AC6" i="27" s="1"/>
  <c r="AB5" i="27"/>
  <c r="AC5" i="27" s="1"/>
  <c r="Z7" i="27"/>
  <c r="AA7" i="27" s="1"/>
  <c r="X8" i="27"/>
  <c r="AB7" i="27"/>
  <c r="AC7" i="27" s="1"/>
  <c r="Z5" i="27"/>
  <c r="AA5" i="27" s="1"/>
  <c r="Z6" i="27"/>
  <c r="AA6" i="27" s="1"/>
  <c r="T15" i="27"/>
  <c r="U15" i="27" s="1"/>
  <c r="U14" i="27" s="1"/>
  <c r="D33" i="22" s="1"/>
  <c r="C33" i="25" s="1"/>
  <c r="G41" i="27"/>
  <c r="G42" i="27"/>
  <c r="D143" i="23"/>
  <c r="H16" i="23"/>
  <c r="D109" i="23"/>
  <c r="D121" i="23" s="1"/>
  <c r="C20" i="25" l="1"/>
  <c r="G26" i="25" s="1"/>
  <c r="G27" i="25" s="1"/>
  <c r="G28" i="25" s="1"/>
  <c r="G31" i="25" s="1"/>
  <c r="G35" i="25" s="1"/>
  <c r="G36" i="25" s="1"/>
  <c r="C34" i="25" s="1"/>
  <c r="C43" i="28"/>
  <c r="C45" i="28" s="1"/>
  <c r="C47" i="28" s="1"/>
  <c r="C49" i="28" s="1"/>
  <c r="C51" i="28" s="1"/>
  <c r="D196" i="23" s="1"/>
  <c r="D190" i="23"/>
  <c r="E12" i="28"/>
  <c r="E13" i="28" s="1"/>
  <c r="AB8" i="27"/>
  <c r="AC8" i="27" s="1"/>
  <c r="X9" i="27"/>
  <c r="Z8" i="27"/>
  <c r="AA8" i="27" s="1"/>
  <c r="D159" i="14"/>
  <c r="C17" i="14"/>
  <c r="D153" i="14" s="1"/>
  <c r="C21" i="25" l="1"/>
  <c r="C22" i="25" s="1"/>
  <c r="D17" i="22" s="1"/>
  <c r="C13" i="23" s="1"/>
  <c r="X10" i="27"/>
  <c r="Z9" i="27"/>
  <c r="AA9" i="27" s="1"/>
  <c r="AB9" i="27"/>
  <c r="AC9" i="27" s="1"/>
  <c r="H13" i="23" l="1"/>
  <c r="C13" i="25" s="1"/>
  <c r="C18" i="25" s="1"/>
  <c r="D16" i="27" s="1"/>
  <c r="D65" i="23"/>
  <c r="D77" i="23" s="1"/>
  <c r="D12" i="22"/>
  <c r="D13" i="22" s="1"/>
  <c r="D10" i="22" s="1"/>
  <c r="C55" i="28" s="1"/>
  <c r="C56" i="28" s="1"/>
  <c r="C58" i="28" s="1"/>
  <c r="D186" i="23" s="1"/>
  <c r="Z10" i="27"/>
  <c r="AA10" i="27" s="1"/>
  <c r="X11" i="27"/>
  <c r="AB10" i="27"/>
  <c r="AC10" i="27" s="1"/>
  <c r="AB11" i="27" l="1"/>
  <c r="AC11" i="27" s="1"/>
  <c r="X12" i="27"/>
  <c r="Z11" i="27"/>
  <c r="AA11" i="27" s="1"/>
  <c r="X13" i="27" l="1"/>
  <c r="AB12" i="27"/>
  <c r="AC12" i="27" s="1"/>
  <c r="Z12" i="27"/>
  <c r="AA12" i="27" s="1"/>
  <c r="Z13" i="27" l="1"/>
  <c r="AA13" i="27" s="1"/>
  <c r="X14" i="27"/>
  <c r="AB13" i="27"/>
  <c r="AC13" i="27" s="1"/>
  <c r="C11" i="15"/>
  <c r="C8" i="15"/>
  <c r="C7" i="15"/>
  <c r="D9" i="20"/>
  <c r="E9" i="20" s="1"/>
  <c r="G9" i="20" s="1"/>
  <c r="D8" i="20"/>
  <c r="E8" i="20" s="1"/>
  <c r="G8" i="20" s="1"/>
  <c r="D6" i="20"/>
  <c r="E6" i="20" s="1"/>
  <c r="G6" i="20" s="1"/>
  <c r="I6" i="20" s="1"/>
  <c r="D5" i="20"/>
  <c r="E5" i="20" s="1"/>
  <c r="G5" i="20" s="1"/>
  <c r="C30" i="19"/>
  <c r="G14" i="19"/>
  <c r="C48" i="17" s="1"/>
  <c r="G12" i="19"/>
  <c r="C46" i="17" s="1"/>
  <c r="C10" i="19"/>
  <c r="C12" i="19" s="1"/>
  <c r="G8" i="19"/>
  <c r="G13" i="19" s="1"/>
  <c r="C44" i="17" s="1"/>
  <c r="C8" i="19"/>
  <c r="D41" i="15"/>
  <c r="C12" i="14" s="1"/>
  <c r="C11" i="14"/>
  <c r="C57" i="17"/>
  <c r="C54" i="17"/>
  <c r="P624" i="2"/>
  <c r="C16" i="14"/>
  <c r="C15" i="14"/>
  <c r="C34" i="17"/>
  <c r="C32" i="17"/>
  <c r="Z14" i="27" l="1"/>
  <c r="AA14" i="27" s="1"/>
  <c r="AB14" i="27"/>
  <c r="AC14" i="27" s="1"/>
  <c r="X15" i="27"/>
  <c r="C14" i="19"/>
  <c r="C23" i="17"/>
  <c r="C24" i="17" s="1"/>
  <c r="D206" i="14"/>
  <c r="D205" i="14"/>
  <c r="H15" i="14"/>
  <c r="H16" i="14"/>
  <c r="Z15" i="27" l="1"/>
  <c r="AA15" i="27" s="1"/>
  <c r="X16" i="27"/>
  <c r="AB15" i="27"/>
  <c r="AC15" i="27" s="1"/>
  <c r="C7" i="14"/>
  <c r="D176" i="14"/>
  <c r="C9" i="14"/>
  <c r="X17" i="27" l="1"/>
  <c r="Z16" i="27"/>
  <c r="AA16" i="27" s="1"/>
  <c r="AB16" i="27"/>
  <c r="AC16" i="27" s="1"/>
  <c r="S456" i="2"/>
  <c r="R456" i="2"/>
  <c r="P456" i="2"/>
  <c r="D26" i="15"/>
  <c r="D7" i="20" s="1"/>
  <c r="E7" i="20" s="1"/>
  <c r="G7" i="20" s="1"/>
  <c r="C7" i="17"/>
  <c r="E7" i="17" s="1"/>
  <c r="C8" i="17"/>
  <c r="C9" i="17"/>
  <c r="F9" i="17" s="1"/>
  <c r="C11" i="17"/>
  <c r="AB17" i="27" l="1"/>
  <c r="AC17" i="27" s="1"/>
  <c r="X18" i="27"/>
  <c r="Z17" i="27"/>
  <c r="AA17" i="27" s="1"/>
  <c r="G8" i="17"/>
  <c r="G12" i="17" s="1"/>
  <c r="G13" i="17" s="1"/>
  <c r="E8" i="17"/>
  <c r="F8" i="17"/>
  <c r="E9" i="17"/>
  <c r="F7" i="17"/>
  <c r="E11" i="17"/>
  <c r="F11" i="17"/>
  <c r="F41" i="16"/>
  <c r="E38" i="16"/>
  <c r="G43" i="16" s="1"/>
  <c r="AB18" i="27" l="1"/>
  <c r="AC18" i="27" s="1"/>
  <c r="X19" i="27"/>
  <c r="Z18" i="27"/>
  <c r="AA18" i="27" s="1"/>
  <c r="E17" i="17"/>
  <c r="D191" i="14"/>
  <c r="G41" i="16"/>
  <c r="G42" i="16"/>
  <c r="V30" i="16"/>
  <c r="F22" i="16"/>
  <c r="V29" i="16" s="1"/>
  <c r="Z19" i="27" l="1"/>
  <c r="AA19" i="27" s="1"/>
  <c r="AB19" i="27"/>
  <c r="AC19" i="27" s="1"/>
  <c r="X20" i="27"/>
  <c r="AB5" i="16"/>
  <c r="AC5" i="16" s="1"/>
  <c r="F43" i="16"/>
  <c r="F42" i="16"/>
  <c r="T14" i="16"/>
  <c r="T15" i="16" s="1"/>
  <c r="U15" i="16" s="1"/>
  <c r="E20" i="16"/>
  <c r="V27" i="16" s="1"/>
  <c r="D34" i="15"/>
  <c r="D35" i="15" s="1"/>
  <c r="X6" i="16"/>
  <c r="X7" i="16" s="1"/>
  <c r="AB7" i="16" s="1"/>
  <c r="AC7" i="16" s="1"/>
  <c r="D44" i="15"/>
  <c r="D37" i="15"/>
  <c r="C229" i="14"/>
  <c r="D215" i="14" s="1"/>
  <c r="D165" i="14"/>
  <c r="D137" i="14"/>
  <c r="D131" i="14"/>
  <c r="D143" i="14" s="1"/>
  <c r="D115" i="14"/>
  <c r="D109" i="14"/>
  <c r="D121" i="14" s="1"/>
  <c r="D93" i="14"/>
  <c r="D71" i="14"/>
  <c r="C25" i="19" l="1"/>
  <c r="C28" i="19" s="1"/>
  <c r="C31" i="19" s="1"/>
  <c r="AB20" i="27"/>
  <c r="AC20" i="27" s="1"/>
  <c r="Z20" i="27"/>
  <c r="AA20" i="27" s="1"/>
  <c r="X21" i="27"/>
  <c r="C10" i="17"/>
  <c r="D11" i="16"/>
  <c r="AB6" i="16"/>
  <c r="AC6" i="16" s="1"/>
  <c r="X8" i="16"/>
  <c r="AB8" i="16" s="1"/>
  <c r="AC8" i="16" s="1"/>
  <c r="T16" i="16"/>
  <c r="U16" i="16" s="1"/>
  <c r="U14" i="16" s="1"/>
  <c r="L20" i="13"/>
  <c r="M20" i="13" s="1"/>
  <c r="L21" i="13"/>
  <c r="M21" i="13" s="1"/>
  <c r="L22" i="13"/>
  <c r="M22" i="13" s="1"/>
  <c r="E14" i="13"/>
  <c r="G11" i="13"/>
  <c r="L19" i="13"/>
  <c r="M19" i="13" s="1"/>
  <c r="G33" i="19" l="1"/>
  <c r="G34" i="19" s="1"/>
  <c r="G30" i="19"/>
  <c r="D24" i="15"/>
  <c r="C37" i="19"/>
  <c r="D19" i="15" s="1"/>
  <c r="C14" i="14" s="1"/>
  <c r="X22" i="27"/>
  <c r="AB21" i="27"/>
  <c r="AC21" i="27" s="1"/>
  <c r="Z21" i="27"/>
  <c r="AA21" i="27" s="1"/>
  <c r="E10" i="17"/>
  <c r="E12" i="17" s="1"/>
  <c r="E13" i="17" s="1"/>
  <c r="C12" i="17"/>
  <c r="F10" i="17"/>
  <c r="F12" i="17" s="1"/>
  <c r="F13" i="17" s="1"/>
  <c r="E16" i="17" s="1"/>
  <c r="D190" i="14" s="1"/>
  <c r="D33" i="15"/>
  <c r="X9" i="16"/>
  <c r="AB9" i="16" s="1"/>
  <c r="AC9" i="16" s="1"/>
  <c r="M23" i="13"/>
  <c r="AB22" i="27" l="1"/>
  <c r="AC22" i="27" s="1"/>
  <c r="Z22" i="27"/>
  <c r="AA22" i="27" s="1"/>
  <c r="X23" i="27"/>
  <c r="C20" i="19"/>
  <c r="C33" i="19"/>
  <c r="X10" i="16"/>
  <c r="AB10" i="16" s="1"/>
  <c r="AC10" i="16" s="1"/>
  <c r="P40" i="2"/>
  <c r="Q40" i="2"/>
  <c r="R40" i="2"/>
  <c r="S40" i="2"/>
  <c r="S42" i="2" s="1"/>
  <c r="S44" i="2" s="1"/>
  <c r="S46" i="2" s="1"/>
  <c r="S48" i="2" s="1"/>
  <c r="S50" i="2" s="1"/>
  <c r="S52" i="2" s="1"/>
  <c r="S54"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S41" i="2"/>
  <c r="T41" i="2"/>
  <c r="U41" i="2"/>
  <c r="V41" i="2"/>
  <c r="W41" i="2"/>
  <c r="X41" i="2"/>
  <c r="Y41" i="2"/>
  <c r="Z41" i="2"/>
  <c r="AA41" i="2"/>
  <c r="AB41" i="2"/>
  <c r="AC41" i="2"/>
  <c r="AD41" i="2"/>
  <c r="AE41" i="2"/>
  <c r="AF41" i="2"/>
  <c r="AG41" i="2"/>
  <c r="AH41" i="2"/>
  <c r="AI41" i="2"/>
  <c r="J42" i="2"/>
  <c r="O43" i="2"/>
  <c r="S43" i="2"/>
  <c r="T43" i="2"/>
  <c r="U43" i="2"/>
  <c r="V43" i="2"/>
  <c r="W43" i="2"/>
  <c r="X43" i="2"/>
  <c r="Y43" i="2"/>
  <c r="Z43" i="2"/>
  <c r="AA43" i="2"/>
  <c r="AB43" i="2"/>
  <c r="AC43" i="2"/>
  <c r="AD43" i="2"/>
  <c r="AE43" i="2"/>
  <c r="AF43" i="2"/>
  <c r="AG43" i="2"/>
  <c r="AH43" i="2"/>
  <c r="AI43" i="2"/>
  <c r="O44" i="2"/>
  <c r="O45" i="2"/>
  <c r="S45" i="2"/>
  <c r="T45" i="2"/>
  <c r="U45" i="2"/>
  <c r="V45" i="2"/>
  <c r="W45" i="2"/>
  <c r="X45" i="2"/>
  <c r="Y45" i="2"/>
  <c r="Z45" i="2"/>
  <c r="AA45" i="2"/>
  <c r="AB45" i="2"/>
  <c r="AC45" i="2"/>
  <c r="AD45" i="2"/>
  <c r="AE45" i="2"/>
  <c r="AF45" i="2"/>
  <c r="AG45" i="2"/>
  <c r="AH45" i="2"/>
  <c r="AI45" i="2"/>
  <c r="O46" i="2"/>
  <c r="O47" i="2"/>
  <c r="S47" i="2"/>
  <c r="T47" i="2"/>
  <c r="U47" i="2"/>
  <c r="V47" i="2"/>
  <c r="W47" i="2"/>
  <c r="X47" i="2"/>
  <c r="Y47" i="2"/>
  <c r="Z47" i="2"/>
  <c r="AA47" i="2"/>
  <c r="AB47" i="2"/>
  <c r="AC47" i="2"/>
  <c r="AD47" i="2"/>
  <c r="AE47" i="2"/>
  <c r="AF47" i="2"/>
  <c r="AG47" i="2"/>
  <c r="AH47" i="2"/>
  <c r="AI47" i="2"/>
  <c r="O48" i="2"/>
  <c r="O49" i="2"/>
  <c r="S49" i="2"/>
  <c r="T49" i="2"/>
  <c r="U49" i="2"/>
  <c r="V49" i="2"/>
  <c r="W49" i="2"/>
  <c r="X49" i="2"/>
  <c r="Y49" i="2"/>
  <c r="Z49" i="2"/>
  <c r="AA49" i="2"/>
  <c r="AB49" i="2"/>
  <c r="AC49" i="2"/>
  <c r="AD49" i="2"/>
  <c r="AE49" i="2"/>
  <c r="AF49" i="2"/>
  <c r="AG49" i="2"/>
  <c r="AH49" i="2"/>
  <c r="AI49" i="2"/>
  <c r="O50" i="2"/>
  <c r="O51" i="2"/>
  <c r="S51" i="2"/>
  <c r="T51" i="2"/>
  <c r="U51" i="2"/>
  <c r="V51" i="2"/>
  <c r="W51" i="2"/>
  <c r="X51" i="2"/>
  <c r="Y51" i="2"/>
  <c r="Z51" i="2"/>
  <c r="AA51" i="2"/>
  <c r="AB51" i="2"/>
  <c r="AC51" i="2"/>
  <c r="AD51" i="2"/>
  <c r="AE51" i="2"/>
  <c r="AF51" i="2"/>
  <c r="AG51" i="2"/>
  <c r="AH51" i="2"/>
  <c r="AI51" i="2"/>
  <c r="O52" i="2"/>
  <c r="O53" i="2"/>
  <c r="S53" i="2"/>
  <c r="T53" i="2"/>
  <c r="U53" i="2"/>
  <c r="V53" i="2"/>
  <c r="W53" i="2"/>
  <c r="X53" i="2"/>
  <c r="Y53" i="2"/>
  <c r="Z53" i="2"/>
  <c r="AA53" i="2"/>
  <c r="AB53" i="2"/>
  <c r="AC53" i="2"/>
  <c r="AD53" i="2"/>
  <c r="AE53" i="2"/>
  <c r="AF53" i="2"/>
  <c r="AG53" i="2"/>
  <c r="AH53" i="2"/>
  <c r="AI53" i="2"/>
  <c r="O54" i="2"/>
  <c r="P61" i="2"/>
  <c r="Q61" i="2"/>
  <c r="R61" i="2"/>
  <c r="S61" i="2"/>
  <c r="S63" i="2" s="1"/>
  <c r="S65" i="2" s="1"/>
  <c r="S67" i="2" s="1"/>
  <c r="S69" i="2" s="1"/>
  <c r="S71" i="2" s="1"/>
  <c r="S73" i="2" s="1"/>
  <c r="S75" i="2" s="1"/>
  <c r="T61" i="2"/>
  <c r="T63" i="2" s="1"/>
  <c r="T65" i="2" s="1"/>
  <c r="T67" i="2" s="1"/>
  <c r="T69" i="2" s="1"/>
  <c r="T71" i="2" s="1"/>
  <c r="T73" i="2" s="1"/>
  <c r="T75" i="2" s="1"/>
  <c r="U61" i="2"/>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O64" i="2"/>
  <c r="S64" i="2"/>
  <c r="T64" i="2"/>
  <c r="U64" i="2"/>
  <c r="V64" i="2"/>
  <c r="W64" i="2"/>
  <c r="X64" i="2"/>
  <c r="Y64" i="2"/>
  <c r="Z64" i="2"/>
  <c r="AA64" i="2"/>
  <c r="AB64" i="2"/>
  <c r="AC64" i="2"/>
  <c r="AD64" i="2"/>
  <c r="AE64" i="2"/>
  <c r="AF64" i="2"/>
  <c r="AG64" i="2"/>
  <c r="AH64" i="2"/>
  <c r="AI64" i="2"/>
  <c r="O65" i="2"/>
  <c r="O66" i="2"/>
  <c r="S66" i="2"/>
  <c r="T66" i="2"/>
  <c r="U66" i="2"/>
  <c r="V66" i="2"/>
  <c r="W66" i="2"/>
  <c r="X66" i="2"/>
  <c r="Y66" i="2"/>
  <c r="Z66" i="2"/>
  <c r="AA66" i="2"/>
  <c r="AB66" i="2"/>
  <c r="AC66" i="2"/>
  <c r="AD66" i="2"/>
  <c r="AE66" i="2"/>
  <c r="AF66" i="2"/>
  <c r="AG66" i="2"/>
  <c r="AH66" i="2"/>
  <c r="AI66" i="2"/>
  <c r="O67" i="2"/>
  <c r="O68" i="2"/>
  <c r="S68" i="2"/>
  <c r="T68" i="2"/>
  <c r="U68" i="2"/>
  <c r="V68" i="2"/>
  <c r="W68" i="2"/>
  <c r="X68" i="2"/>
  <c r="Y68" i="2"/>
  <c r="Z68" i="2"/>
  <c r="AA68" i="2"/>
  <c r="AB68" i="2"/>
  <c r="AC68" i="2"/>
  <c r="AD68" i="2"/>
  <c r="AE68" i="2"/>
  <c r="AF68" i="2"/>
  <c r="AG68" i="2"/>
  <c r="AH68" i="2"/>
  <c r="AI68" i="2"/>
  <c r="O69" i="2"/>
  <c r="O70" i="2"/>
  <c r="S70" i="2"/>
  <c r="T70" i="2"/>
  <c r="U70" i="2"/>
  <c r="V70" i="2"/>
  <c r="W70" i="2"/>
  <c r="X70" i="2"/>
  <c r="Y70" i="2"/>
  <c r="Z70" i="2"/>
  <c r="AA70" i="2"/>
  <c r="AB70" i="2"/>
  <c r="AC70" i="2"/>
  <c r="AD70" i="2"/>
  <c r="AE70" i="2"/>
  <c r="AF70" i="2"/>
  <c r="AG70" i="2"/>
  <c r="AH70" i="2"/>
  <c r="AI70" i="2"/>
  <c r="O71" i="2"/>
  <c r="O72" i="2"/>
  <c r="S72" i="2"/>
  <c r="T72" i="2"/>
  <c r="U72" i="2"/>
  <c r="V72" i="2"/>
  <c r="W72" i="2"/>
  <c r="X72" i="2"/>
  <c r="Y72" i="2"/>
  <c r="Z72" i="2"/>
  <c r="AA72" i="2"/>
  <c r="AB72" i="2"/>
  <c r="AC72" i="2"/>
  <c r="AD72" i="2"/>
  <c r="AE72" i="2"/>
  <c r="AF72" i="2"/>
  <c r="AG72" i="2"/>
  <c r="AH72" i="2"/>
  <c r="AI72" i="2"/>
  <c r="O73" i="2"/>
  <c r="O74" i="2"/>
  <c r="S74" i="2"/>
  <c r="T74" i="2"/>
  <c r="U74" i="2"/>
  <c r="V74" i="2"/>
  <c r="W74" i="2"/>
  <c r="X74" i="2"/>
  <c r="Y74" i="2"/>
  <c r="Z74" i="2"/>
  <c r="AA74" i="2"/>
  <c r="AB74" i="2"/>
  <c r="AC74" i="2"/>
  <c r="AD74" i="2"/>
  <c r="AE74" i="2"/>
  <c r="AF74" i="2"/>
  <c r="AG74" i="2"/>
  <c r="AH74" i="2"/>
  <c r="AI74" i="2"/>
  <c r="O75" i="2"/>
  <c r="P82" i="2"/>
  <c r="Q82" i="2"/>
  <c r="R82" i="2"/>
  <c r="S82" i="2"/>
  <c r="T82" i="2"/>
  <c r="U82" i="2"/>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V83" i="2"/>
  <c r="W83" i="2"/>
  <c r="X83" i="2"/>
  <c r="Y83" i="2"/>
  <c r="Z83" i="2"/>
  <c r="AA83" i="2"/>
  <c r="AB83" i="2"/>
  <c r="AC83" i="2"/>
  <c r="AD83" i="2"/>
  <c r="AE83" i="2"/>
  <c r="AF83" i="2"/>
  <c r="AG83" i="2"/>
  <c r="AH83" i="2"/>
  <c r="AI83" i="2"/>
  <c r="J84" i="2"/>
  <c r="O85" i="2"/>
  <c r="V85" i="2"/>
  <c r="W85" i="2"/>
  <c r="X85" i="2"/>
  <c r="Y85" i="2"/>
  <c r="Z85" i="2"/>
  <c r="AA85" i="2"/>
  <c r="AB85" i="2"/>
  <c r="AC85" i="2"/>
  <c r="AD85" i="2"/>
  <c r="AE85" i="2"/>
  <c r="AF85" i="2"/>
  <c r="AG85" i="2"/>
  <c r="AH85" i="2"/>
  <c r="AI85" i="2"/>
  <c r="O86" i="2"/>
  <c r="O87" i="2"/>
  <c r="V87" i="2"/>
  <c r="W87" i="2"/>
  <c r="X87" i="2"/>
  <c r="Y87" i="2"/>
  <c r="Z87" i="2"/>
  <c r="AA87" i="2"/>
  <c r="AB87" i="2"/>
  <c r="AC87" i="2"/>
  <c r="AD87" i="2"/>
  <c r="AE87" i="2"/>
  <c r="AF87" i="2"/>
  <c r="AG87" i="2"/>
  <c r="AH87" i="2"/>
  <c r="AI87" i="2"/>
  <c r="O88" i="2"/>
  <c r="O89" i="2"/>
  <c r="V89" i="2"/>
  <c r="W89" i="2"/>
  <c r="X89" i="2"/>
  <c r="Y89" i="2"/>
  <c r="Z89" i="2"/>
  <c r="AA89" i="2"/>
  <c r="AB89" i="2"/>
  <c r="AC89" i="2"/>
  <c r="AD89" i="2"/>
  <c r="AE89" i="2"/>
  <c r="AF89" i="2"/>
  <c r="AG89" i="2"/>
  <c r="AH89" i="2"/>
  <c r="AI89" i="2"/>
  <c r="O90" i="2"/>
  <c r="O91" i="2"/>
  <c r="V91" i="2"/>
  <c r="W91" i="2"/>
  <c r="X91" i="2"/>
  <c r="Y91" i="2"/>
  <c r="Z91" i="2"/>
  <c r="AA91" i="2"/>
  <c r="AB91" i="2"/>
  <c r="AC91" i="2"/>
  <c r="AD91" i="2"/>
  <c r="AE91" i="2"/>
  <c r="AF91" i="2"/>
  <c r="AG91" i="2"/>
  <c r="AH91" i="2"/>
  <c r="AI91" i="2"/>
  <c r="O92" i="2"/>
  <c r="O93" i="2"/>
  <c r="V93" i="2"/>
  <c r="W93" i="2"/>
  <c r="X93" i="2"/>
  <c r="Y93" i="2"/>
  <c r="Z93" i="2"/>
  <c r="AA93" i="2"/>
  <c r="AB93" i="2"/>
  <c r="AC93" i="2"/>
  <c r="AD93" i="2"/>
  <c r="AE93" i="2"/>
  <c r="AF93" i="2"/>
  <c r="AG93" i="2"/>
  <c r="AH93" i="2"/>
  <c r="AI93" i="2"/>
  <c r="O94" i="2"/>
  <c r="O95" i="2"/>
  <c r="V95" i="2"/>
  <c r="W95" i="2"/>
  <c r="X95" i="2"/>
  <c r="Y95" i="2"/>
  <c r="Z95" i="2"/>
  <c r="AA95" i="2"/>
  <c r="AB95" i="2"/>
  <c r="AC95" i="2"/>
  <c r="AD95" i="2"/>
  <c r="AE95" i="2"/>
  <c r="AF95" i="2"/>
  <c r="AG95" i="2"/>
  <c r="AH95" i="2"/>
  <c r="AI95" i="2"/>
  <c r="O96" i="2"/>
  <c r="P103" i="2"/>
  <c r="Q103" i="2"/>
  <c r="R103" i="2"/>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S104" i="2"/>
  <c r="T104" i="2"/>
  <c r="U104" i="2"/>
  <c r="V104" i="2"/>
  <c r="W104" i="2"/>
  <c r="X104" i="2"/>
  <c r="Y104" i="2"/>
  <c r="Z104" i="2"/>
  <c r="AA104" i="2"/>
  <c r="AB104" i="2"/>
  <c r="AC104" i="2"/>
  <c r="AD104" i="2"/>
  <c r="AE104" i="2"/>
  <c r="AF104" i="2"/>
  <c r="AG104" i="2"/>
  <c r="AH104" i="2"/>
  <c r="AI104" i="2"/>
  <c r="J105" i="2"/>
  <c r="O106" i="2"/>
  <c r="S106" i="2"/>
  <c r="T106" i="2"/>
  <c r="U106" i="2"/>
  <c r="V106" i="2"/>
  <c r="W106" i="2"/>
  <c r="X106" i="2"/>
  <c r="Y106" i="2"/>
  <c r="Z106" i="2"/>
  <c r="AA106" i="2"/>
  <c r="AB106" i="2"/>
  <c r="AC106" i="2"/>
  <c r="AD106" i="2"/>
  <c r="AE106" i="2"/>
  <c r="AF106" i="2"/>
  <c r="AG106" i="2"/>
  <c r="AH106" i="2"/>
  <c r="AI106" i="2"/>
  <c r="O107" i="2"/>
  <c r="O108" i="2"/>
  <c r="S108" i="2"/>
  <c r="T108" i="2"/>
  <c r="U108" i="2"/>
  <c r="V108" i="2"/>
  <c r="W108" i="2"/>
  <c r="X108" i="2"/>
  <c r="Y108" i="2"/>
  <c r="Z108" i="2"/>
  <c r="AA108" i="2"/>
  <c r="AB108" i="2"/>
  <c r="AC108" i="2"/>
  <c r="AD108" i="2"/>
  <c r="AE108" i="2"/>
  <c r="AF108" i="2"/>
  <c r="AG108" i="2"/>
  <c r="AH108" i="2"/>
  <c r="AI108" i="2"/>
  <c r="O109" i="2"/>
  <c r="O110" i="2"/>
  <c r="S110" i="2"/>
  <c r="T110" i="2"/>
  <c r="U110" i="2"/>
  <c r="V110" i="2"/>
  <c r="W110" i="2"/>
  <c r="X110" i="2"/>
  <c r="Y110" i="2"/>
  <c r="Z110" i="2"/>
  <c r="AA110" i="2"/>
  <c r="AB110" i="2"/>
  <c r="AC110" i="2"/>
  <c r="AD110" i="2"/>
  <c r="AE110" i="2"/>
  <c r="AF110" i="2"/>
  <c r="AG110" i="2"/>
  <c r="AH110" i="2"/>
  <c r="AI110" i="2"/>
  <c r="O111" i="2"/>
  <c r="O112" i="2"/>
  <c r="S112" i="2"/>
  <c r="T112" i="2"/>
  <c r="U112" i="2"/>
  <c r="V112" i="2"/>
  <c r="W112" i="2"/>
  <c r="X112" i="2"/>
  <c r="Y112" i="2"/>
  <c r="Z112" i="2"/>
  <c r="AA112" i="2"/>
  <c r="AB112" i="2"/>
  <c r="AC112" i="2"/>
  <c r="AD112" i="2"/>
  <c r="AE112" i="2"/>
  <c r="AF112" i="2"/>
  <c r="AG112" i="2"/>
  <c r="AH112" i="2"/>
  <c r="AI112" i="2"/>
  <c r="O113" i="2"/>
  <c r="O114" i="2"/>
  <c r="S114" i="2"/>
  <c r="T114" i="2"/>
  <c r="U114" i="2"/>
  <c r="V114" i="2"/>
  <c r="W114" i="2"/>
  <c r="X114" i="2"/>
  <c r="Y114" i="2"/>
  <c r="Z114" i="2"/>
  <c r="AA114" i="2"/>
  <c r="AB114" i="2"/>
  <c r="AC114" i="2"/>
  <c r="AD114" i="2"/>
  <c r="AE114" i="2"/>
  <c r="AF114" i="2"/>
  <c r="AG114" i="2"/>
  <c r="AH114" i="2"/>
  <c r="AI114" i="2"/>
  <c r="O115" i="2"/>
  <c r="O116" i="2"/>
  <c r="S116" i="2"/>
  <c r="T116" i="2"/>
  <c r="U116" i="2"/>
  <c r="V116" i="2"/>
  <c r="W116" i="2"/>
  <c r="X116" i="2"/>
  <c r="Y116" i="2"/>
  <c r="Z116" i="2"/>
  <c r="AA116" i="2"/>
  <c r="AB116" i="2"/>
  <c r="AC116" i="2"/>
  <c r="AD116" i="2"/>
  <c r="AE116" i="2"/>
  <c r="AF116" i="2"/>
  <c r="AG116" i="2"/>
  <c r="AH116" i="2"/>
  <c r="AI116" i="2"/>
  <c r="O117" i="2"/>
  <c r="P124" i="2"/>
  <c r="Q124" i="2"/>
  <c r="Q126" i="2" s="1"/>
  <c r="Q128" i="2" s="1"/>
  <c r="Q130" i="2" s="1"/>
  <c r="Q132" i="2" s="1"/>
  <c r="Q134" i="2" s="1"/>
  <c r="Q136" i="2" s="1"/>
  <c r="Q138"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Q145" i="2"/>
  <c r="R145" i="2"/>
  <c r="S145" i="2"/>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T146" i="2"/>
  <c r="U146" i="2"/>
  <c r="V146" i="2"/>
  <c r="W146" i="2"/>
  <c r="X146" i="2"/>
  <c r="Y146" i="2"/>
  <c r="Z146" i="2"/>
  <c r="AA146" i="2"/>
  <c r="AB146" i="2"/>
  <c r="AC146" i="2"/>
  <c r="AD146" i="2"/>
  <c r="AE146" i="2"/>
  <c r="AF146" i="2"/>
  <c r="AG146" i="2"/>
  <c r="AH146" i="2"/>
  <c r="AI146" i="2"/>
  <c r="J147" i="2"/>
  <c r="O148" i="2"/>
  <c r="T148" i="2"/>
  <c r="U148" i="2"/>
  <c r="V148" i="2"/>
  <c r="W148" i="2"/>
  <c r="X148" i="2"/>
  <c r="Y148" i="2"/>
  <c r="Z148" i="2"/>
  <c r="AA148" i="2"/>
  <c r="AB148" i="2"/>
  <c r="AC148" i="2"/>
  <c r="AD148" i="2"/>
  <c r="AE148" i="2"/>
  <c r="AF148" i="2"/>
  <c r="AG148" i="2"/>
  <c r="AH148" i="2"/>
  <c r="AI148" i="2"/>
  <c r="O149" i="2"/>
  <c r="O150" i="2"/>
  <c r="T150" i="2"/>
  <c r="U150" i="2"/>
  <c r="V150" i="2"/>
  <c r="W150" i="2"/>
  <c r="X150" i="2"/>
  <c r="Y150" i="2"/>
  <c r="Z150" i="2"/>
  <c r="AA150" i="2"/>
  <c r="AB150" i="2"/>
  <c r="AC150" i="2"/>
  <c r="AD150" i="2"/>
  <c r="AE150" i="2"/>
  <c r="AF150" i="2"/>
  <c r="AG150" i="2"/>
  <c r="AH150" i="2"/>
  <c r="AI150" i="2"/>
  <c r="O151" i="2"/>
  <c r="O152" i="2"/>
  <c r="T152" i="2"/>
  <c r="U152" i="2"/>
  <c r="V152" i="2"/>
  <c r="W152" i="2"/>
  <c r="X152" i="2"/>
  <c r="Y152" i="2"/>
  <c r="Z152" i="2"/>
  <c r="AA152" i="2"/>
  <c r="AB152" i="2"/>
  <c r="AC152" i="2"/>
  <c r="AD152" i="2"/>
  <c r="AE152" i="2"/>
  <c r="AF152" i="2"/>
  <c r="AG152" i="2"/>
  <c r="AH152" i="2"/>
  <c r="AI152" i="2"/>
  <c r="O153" i="2"/>
  <c r="O154" i="2"/>
  <c r="T154" i="2"/>
  <c r="U154" i="2"/>
  <c r="V154" i="2"/>
  <c r="W154" i="2"/>
  <c r="X154" i="2"/>
  <c r="Y154" i="2"/>
  <c r="Z154" i="2"/>
  <c r="AA154" i="2"/>
  <c r="AB154" i="2"/>
  <c r="AC154" i="2"/>
  <c r="AD154" i="2"/>
  <c r="AE154" i="2"/>
  <c r="AF154" i="2"/>
  <c r="AG154" i="2"/>
  <c r="AH154" i="2"/>
  <c r="AI154" i="2"/>
  <c r="O155" i="2"/>
  <c r="O156" i="2"/>
  <c r="T156" i="2"/>
  <c r="U156" i="2"/>
  <c r="V156" i="2"/>
  <c r="W156" i="2"/>
  <c r="X156" i="2"/>
  <c r="Y156" i="2"/>
  <c r="Z156" i="2"/>
  <c r="AA156" i="2"/>
  <c r="AB156" i="2"/>
  <c r="AC156" i="2"/>
  <c r="AD156" i="2"/>
  <c r="AE156" i="2"/>
  <c r="AF156" i="2"/>
  <c r="AG156" i="2"/>
  <c r="AH156" i="2"/>
  <c r="AI156" i="2"/>
  <c r="O157" i="2"/>
  <c r="O158" i="2"/>
  <c r="T158" i="2"/>
  <c r="U158" i="2"/>
  <c r="V158" i="2"/>
  <c r="W158" i="2"/>
  <c r="X158" i="2"/>
  <c r="Y158" i="2"/>
  <c r="Z158" i="2"/>
  <c r="AA158" i="2"/>
  <c r="AB158" i="2"/>
  <c r="AC158" i="2"/>
  <c r="AD158" i="2"/>
  <c r="AE158" i="2"/>
  <c r="AF158" i="2"/>
  <c r="AG158" i="2"/>
  <c r="AH158" i="2"/>
  <c r="AI158" i="2"/>
  <c r="O159" i="2"/>
  <c r="P166" i="2"/>
  <c r="Q166" i="2"/>
  <c r="R166" i="2"/>
  <c r="S166" i="2"/>
  <c r="T166" i="2"/>
  <c r="U166" i="2"/>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V167" i="2"/>
  <c r="W167" i="2"/>
  <c r="X167" i="2"/>
  <c r="Y167" i="2"/>
  <c r="Z167" i="2"/>
  <c r="AA167" i="2"/>
  <c r="AB167" i="2"/>
  <c r="AC167" i="2"/>
  <c r="AD167" i="2"/>
  <c r="AE167" i="2"/>
  <c r="AF167" i="2"/>
  <c r="AG167" i="2"/>
  <c r="AH167" i="2"/>
  <c r="AI167" i="2"/>
  <c r="J168" i="2"/>
  <c r="O169" i="2"/>
  <c r="V169" i="2"/>
  <c r="W169" i="2"/>
  <c r="X169" i="2"/>
  <c r="Y169" i="2"/>
  <c r="Z169" i="2"/>
  <c r="AA169" i="2"/>
  <c r="AB169" i="2"/>
  <c r="AC169" i="2"/>
  <c r="AD169" i="2"/>
  <c r="AE169" i="2"/>
  <c r="AF169" i="2"/>
  <c r="AG169" i="2"/>
  <c r="AH169" i="2"/>
  <c r="AI169" i="2"/>
  <c r="O170" i="2"/>
  <c r="O171" i="2"/>
  <c r="V171" i="2"/>
  <c r="W171" i="2"/>
  <c r="X171" i="2"/>
  <c r="Y171" i="2"/>
  <c r="Z171" i="2"/>
  <c r="AA171" i="2"/>
  <c r="AB171" i="2"/>
  <c r="AC171" i="2"/>
  <c r="AD171" i="2"/>
  <c r="AE171" i="2"/>
  <c r="AF171" i="2"/>
  <c r="AG171" i="2"/>
  <c r="AH171" i="2"/>
  <c r="AI171" i="2"/>
  <c r="O172" i="2"/>
  <c r="O173" i="2"/>
  <c r="V173" i="2"/>
  <c r="W173" i="2"/>
  <c r="X173" i="2"/>
  <c r="Y173" i="2"/>
  <c r="Z173" i="2"/>
  <c r="AA173" i="2"/>
  <c r="AB173" i="2"/>
  <c r="AC173" i="2"/>
  <c r="AD173" i="2"/>
  <c r="AE173" i="2"/>
  <c r="AF173" i="2"/>
  <c r="AG173" i="2"/>
  <c r="AH173" i="2"/>
  <c r="AI173" i="2"/>
  <c r="O174" i="2"/>
  <c r="O175" i="2"/>
  <c r="V175" i="2"/>
  <c r="W175" i="2"/>
  <c r="X175" i="2"/>
  <c r="Y175" i="2"/>
  <c r="Z175" i="2"/>
  <c r="AA175" i="2"/>
  <c r="AB175" i="2"/>
  <c r="AC175" i="2"/>
  <c r="AD175" i="2"/>
  <c r="AE175" i="2"/>
  <c r="AF175" i="2"/>
  <c r="AG175" i="2"/>
  <c r="AH175" i="2"/>
  <c r="AI175" i="2"/>
  <c r="O176" i="2"/>
  <c r="O177" i="2"/>
  <c r="V177" i="2"/>
  <c r="W177" i="2"/>
  <c r="X177" i="2"/>
  <c r="Y177" i="2"/>
  <c r="Z177" i="2"/>
  <c r="AA177" i="2"/>
  <c r="AB177" i="2"/>
  <c r="AC177" i="2"/>
  <c r="AD177" i="2"/>
  <c r="AE177" i="2"/>
  <c r="AF177" i="2"/>
  <c r="AG177" i="2"/>
  <c r="AH177" i="2"/>
  <c r="AI177" i="2"/>
  <c r="O178" i="2"/>
  <c r="O179" i="2"/>
  <c r="V179" i="2"/>
  <c r="W179" i="2"/>
  <c r="X179" i="2"/>
  <c r="Y179" i="2"/>
  <c r="Z179" i="2"/>
  <c r="AA179" i="2"/>
  <c r="AB179" i="2"/>
  <c r="AC179" i="2"/>
  <c r="AD179" i="2"/>
  <c r="AE179" i="2"/>
  <c r="AF179" i="2"/>
  <c r="AG179" i="2"/>
  <c r="AH179" i="2"/>
  <c r="AI179" i="2"/>
  <c r="O180" i="2"/>
  <c r="P187" i="2"/>
  <c r="Q187" i="2"/>
  <c r="R187" i="2"/>
  <c r="S187" i="2"/>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T188" i="2"/>
  <c r="U188" i="2"/>
  <c r="V188" i="2"/>
  <c r="W188" i="2"/>
  <c r="X188" i="2"/>
  <c r="Y188" i="2"/>
  <c r="Z188" i="2"/>
  <c r="AA188" i="2"/>
  <c r="AB188" i="2"/>
  <c r="AC188" i="2"/>
  <c r="AD188" i="2"/>
  <c r="AE188" i="2"/>
  <c r="AF188" i="2"/>
  <c r="AG188" i="2"/>
  <c r="AH188" i="2"/>
  <c r="AI188" i="2"/>
  <c r="J189" i="2"/>
  <c r="O190" i="2"/>
  <c r="T190" i="2"/>
  <c r="U190" i="2"/>
  <c r="V190" i="2"/>
  <c r="W190" i="2"/>
  <c r="X190" i="2"/>
  <c r="Y190" i="2"/>
  <c r="Z190" i="2"/>
  <c r="AA190" i="2"/>
  <c r="AB190" i="2"/>
  <c r="AC190" i="2"/>
  <c r="AD190" i="2"/>
  <c r="AE190" i="2"/>
  <c r="AF190" i="2"/>
  <c r="AG190" i="2"/>
  <c r="AH190" i="2"/>
  <c r="AI190" i="2"/>
  <c r="O191" i="2"/>
  <c r="O192" i="2"/>
  <c r="T192" i="2"/>
  <c r="U192" i="2"/>
  <c r="V192" i="2"/>
  <c r="W192" i="2"/>
  <c r="X192" i="2"/>
  <c r="Y192" i="2"/>
  <c r="Z192" i="2"/>
  <c r="AA192" i="2"/>
  <c r="AB192" i="2"/>
  <c r="AC192" i="2"/>
  <c r="AD192" i="2"/>
  <c r="AE192" i="2"/>
  <c r="AF192" i="2"/>
  <c r="AG192" i="2"/>
  <c r="AH192" i="2"/>
  <c r="AI192" i="2"/>
  <c r="O193" i="2"/>
  <c r="O194" i="2"/>
  <c r="T194" i="2"/>
  <c r="U194" i="2"/>
  <c r="V194" i="2"/>
  <c r="W194" i="2"/>
  <c r="X194" i="2"/>
  <c r="Y194" i="2"/>
  <c r="Z194" i="2"/>
  <c r="AA194" i="2"/>
  <c r="AB194" i="2"/>
  <c r="AC194" i="2"/>
  <c r="AD194" i="2"/>
  <c r="AE194" i="2"/>
  <c r="AF194" i="2"/>
  <c r="AG194" i="2"/>
  <c r="AH194" i="2"/>
  <c r="AI194" i="2"/>
  <c r="O195" i="2"/>
  <c r="O196" i="2"/>
  <c r="T196" i="2"/>
  <c r="U196" i="2"/>
  <c r="V196" i="2"/>
  <c r="W196" i="2"/>
  <c r="X196" i="2"/>
  <c r="Y196" i="2"/>
  <c r="Z196" i="2"/>
  <c r="AA196" i="2"/>
  <c r="AB196" i="2"/>
  <c r="AC196" i="2"/>
  <c r="AD196" i="2"/>
  <c r="AE196" i="2"/>
  <c r="AF196" i="2"/>
  <c r="AG196" i="2"/>
  <c r="AH196" i="2"/>
  <c r="AI196" i="2"/>
  <c r="O197" i="2"/>
  <c r="O198" i="2"/>
  <c r="T198" i="2"/>
  <c r="U198" i="2"/>
  <c r="V198" i="2"/>
  <c r="W198" i="2"/>
  <c r="X198" i="2"/>
  <c r="Y198" i="2"/>
  <c r="Z198" i="2"/>
  <c r="AA198" i="2"/>
  <c r="AB198" i="2"/>
  <c r="AC198" i="2"/>
  <c r="AD198" i="2"/>
  <c r="AE198" i="2"/>
  <c r="AF198" i="2"/>
  <c r="AG198" i="2"/>
  <c r="AH198" i="2"/>
  <c r="AI198" i="2"/>
  <c r="O199" i="2"/>
  <c r="O200" i="2"/>
  <c r="T200" i="2"/>
  <c r="U200" i="2"/>
  <c r="V200" i="2"/>
  <c r="W200" i="2"/>
  <c r="X200" i="2"/>
  <c r="Y200" i="2"/>
  <c r="Z200" i="2"/>
  <c r="AA200" i="2"/>
  <c r="AB200" i="2"/>
  <c r="AC200" i="2"/>
  <c r="AD200" i="2"/>
  <c r="AE200" i="2"/>
  <c r="AF200" i="2"/>
  <c r="AG200" i="2"/>
  <c r="AH200" i="2"/>
  <c r="AI200" i="2"/>
  <c r="O201" i="2"/>
  <c r="P208" i="2"/>
  <c r="Q208" i="2"/>
  <c r="R208" i="2"/>
  <c r="S208" i="2"/>
  <c r="T208" i="2"/>
  <c r="T210" i="2" s="1"/>
  <c r="T212" i="2" s="1"/>
  <c r="T214" i="2" s="1"/>
  <c r="T216" i="2" s="1"/>
  <c r="T218" i="2" s="1"/>
  <c r="T220" i="2" s="1"/>
  <c r="T222"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T209" i="2"/>
  <c r="U209" i="2"/>
  <c r="V209" i="2"/>
  <c r="W209" i="2"/>
  <c r="X209" i="2"/>
  <c r="Y209" i="2"/>
  <c r="Z209" i="2"/>
  <c r="AA209" i="2"/>
  <c r="AB209" i="2"/>
  <c r="AC209" i="2"/>
  <c r="AD209" i="2"/>
  <c r="AE209" i="2"/>
  <c r="AF209" i="2"/>
  <c r="AG209" i="2"/>
  <c r="AH209" i="2"/>
  <c r="AI209" i="2"/>
  <c r="J210" i="2"/>
  <c r="O211" i="2"/>
  <c r="T211" i="2"/>
  <c r="U211" i="2"/>
  <c r="V211" i="2"/>
  <c r="W211" i="2"/>
  <c r="X211" i="2"/>
  <c r="Y211" i="2"/>
  <c r="Z211" i="2"/>
  <c r="AA211" i="2"/>
  <c r="AB211" i="2"/>
  <c r="AC211" i="2"/>
  <c r="AD211" i="2"/>
  <c r="AE211" i="2"/>
  <c r="AF211" i="2"/>
  <c r="AG211" i="2"/>
  <c r="AH211" i="2"/>
  <c r="AI211" i="2"/>
  <c r="O212" i="2"/>
  <c r="O213" i="2"/>
  <c r="T213" i="2"/>
  <c r="U213" i="2"/>
  <c r="V213" i="2"/>
  <c r="W213" i="2"/>
  <c r="X213" i="2"/>
  <c r="Y213" i="2"/>
  <c r="Z213" i="2"/>
  <c r="AA213" i="2"/>
  <c r="AB213" i="2"/>
  <c r="AC213" i="2"/>
  <c r="AD213" i="2"/>
  <c r="AE213" i="2"/>
  <c r="AF213" i="2"/>
  <c r="AG213" i="2"/>
  <c r="AH213" i="2"/>
  <c r="AI213" i="2"/>
  <c r="O214" i="2"/>
  <c r="O215" i="2"/>
  <c r="T215" i="2"/>
  <c r="U215" i="2"/>
  <c r="V215" i="2"/>
  <c r="W215" i="2"/>
  <c r="X215" i="2"/>
  <c r="Y215" i="2"/>
  <c r="Z215" i="2"/>
  <c r="AA215" i="2"/>
  <c r="AB215" i="2"/>
  <c r="AC215" i="2"/>
  <c r="AD215" i="2"/>
  <c r="AE215" i="2"/>
  <c r="AF215" i="2"/>
  <c r="AG215" i="2"/>
  <c r="AH215" i="2"/>
  <c r="AI215" i="2"/>
  <c r="O216" i="2"/>
  <c r="O217" i="2"/>
  <c r="T217" i="2"/>
  <c r="U217" i="2"/>
  <c r="V217" i="2"/>
  <c r="W217" i="2"/>
  <c r="X217" i="2"/>
  <c r="Y217" i="2"/>
  <c r="Z217" i="2"/>
  <c r="AA217" i="2"/>
  <c r="AB217" i="2"/>
  <c r="AC217" i="2"/>
  <c r="AD217" i="2"/>
  <c r="AE217" i="2"/>
  <c r="AF217" i="2"/>
  <c r="AG217" i="2"/>
  <c r="AH217" i="2"/>
  <c r="AI217" i="2"/>
  <c r="O218" i="2"/>
  <c r="O219" i="2"/>
  <c r="T219" i="2"/>
  <c r="U219" i="2"/>
  <c r="V219" i="2"/>
  <c r="W219" i="2"/>
  <c r="X219" i="2"/>
  <c r="Y219" i="2"/>
  <c r="Z219" i="2"/>
  <c r="AA219" i="2"/>
  <c r="AB219" i="2"/>
  <c r="AC219" i="2"/>
  <c r="AD219" i="2"/>
  <c r="AE219" i="2"/>
  <c r="AF219" i="2"/>
  <c r="AG219" i="2"/>
  <c r="AH219" i="2"/>
  <c r="AI219" i="2"/>
  <c r="O220" i="2"/>
  <c r="O221" i="2"/>
  <c r="T221" i="2"/>
  <c r="U221" i="2"/>
  <c r="V221" i="2"/>
  <c r="W221" i="2"/>
  <c r="X221" i="2"/>
  <c r="Y221" i="2"/>
  <c r="Z221" i="2"/>
  <c r="AA221" i="2"/>
  <c r="AB221" i="2"/>
  <c r="AC221" i="2"/>
  <c r="AD221" i="2"/>
  <c r="AE221" i="2"/>
  <c r="AF221" i="2"/>
  <c r="AG221" i="2"/>
  <c r="AH221" i="2"/>
  <c r="AI221" i="2"/>
  <c r="O222" i="2"/>
  <c r="P229" i="2"/>
  <c r="Q229" i="2"/>
  <c r="R229" i="2"/>
  <c r="S229" i="2"/>
  <c r="T229" i="2"/>
  <c r="T231"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T230" i="2"/>
  <c r="U230" i="2"/>
  <c r="V230" i="2"/>
  <c r="W230" i="2"/>
  <c r="X230" i="2"/>
  <c r="Y230" i="2"/>
  <c r="Z230" i="2"/>
  <c r="AA230" i="2"/>
  <c r="AB230" i="2"/>
  <c r="AC230" i="2"/>
  <c r="AD230" i="2"/>
  <c r="AE230" i="2"/>
  <c r="AF230" i="2"/>
  <c r="AG230" i="2"/>
  <c r="AH230" i="2"/>
  <c r="AI230" i="2"/>
  <c r="J231" i="2"/>
  <c r="O232" i="2"/>
  <c r="T232" i="2"/>
  <c r="U232" i="2"/>
  <c r="V232" i="2"/>
  <c r="W232" i="2"/>
  <c r="X232" i="2"/>
  <c r="Y232" i="2"/>
  <c r="Z232" i="2"/>
  <c r="AA232" i="2"/>
  <c r="AB232" i="2"/>
  <c r="AC232" i="2"/>
  <c r="AD232" i="2"/>
  <c r="AE232" i="2"/>
  <c r="AF232" i="2"/>
  <c r="AG232" i="2"/>
  <c r="AH232" i="2"/>
  <c r="AI232" i="2"/>
  <c r="O233" i="2"/>
  <c r="O234" i="2"/>
  <c r="T234" i="2"/>
  <c r="U234" i="2"/>
  <c r="V234" i="2"/>
  <c r="W234" i="2"/>
  <c r="X234" i="2"/>
  <c r="Y234" i="2"/>
  <c r="Z234" i="2"/>
  <c r="AA234" i="2"/>
  <c r="AB234" i="2"/>
  <c r="AC234" i="2"/>
  <c r="AD234" i="2"/>
  <c r="AE234" i="2"/>
  <c r="AF234" i="2"/>
  <c r="AG234" i="2"/>
  <c r="AH234" i="2"/>
  <c r="AI234" i="2"/>
  <c r="O235" i="2"/>
  <c r="O236" i="2"/>
  <c r="T236" i="2"/>
  <c r="U236" i="2"/>
  <c r="V236" i="2"/>
  <c r="W236" i="2"/>
  <c r="X236" i="2"/>
  <c r="Y236" i="2"/>
  <c r="Z236" i="2"/>
  <c r="AA236" i="2"/>
  <c r="AB236" i="2"/>
  <c r="AC236" i="2"/>
  <c r="AD236" i="2"/>
  <c r="AE236" i="2"/>
  <c r="AF236" i="2"/>
  <c r="AG236" i="2"/>
  <c r="AH236" i="2"/>
  <c r="AI236" i="2"/>
  <c r="O237" i="2"/>
  <c r="O238" i="2"/>
  <c r="T238" i="2"/>
  <c r="U238" i="2"/>
  <c r="V238" i="2"/>
  <c r="W238" i="2"/>
  <c r="X238" i="2"/>
  <c r="Y238" i="2"/>
  <c r="Z238" i="2"/>
  <c r="AA238" i="2"/>
  <c r="AB238" i="2"/>
  <c r="AC238" i="2"/>
  <c r="AD238" i="2"/>
  <c r="AE238" i="2"/>
  <c r="AF238" i="2"/>
  <c r="AG238" i="2"/>
  <c r="AH238" i="2"/>
  <c r="AI238" i="2"/>
  <c r="O239" i="2"/>
  <c r="O240" i="2"/>
  <c r="T240" i="2"/>
  <c r="U240" i="2"/>
  <c r="V240" i="2"/>
  <c r="W240" i="2"/>
  <c r="X240" i="2"/>
  <c r="Y240" i="2"/>
  <c r="Z240" i="2"/>
  <c r="AA240" i="2"/>
  <c r="AB240" i="2"/>
  <c r="AC240" i="2"/>
  <c r="AD240" i="2"/>
  <c r="AE240" i="2"/>
  <c r="AF240" i="2"/>
  <c r="AG240" i="2"/>
  <c r="AH240" i="2"/>
  <c r="AI240" i="2"/>
  <c r="O241" i="2"/>
  <c r="O242" i="2"/>
  <c r="T242" i="2"/>
  <c r="U242" i="2"/>
  <c r="V242" i="2"/>
  <c r="W242" i="2"/>
  <c r="X242" i="2"/>
  <c r="Y242" i="2"/>
  <c r="Z242" i="2"/>
  <c r="AA242" i="2"/>
  <c r="AB242" i="2"/>
  <c r="AC242" i="2"/>
  <c r="AD242" i="2"/>
  <c r="AE242" i="2"/>
  <c r="AF242" i="2"/>
  <c r="AG242" i="2"/>
  <c r="AH242" i="2"/>
  <c r="AI242" i="2"/>
  <c r="O243" i="2"/>
  <c r="P250" i="2"/>
  <c r="Q250" i="2"/>
  <c r="R250" i="2"/>
  <c r="S250" i="2"/>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T251" i="2"/>
  <c r="U251" i="2"/>
  <c r="V251" i="2"/>
  <c r="W251" i="2"/>
  <c r="X251" i="2"/>
  <c r="Y251" i="2"/>
  <c r="Z251" i="2"/>
  <c r="AA251" i="2"/>
  <c r="AB251" i="2"/>
  <c r="AC251" i="2"/>
  <c r="AD251" i="2"/>
  <c r="AE251" i="2"/>
  <c r="AF251" i="2"/>
  <c r="AG251" i="2"/>
  <c r="AH251" i="2"/>
  <c r="AI251" i="2"/>
  <c r="J252" i="2"/>
  <c r="O253" i="2"/>
  <c r="T253" i="2"/>
  <c r="U253" i="2"/>
  <c r="V253" i="2"/>
  <c r="W253" i="2"/>
  <c r="X253" i="2"/>
  <c r="Y253" i="2"/>
  <c r="Z253" i="2"/>
  <c r="AA253" i="2"/>
  <c r="AB253" i="2"/>
  <c r="AC253" i="2"/>
  <c r="AD253" i="2"/>
  <c r="AE253" i="2"/>
  <c r="AF253" i="2"/>
  <c r="AG253" i="2"/>
  <c r="AH253" i="2"/>
  <c r="AI253" i="2"/>
  <c r="O254" i="2"/>
  <c r="O255" i="2"/>
  <c r="T255" i="2"/>
  <c r="U255" i="2"/>
  <c r="V255" i="2"/>
  <c r="W255" i="2"/>
  <c r="X255" i="2"/>
  <c r="Y255" i="2"/>
  <c r="Z255" i="2"/>
  <c r="AA255" i="2"/>
  <c r="AB255" i="2"/>
  <c r="AC255" i="2"/>
  <c r="AD255" i="2"/>
  <c r="AE255" i="2"/>
  <c r="AF255" i="2"/>
  <c r="AG255" i="2"/>
  <c r="AH255" i="2"/>
  <c r="AI255" i="2"/>
  <c r="O256" i="2"/>
  <c r="O257" i="2"/>
  <c r="T257" i="2"/>
  <c r="U257" i="2"/>
  <c r="V257" i="2"/>
  <c r="W257" i="2"/>
  <c r="X257" i="2"/>
  <c r="Y257" i="2"/>
  <c r="Z257" i="2"/>
  <c r="AA257" i="2"/>
  <c r="AB257" i="2"/>
  <c r="AC257" i="2"/>
  <c r="AD257" i="2"/>
  <c r="AE257" i="2"/>
  <c r="AF257" i="2"/>
  <c r="AG257" i="2"/>
  <c r="AH257" i="2"/>
  <c r="AI257" i="2"/>
  <c r="O258" i="2"/>
  <c r="O259" i="2"/>
  <c r="T259" i="2"/>
  <c r="U259" i="2"/>
  <c r="V259" i="2"/>
  <c r="W259" i="2"/>
  <c r="X259" i="2"/>
  <c r="Y259" i="2"/>
  <c r="Z259" i="2"/>
  <c r="AA259" i="2"/>
  <c r="AB259" i="2"/>
  <c r="AC259" i="2"/>
  <c r="AD259" i="2"/>
  <c r="AE259" i="2"/>
  <c r="AF259" i="2"/>
  <c r="AG259" i="2"/>
  <c r="AH259" i="2"/>
  <c r="AI259" i="2"/>
  <c r="O260" i="2"/>
  <c r="O261" i="2"/>
  <c r="T261" i="2"/>
  <c r="U261" i="2"/>
  <c r="V261" i="2"/>
  <c r="W261" i="2"/>
  <c r="X261" i="2"/>
  <c r="Y261" i="2"/>
  <c r="Z261" i="2"/>
  <c r="AA261" i="2"/>
  <c r="AB261" i="2"/>
  <c r="AC261" i="2"/>
  <c r="AD261" i="2"/>
  <c r="AE261" i="2"/>
  <c r="AF261" i="2"/>
  <c r="AG261" i="2"/>
  <c r="AH261" i="2"/>
  <c r="AI261" i="2"/>
  <c r="O262" i="2"/>
  <c r="O263" i="2"/>
  <c r="T263" i="2"/>
  <c r="U263" i="2"/>
  <c r="V263" i="2"/>
  <c r="W263" i="2"/>
  <c r="X263" i="2"/>
  <c r="Y263" i="2"/>
  <c r="Z263" i="2"/>
  <c r="AA263" i="2"/>
  <c r="AB263" i="2"/>
  <c r="AC263" i="2"/>
  <c r="AD263" i="2"/>
  <c r="AE263" i="2"/>
  <c r="AF263" i="2"/>
  <c r="AG263" i="2"/>
  <c r="AH263" i="2"/>
  <c r="AI263" i="2"/>
  <c r="O264" i="2"/>
  <c r="P271" i="2"/>
  <c r="Q271" i="2"/>
  <c r="R271" i="2"/>
  <c r="S271" i="2"/>
  <c r="T271" i="2"/>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U272" i="2"/>
  <c r="V272" i="2"/>
  <c r="W272" i="2"/>
  <c r="X272" i="2"/>
  <c r="Y272" i="2"/>
  <c r="Z272" i="2"/>
  <c r="AA272" i="2"/>
  <c r="AB272" i="2"/>
  <c r="AC272" i="2"/>
  <c r="AD272" i="2"/>
  <c r="AE272" i="2"/>
  <c r="AF272" i="2"/>
  <c r="AG272" i="2"/>
  <c r="AH272" i="2"/>
  <c r="AI272" i="2"/>
  <c r="J273" i="2"/>
  <c r="O274" i="2"/>
  <c r="U274" i="2"/>
  <c r="V274" i="2"/>
  <c r="W274" i="2"/>
  <c r="X274" i="2"/>
  <c r="Y274" i="2"/>
  <c r="Z274" i="2"/>
  <c r="AA274" i="2"/>
  <c r="AB274" i="2"/>
  <c r="AC274" i="2"/>
  <c r="AD274" i="2"/>
  <c r="AE274" i="2"/>
  <c r="AF274" i="2"/>
  <c r="AG274" i="2"/>
  <c r="AH274" i="2"/>
  <c r="AI274" i="2"/>
  <c r="O275" i="2"/>
  <c r="O276" i="2"/>
  <c r="U276" i="2"/>
  <c r="V276" i="2"/>
  <c r="W276" i="2"/>
  <c r="X276" i="2"/>
  <c r="Y276" i="2"/>
  <c r="Z276" i="2"/>
  <c r="AA276" i="2"/>
  <c r="AB276" i="2"/>
  <c r="AC276" i="2"/>
  <c r="AD276" i="2"/>
  <c r="AE276" i="2"/>
  <c r="AF276" i="2"/>
  <c r="AG276" i="2"/>
  <c r="AH276" i="2"/>
  <c r="AI276" i="2"/>
  <c r="O277" i="2"/>
  <c r="O278" i="2"/>
  <c r="U278" i="2"/>
  <c r="V278" i="2"/>
  <c r="W278" i="2"/>
  <c r="X278" i="2"/>
  <c r="Y278" i="2"/>
  <c r="Z278" i="2"/>
  <c r="AA278" i="2"/>
  <c r="AB278" i="2"/>
  <c r="AC278" i="2"/>
  <c r="AD278" i="2"/>
  <c r="AE278" i="2"/>
  <c r="AF278" i="2"/>
  <c r="AG278" i="2"/>
  <c r="AH278" i="2"/>
  <c r="AI278" i="2"/>
  <c r="O279" i="2"/>
  <c r="O280" i="2"/>
  <c r="U280" i="2"/>
  <c r="V280" i="2"/>
  <c r="W280" i="2"/>
  <c r="X280" i="2"/>
  <c r="Y280" i="2"/>
  <c r="Z280" i="2"/>
  <c r="AA280" i="2"/>
  <c r="AB280" i="2"/>
  <c r="AC280" i="2"/>
  <c r="AD280" i="2"/>
  <c r="AE280" i="2"/>
  <c r="AF280" i="2"/>
  <c r="AG280" i="2"/>
  <c r="AH280" i="2"/>
  <c r="AI280" i="2"/>
  <c r="O281" i="2"/>
  <c r="O282" i="2"/>
  <c r="U282" i="2"/>
  <c r="V282" i="2"/>
  <c r="W282" i="2"/>
  <c r="X282" i="2"/>
  <c r="Y282" i="2"/>
  <c r="Z282" i="2"/>
  <c r="AA282" i="2"/>
  <c r="AB282" i="2"/>
  <c r="AC282" i="2"/>
  <c r="AD282" i="2"/>
  <c r="AE282" i="2"/>
  <c r="AF282" i="2"/>
  <c r="AG282" i="2"/>
  <c r="AH282" i="2"/>
  <c r="AI282" i="2"/>
  <c r="O283" i="2"/>
  <c r="O284" i="2"/>
  <c r="U284" i="2"/>
  <c r="V284" i="2"/>
  <c r="W284" i="2"/>
  <c r="X284" i="2"/>
  <c r="Y284" i="2"/>
  <c r="Z284" i="2"/>
  <c r="AA284" i="2"/>
  <c r="AB284" i="2"/>
  <c r="AC284" i="2"/>
  <c r="AD284" i="2"/>
  <c r="AE284" i="2"/>
  <c r="AF284" i="2"/>
  <c r="AG284" i="2"/>
  <c r="AH284" i="2"/>
  <c r="AI284" i="2"/>
  <c r="O285" i="2"/>
  <c r="P292" i="2"/>
  <c r="Q292" i="2"/>
  <c r="R292" i="2"/>
  <c r="S292" i="2"/>
  <c r="T292" i="2"/>
  <c r="T294" i="2" s="1"/>
  <c r="T296" i="2" s="1"/>
  <c r="T298" i="2" s="1"/>
  <c r="T300" i="2" s="1"/>
  <c r="T302" i="2" s="1"/>
  <c r="T304" i="2" s="1"/>
  <c r="T306" i="2" s="1"/>
  <c r="U292" i="2"/>
  <c r="U294" i="2" s="1"/>
  <c r="U296" i="2" s="1"/>
  <c r="U298" i="2" s="1"/>
  <c r="U300" i="2" s="1"/>
  <c r="U302" i="2" s="1"/>
  <c r="U304" i="2" s="1"/>
  <c r="U306" i="2" s="1"/>
  <c r="V292" i="2"/>
  <c r="V294"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T293" i="2"/>
  <c r="U293" i="2"/>
  <c r="V293" i="2"/>
  <c r="W293" i="2"/>
  <c r="X293" i="2"/>
  <c r="Y293" i="2"/>
  <c r="Z293" i="2"/>
  <c r="AA293" i="2"/>
  <c r="AB293" i="2"/>
  <c r="AC293" i="2"/>
  <c r="AD293" i="2"/>
  <c r="AE293" i="2"/>
  <c r="AF293" i="2"/>
  <c r="AG293" i="2"/>
  <c r="AH293" i="2"/>
  <c r="AI293" i="2"/>
  <c r="J294" i="2"/>
  <c r="O295" i="2"/>
  <c r="T295" i="2"/>
  <c r="U295" i="2"/>
  <c r="V295" i="2"/>
  <c r="W295" i="2"/>
  <c r="X295" i="2"/>
  <c r="Y295" i="2"/>
  <c r="Z295" i="2"/>
  <c r="AA295" i="2"/>
  <c r="AB295" i="2"/>
  <c r="AC295" i="2"/>
  <c r="AD295" i="2"/>
  <c r="AE295" i="2"/>
  <c r="AF295" i="2"/>
  <c r="AG295" i="2"/>
  <c r="AH295" i="2"/>
  <c r="AI295" i="2"/>
  <c r="O296" i="2"/>
  <c r="O297" i="2"/>
  <c r="T297" i="2"/>
  <c r="U297" i="2"/>
  <c r="V297" i="2"/>
  <c r="W297" i="2"/>
  <c r="X297" i="2"/>
  <c r="Y297" i="2"/>
  <c r="Z297" i="2"/>
  <c r="AA297" i="2"/>
  <c r="AB297" i="2"/>
  <c r="AC297" i="2"/>
  <c r="AD297" i="2"/>
  <c r="AE297" i="2"/>
  <c r="AF297" i="2"/>
  <c r="AG297" i="2"/>
  <c r="AH297" i="2"/>
  <c r="AI297" i="2"/>
  <c r="O298" i="2"/>
  <c r="O299" i="2"/>
  <c r="T299" i="2"/>
  <c r="U299" i="2"/>
  <c r="V299" i="2"/>
  <c r="W299" i="2"/>
  <c r="X299" i="2"/>
  <c r="Y299" i="2"/>
  <c r="Z299" i="2"/>
  <c r="AA299" i="2"/>
  <c r="AB299" i="2"/>
  <c r="AC299" i="2"/>
  <c r="AD299" i="2"/>
  <c r="AE299" i="2"/>
  <c r="AF299" i="2"/>
  <c r="AG299" i="2"/>
  <c r="AH299" i="2"/>
  <c r="AI299" i="2"/>
  <c r="O300" i="2"/>
  <c r="O301" i="2"/>
  <c r="T301" i="2"/>
  <c r="U301" i="2"/>
  <c r="V301" i="2"/>
  <c r="W301" i="2"/>
  <c r="X301" i="2"/>
  <c r="Y301" i="2"/>
  <c r="Z301" i="2"/>
  <c r="AA301" i="2"/>
  <c r="AB301" i="2"/>
  <c r="AC301" i="2"/>
  <c r="AD301" i="2"/>
  <c r="AE301" i="2"/>
  <c r="AF301" i="2"/>
  <c r="AG301" i="2"/>
  <c r="AH301" i="2"/>
  <c r="AI301" i="2"/>
  <c r="O302" i="2"/>
  <c r="O303" i="2"/>
  <c r="T303" i="2"/>
  <c r="U303" i="2"/>
  <c r="V303" i="2"/>
  <c r="W303" i="2"/>
  <c r="X303" i="2"/>
  <c r="Y303" i="2"/>
  <c r="Z303" i="2"/>
  <c r="AA303" i="2"/>
  <c r="AB303" i="2"/>
  <c r="AC303" i="2"/>
  <c r="AD303" i="2"/>
  <c r="AE303" i="2"/>
  <c r="AF303" i="2"/>
  <c r="AG303" i="2"/>
  <c r="AH303" i="2"/>
  <c r="AI303" i="2"/>
  <c r="O304" i="2"/>
  <c r="O305" i="2"/>
  <c r="T305" i="2"/>
  <c r="U305" i="2"/>
  <c r="V305" i="2"/>
  <c r="W305" i="2"/>
  <c r="X305" i="2"/>
  <c r="Y305" i="2"/>
  <c r="Z305" i="2"/>
  <c r="AA305" i="2"/>
  <c r="AB305" i="2"/>
  <c r="AC305" i="2"/>
  <c r="AD305" i="2"/>
  <c r="AE305" i="2"/>
  <c r="AF305" i="2"/>
  <c r="AG305" i="2"/>
  <c r="AH305" i="2"/>
  <c r="AI305" i="2"/>
  <c r="O306" i="2"/>
  <c r="P313" i="2"/>
  <c r="Q313" i="2"/>
  <c r="R313" i="2"/>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X313" i="2"/>
  <c r="X315"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S314" i="2"/>
  <c r="T314" i="2"/>
  <c r="U314" i="2"/>
  <c r="V314" i="2"/>
  <c r="W314" i="2"/>
  <c r="X314" i="2"/>
  <c r="Y314" i="2"/>
  <c r="Z314" i="2"/>
  <c r="AA314" i="2"/>
  <c r="AB314" i="2"/>
  <c r="AC314" i="2"/>
  <c r="AD314" i="2"/>
  <c r="AE314" i="2"/>
  <c r="AF314" i="2"/>
  <c r="AG314" i="2"/>
  <c r="AH314" i="2"/>
  <c r="AI314" i="2"/>
  <c r="J315" i="2"/>
  <c r="O316" i="2"/>
  <c r="S316" i="2"/>
  <c r="T316" i="2"/>
  <c r="U316" i="2"/>
  <c r="V316" i="2"/>
  <c r="W316" i="2"/>
  <c r="X316" i="2"/>
  <c r="Y316" i="2"/>
  <c r="Z316" i="2"/>
  <c r="AA316" i="2"/>
  <c r="AB316" i="2"/>
  <c r="AC316" i="2"/>
  <c r="AD316" i="2"/>
  <c r="AE316" i="2"/>
  <c r="AF316" i="2"/>
  <c r="AG316" i="2"/>
  <c r="AH316" i="2"/>
  <c r="AI316" i="2"/>
  <c r="O317" i="2"/>
  <c r="O318" i="2"/>
  <c r="S318" i="2"/>
  <c r="T318" i="2"/>
  <c r="U318" i="2"/>
  <c r="V318" i="2"/>
  <c r="W318" i="2"/>
  <c r="X318" i="2"/>
  <c r="Y318" i="2"/>
  <c r="Z318" i="2"/>
  <c r="AA318" i="2"/>
  <c r="AB318" i="2"/>
  <c r="AC318" i="2"/>
  <c r="AD318" i="2"/>
  <c r="AE318" i="2"/>
  <c r="AF318" i="2"/>
  <c r="AG318" i="2"/>
  <c r="AH318" i="2"/>
  <c r="AI318" i="2"/>
  <c r="O319" i="2"/>
  <c r="O320" i="2"/>
  <c r="S320" i="2"/>
  <c r="T320" i="2"/>
  <c r="U320" i="2"/>
  <c r="V320" i="2"/>
  <c r="W320" i="2"/>
  <c r="X320" i="2"/>
  <c r="Y320" i="2"/>
  <c r="Z320" i="2"/>
  <c r="AA320" i="2"/>
  <c r="AB320" i="2"/>
  <c r="AC320" i="2"/>
  <c r="AD320" i="2"/>
  <c r="AE320" i="2"/>
  <c r="AF320" i="2"/>
  <c r="AG320" i="2"/>
  <c r="AH320" i="2"/>
  <c r="AI320" i="2"/>
  <c r="O321" i="2"/>
  <c r="O322" i="2"/>
  <c r="S322" i="2"/>
  <c r="T322" i="2"/>
  <c r="U322" i="2"/>
  <c r="V322" i="2"/>
  <c r="W322" i="2"/>
  <c r="X322" i="2"/>
  <c r="Y322" i="2"/>
  <c r="Z322" i="2"/>
  <c r="AA322" i="2"/>
  <c r="AB322" i="2"/>
  <c r="AC322" i="2"/>
  <c r="AD322" i="2"/>
  <c r="AE322" i="2"/>
  <c r="AF322" i="2"/>
  <c r="AG322" i="2"/>
  <c r="AH322" i="2"/>
  <c r="AI322" i="2"/>
  <c r="O323" i="2"/>
  <c r="O324" i="2"/>
  <c r="S324" i="2"/>
  <c r="T324" i="2"/>
  <c r="U324" i="2"/>
  <c r="V324" i="2"/>
  <c r="W324" i="2"/>
  <c r="X324" i="2"/>
  <c r="Y324" i="2"/>
  <c r="Z324" i="2"/>
  <c r="AA324" i="2"/>
  <c r="AB324" i="2"/>
  <c r="AC324" i="2"/>
  <c r="AD324" i="2"/>
  <c r="AE324" i="2"/>
  <c r="AF324" i="2"/>
  <c r="AG324" i="2"/>
  <c r="AH324" i="2"/>
  <c r="AI324" i="2"/>
  <c r="O325" i="2"/>
  <c r="O326" i="2"/>
  <c r="S326" i="2"/>
  <c r="T326" i="2"/>
  <c r="U326" i="2"/>
  <c r="V326" i="2"/>
  <c r="W326" i="2"/>
  <c r="X326" i="2"/>
  <c r="Y326" i="2"/>
  <c r="Z326" i="2"/>
  <c r="AA326" i="2"/>
  <c r="AB326" i="2"/>
  <c r="AC326" i="2"/>
  <c r="AD326" i="2"/>
  <c r="AE326" i="2"/>
  <c r="AF326" i="2"/>
  <c r="AG326" i="2"/>
  <c r="AH326" i="2"/>
  <c r="AI326" i="2"/>
  <c r="O327" i="2"/>
  <c r="P334" i="2"/>
  <c r="Q334" i="2"/>
  <c r="R334" i="2"/>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S335" i="2"/>
  <c r="T335" i="2"/>
  <c r="U335" i="2"/>
  <c r="V335" i="2"/>
  <c r="W335" i="2"/>
  <c r="X335" i="2"/>
  <c r="Y335" i="2"/>
  <c r="Z335" i="2"/>
  <c r="AA335" i="2"/>
  <c r="AB335" i="2"/>
  <c r="AC335" i="2"/>
  <c r="AD335" i="2"/>
  <c r="AE335" i="2"/>
  <c r="AF335" i="2"/>
  <c r="AG335" i="2"/>
  <c r="AH335" i="2"/>
  <c r="AI335" i="2"/>
  <c r="J336" i="2"/>
  <c r="O337" i="2"/>
  <c r="S337" i="2"/>
  <c r="T337" i="2"/>
  <c r="U337" i="2"/>
  <c r="V337" i="2"/>
  <c r="W337" i="2"/>
  <c r="X337" i="2"/>
  <c r="Y337" i="2"/>
  <c r="Z337" i="2"/>
  <c r="AA337" i="2"/>
  <c r="AB337" i="2"/>
  <c r="AC337" i="2"/>
  <c r="AD337" i="2"/>
  <c r="AE337" i="2"/>
  <c r="AF337" i="2"/>
  <c r="AG337" i="2"/>
  <c r="AH337" i="2"/>
  <c r="AI337" i="2"/>
  <c r="O338" i="2"/>
  <c r="O339" i="2"/>
  <c r="S339" i="2"/>
  <c r="T339" i="2"/>
  <c r="U339" i="2"/>
  <c r="V339" i="2"/>
  <c r="W339" i="2"/>
  <c r="X339" i="2"/>
  <c r="Y339" i="2"/>
  <c r="Z339" i="2"/>
  <c r="AA339" i="2"/>
  <c r="AB339" i="2"/>
  <c r="AC339" i="2"/>
  <c r="AD339" i="2"/>
  <c r="AE339" i="2"/>
  <c r="AF339" i="2"/>
  <c r="AG339" i="2"/>
  <c r="AH339" i="2"/>
  <c r="AI339" i="2"/>
  <c r="O340" i="2"/>
  <c r="O341" i="2"/>
  <c r="S341" i="2"/>
  <c r="T341" i="2"/>
  <c r="U341" i="2"/>
  <c r="V341" i="2"/>
  <c r="W341" i="2"/>
  <c r="X341" i="2"/>
  <c r="Y341" i="2"/>
  <c r="Z341" i="2"/>
  <c r="AA341" i="2"/>
  <c r="AB341" i="2"/>
  <c r="AC341" i="2"/>
  <c r="AD341" i="2"/>
  <c r="AE341" i="2"/>
  <c r="AF341" i="2"/>
  <c r="AG341" i="2"/>
  <c r="AH341" i="2"/>
  <c r="AI341" i="2"/>
  <c r="O342" i="2"/>
  <c r="O343" i="2"/>
  <c r="S343" i="2"/>
  <c r="T343" i="2"/>
  <c r="U343" i="2"/>
  <c r="V343" i="2"/>
  <c r="W343" i="2"/>
  <c r="X343" i="2"/>
  <c r="Y343" i="2"/>
  <c r="Z343" i="2"/>
  <c r="AA343" i="2"/>
  <c r="AB343" i="2"/>
  <c r="AC343" i="2"/>
  <c r="AD343" i="2"/>
  <c r="AE343" i="2"/>
  <c r="AF343" i="2"/>
  <c r="AG343" i="2"/>
  <c r="AH343" i="2"/>
  <c r="AI343" i="2"/>
  <c r="O344" i="2"/>
  <c r="O345" i="2"/>
  <c r="S345" i="2"/>
  <c r="T345" i="2"/>
  <c r="U345" i="2"/>
  <c r="V345" i="2"/>
  <c r="W345" i="2"/>
  <c r="X345" i="2"/>
  <c r="Y345" i="2"/>
  <c r="Z345" i="2"/>
  <c r="AA345" i="2"/>
  <c r="AB345" i="2"/>
  <c r="AC345" i="2"/>
  <c r="AD345" i="2"/>
  <c r="AE345" i="2"/>
  <c r="AF345" i="2"/>
  <c r="AG345" i="2"/>
  <c r="AH345" i="2"/>
  <c r="AI345" i="2"/>
  <c r="O346" i="2"/>
  <c r="O347" i="2"/>
  <c r="S347" i="2"/>
  <c r="T347" i="2"/>
  <c r="U347" i="2"/>
  <c r="V347" i="2"/>
  <c r="W347" i="2"/>
  <c r="X347" i="2"/>
  <c r="Y347" i="2"/>
  <c r="Z347" i="2"/>
  <c r="AA347" i="2"/>
  <c r="AB347" i="2"/>
  <c r="AC347" i="2"/>
  <c r="AD347" i="2"/>
  <c r="AE347" i="2"/>
  <c r="AF347" i="2"/>
  <c r="AG347" i="2"/>
  <c r="AH347" i="2"/>
  <c r="AI347" i="2"/>
  <c r="O348" i="2"/>
  <c r="P355" i="2"/>
  <c r="Q355" i="2"/>
  <c r="R355" i="2"/>
  <c r="S355" i="2"/>
  <c r="S357"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S356" i="2"/>
  <c r="T356" i="2"/>
  <c r="U356" i="2"/>
  <c r="V356" i="2"/>
  <c r="W356" i="2"/>
  <c r="X356" i="2"/>
  <c r="Y356" i="2"/>
  <c r="Z356" i="2"/>
  <c r="AA356" i="2"/>
  <c r="AB356" i="2"/>
  <c r="AC356" i="2"/>
  <c r="AD356" i="2"/>
  <c r="AE356" i="2"/>
  <c r="AF356" i="2"/>
  <c r="AG356" i="2"/>
  <c r="AH356" i="2"/>
  <c r="AI356" i="2"/>
  <c r="J357" i="2"/>
  <c r="O358" i="2"/>
  <c r="S358" i="2"/>
  <c r="T358" i="2"/>
  <c r="U358" i="2"/>
  <c r="V358" i="2"/>
  <c r="W358" i="2"/>
  <c r="X358" i="2"/>
  <c r="Y358" i="2"/>
  <c r="Z358" i="2"/>
  <c r="AA358" i="2"/>
  <c r="AB358" i="2"/>
  <c r="AC358" i="2"/>
  <c r="AD358" i="2"/>
  <c r="AE358" i="2"/>
  <c r="AF358" i="2"/>
  <c r="AG358" i="2"/>
  <c r="AH358" i="2"/>
  <c r="AI358" i="2"/>
  <c r="O359" i="2"/>
  <c r="O360" i="2"/>
  <c r="S360" i="2"/>
  <c r="T360" i="2"/>
  <c r="U360" i="2"/>
  <c r="V360" i="2"/>
  <c r="W360" i="2"/>
  <c r="X360" i="2"/>
  <c r="Y360" i="2"/>
  <c r="Z360" i="2"/>
  <c r="AA360" i="2"/>
  <c r="AB360" i="2"/>
  <c r="AC360" i="2"/>
  <c r="AD360" i="2"/>
  <c r="AE360" i="2"/>
  <c r="AF360" i="2"/>
  <c r="AG360" i="2"/>
  <c r="AH360" i="2"/>
  <c r="AI360" i="2"/>
  <c r="O361" i="2"/>
  <c r="O362" i="2"/>
  <c r="S362" i="2"/>
  <c r="T362" i="2"/>
  <c r="U362" i="2"/>
  <c r="V362" i="2"/>
  <c r="W362" i="2"/>
  <c r="X362" i="2"/>
  <c r="Y362" i="2"/>
  <c r="Z362" i="2"/>
  <c r="AA362" i="2"/>
  <c r="AB362" i="2"/>
  <c r="AC362" i="2"/>
  <c r="AD362" i="2"/>
  <c r="AE362" i="2"/>
  <c r="AF362" i="2"/>
  <c r="AG362" i="2"/>
  <c r="AH362" i="2"/>
  <c r="AI362" i="2"/>
  <c r="O363" i="2"/>
  <c r="O364" i="2"/>
  <c r="S364" i="2"/>
  <c r="T364" i="2"/>
  <c r="U364" i="2"/>
  <c r="V364" i="2"/>
  <c r="W364" i="2"/>
  <c r="X364" i="2"/>
  <c r="Y364" i="2"/>
  <c r="Z364" i="2"/>
  <c r="AA364" i="2"/>
  <c r="AB364" i="2"/>
  <c r="AC364" i="2"/>
  <c r="AD364" i="2"/>
  <c r="AE364" i="2"/>
  <c r="AF364" i="2"/>
  <c r="AG364" i="2"/>
  <c r="AH364" i="2"/>
  <c r="AI364" i="2"/>
  <c r="O365" i="2"/>
  <c r="O366" i="2"/>
  <c r="S366" i="2"/>
  <c r="T366" i="2"/>
  <c r="U366" i="2"/>
  <c r="V366" i="2"/>
  <c r="W366" i="2"/>
  <c r="X366" i="2"/>
  <c r="Y366" i="2"/>
  <c r="Z366" i="2"/>
  <c r="AA366" i="2"/>
  <c r="AB366" i="2"/>
  <c r="AC366" i="2"/>
  <c r="AD366" i="2"/>
  <c r="AE366" i="2"/>
  <c r="AF366" i="2"/>
  <c r="AG366" i="2"/>
  <c r="AH366" i="2"/>
  <c r="AI366" i="2"/>
  <c r="O367" i="2"/>
  <c r="O368" i="2"/>
  <c r="S368" i="2"/>
  <c r="T368" i="2"/>
  <c r="U368" i="2"/>
  <c r="V368" i="2"/>
  <c r="W368" i="2"/>
  <c r="X368" i="2"/>
  <c r="Y368" i="2"/>
  <c r="Z368" i="2"/>
  <c r="AA368" i="2"/>
  <c r="AB368" i="2"/>
  <c r="AC368" i="2"/>
  <c r="AD368" i="2"/>
  <c r="AE368" i="2"/>
  <c r="AF368" i="2"/>
  <c r="AG368" i="2"/>
  <c r="AH368" i="2"/>
  <c r="AI368" i="2"/>
  <c r="O369" i="2"/>
  <c r="P376" i="2"/>
  <c r="Q376" i="2"/>
  <c r="R376" i="2"/>
  <c r="S376" i="2"/>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T377" i="2"/>
  <c r="U377" i="2"/>
  <c r="V377" i="2"/>
  <c r="W377" i="2"/>
  <c r="X377" i="2"/>
  <c r="Y377" i="2"/>
  <c r="Z377" i="2"/>
  <c r="AA377" i="2"/>
  <c r="AB377" i="2"/>
  <c r="AC377" i="2"/>
  <c r="AD377" i="2"/>
  <c r="AE377" i="2"/>
  <c r="AF377" i="2"/>
  <c r="AG377" i="2"/>
  <c r="AH377" i="2"/>
  <c r="AI377" i="2"/>
  <c r="J378" i="2"/>
  <c r="O379" i="2"/>
  <c r="T379" i="2"/>
  <c r="U379" i="2"/>
  <c r="V379" i="2"/>
  <c r="W379" i="2"/>
  <c r="X379" i="2"/>
  <c r="Y379" i="2"/>
  <c r="Z379" i="2"/>
  <c r="AA379" i="2"/>
  <c r="AB379" i="2"/>
  <c r="AC379" i="2"/>
  <c r="AD379" i="2"/>
  <c r="AE379" i="2"/>
  <c r="AF379" i="2"/>
  <c r="AG379" i="2"/>
  <c r="AH379" i="2"/>
  <c r="AI379" i="2"/>
  <c r="O380" i="2"/>
  <c r="O381" i="2"/>
  <c r="T381" i="2"/>
  <c r="U381" i="2"/>
  <c r="V381" i="2"/>
  <c r="W381" i="2"/>
  <c r="X381" i="2"/>
  <c r="Y381" i="2"/>
  <c r="Z381" i="2"/>
  <c r="AA381" i="2"/>
  <c r="AB381" i="2"/>
  <c r="AC381" i="2"/>
  <c r="AD381" i="2"/>
  <c r="AE381" i="2"/>
  <c r="AF381" i="2"/>
  <c r="AG381" i="2"/>
  <c r="AH381" i="2"/>
  <c r="AI381" i="2"/>
  <c r="O382" i="2"/>
  <c r="O383" i="2"/>
  <c r="T383" i="2"/>
  <c r="U383" i="2"/>
  <c r="V383" i="2"/>
  <c r="W383" i="2"/>
  <c r="X383" i="2"/>
  <c r="Y383" i="2"/>
  <c r="Z383" i="2"/>
  <c r="AA383" i="2"/>
  <c r="AB383" i="2"/>
  <c r="AC383" i="2"/>
  <c r="AD383" i="2"/>
  <c r="AE383" i="2"/>
  <c r="AF383" i="2"/>
  <c r="AG383" i="2"/>
  <c r="AH383" i="2"/>
  <c r="AI383" i="2"/>
  <c r="O384" i="2"/>
  <c r="O385" i="2"/>
  <c r="T385" i="2"/>
  <c r="U385" i="2"/>
  <c r="V385" i="2"/>
  <c r="W385" i="2"/>
  <c r="X385" i="2"/>
  <c r="Y385" i="2"/>
  <c r="Z385" i="2"/>
  <c r="AA385" i="2"/>
  <c r="AB385" i="2"/>
  <c r="AC385" i="2"/>
  <c r="AD385" i="2"/>
  <c r="AE385" i="2"/>
  <c r="AF385" i="2"/>
  <c r="AG385" i="2"/>
  <c r="AH385" i="2"/>
  <c r="AI385" i="2"/>
  <c r="O386" i="2"/>
  <c r="O387" i="2"/>
  <c r="T387" i="2"/>
  <c r="U387" i="2"/>
  <c r="V387" i="2"/>
  <c r="W387" i="2"/>
  <c r="X387" i="2"/>
  <c r="Y387" i="2"/>
  <c r="Z387" i="2"/>
  <c r="AA387" i="2"/>
  <c r="AB387" i="2"/>
  <c r="AC387" i="2"/>
  <c r="AD387" i="2"/>
  <c r="AE387" i="2"/>
  <c r="AF387" i="2"/>
  <c r="AG387" i="2"/>
  <c r="AH387" i="2"/>
  <c r="AI387" i="2"/>
  <c r="O388" i="2"/>
  <c r="O389" i="2"/>
  <c r="T389" i="2"/>
  <c r="U389" i="2"/>
  <c r="V389" i="2"/>
  <c r="W389" i="2"/>
  <c r="X389" i="2"/>
  <c r="Y389" i="2"/>
  <c r="Z389" i="2"/>
  <c r="AA389" i="2"/>
  <c r="AB389" i="2"/>
  <c r="AC389" i="2"/>
  <c r="AD389" i="2"/>
  <c r="AE389" i="2"/>
  <c r="AF389" i="2"/>
  <c r="AG389" i="2"/>
  <c r="AH389" i="2"/>
  <c r="AI389" i="2"/>
  <c r="O390" i="2"/>
  <c r="P397" i="2"/>
  <c r="Q397" i="2"/>
  <c r="Q399"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Q398" i="2"/>
  <c r="R398" i="2"/>
  <c r="S398" i="2"/>
  <c r="T398" i="2"/>
  <c r="U398" i="2"/>
  <c r="V398" i="2"/>
  <c r="W398" i="2"/>
  <c r="X398" i="2"/>
  <c r="Y398" i="2"/>
  <c r="Z398" i="2"/>
  <c r="AA398" i="2"/>
  <c r="AB398" i="2"/>
  <c r="AC398" i="2"/>
  <c r="AD398" i="2"/>
  <c r="AE398" i="2"/>
  <c r="AF398" i="2"/>
  <c r="AG398" i="2"/>
  <c r="AH398" i="2"/>
  <c r="AI398" i="2"/>
  <c r="J399" i="2"/>
  <c r="O400" i="2"/>
  <c r="Q400" i="2"/>
  <c r="R400" i="2"/>
  <c r="S400" i="2"/>
  <c r="T400" i="2"/>
  <c r="U400" i="2"/>
  <c r="V400" i="2"/>
  <c r="W400" i="2"/>
  <c r="X400" i="2"/>
  <c r="Y400" i="2"/>
  <c r="Z400" i="2"/>
  <c r="AA400" i="2"/>
  <c r="AB400" i="2"/>
  <c r="AC400" i="2"/>
  <c r="AD400" i="2"/>
  <c r="AE400" i="2"/>
  <c r="AF400" i="2"/>
  <c r="AG400" i="2"/>
  <c r="AH400" i="2"/>
  <c r="AI400" i="2"/>
  <c r="O401" i="2"/>
  <c r="O402" i="2"/>
  <c r="Q402" i="2"/>
  <c r="R402" i="2"/>
  <c r="S402" i="2"/>
  <c r="T402" i="2"/>
  <c r="U402" i="2"/>
  <c r="V402" i="2"/>
  <c r="W402" i="2"/>
  <c r="X402" i="2"/>
  <c r="Y402" i="2"/>
  <c r="Z402" i="2"/>
  <c r="AA402" i="2"/>
  <c r="AB402" i="2"/>
  <c r="AC402" i="2"/>
  <c r="AD402" i="2"/>
  <c r="AE402" i="2"/>
  <c r="AF402" i="2"/>
  <c r="AG402" i="2"/>
  <c r="AH402" i="2"/>
  <c r="AI402" i="2"/>
  <c r="O403" i="2"/>
  <c r="O404" i="2"/>
  <c r="Q404" i="2"/>
  <c r="R404" i="2"/>
  <c r="S404" i="2"/>
  <c r="T404" i="2"/>
  <c r="U404" i="2"/>
  <c r="V404" i="2"/>
  <c r="W404" i="2"/>
  <c r="X404" i="2"/>
  <c r="Y404" i="2"/>
  <c r="Z404" i="2"/>
  <c r="AA404" i="2"/>
  <c r="AB404" i="2"/>
  <c r="AC404" i="2"/>
  <c r="AD404" i="2"/>
  <c r="AE404" i="2"/>
  <c r="AF404" i="2"/>
  <c r="AG404" i="2"/>
  <c r="AH404" i="2"/>
  <c r="AI404" i="2"/>
  <c r="O405" i="2"/>
  <c r="O406" i="2"/>
  <c r="Q406" i="2"/>
  <c r="R406" i="2"/>
  <c r="S406" i="2"/>
  <c r="T406" i="2"/>
  <c r="U406" i="2"/>
  <c r="V406" i="2"/>
  <c r="W406" i="2"/>
  <c r="X406" i="2"/>
  <c r="Y406" i="2"/>
  <c r="Z406" i="2"/>
  <c r="AA406" i="2"/>
  <c r="AB406" i="2"/>
  <c r="AC406" i="2"/>
  <c r="AD406" i="2"/>
  <c r="AE406" i="2"/>
  <c r="AF406" i="2"/>
  <c r="AG406" i="2"/>
  <c r="AH406" i="2"/>
  <c r="AI406" i="2"/>
  <c r="O407" i="2"/>
  <c r="O408" i="2"/>
  <c r="Q408" i="2"/>
  <c r="R408" i="2"/>
  <c r="S408" i="2"/>
  <c r="T408" i="2"/>
  <c r="U408" i="2"/>
  <c r="V408" i="2"/>
  <c r="W408" i="2"/>
  <c r="X408" i="2"/>
  <c r="Y408" i="2"/>
  <c r="Z408" i="2"/>
  <c r="AA408" i="2"/>
  <c r="AB408" i="2"/>
  <c r="AC408" i="2"/>
  <c r="AD408" i="2"/>
  <c r="AE408" i="2"/>
  <c r="AF408" i="2"/>
  <c r="AG408" i="2"/>
  <c r="AH408" i="2"/>
  <c r="AI408" i="2"/>
  <c r="O409" i="2"/>
  <c r="O410" i="2"/>
  <c r="Q410" i="2"/>
  <c r="R410" i="2"/>
  <c r="S410" i="2"/>
  <c r="T410" i="2"/>
  <c r="U410" i="2"/>
  <c r="V410" i="2"/>
  <c r="W410" i="2"/>
  <c r="X410" i="2"/>
  <c r="Y410" i="2"/>
  <c r="Z410" i="2"/>
  <c r="AA410" i="2"/>
  <c r="AB410" i="2"/>
  <c r="AC410" i="2"/>
  <c r="AD410" i="2"/>
  <c r="AE410" i="2"/>
  <c r="AF410" i="2"/>
  <c r="AG410" i="2"/>
  <c r="AH410" i="2"/>
  <c r="AI410" i="2"/>
  <c r="O411" i="2"/>
  <c r="P418" i="2"/>
  <c r="Q418" i="2"/>
  <c r="Q420" i="2" s="1"/>
  <c r="R418" i="2"/>
  <c r="R420"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Q460" i="2"/>
  <c r="R460" i="2"/>
  <c r="S460" i="2"/>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T461" i="2"/>
  <c r="U461" i="2"/>
  <c r="V461" i="2"/>
  <c r="W461" i="2"/>
  <c r="X461" i="2"/>
  <c r="Y461" i="2"/>
  <c r="Z461" i="2"/>
  <c r="AA461" i="2"/>
  <c r="AB461" i="2"/>
  <c r="AC461" i="2"/>
  <c r="AD461" i="2"/>
  <c r="AE461" i="2"/>
  <c r="AF461" i="2"/>
  <c r="AG461" i="2"/>
  <c r="AH461" i="2"/>
  <c r="AI461" i="2"/>
  <c r="J462" i="2"/>
  <c r="O463" i="2"/>
  <c r="T463" i="2"/>
  <c r="U463" i="2"/>
  <c r="V463" i="2"/>
  <c r="W463" i="2"/>
  <c r="X463" i="2"/>
  <c r="Y463" i="2"/>
  <c r="Z463" i="2"/>
  <c r="AA463" i="2"/>
  <c r="AB463" i="2"/>
  <c r="AC463" i="2"/>
  <c r="AD463" i="2"/>
  <c r="AE463" i="2"/>
  <c r="AF463" i="2"/>
  <c r="AG463" i="2"/>
  <c r="AH463" i="2"/>
  <c r="AI463" i="2"/>
  <c r="O464" i="2"/>
  <c r="O465" i="2"/>
  <c r="T465" i="2"/>
  <c r="U465" i="2"/>
  <c r="V465" i="2"/>
  <c r="W465" i="2"/>
  <c r="X465" i="2"/>
  <c r="Y465" i="2"/>
  <c r="Z465" i="2"/>
  <c r="AA465" i="2"/>
  <c r="AB465" i="2"/>
  <c r="AC465" i="2"/>
  <c r="AD465" i="2"/>
  <c r="AE465" i="2"/>
  <c r="AF465" i="2"/>
  <c r="AG465" i="2"/>
  <c r="AH465" i="2"/>
  <c r="AI465" i="2"/>
  <c r="O466" i="2"/>
  <c r="O467" i="2"/>
  <c r="T467" i="2"/>
  <c r="U467" i="2"/>
  <c r="V467" i="2"/>
  <c r="W467" i="2"/>
  <c r="X467" i="2"/>
  <c r="Y467" i="2"/>
  <c r="Z467" i="2"/>
  <c r="AA467" i="2"/>
  <c r="AB467" i="2"/>
  <c r="AC467" i="2"/>
  <c r="AD467" i="2"/>
  <c r="AE467" i="2"/>
  <c r="AF467" i="2"/>
  <c r="AG467" i="2"/>
  <c r="AH467" i="2"/>
  <c r="AI467" i="2"/>
  <c r="O468" i="2"/>
  <c r="O469" i="2"/>
  <c r="T469" i="2"/>
  <c r="U469" i="2"/>
  <c r="V469" i="2"/>
  <c r="W469" i="2"/>
  <c r="X469" i="2"/>
  <c r="Y469" i="2"/>
  <c r="Z469" i="2"/>
  <c r="AA469" i="2"/>
  <c r="AB469" i="2"/>
  <c r="AC469" i="2"/>
  <c r="AD469" i="2"/>
  <c r="AE469" i="2"/>
  <c r="AF469" i="2"/>
  <c r="AG469" i="2"/>
  <c r="AH469" i="2"/>
  <c r="AI469" i="2"/>
  <c r="O470" i="2"/>
  <c r="O471" i="2"/>
  <c r="T471" i="2"/>
  <c r="U471" i="2"/>
  <c r="V471" i="2"/>
  <c r="W471" i="2"/>
  <c r="X471" i="2"/>
  <c r="Y471" i="2"/>
  <c r="Z471" i="2"/>
  <c r="AA471" i="2"/>
  <c r="AB471" i="2"/>
  <c r="AC471" i="2"/>
  <c r="AD471" i="2"/>
  <c r="AE471" i="2"/>
  <c r="AF471" i="2"/>
  <c r="AG471" i="2"/>
  <c r="AH471" i="2"/>
  <c r="AI471" i="2"/>
  <c r="O472" i="2"/>
  <c r="O473" i="2"/>
  <c r="T473" i="2"/>
  <c r="U473" i="2"/>
  <c r="V473" i="2"/>
  <c r="W473" i="2"/>
  <c r="X473" i="2"/>
  <c r="Y473" i="2"/>
  <c r="Z473" i="2"/>
  <c r="AA473" i="2"/>
  <c r="AB473" i="2"/>
  <c r="AC473" i="2"/>
  <c r="AD473" i="2"/>
  <c r="AE473" i="2"/>
  <c r="AF473" i="2"/>
  <c r="AG473" i="2"/>
  <c r="AH473" i="2"/>
  <c r="AI473" i="2"/>
  <c r="O474" i="2"/>
  <c r="P481" i="2"/>
  <c r="Q481" i="2"/>
  <c r="R481" i="2"/>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S482" i="2"/>
  <c r="T482" i="2"/>
  <c r="U482" i="2"/>
  <c r="V482" i="2"/>
  <c r="W482" i="2"/>
  <c r="X482" i="2"/>
  <c r="Y482" i="2"/>
  <c r="Z482" i="2"/>
  <c r="AA482" i="2"/>
  <c r="AB482" i="2"/>
  <c r="AC482" i="2"/>
  <c r="AD482" i="2"/>
  <c r="AE482" i="2"/>
  <c r="AF482" i="2"/>
  <c r="AG482" i="2"/>
  <c r="AH482" i="2"/>
  <c r="AI482" i="2"/>
  <c r="J483" i="2"/>
  <c r="O484" i="2"/>
  <c r="S484" i="2"/>
  <c r="T484" i="2"/>
  <c r="U484" i="2"/>
  <c r="V484" i="2"/>
  <c r="W484" i="2"/>
  <c r="X484" i="2"/>
  <c r="Y484" i="2"/>
  <c r="Z484" i="2"/>
  <c r="AA484" i="2"/>
  <c r="AB484" i="2"/>
  <c r="AC484" i="2"/>
  <c r="AD484" i="2"/>
  <c r="AE484" i="2"/>
  <c r="AF484" i="2"/>
  <c r="AG484" i="2"/>
  <c r="AH484" i="2"/>
  <c r="AI484" i="2"/>
  <c r="O485" i="2"/>
  <c r="O486" i="2"/>
  <c r="S486" i="2"/>
  <c r="T486" i="2"/>
  <c r="U486" i="2"/>
  <c r="V486" i="2"/>
  <c r="W486" i="2"/>
  <c r="X486" i="2"/>
  <c r="Y486" i="2"/>
  <c r="Z486" i="2"/>
  <c r="AA486" i="2"/>
  <c r="AB486" i="2"/>
  <c r="AC486" i="2"/>
  <c r="AD486" i="2"/>
  <c r="AE486" i="2"/>
  <c r="AF486" i="2"/>
  <c r="AG486" i="2"/>
  <c r="AH486" i="2"/>
  <c r="AI486" i="2"/>
  <c r="O487" i="2"/>
  <c r="O488" i="2"/>
  <c r="S488" i="2"/>
  <c r="T488" i="2"/>
  <c r="U488" i="2"/>
  <c r="V488" i="2"/>
  <c r="W488" i="2"/>
  <c r="X488" i="2"/>
  <c r="Y488" i="2"/>
  <c r="Z488" i="2"/>
  <c r="AA488" i="2"/>
  <c r="AB488" i="2"/>
  <c r="AC488" i="2"/>
  <c r="AD488" i="2"/>
  <c r="AE488" i="2"/>
  <c r="AF488" i="2"/>
  <c r="AG488" i="2"/>
  <c r="AH488" i="2"/>
  <c r="AI488" i="2"/>
  <c r="O489" i="2"/>
  <c r="O490" i="2"/>
  <c r="S490" i="2"/>
  <c r="T490" i="2"/>
  <c r="U490" i="2"/>
  <c r="V490" i="2"/>
  <c r="W490" i="2"/>
  <c r="X490" i="2"/>
  <c r="Y490" i="2"/>
  <c r="Z490" i="2"/>
  <c r="AA490" i="2"/>
  <c r="AB490" i="2"/>
  <c r="AC490" i="2"/>
  <c r="AD490" i="2"/>
  <c r="AE490" i="2"/>
  <c r="AF490" i="2"/>
  <c r="AG490" i="2"/>
  <c r="AH490" i="2"/>
  <c r="AI490" i="2"/>
  <c r="O491" i="2"/>
  <c r="O492" i="2"/>
  <c r="S492" i="2"/>
  <c r="T492" i="2"/>
  <c r="U492" i="2"/>
  <c r="V492" i="2"/>
  <c r="W492" i="2"/>
  <c r="X492" i="2"/>
  <c r="Y492" i="2"/>
  <c r="Z492" i="2"/>
  <c r="AA492" i="2"/>
  <c r="AB492" i="2"/>
  <c r="AC492" i="2"/>
  <c r="AD492" i="2"/>
  <c r="AE492" i="2"/>
  <c r="AF492" i="2"/>
  <c r="AG492" i="2"/>
  <c r="AH492" i="2"/>
  <c r="AI492" i="2"/>
  <c r="O493" i="2"/>
  <c r="O494" i="2"/>
  <c r="S494" i="2"/>
  <c r="T494" i="2"/>
  <c r="U494" i="2"/>
  <c r="V494" i="2"/>
  <c r="W494" i="2"/>
  <c r="X494" i="2"/>
  <c r="Y494" i="2"/>
  <c r="Z494" i="2"/>
  <c r="AA494" i="2"/>
  <c r="AB494" i="2"/>
  <c r="AC494" i="2"/>
  <c r="AD494" i="2"/>
  <c r="AE494" i="2"/>
  <c r="AF494" i="2"/>
  <c r="AG494" i="2"/>
  <c r="AH494" i="2"/>
  <c r="AI494" i="2"/>
  <c r="O495" i="2"/>
  <c r="P502" i="2"/>
  <c r="Q502" i="2"/>
  <c r="R502" i="2"/>
  <c r="S502" i="2"/>
  <c r="T502" i="2"/>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U503" i="2"/>
  <c r="V503" i="2"/>
  <c r="W503" i="2"/>
  <c r="X503" i="2"/>
  <c r="Y503" i="2"/>
  <c r="Z503" i="2"/>
  <c r="AA503" i="2"/>
  <c r="AB503" i="2"/>
  <c r="AC503" i="2"/>
  <c r="AD503" i="2"/>
  <c r="AE503" i="2"/>
  <c r="AF503" i="2"/>
  <c r="AG503" i="2"/>
  <c r="AH503" i="2"/>
  <c r="AI503" i="2"/>
  <c r="J504" i="2"/>
  <c r="O505" i="2"/>
  <c r="U505" i="2"/>
  <c r="V505" i="2"/>
  <c r="W505" i="2"/>
  <c r="X505" i="2"/>
  <c r="Y505" i="2"/>
  <c r="Z505" i="2"/>
  <c r="AA505" i="2"/>
  <c r="AB505" i="2"/>
  <c r="AC505" i="2"/>
  <c r="AD505" i="2"/>
  <c r="AE505" i="2"/>
  <c r="AF505" i="2"/>
  <c r="AG505" i="2"/>
  <c r="AH505" i="2"/>
  <c r="AI505" i="2"/>
  <c r="O506" i="2"/>
  <c r="O507" i="2"/>
  <c r="U507" i="2"/>
  <c r="V507" i="2"/>
  <c r="W507" i="2"/>
  <c r="X507" i="2"/>
  <c r="Y507" i="2"/>
  <c r="Z507" i="2"/>
  <c r="AA507" i="2"/>
  <c r="AB507" i="2"/>
  <c r="AC507" i="2"/>
  <c r="AD507" i="2"/>
  <c r="AE507" i="2"/>
  <c r="AF507" i="2"/>
  <c r="AG507" i="2"/>
  <c r="AH507" i="2"/>
  <c r="AI507" i="2"/>
  <c r="O508" i="2"/>
  <c r="O509" i="2"/>
  <c r="U509" i="2"/>
  <c r="V509" i="2"/>
  <c r="W509" i="2"/>
  <c r="X509" i="2"/>
  <c r="Y509" i="2"/>
  <c r="Z509" i="2"/>
  <c r="AA509" i="2"/>
  <c r="AB509" i="2"/>
  <c r="AC509" i="2"/>
  <c r="AD509" i="2"/>
  <c r="AE509" i="2"/>
  <c r="AF509" i="2"/>
  <c r="AG509" i="2"/>
  <c r="AH509" i="2"/>
  <c r="AI509" i="2"/>
  <c r="O510" i="2"/>
  <c r="O511" i="2"/>
  <c r="U511" i="2"/>
  <c r="V511" i="2"/>
  <c r="W511" i="2"/>
  <c r="X511" i="2"/>
  <c r="Y511" i="2"/>
  <c r="Z511" i="2"/>
  <c r="AA511" i="2"/>
  <c r="AB511" i="2"/>
  <c r="AC511" i="2"/>
  <c r="AD511" i="2"/>
  <c r="AE511" i="2"/>
  <c r="AF511" i="2"/>
  <c r="AG511" i="2"/>
  <c r="AH511" i="2"/>
  <c r="AI511" i="2"/>
  <c r="O512" i="2"/>
  <c r="O513" i="2"/>
  <c r="U513" i="2"/>
  <c r="V513" i="2"/>
  <c r="W513" i="2"/>
  <c r="X513" i="2"/>
  <c r="Y513" i="2"/>
  <c r="Z513" i="2"/>
  <c r="AA513" i="2"/>
  <c r="AB513" i="2"/>
  <c r="AC513" i="2"/>
  <c r="AD513" i="2"/>
  <c r="AE513" i="2"/>
  <c r="AF513" i="2"/>
  <c r="AG513" i="2"/>
  <c r="AH513" i="2"/>
  <c r="AI513" i="2"/>
  <c r="O514" i="2"/>
  <c r="O515" i="2"/>
  <c r="U515" i="2"/>
  <c r="V515" i="2"/>
  <c r="W515" i="2"/>
  <c r="X515" i="2"/>
  <c r="Y515" i="2"/>
  <c r="Z515" i="2"/>
  <c r="AA515" i="2"/>
  <c r="AB515" i="2"/>
  <c r="AC515" i="2"/>
  <c r="AD515" i="2"/>
  <c r="AE515" i="2"/>
  <c r="AF515" i="2"/>
  <c r="AG515" i="2"/>
  <c r="AH515" i="2"/>
  <c r="AI515" i="2"/>
  <c r="O516" i="2"/>
  <c r="P523" i="2"/>
  <c r="Q523" i="2"/>
  <c r="Q525" i="2" s="1"/>
  <c r="Q527" i="2" s="1"/>
  <c r="Q529" i="2" s="1"/>
  <c r="Q531" i="2" s="1"/>
  <c r="Q533" i="2" s="1"/>
  <c r="Q535" i="2" s="1"/>
  <c r="Q537"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Q544" i="2"/>
  <c r="Q546" i="2" s="1"/>
  <c r="Q548" i="2" s="1"/>
  <c r="Q550" i="2" s="1"/>
  <c r="Q552" i="2" s="1"/>
  <c r="Q554" i="2" s="1"/>
  <c r="Q556" i="2" s="1"/>
  <c r="Q558"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Q586" i="2"/>
  <c r="R586" i="2"/>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S587" i="2"/>
  <c r="T587" i="2"/>
  <c r="U587" i="2"/>
  <c r="V587" i="2"/>
  <c r="W587" i="2"/>
  <c r="X587" i="2"/>
  <c r="Y587" i="2"/>
  <c r="Z587" i="2"/>
  <c r="AA587" i="2"/>
  <c r="AB587" i="2"/>
  <c r="AC587" i="2"/>
  <c r="AD587" i="2"/>
  <c r="AE587" i="2"/>
  <c r="AF587" i="2"/>
  <c r="AG587" i="2"/>
  <c r="AH587" i="2"/>
  <c r="AI587" i="2"/>
  <c r="J588" i="2"/>
  <c r="O589" i="2"/>
  <c r="S589" i="2"/>
  <c r="T589" i="2"/>
  <c r="U589" i="2"/>
  <c r="V589" i="2"/>
  <c r="W589" i="2"/>
  <c r="X589" i="2"/>
  <c r="Y589" i="2"/>
  <c r="Z589" i="2"/>
  <c r="AA589" i="2"/>
  <c r="AB589" i="2"/>
  <c r="AC589" i="2"/>
  <c r="AD589" i="2"/>
  <c r="AE589" i="2"/>
  <c r="AF589" i="2"/>
  <c r="AG589" i="2"/>
  <c r="AH589" i="2"/>
  <c r="AI589" i="2"/>
  <c r="O590" i="2"/>
  <c r="O591" i="2"/>
  <c r="S591" i="2"/>
  <c r="T591" i="2"/>
  <c r="U591" i="2"/>
  <c r="V591" i="2"/>
  <c r="W591" i="2"/>
  <c r="X591" i="2"/>
  <c r="Y591" i="2"/>
  <c r="Z591" i="2"/>
  <c r="AA591" i="2"/>
  <c r="AB591" i="2"/>
  <c r="AC591" i="2"/>
  <c r="AD591" i="2"/>
  <c r="AE591" i="2"/>
  <c r="AF591" i="2"/>
  <c r="AG591" i="2"/>
  <c r="AH591" i="2"/>
  <c r="AI591" i="2"/>
  <c r="O592" i="2"/>
  <c r="O593" i="2"/>
  <c r="S593" i="2"/>
  <c r="T593" i="2"/>
  <c r="U593" i="2"/>
  <c r="V593" i="2"/>
  <c r="W593" i="2"/>
  <c r="X593" i="2"/>
  <c r="Y593" i="2"/>
  <c r="Z593" i="2"/>
  <c r="AA593" i="2"/>
  <c r="AB593" i="2"/>
  <c r="AC593" i="2"/>
  <c r="AD593" i="2"/>
  <c r="AE593" i="2"/>
  <c r="AF593" i="2"/>
  <c r="AG593" i="2"/>
  <c r="AH593" i="2"/>
  <c r="AI593" i="2"/>
  <c r="O594" i="2"/>
  <c r="O595" i="2"/>
  <c r="S595" i="2"/>
  <c r="T595" i="2"/>
  <c r="U595" i="2"/>
  <c r="V595" i="2"/>
  <c r="W595" i="2"/>
  <c r="X595" i="2"/>
  <c r="Y595" i="2"/>
  <c r="Z595" i="2"/>
  <c r="AA595" i="2"/>
  <c r="AB595" i="2"/>
  <c r="AC595" i="2"/>
  <c r="AD595" i="2"/>
  <c r="AE595" i="2"/>
  <c r="AF595" i="2"/>
  <c r="AG595" i="2"/>
  <c r="AH595" i="2"/>
  <c r="AI595" i="2"/>
  <c r="O596" i="2"/>
  <c r="O597" i="2"/>
  <c r="S597" i="2"/>
  <c r="T597" i="2"/>
  <c r="U597" i="2"/>
  <c r="V597" i="2"/>
  <c r="W597" i="2"/>
  <c r="X597" i="2"/>
  <c r="Y597" i="2"/>
  <c r="Z597" i="2"/>
  <c r="AA597" i="2"/>
  <c r="AB597" i="2"/>
  <c r="AC597" i="2"/>
  <c r="AD597" i="2"/>
  <c r="AE597" i="2"/>
  <c r="AF597" i="2"/>
  <c r="AG597" i="2"/>
  <c r="AH597" i="2"/>
  <c r="AI597" i="2"/>
  <c r="O598" i="2"/>
  <c r="O599" i="2"/>
  <c r="S599" i="2"/>
  <c r="T599" i="2"/>
  <c r="U599" i="2"/>
  <c r="V599" i="2"/>
  <c r="W599" i="2"/>
  <c r="X599" i="2"/>
  <c r="Y599" i="2"/>
  <c r="Z599" i="2"/>
  <c r="AA599" i="2"/>
  <c r="AB599" i="2"/>
  <c r="AC599" i="2"/>
  <c r="AD599" i="2"/>
  <c r="AE599" i="2"/>
  <c r="AF599" i="2"/>
  <c r="AG599" i="2"/>
  <c r="AH599" i="2"/>
  <c r="AI599" i="2"/>
  <c r="O600" i="2"/>
  <c r="P607" i="2"/>
  <c r="Q607" i="2"/>
  <c r="R607" i="2"/>
  <c r="S607" i="2"/>
  <c r="S609" i="2" s="1"/>
  <c r="S611" i="2" s="1"/>
  <c r="S613" i="2" s="1"/>
  <c r="S615" i="2" s="1"/>
  <c r="S617" i="2" s="1"/>
  <c r="S619" i="2" s="1"/>
  <c r="S621" i="2" s="1"/>
  <c r="T607" i="2"/>
  <c r="T609" i="2" s="1"/>
  <c r="T611" i="2" s="1"/>
  <c r="T613" i="2" s="1"/>
  <c r="T615" i="2" s="1"/>
  <c r="T617" i="2" s="1"/>
  <c r="T619" i="2" s="1"/>
  <c r="T621" i="2" s="1"/>
  <c r="U607" i="2"/>
  <c r="U609"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S608" i="2"/>
  <c r="T608" i="2"/>
  <c r="U608" i="2"/>
  <c r="V608" i="2"/>
  <c r="W608" i="2"/>
  <c r="X608" i="2"/>
  <c r="Y608" i="2"/>
  <c r="Z608" i="2"/>
  <c r="AA608" i="2"/>
  <c r="AB608" i="2"/>
  <c r="AC608" i="2"/>
  <c r="AD608" i="2"/>
  <c r="AE608" i="2"/>
  <c r="AF608" i="2"/>
  <c r="AG608" i="2"/>
  <c r="AH608" i="2"/>
  <c r="AI608" i="2"/>
  <c r="J609" i="2"/>
  <c r="O610" i="2"/>
  <c r="S610" i="2"/>
  <c r="T610" i="2"/>
  <c r="U610" i="2"/>
  <c r="V610" i="2"/>
  <c r="W610" i="2"/>
  <c r="X610" i="2"/>
  <c r="Y610" i="2"/>
  <c r="Z610" i="2"/>
  <c r="AA610" i="2"/>
  <c r="AB610" i="2"/>
  <c r="AC610" i="2"/>
  <c r="AD610" i="2"/>
  <c r="AE610" i="2"/>
  <c r="AF610" i="2"/>
  <c r="AG610" i="2"/>
  <c r="AH610" i="2"/>
  <c r="AI610" i="2"/>
  <c r="O611" i="2"/>
  <c r="O612" i="2"/>
  <c r="S612" i="2"/>
  <c r="T612" i="2"/>
  <c r="U612" i="2"/>
  <c r="V612" i="2"/>
  <c r="W612" i="2"/>
  <c r="X612" i="2"/>
  <c r="Y612" i="2"/>
  <c r="Z612" i="2"/>
  <c r="AA612" i="2"/>
  <c r="AB612" i="2"/>
  <c r="AC612" i="2"/>
  <c r="AD612" i="2"/>
  <c r="AE612" i="2"/>
  <c r="AF612" i="2"/>
  <c r="AG612" i="2"/>
  <c r="AH612" i="2"/>
  <c r="AI612" i="2"/>
  <c r="O613" i="2"/>
  <c r="O614" i="2"/>
  <c r="S614" i="2"/>
  <c r="T614" i="2"/>
  <c r="U614" i="2"/>
  <c r="V614" i="2"/>
  <c r="W614" i="2"/>
  <c r="X614" i="2"/>
  <c r="Y614" i="2"/>
  <c r="Z614" i="2"/>
  <c r="AA614" i="2"/>
  <c r="AB614" i="2"/>
  <c r="AC614" i="2"/>
  <c r="AD614" i="2"/>
  <c r="AE614" i="2"/>
  <c r="AF614" i="2"/>
  <c r="AG614" i="2"/>
  <c r="AH614" i="2"/>
  <c r="AI614" i="2"/>
  <c r="O615" i="2"/>
  <c r="O616" i="2"/>
  <c r="S616" i="2"/>
  <c r="T616" i="2"/>
  <c r="U616" i="2"/>
  <c r="V616" i="2"/>
  <c r="W616" i="2"/>
  <c r="X616" i="2"/>
  <c r="Y616" i="2"/>
  <c r="Z616" i="2"/>
  <c r="AA616" i="2"/>
  <c r="AB616" i="2"/>
  <c r="AC616" i="2"/>
  <c r="AD616" i="2"/>
  <c r="AE616" i="2"/>
  <c r="AF616" i="2"/>
  <c r="AG616" i="2"/>
  <c r="AH616" i="2"/>
  <c r="AI616" i="2"/>
  <c r="O617" i="2"/>
  <c r="O618" i="2"/>
  <c r="S618" i="2"/>
  <c r="T618" i="2"/>
  <c r="U618" i="2"/>
  <c r="V618" i="2"/>
  <c r="W618" i="2"/>
  <c r="X618" i="2"/>
  <c r="Y618" i="2"/>
  <c r="Z618" i="2"/>
  <c r="AA618" i="2"/>
  <c r="AB618" i="2"/>
  <c r="AC618" i="2"/>
  <c r="AD618" i="2"/>
  <c r="AE618" i="2"/>
  <c r="AF618" i="2"/>
  <c r="AG618" i="2"/>
  <c r="AH618" i="2"/>
  <c r="AI618" i="2"/>
  <c r="O619" i="2"/>
  <c r="O620" i="2"/>
  <c r="S620" i="2"/>
  <c r="T620" i="2"/>
  <c r="U620" i="2"/>
  <c r="V620" i="2"/>
  <c r="W620" i="2"/>
  <c r="X620" i="2"/>
  <c r="Y620" i="2"/>
  <c r="Z620" i="2"/>
  <c r="AA620" i="2"/>
  <c r="AB620" i="2"/>
  <c r="AC620" i="2"/>
  <c r="AD620" i="2"/>
  <c r="AE620" i="2"/>
  <c r="AF620" i="2"/>
  <c r="AG620" i="2"/>
  <c r="AH620" i="2"/>
  <c r="AI620" i="2"/>
  <c r="O621" i="2"/>
  <c r="P628" i="2"/>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R649" i="2"/>
  <c r="R651" i="2" s="1"/>
  <c r="R653" i="2" s="1"/>
  <c r="R655" i="2" s="1"/>
  <c r="R657" i="2" s="1"/>
  <c r="R659" i="2" s="1"/>
  <c r="R661" i="2" s="1"/>
  <c r="R663" i="2" s="1"/>
  <c r="S649" i="2"/>
  <c r="S651" i="2" s="1"/>
  <c r="S653" i="2" s="1"/>
  <c r="S655" i="2" s="1"/>
  <c r="S657" i="2" s="1"/>
  <c r="S659" i="2" s="1"/>
  <c r="S661" i="2" s="1"/>
  <c r="S663" i="2" s="1"/>
  <c r="T649" i="2"/>
  <c r="T651" i="2" s="1"/>
  <c r="T653" i="2" s="1"/>
  <c r="T655" i="2" s="1"/>
  <c r="T657" i="2" s="1"/>
  <c r="T659" i="2" s="1"/>
  <c r="T661" i="2" s="1"/>
  <c r="T663"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S674" i="2" s="1"/>
  <c r="S676" i="2" s="1"/>
  <c r="S678" i="2" s="1"/>
  <c r="S680" i="2" s="1"/>
  <c r="S682" i="2" s="1"/>
  <c r="S684"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Q695" i="2" s="1"/>
  <c r="Q697" i="2" s="1"/>
  <c r="Q699" i="2" s="1"/>
  <c r="Q701" i="2" s="1"/>
  <c r="Q703" i="2" s="1"/>
  <c r="Q705"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P722" i="2" s="1"/>
  <c r="P724" i="2" s="1"/>
  <c r="Q712" i="2"/>
  <c r="Q714" i="2" s="1"/>
  <c r="R712" i="2"/>
  <c r="R714" i="2" s="1"/>
  <c r="R716" i="2" s="1"/>
  <c r="R718" i="2" s="1"/>
  <c r="R720" i="2" s="1"/>
  <c r="R722" i="2" s="1"/>
  <c r="R724" i="2" s="1"/>
  <c r="R726" i="2" s="1"/>
  <c r="S712" i="2"/>
  <c r="S714" i="2" s="1"/>
  <c r="S716" i="2" s="1"/>
  <c r="S718" i="2" s="1"/>
  <c r="S720" i="2" s="1"/>
  <c r="S722" i="2" s="1"/>
  <c r="S724" i="2" s="1"/>
  <c r="S726" i="2" s="1"/>
  <c r="T712" i="2"/>
  <c r="T714"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Q760" i="2"/>
  <c r="Q762" i="2" s="1"/>
  <c r="Q764" i="2" s="1"/>
  <c r="Q766" i="2" s="1"/>
  <c r="Q768" i="2" s="1"/>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U779" i="2" s="1"/>
  <c r="U781" i="2" s="1"/>
  <c r="U783" i="2" s="1"/>
  <c r="U785" i="2" s="1"/>
  <c r="U787" i="2" s="1"/>
  <c r="U789" i="2" s="1"/>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P802" i="2" s="1"/>
  <c r="P804" i="2" s="1"/>
  <c r="Q796" i="2"/>
  <c r="Q798" i="2" s="1"/>
  <c r="Q800" i="2" s="1"/>
  <c r="Q802" i="2" s="1"/>
  <c r="Q804" i="2" s="1"/>
  <c r="Q806" i="2" s="1"/>
  <c r="Q808" i="2" s="1"/>
  <c r="Q810" i="2" s="1"/>
  <c r="R796" i="2"/>
  <c r="R798" i="2" s="1"/>
  <c r="S796" i="2"/>
  <c r="S798" i="2" s="1"/>
  <c r="S800" i="2" s="1"/>
  <c r="S802" i="2" s="1"/>
  <c r="S804" i="2" s="1"/>
  <c r="S806" i="2" s="1"/>
  <c r="S808" i="2" s="1"/>
  <c r="S810" i="2" s="1"/>
  <c r="T796" i="2"/>
  <c r="T798" i="2" s="1"/>
  <c r="T800" i="2" s="1"/>
  <c r="T802" i="2" s="1"/>
  <c r="T804" i="2" s="1"/>
  <c r="T806" i="2" s="1"/>
  <c r="T808" i="2" s="1"/>
  <c r="T810"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U817" i="2"/>
  <c r="U819" i="2" s="1"/>
  <c r="U821" i="2" s="1"/>
  <c r="U823" i="2" s="1"/>
  <c r="U825" i="2" s="1"/>
  <c r="U827" i="2" s="1"/>
  <c r="U829" i="2" s="1"/>
  <c r="U831" i="2" s="1"/>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R922" i="2"/>
  <c r="R924" i="2" s="1"/>
  <c r="R926" i="2" s="1"/>
  <c r="R928" i="2" s="1"/>
  <c r="R930" i="2" s="1"/>
  <c r="R932" i="2" s="1"/>
  <c r="R934" i="2" s="1"/>
  <c r="R936" i="2" s="1"/>
  <c r="S922" i="2"/>
  <c r="S924" i="2" s="1"/>
  <c r="S926" i="2" s="1"/>
  <c r="S928" i="2" s="1"/>
  <c r="S930" i="2" s="1"/>
  <c r="S932" i="2" s="1"/>
  <c r="S934" i="2" s="1"/>
  <c r="S936" i="2" s="1"/>
  <c r="T922" i="2"/>
  <c r="T924" i="2" s="1"/>
  <c r="T926" i="2" s="1"/>
  <c r="T928" i="2" s="1"/>
  <c r="T930" i="2" s="1"/>
  <c r="T932" i="2" s="1"/>
  <c r="T934" i="2" s="1"/>
  <c r="T936" i="2" s="1"/>
  <c r="U922" i="2"/>
  <c r="U924" i="2" s="1"/>
  <c r="U926" i="2" s="1"/>
  <c r="U928" i="2" s="1"/>
  <c r="U930" i="2" s="1"/>
  <c r="U932" i="2" s="1"/>
  <c r="U934" i="2" s="1"/>
  <c r="U936" i="2" s="1"/>
  <c r="V922" i="2"/>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V924" i="2"/>
  <c r="V926" i="2" s="1"/>
  <c r="V928" i="2" s="1"/>
  <c r="V930" i="2" s="1"/>
  <c r="V932" i="2" s="1"/>
  <c r="V934" i="2" s="1"/>
  <c r="V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AE947" i="2"/>
  <c r="AE949" i="2" s="1"/>
  <c r="AE951" i="2" s="1"/>
  <c r="AE953" i="2" s="1"/>
  <c r="AE955" i="2" s="1"/>
  <c r="AE957" i="2" s="1"/>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P968"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R1031" i="2" s="1"/>
  <c r="R1033" i="2" s="1"/>
  <c r="R1035" i="2" s="1"/>
  <c r="R1037" i="2" s="1"/>
  <c r="R1039" i="2" s="1"/>
  <c r="R1041" i="2" s="1"/>
  <c r="S1027" i="2"/>
  <c r="S1029" i="2" s="1"/>
  <c r="S1031" i="2" s="1"/>
  <c r="S1033" i="2" s="1"/>
  <c r="S1035" i="2" s="1"/>
  <c r="S1037" i="2" s="1"/>
  <c r="S1039" i="2" s="1"/>
  <c r="S1041"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U1050" i="2"/>
  <c r="U1052" i="2" s="1"/>
  <c r="U1054" i="2" s="1"/>
  <c r="U1056" i="2" s="1"/>
  <c r="U1058" i="2" s="1"/>
  <c r="U1060" i="2" s="1"/>
  <c r="U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P1115"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X1136" i="2" s="1"/>
  <c r="X1138" i="2" s="1"/>
  <c r="X1140" i="2" s="1"/>
  <c r="X1142" i="2" s="1"/>
  <c r="X1144" i="2" s="1"/>
  <c r="X1146"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R1216" i="2"/>
  <c r="R1218" i="2" s="1"/>
  <c r="R1220" i="2" s="1"/>
  <c r="R1222" i="2" s="1"/>
  <c r="R1224" i="2" s="1"/>
  <c r="R1226" i="2" s="1"/>
  <c r="R1228" i="2" s="1"/>
  <c r="R1230" i="2" s="1"/>
  <c r="S1216" i="2"/>
  <c r="S1218"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Q1241" i="2" s="1"/>
  <c r="Q1243" i="2" s="1"/>
  <c r="Q1245" i="2" s="1"/>
  <c r="Q1247" i="2" s="1"/>
  <c r="Q1249" i="2" s="1"/>
  <c r="Q1251"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R1258" i="2"/>
  <c r="R1260"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P1388" i="2" s="1"/>
  <c r="P1390" i="2" s="1"/>
  <c r="P1392" i="2" s="1"/>
  <c r="Q1384" i="2"/>
  <c r="Q1386" i="2" s="1"/>
  <c r="Q1388" i="2" s="1"/>
  <c r="Q1390" i="2" s="1"/>
  <c r="Q1392" i="2" s="1"/>
  <c r="Q1394" i="2" s="1"/>
  <c r="Q1396" i="2" s="1"/>
  <c r="Q1398" i="2" s="1"/>
  <c r="R1384" i="2"/>
  <c r="R1386" i="2" s="1"/>
  <c r="R1388" i="2" s="1"/>
  <c r="R1390"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P1409" i="2" s="1"/>
  <c r="P1411" i="2" s="1"/>
  <c r="P1413" i="2" s="1"/>
  <c r="Q1405" i="2"/>
  <c r="Q1407"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P1430" i="2" s="1"/>
  <c r="Q1426" i="2"/>
  <c r="Q1428" i="2" s="1"/>
  <c r="R1426" i="2"/>
  <c r="R1428" i="2" s="1"/>
  <c r="R1430" i="2" s="1"/>
  <c r="R1432" i="2" s="1"/>
  <c r="R1434" i="2" s="1"/>
  <c r="R1436" i="2" s="1"/>
  <c r="R1438" i="2" s="1"/>
  <c r="R1440" i="2" s="1"/>
  <c r="S1426" i="2"/>
  <c r="S1428" i="2" s="1"/>
  <c r="S1430" i="2" s="1"/>
  <c r="S1432" i="2" s="1"/>
  <c r="S1434" i="2" s="1"/>
  <c r="S1436" i="2" s="1"/>
  <c r="S1438" i="2" s="1"/>
  <c r="S1440" i="2" s="1"/>
  <c r="T1426" i="2"/>
  <c r="T1428"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Q1556" i="2" s="1"/>
  <c r="Q1558" i="2" s="1"/>
  <c r="Q1560" i="2" s="1"/>
  <c r="Q1562" i="2" s="1"/>
  <c r="Q1564" i="2" s="1"/>
  <c r="Q1566"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P1621"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Q1703" i="2" s="1"/>
  <c r="Q1705" i="2" s="1"/>
  <c r="Q1707" i="2" s="1"/>
  <c r="Q1709" i="2" s="1"/>
  <c r="Q1711" i="2" s="1"/>
  <c r="Q1713"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Q1741" i="2"/>
  <c r="Q1743"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P1955"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Q2014" i="2"/>
  <c r="Q2016" i="2" s="1"/>
  <c r="R2014" i="2"/>
  <c r="R2016" i="2" s="1"/>
  <c r="R2018" i="2" s="1"/>
  <c r="R2020" i="2" s="1"/>
  <c r="R2022" i="2" s="1"/>
  <c r="R2024" i="2" s="1"/>
  <c r="R2026" i="2" s="1"/>
  <c r="R2028"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P2039" i="2" s="1"/>
  <c r="P2041" i="2" s="1"/>
  <c r="Q2035" i="2"/>
  <c r="Q2037" i="2" s="1"/>
  <c r="Q2039" i="2" s="1"/>
  <c r="Q2041" i="2" s="1"/>
  <c r="Q2043" i="2" s="1"/>
  <c r="Q2045" i="2" s="1"/>
  <c r="Q2047" i="2" s="1"/>
  <c r="Q2049" i="2" s="1"/>
  <c r="R2035" i="2"/>
  <c r="R2037"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V2039" i="2" s="1"/>
  <c r="V2041" i="2" s="1"/>
  <c r="V2043" i="2" s="1"/>
  <c r="V2045" i="2" s="1"/>
  <c r="V2047" i="2" s="1"/>
  <c r="V2049"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R2056" i="2"/>
  <c r="R2058" i="2" s="1"/>
  <c r="R2060" i="2" s="1"/>
  <c r="R2062" i="2" s="1"/>
  <c r="R2064" i="2" s="1"/>
  <c r="R2066" i="2" s="1"/>
  <c r="R2068" i="2" s="1"/>
  <c r="R2070"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Q2081" i="2" s="1"/>
  <c r="Q2083" i="2" s="1"/>
  <c r="Q2085" i="2" s="1"/>
  <c r="Q2087" i="2" s="1"/>
  <c r="Q2089" i="2" s="1"/>
  <c r="Q2091"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U2100" i="2"/>
  <c r="U2102" i="2" s="1"/>
  <c r="U2104" i="2" s="1"/>
  <c r="U2106" i="2" s="1"/>
  <c r="U2108" i="2" s="1"/>
  <c r="U2110" i="2" s="1"/>
  <c r="U2112" i="2" s="1"/>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19" i="2"/>
  <c r="P420" i="2" l="1"/>
  <c r="P357" i="2"/>
  <c r="P356" i="2" s="1"/>
  <c r="P315" i="2"/>
  <c r="P314" i="2" s="1"/>
  <c r="P189" i="2"/>
  <c r="P188" i="2" s="1"/>
  <c r="P567" i="2"/>
  <c r="T504" i="2"/>
  <c r="T503" i="2" s="1"/>
  <c r="P294" i="2"/>
  <c r="P293" i="2" s="1"/>
  <c r="S252" i="2"/>
  <c r="Q273" i="2"/>
  <c r="R252" i="2"/>
  <c r="S231" i="2"/>
  <c r="Q168" i="2"/>
  <c r="Q105" i="2"/>
  <c r="T84" i="2"/>
  <c r="T83" i="2" s="1"/>
  <c r="P525" i="2"/>
  <c r="P441" i="2"/>
  <c r="Q252" i="2"/>
  <c r="P126" i="2"/>
  <c r="P630" i="2"/>
  <c r="S210" i="2"/>
  <c r="R147" i="2"/>
  <c r="S378" i="2"/>
  <c r="S377" i="2" s="1"/>
  <c r="S189" i="2"/>
  <c r="S188" i="2" s="1"/>
  <c r="Q147" i="2"/>
  <c r="Q146" i="2" s="1"/>
  <c r="R63" i="2"/>
  <c r="R62" i="2" s="1"/>
  <c r="Q63" i="2"/>
  <c r="Q62" i="2" s="1"/>
  <c r="R42" i="2"/>
  <c r="R41" i="2" s="1"/>
  <c r="P546" i="2"/>
  <c r="P548" i="2" s="1"/>
  <c r="P399" i="2"/>
  <c r="P398" i="2" s="1"/>
  <c r="R378" i="2"/>
  <c r="R377" i="2" s="1"/>
  <c r="R357" i="2"/>
  <c r="R356" i="2" s="1"/>
  <c r="R336" i="2"/>
  <c r="R335" i="2" s="1"/>
  <c r="R315" i="2"/>
  <c r="R314" i="2" s="1"/>
  <c r="Q210" i="2"/>
  <c r="Q209" i="2" s="1"/>
  <c r="P147" i="2"/>
  <c r="P146" i="2" s="1"/>
  <c r="Q357" i="2"/>
  <c r="Q356" i="2" s="1"/>
  <c r="Q315" i="2"/>
  <c r="Q314" i="2" s="1"/>
  <c r="P210" i="2"/>
  <c r="P209" i="2" s="1"/>
  <c r="Q189" i="2"/>
  <c r="Q188" i="2" s="1"/>
  <c r="AB23" i="27"/>
  <c r="AC23" i="27" s="1"/>
  <c r="X24" i="27"/>
  <c r="Z23" i="27"/>
  <c r="AA23" i="27" s="1"/>
  <c r="G26" i="19"/>
  <c r="R609" i="2"/>
  <c r="R608" i="2" s="1"/>
  <c r="P609" i="2"/>
  <c r="Q609" i="2"/>
  <c r="R588" i="2"/>
  <c r="R587" i="2" s="1"/>
  <c r="Q588" i="2"/>
  <c r="Q587" i="2" s="1"/>
  <c r="P588" i="2"/>
  <c r="P587" i="2" s="1"/>
  <c r="P569" i="2"/>
  <c r="S504" i="2"/>
  <c r="S503" i="2" s="1"/>
  <c r="R504" i="2"/>
  <c r="R503" i="2" s="1"/>
  <c r="Q504" i="2"/>
  <c r="Q503" i="2" s="1"/>
  <c r="P504" i="2"/>
  <c r="R483" i="2"/>
  <c r="R482" i="2" s="1"/>
  <c r="P483" i="2"/>
  <c r="Q483" i="2"/>
  <c r="Q482" i="2" s="1"/>
  <c r="S462" i="2"/>
  <c r="S461" i="2" s="1"/>
  <c r="R462" i="2"/>
  <c r="R461" i="2" s="1"/>
  <c r="Q462" i="2"/>
  <c r="Q461" i="2" s="1"/>
  <c r="P462" i="2"/>
  <c r="P461" i="2" s="1"/>
  <c r="P443" i="2"/>
  <c r="P401" i="2"/>
  <c r="P400" i="2" s="1"/>
  <c r="X11" i="16"/>
  <c r="AB11" i="16" s="1"/>
  <c r="AC11" i="16" s="1"/>
  <c r="Q378" i="2"/>
  <c r="P378" i="2"/>
  <c r="P377" i="2" s="1"/>
  <c r="Q336" i="2"/>
  <c r="Q335" i="2" s="1"/>
  <c r="P336" i="2"/>
  <c r="R317" i="2"/>
  <c r="Q317" i="2"/>
  <c r="P317" i="2"/>
  <c r="P316" i="2" s="1"/>
  <c r="S294" i="2"/>
  <c r="R294" i="2"/>
  <c r="Q294" i="2"/>
  <c r="Q293" i="2" s="1"/>
  <c r="R273" i="2"/>
  <c r="P273" i="2"/>
  <c r="P272" i="2" s="1"/>
  <c r="Q272" i="2"/>
  <c r="T273" i="2"/>
  <c r="M280" i="2" s="1"/>
  <c r="S273" i="2"/>
  <c r="H273" i="2" s="1"/>
  <c r="P252" i="2"/>
  <c r="P251" i="2" s="1"/>
  <c r="S251" i="2"/>
  <c r="R251" i="2"/>
  <c r="Q251" i="2"/>
  <c r="P254" i="2" s="1"/>
  <c r="R231" i="2"/>
  <c r="R230" i="2" s="1"/>
  <c r="Q231" i="2"/>
  <c r="P231" i="2"/>
  <c r="H231" i="2" s="1"/>
  <c r="S230" i="2"/>
  <c r="R210" i="2"/>
  <c r="S209" i="2"/>
  <c r="R189" i="2"/>
  <c r="R168" i="2"/>
  <c r="P168" i="2"/>
  <c r="P167" i="2" s="1"/>
  <c r="Q167" i="2"/>
  <c r="U168" i="2"/>
  <c r="T168" i="2"/>
  <c r="S168" i="2"/>
  <c r="S147" i="2"/>
  <c r="R146" i="2"/>
  <c r="R105" i="2"/>
  <c r="M106" i="2" s="1"/>
  <c r="P105" i="2"/>
  <c r="P104" i="2" s="1"/>
  <c r="Q104" i="2"/>
  <c r="U84" i="2"/>
  <c r="S84" i="2"/>
  <c r="R84" i="2"/>
  <c r="Q84" i="2"/>
  <c r="Q42" i="2"/>
  <c r="P84" i="2"/>
  <c r="P83" i="2" s="1"/>
  <c r="P42" i="2"/>
  <c r="P63" i="2"/>
  <c r="P62" i="2" s="1"/>
  <c r="R65" i="2" s="1"/>
  <c r="H1344" i="2"/>
  <c r="H1575" i="2"/>
  <c r="I840" i="2"/>
  <c r="M1791" i="2"/>
  <c r="M2003" i="2"/>
  <c r="P1997" i="2"/>
  <c r="P1999" i="2" s="1"/>
  <c r="P2001" i="2" s="1"/>
  <c r="I1848" i="2"/>
  <c r="M1559" i="2"/>
  <c r="M1554" i="2" s="1"/>
  <c r="I2058" i="2"/>
  <c r="M716" i="2"/>
  <c r="M2025" i="2"/>
  <c r="M1828" i="2"/>
  <c r="I756" i="2"/>
  <c r="I2037" i="2"/>
  <c r="Q2018" i="2"/>
  <c r="Q2020" i="2" s="1"/>
  <c r="Q2022" i="2" s="1"/>
  <c r="Q2024" i="2" s="1"/>
  <c r="Q2026" i="2" s="1"/>
  <c r="Q2028" i="2" s="1"/>
  <c r="M1771" i="2"/>
  <c r="I1621" i="2"/>
  <c r="I1029" i="2"/>
  <c r="M1626" i="2"/>
  <c r="M1687" i="2"/>
  <c r="I693" i="2"/>
  <c r="P1283" i="2"/>
  <c r="P1285" i="2" s="1"/>
  <c r="P1287" i="2" s="1"/>
  <c r="I1287" i="2" s="1"/>
  <c r="M1282" i="2"/>
  <c r="M1290" i="2"/>
  <c r="M1122" i="2"/>
  <c r="M656" i="2"/>
  <c r="I1890" i="2"/>
  <c r="I1701" i="2"/>
  <c r="M1807" i="2"/>
  <c r="M1853" i="2"/>
  <c r="M1848" i="2" s="1"/>
  <c r="M1072" i="2"/>
  <c r="H756" i="2"/>
  <c r="M1307" i="2"/>
  <c r="M1302" i="2" s="1"/>
  <c r="Q1346" i="2"/>
  <c r="Q1348" i="2" s="1"/>
  <c r="Q1350" i="2" s="1"/>
  <c r="Q1352" i="2" s="1"/>
  <c r="Q1354" i="2" s="1"/>
  <c r="Q1356" i="2" s="1"/>
  <c r="I1197" i="2"/>
  <c r="U1115" i="2"/>
  <c r="U1117" i="2" s="1"/>
  <c r="U1119" i="2" s="1"/>
  <c r="U1121" i="2" s="1"/>
  <c r="U1123" i="2" s="1"/>
  <c r="U1125" i="2" s="1"/>
  <c r="I1302" i="2"/>
  <c r="M1224" i="2"/>
  <c r="I1094" i="2"/>
  <c r="M681" i="2"/>
  <c r="R674" i="2"/>
  <c r="R676" i="2" s="1"/>
  <c r="R678" i="2" s="1"/>
  <c r="R680" i="2" s="1"/>
  <c r="R682" i="2" s="1"/>
  <c r="R684" i="2" s="1"/>
  <c r="M1160" i="2"/>
  <c r="M1155" i="2" s="1"/>
  <c r="M1034" i="2"/>
  <c r="M1029" i="2" s="1"/>
  <c r="M761" i="2"/>
  <c r="M756" i="2" s="1"/>
  <c r="M719" i="2"/>
  <c r="M714" i="2" s="1"/>
  <c r="M295" i="2"/>
  <c r="V296" i="2"/>
  <c r="V298" i="2" s="1"/>
  <c r="V300" i="2" s="1"/>
  <c r="V302" i="2" s="1"/>
  <c r="V304" i="2" s="1"/>
  <c r="V306" i="2" s="1"/>
  <c r="M954" i="2"/>
  <c r="M765" i="2"/>
  <c r="I546" i="2"/>
  <c r="M635" i="2"/>
  <c r="M568" i="2"/>
  <c r="P1957" i="2"/>
  <c r="M2024" i="2"/>
  <c r="S2018" i="2"/>
  <c r="S2020" i="2" s="1"/>
  <c r="S2022" i="2" s="1"/>
  <c r="S2024" i="2" s="1"/>
  <c r="S2026" i="2" s="1"/>
  <c r="S2028" i="2" s="1"/>
  <c r="M2023" i="2"/>
  <c r="M2105" i="2"/>
  <c r="M2100" i="2" s="1"/>
  <c r="M2045" i="2"/>
  <c r="I2100" i="2"/>
  <c r="I1995" i="2"/>
  <c r="M1919" i="2"/>
  <c r="H1869" i="2"/>
  <c r="M2060" i="2"/>
  <c r="M2086" i="2"/>
  <c r="M2081" i="2"/>
  <c r="P2081" i="2"/>
  <c r="M2087" i="2"/>
  <c r="M2088" i="2"/>
  <c r="H2079" i="2"/>
  <c r="M2080" i="2"/>
  <c r="M2085" i="2"/>
  <c r="R2039" i="2"/>
  <c r="R2041" i="2" s="1"/>
  <c r="R2043" i="2" s="1"/>
  <c r="R2045" i="2" s="1"/>
  <c r="R2047" i="2" s="1"/>
  <c r="R2049" i="2" s="1"/>
  <c r="M2039" i="2"/>
  <c r="M2043" i="2"/>
  <c r="P2043" i="2"/>
  <c r="M2106" i="2"/>
  <c r="Y1892" i="2"/>
  <c r="H1890" i="2"/>
  <c r="M1899" i="2"/>
  <c r="M1983" i="2"/>
  <c r="H1974" i="2"/>
  <c r="M1975" i="2"/>
  <c r="M1976" i="2"/>
  <c r="M1980" i="2"/>
  <c r="M1981" i="2"/>
  <c r="M1982" i="2"/>
  <c r="P1976" i="2"/>
  <c r="P2020" i="2"/>
  <c r="I2016" i="2"/>
  <c r="H1995" i="2"/>
  <c r="U1955" i="2"/>
  <c r="U1957" i="2" s="1"/>
  <c r="U1959" i="2" s="1"/>
  <c r="U1961" i="2" s="1"/>
  <c r="U1963" i="2" s="1"/>
  <c r="U1965" i="2" s="1"/>
  <c r="M1958" i="2"/>
  <c r="M1953" i="2" s="1"/>
  <c r="M1955" i="2"/>
  <c r="H1953" i="2"/>
  <c r="M1961" i="2"/>
  <c r="X1913" i="2"/>
  <c r="X1915" i="2" s="1"/>
  <c r="X1917" i="2" s="1"/>
  <c r="X1919" i="2" s="1"/>
  <c r="X1921" i="2" s="1"/>
  <c r="X1923" i="2" s="1"/>
  <c r="M1920" i="2"/>
  <c r="M1874" i="2"/>
  <c r="M1869" i="2" s="1"/>
  <c r="M2004" i="2"/>
  <c r="T1997" i="2"/>
  <c r="T1999" i="2" s="1"/>
  <c r="T2001" i="2" s="1"/>
  <c r="T2003" i="2" s="1"/>
  <c r="T2005" i="2" s="1"/>
  <c r="T2007" i="2" s="1"/>
  <c r="I2079" i="2"/>
  <c r="Q2060" i="2"/>
  <c r="M2065" i="2"/>
  <c r="I1974" i="2"/>
  <c r="M2064" i="2"/>
  <c r="M2044" i="2"/>
  <c r="M2018" i="2"/>
  <c r="M1939" i="2"/>
  <c r="M1934" i="2"/>
  <c r="M1895" i="2"/>
  <c r="M1890" i="2" s="1"/>
  <c r="I1827" i="2"/>
  <c r="M1832" i="2"/>
  <c r="M1827" i="2" s="1"/>
  <c r="M1997" i="2"/>
  <c r="M1787" i="2"/>
  <c r="P1787" i="2"/>
  <c r="I1787" i="2" s="1"/>
  <c r="M1793" i="2"/>
  <c r="M1794" i="2"/>
  <c r="H1785" i="2"/>
  <c r="M1786" i="2"/>
  <c r="M1792" i="2"/>
  <c r="H1911" i="2"/>
  <c r="I1869" i="2"/>
  <c r="M1769" i="2"/>
  <c r="M1764" i="2" s="1"/>
  <c r="I1764" i="2"/>
  <c r="M1647" i="2"/>
  <c r="H1638" i="2"/>
  <c r="M1639" i="2"/>
  <c r="M1644" i="2"/>
  <c r="M1645" i="2"/>
  <c r="M1640" i="2"/>
  <c r="P1640" i="2"/>
  <c r="I1640" i="2" s="1"/>
  <c r="M2002" i="2"/>
  <c r="H2100" i="2"/>
  <c r="M2084" i="2"/>
  <c r="M2079" i="2" s="1"/>
  <c r="M2038" i="2"/>
  <c r="M2001" i="2"/>
  <c r="M1940" i="2"/>
  <c r="Q1934" i="2"/>
  <c r="Q1936" i="2" s="1"/>
  <c r="Q1938" i="2" s="1"/>
  <c r="Q1940" i="2" s="1"/>
  <c r="Q1942" i="2" s="1"/>
  <c r="Q1944" i="2" s="1"/>
  <c r="H1932" i="2"/>
  <c r="M1811" i="2"/>
  <c r="M1806" i="2" s="1"/>
  <c r="M2109" i="2"/>
  <c r="M2063" i="2"/>
  <c r="M2058" i="2" s="1"/>
  <c r="M2017" i="2"/>
  <c r="M1960" i="2"/>
  <c r="I1953" i="2"/>
  <c r="P1936" i="2"/>
  <c r="I1806" i="2"/>
  <c r="M1766" i="2"/>
  <c r="H1764" i="2"/>
  <c r="M1765" i="2"/>
  <c r="M1772" i="2"/>
  <c r="M1773" i="2"/>
  <c r="P1766" i="2"/>
  <c r="I1766" i="2" s="1"/>
  <c r="M1724" i="2"/>
  <c r="P1724" i="2"/>
  <c r="I1724" i="2" s="1"/>
  <c r="M1730" i="2"/>
  <c r="M1731" i="2"/>
  <c r="H1722" i="2"/>
  <c r="M1728" i="2"/>
  <c r="M1729" i="2"/>
  <c r="M1723" i="2"/>
  <c r="M2022" i="2"/>
  <c r="M2108" i="2"/>
  <c r="H2058" i="2"/>
  <c r="M2042" i="2"/>
  <c r="M2037" i="2" s="1"/>
  <c r="M1996" i="2"/>
  <c r="M1854" i="2"/>
  <c r="M1855" i="2"/>
  <c r="M1850" i="2"/>
  <c r="P1850" i="2"/>
  <c r="I1850" i="2" s="1"/>
  <c r="M1856" i="2"/>
  <c r="M1857" i="2"/>
  <c r="H1848" i="2"/>
  <c r="M2101" i="2"/>
  <c r="M2059" i="2"/>
  <c r="P2102" i="2"/>
  <c r="M2067" i="2"/>
  <c r="H2037" i="2"/>
  <c r="M2021" i="2"/>
  <c r="M2016" i="2" s="1"/>
  <c r="M1962" i="2"/>
  <c r="M1941" i="2"/>
  <c r="Q1745" i="2"/>
  <c r="Q1747" i="2" s="1"/>
  <c r="Q1749" i="2" s="1"/>
  <c r="Q1751" i="2" s="1"/>
  <c r="Q1753" i="2" s="1"/>
  <c r="Q1755" i="2" s="1"/>
  <c r="M1744" i="2"/>
  <c r="M1749" i="2"/>
  <c r="AA1661" i="2"/>
  <c r="AA1663" i="2" s="1"/>
  <c r="AA1665" i="2" s="1"/>
  <c r="AA1667" i="2" s="1"/>
  <c r="AA1669" i="2" s="1"/>
  <c r="AA1671" i="2" s="1"/>
  <c r="M1666" i="2"/>
  <c r="X1514" i="2"/>
  <c r="X1516" i="2" s="1"/>
  <c r="X1518" i="2" s="1"/>
  <c r="X1520" i="2" s="1"/>
  <c r="X1522" i="2" s="1"/>
  <c r="X1524" i="2" s="1"/>
  <c r="M1517" i="2"/>
  <c r="M1512" i="2" s="1"/>
  <c r="H1512" i="2"/>
  <c r="M1912" i="2"/>
  <c r="M1917" i="2"/>
  <c r="M1918" i="2"/>
  <c r="M1913" i="2"/>
  <c r="P1913" i="2"/>
  <c r="M2066" i="2"/>
  <c r="M2046" i="2"/>
  <c r="H2016" i="2"/>
  <c r="M2000" i="2"/>
  <c r="M1995" i="2" s="1"/>
  <c r="M1954" i="2"/>
  <c r="M1959" i="2"/>
  <c r="M1813" i="2"/>
  <c r="M1808" i="2"/>
  <c r="P1808" i="2"/>
  <c r="M1814" i="2"/>
  <c r="M1815" i="2"/>
  <c r="H1806" i="2"/>
  <c r="M1812" i="2"/>
  <c r="I1911" i="2"/>
  <c r="M2102" i="2"/>
  <c r="P2060" i="2"/>
  <c r="M1979" i="2"/>
  <c r="M1974" i="2" s="1"/>
  <c r="I1932" i="2"/>
  <c r="M1937" i="2"/>
  <c r="M1932" i="2" s="1"/>
  <c r="M1891" i="2"/>
  <c r="M1896" i="2"/>
  <c r="M1897" i="2"/>
  <c r="M1892" i="2"/>
  <c r="P1892" i="2"/>
  <c r="M1898" i="2"/>
  <c r="M1870" i="2"/>
  <c r="M1875" i="2"/>
  <c r="M1876" i="2"/>
  <c r="M1871" i="2"/>
  <c r="P1871" i="2"/>
  <c r="M1877" i="2"/>
  <c r="M1878" i="2"/>
  <c r="M1849" i="2"/>
  <c r="M1770" i="2"/>
  <c r="M1646" i="2"/>
  <c r="I1785" i="2"/>
  <c r="M2107" i="2"/>
  <c r="M1833" i="2"/>
  <c r="M1834" i="2"/>
  <c r="M1829" i="2"/>
  <c r="P1829" i="2"/>
  <c r="M1835" i="2"/>
  <c r="M1836" i="2"/>
  <c r="H1827" i="2"/>
  <c r="M1667" i="2"/>
  <c r="M1668" i="2"/>
  <c r="H1659" i="2"/>
  <c r="M1660" i="2"/>
  <c r="M1665" i="2"/>
  <c r="M1555" i="2"/>
  <c r="M1560" i="2"/>
  <c r="M1561" i="2"/>
  <c r="M1556" i="2"/>
  <c r="P1556" i="2"/>
  <c r="I1556" i="2" s="1"/>
  <c r="M1562" i="2"/>
  <c r="H1554" i="2"/>
  <c r="M1563" i="2"/>
  <c r="M1534" i="2"/>
  <c r="M1539" i="2"/>
  <c r="M1540" i="2"/>
  <c r="M1535" i="2"/>
  <c r="P1535" i="2"/>
  <c r="M1541" i="2"/>
  <c r="M1542" i="2"/>
  <c r="H1533" i="2"/>
  <c r="I1659" i="2"/>
  <c r="I1638" i="2"/>
  <c r="U1598" i="2"/>
  <c r="H1598" i="2" s="1"/>
  <c r="M1604" i="2"/>
  <c r="H1596" i="2"/>
  <c r="M1605" i="2"/>
  <c r="I1533" i="2"/>
  <c r="M1790" i="2"/>
  <c r="M1785" i="2" s="1"/>
  <c r="P1703" i="2"/>
  <c r="I1703" i="2" s="1"/>
  <c r="M1709" i="2"/>
  <c r="M1710" i="2"/>
  <c r="H1701" i="2"/>
  <c r="M1702" i="2"/>
  <c r="M1708" i="2"/>
  <c r="P1623" i="2"/>
  <c r="I1623" i="2" s="1"/>
  <c r="H1621" i="2"/>
  <c r="J1621" i="2" s="1"/>
  <c r="M1583" i="2"/>
  <c r="I1554" i="2"/>
  <c r="M1938" i="2"/>
  <c r="M1707" i="2"/>
  <c r="M1703" i="2"/>
  <c r="P1661" i="2"/>
  <c r="I1619" i="2"/>
  <c r="H1619" i="2"/>
  <c r="M1750" i="2"/>
  <c r="M1745" i="2"/>
  <c r="P1745" i="2"/>
  <c r="M1751" i="2"/>
  <c r="M1752" i="2"/>
  <c r="H1743" i="2"/>
  <c r="M1933" i="2"/>
  <c r="M1686" i="2"/>
  <c r="I1680" i="2"/>
  <c r="M1685" i="2"/>
  <c r="M1680" i="2" s="1"/>
  <c r="P1682" i="2"/>
  <c r="I1682" i="2" s="1"/>
  <c r="M1688" i="2"/>
  <c r="M1689" i="2"/>
  <c r="H1680" i="2"/>
  <c r="M1681" i="2"/>
  <c r="M1682" i="2"/>
  <c r="M1661" i="2"/>
  <c r="Q1472" i="2"/>
  <c r="Q1474" i="2" s="1"/>
  <c r="Q1476" i="2" s="1"/>
  <c r="Q1478" i="2" s="1"/>
  <c r="Q1480" i="2" s="1"/>
  <c r="Q1482" i="2" s="1"/>
  <c r="M1471" i="2"/>
  <c r="M1477" i="2"/>
  <c r="I1722" i="2"/>
  <c r="M1727" i="2"/>
  <c r="M1722" i="2" s="1"/>
  <c r="I1743" i="2"/>
  <c r="M1748" i="2"/>
  <c r="M1743" i="2" s="1"/>
  <c r="X1577" i="2"/>
  <c r="X1579" i="2" s="1"/>
  <c r="X1581" i="2" s="1"/>
  <c r="X1583" i="2" s="1"/>
  <c r="X1585" i="2" s="1"/>
  <c r="X1587" i="2" s="1"/>
  <c r="M1584" i="2"/>
  <c r="M1916" i="2"/>
  <c r="M1911" i="2" s="1"/>
  <c r="P1600" i="2"/>
  <c r="M1576" i="2"/>
  <c r="I1575" i="2"/>
  <c r="M1580" i="2"/>
  <c r="M1575" i="2" s="1"/>
  <c r="P1415" i="2"/>
  <c r="Q1010" i="2"/>
  <c r="M1014" i="2"/>
  <c r="M1015" i="2"/>
  <c r="I1596" i="2"/>
  <c r="M1538" i="2"/>
  <c r="M1533" i="2" s="1"/>
  <c r="M1513" i="2"/>
  <c r="Q1514" i="2"/>
  <c r="Q1516" i="2" s="1"/>
  <c r="Q1518" i="2" s="1"/>
  <c r="Q1520" i="2" s="1"/>
  <c r="Q1522" i="2" s="1"/>
  <c r="Q1524" i="2" s="1"/>
  <c r="M1597" i="2"/>
  <c r="M1602" i="2"/>
  <c r="M1603" i="2"/>
  <c r="M1598" i="2"/>
  <c r="M1706" i="2"/>
  <c r="M1701" i="2" s="1"/>
  <c r="P1518" i="2"/>
  <c r="M1496" i="2"/>
  <c r="M1491" i="2" s="1"/>
  <c r="I1491" i="2"/>
  <c r="M1435" i="2"/>
  <c r="H1617" i="2"/>
  <c r="M1618" i="2"/>
  <c r="M1623" i="2"/>
  <c r="M1624" i="2"/>
  <c r="M1619" i="2"/>
  <c r="M1664" i="2"/>
  <c r="M1659" i="2" s="1"/>
  <c r="I1617" i="2"/>
  <c r="M1622" i="2"/>
  <c r="M1617" i="2" s="1"/>
  <c r="P1493" i="2"/>
  <c r="M1499" i="2"/>
  <c r="M1492" i="2"/>
  <c r="M1498" i="2"/>
  <c r="H1491" i="2"/>
  <c r="M1500" i="2"/>
  <c r="M1493" i="2"/>
  <c r="M1497" i="2"/>
  <c r="T1430" i="2"/>
  <c r="T1432" i="2" s="1"/>
  <c r="T1434" i="2" s="1"/>
  <c r="T1436" i="2" s="1"/>
  <c r="T1438" i="2" s="1"/>
  <c r="T1440" i="2" s="1"/>
  <c r="M1434" i="2"/>
  <c r="M1643" i="2"/>
  <c r="M1638" i="2" s="1"/>
  <c r="M1625" i="2"/>
  <c r="M1476" i="2"/>
  <c r="M1374" i="2"/>
  <c r="I1512" i="2"/>
  <c r="M1451" i="2"/>
  <c r="P1451" i="2"/>
  <c r="I1451" i="2" s="1"/>
  <c r="M1458" i="2"/>
  <c r="H1449" i="2"/>
  <c r="M1450" i="2"/>
  <c r="R1392" i="2"/>
  <c r="R1394" i="2" s="1"/>
  <c r="R1396" i="2" s="1"/>
  <c r="R1398" i="2" s="1"/>
  <c r="H1390" i="2"/>
  <c r="J1390" i="2" s="1"/>
  <c r="R1262" i="2"/>
  <c r="R1264" i="2" s="1"/>
  <c r="R1266" i="2" s="1"/>
  <c r="R1268" i="2" s="1"/>
  <c r="R1270" i="2" s="1"/>
  <c r="R1272" i="2" s="1"/>
  <c r="M1261" i="2"/>
  <c r="P1577" i="2"/>
  <c r="M1415" i="2"/>
  <c r="H1407" i="2"/>
  <c r="M1416" i="2"/>
  <c r="Q1409" i="2"/>
  <c r="I1409" i="2" s="1"/>
  <c r="M1413" i="2"/>
  <c r="M1414" i="2"/>
  <c r="M1408" i="2"/>
  <c r="M1391" i="2"/>
  <c r="M1386" i="2" s="1"/>
  <c r="M1241" i="2"/>
  <c r="P1241" i="2"/>
  <c r="M1247" i="2"/>
  <c r="H1239" i="2"/>
  <c r="M1245" i="2"/>
  <c r="M1240" i="2"/>
  <c r="M1248" i="2"/>
  <c r="M1246" i="2"/>
  <c r="S1220" i="2"/>
  <c r="S1222" i="2" s="1"/>
  <c r="S1224" i="2" s="1"/>
  <c r="S1226" i="2" s="1"/>
  <c r="S1228" i="2" s="1"/>
  <c r="S1230" i="2" s="1"/>
  <c r="M1521" i="2"/>
  <c r="M1409" i="2"/>
  <c r="P1394" i="2"/>
  <c r="M1577" i="2"/>
  <c r="M1520" i="2"/>
  <c r="M1457" i="2"/>
  <c r="I1428" i="2"/>
  <c r="M1328" i="2"/>
  <c r="M1323" i="2" s="1"/>
  <c r="M1265" i="2"/>
  <c r="M1260" i="2" s="1"/>
  <c r="I1260" i="2"/>
  <c r="M1202" i="2"/>
  <c r="M1197" i="2" s="1"/>
  <c r="M1582" i="2"/>
  <c r="M1455" i="2"/>
  <c r="M1412" i="2"/>
  <c r="M1407" i="2" s="1"/>
  <c r="M1366" i="2"/>
  <c r="M1372" i="2"/>
  <c r="P1367" i="2"/>
  <c r="M1371" i="2"/>
  <c r="H1365" i="2"/>
  <c r="M1373" i="2"/>
  <c r="M1367" i="2"/>
  <c r="H1302" i="2"/>
  <c r="M1581" i="2"/>
  <c r="M1514" i="2"/>
  <c r="P1472" i="2"/>
  <c r="M1475" i="2"/>
  <c r="M1470" i="2" s="1"/>
  <c r="M1456" i="2"/>
  <c r="I1470" i="2"/>
  <c r="M1454" i="2"/>
  <c r="M1449" i="2" s="1"/>
  <c r="Q1430" i="2"/>
  <c r="M1436" i="2"/>
  <c r="M1437" i="2"/>
  <c r="M1430" i="2"/>
  <c r="Z1304" i="2"/>
  <c r="Z1306" i="2" s="1"/>
  <c r="Z1308" i="2" s="1"/>
  <c r="Z1310" i="2" s="1"/>
  <c r="Z1312" i="2" s="1"/>
  <c r="Z1314" i="2" s="1"/>
  <c r="M1311" i="2"/>
  <c r="M1519" i="2"/>
  <c r="I1449" i="2"/>
  <c r="P1432" i="2"/>
  <c r="M1601" i="2"/>
  <c r="M1596" i="2" s="1"/>
  <c r="M1518" i="2"/>
  <c r="M1472" i="2"/>
  <c r="M1478" i="2"/>
  <c r="M1479" i="2"/>
  <c r="H1470" i="2"/>
  <c r="I1390" i="2"/>
  <c r="M1388" i="2"/>
  <c r="T1346" i="2"/>
  <c r="M1353" i="2"/>
  <c r="H1260" i="2"/>
  <c r="M1268" i="2"/>
  <c r="Q1262" i="2"/>
  <c r="Q1264" i="2" s="1"/>
  <c r="Q1266" i="2" s="1"/>
  <c r="Q1268" i="2" s="1"/>
  <c r="Q1270" i="2" s="1"/>
  <c r="Q1272" i="2" s="1"/>
  <c r="M1266" i="2"/>
  <c r="M1184" i="2"/>
  <c r="M1185" i="2"/>
  <c r="H1176" i="2"/>
  <c r="M1177" i="2"/>
  <c r="M1178" i="2"/>
  <c r="P1178" i="2"/>
  <c r="M1182" i="2"/>
  <c r="M1183" i="2"/>
  <c r="M1286" i="2"/>
  <c r="M1281" i="2" s="1"/>
  <c r="I1239" i="2"/>
  <c r="M1244" i="2"/>
  <c r="M1239" i="2" s="1"/>
  <c r="I1388" i="2"/>
  <c r="M1352" i="2"/>
  <c r="I1344" i="2"/>
  <c r="P1199" i="2"/>
  <c r="M1205" i="2"/>
  <c r="M1206" i="2"/>
  <c r="H1197" i="2"/>
  <c r="M1198" i="2"/>
  <c r="M1199" i="2"/>
  <c r="M1203" i="2"/>
  <c r="M1204" i="2"/>
  <c r="I1155" i="2"/>
  <c r="M1429" i="2"/>
  <c r="M1393" i="2"/>
  <c r="M1351" i="2"/>
  <c r="M1349" i="2"/>
  <c r="M1344" i="2" s="1"/>
  <c r="M1324" i="2"/>
  <c r="M1329" i="2"/>
  <c r="M1330" i="2"/>
  <c r="M1325" i="2"/>
  <c r="M1331" i="2"/>
  <c r="P1325" i="2"/>
  <c r="H1323" i="2"/>
  <c r="M1143" i="2"/>
  <c r="H1094" i="2"/>
  <c r="I1283" i="2"/>
  <c r="I1281" i="2"/>
  <c r="P1117" i="2"/>
  <c r="X1073" i="2"/>
  <c r="X1075" i="2" s="1"/>
  <c r="X1077" i="2" s="1"/>
  <c r="X1079" i="2" s="1"/>
  <c r="X1081" i="2" s="1"/>
  <c r="X1083" i="2" s="1"/>
  <c r="M1080" i="2"/>
  <c r="M1433" i="2"/>
  <c r="M1428" i="2" s="1"/>
  <c r="I1407" i="2"/>
  <c r="M1308" i="2"/>
  <c r="M1309" i="2"/>
  <c r="M1304" i="2"/>
  <c r="P1304" i="2"/>
  <c r="M1310" i="2"/>
  <c r="M1303" i="2"/>
  <c r="H1281" i="2"/>
  <c r="M1220" i="2"/>
  <c r="M1118" i="2"/>
  <c r="M1113" i="2" s="1"/>
  <c r="H1428" i="2"/>
  <c r="I1386" i="2"/>
  <c r="I1323" i="2"/>
  <c r="Q1304" i="2"/>
  <c r="Q1306" i="2" s="1"/>
  <c r="Q1308" i="2" s="1"/>
  <c r="Q1310" i="2" s="1"/>
  <c r="Q1312" i="2" s="1"/>
  <c r="Q1314" i="2" s="1"/>
  <c r="M1135" i="2"/>
  <c r="M778" i="2"/>
  <c r="M784" i="2"/>
  <c r="M779" i="2"/>
  <c r="P779" i="2"/>
  <c r="I779" i="2" s="1"/>
  <c r="H777" i="2"/>
  <c r="M783" i="2"/>
  <c r="M785" i="2"/>
  <c r="M786" i="2"/>
  <c r="H1388" i="2"/>
  <c r="M1394" i="2"/>
  <c r="M1139" i="2"/>
  <c r="M1134" i="2" s="1"/>
  <c r="M1162" i="2"/>
  <c r="W989" i="2"/>
  <c r="W991" i="2" s="1"/>
  <c r="W993" i="2" s="1"/>
  <c r="W995" i="2" s="1"/>
  <c r="W997" i="2" s="1"/>
  <c r="W999" i="2" s="1"/>
  <c r="M994" i="2"/>
  <c r="M996" i="2"/>
  <c r="M1395" i="2"/>
  <c r="I1365" i="2"/>
  <c r="M1370" i="2"/>
  <c r="M1365" i="2" s="1"/>
  <c r="M1332" i="2"/>
  <c r="Q1220" i="2"/>
  <c r="Q1222" i="2" s="1"/>
  <c r="Q1224" i="2" s="1"/>
  <c r="Q1226" i="2" s="1"/>
  <c r="Q1228" i="2" s="1"/>
  <c r="Q1230" i="2" s="1"/>
  <c r="M1219" i="2"/>
  <c r="M1225" i="2"/>
  <c r="P1096" i="2"/>
  <c r="I1096" i="2" s="1"/>
  <c r="M1097" i="2"/>
  <c r="M1092" i="2" s="1"/>
  <c r="I1071" i="2"/>
  <c r="M1142" i="2"/>
  <c r="I947" i="2"/>
  <c r="P949" i="2"/>
  <c r="H947" i="2"/>
  <c r="H1386" i="2"/>
  <c r="M1387" i="2"/>
  <c r="M1392" i="2"/>
  <c r="M1345" i="2"/>
  <c r="M1350" i="2"/>
  <c r="M1346" i="2"/>
  <c r="I1218" i="2"/>
  <c r="M1114" i="2"/>
  <c r="M1037" i="2"/>
  <c r="M1010" i="2"/>
  <c r="P1010" i="2"/>
  <c r="M1016" i="2"/>
  <c r="M1017" i="2"/>
  <c r="M1009" i="2"/>
  <c r="H1008" i="2"/>
  <c r="M1267" i="2"/>
  <c r="M1262" i="2"/>
  <c r="P1262" i="2"/>
  <c r="M1269" i="2"/>
  <c r="I1176" i="2"/>
  <c r="M1181" i="2"/>
  <c r="M1176" i="2" s="1"/>
  <c r="P1220" i="2"/>
  <c r="M1226" i="2"/>
  <c r="M1227" i="2"/>
  <c r="M1140" i="2"/>
  <c r="M1287" i="2"/>
  <c r="M1288" i="2"/>
  <c r="M1283" i="2"/>
  <c r="M1289" i="2"/>
  <c r="M1056" i="2"/>
  <c r="M1057" i="2"/>
  <c r="M1052" i="2"/>
  <c r="M1051" i="2"/>
  <c r="M1059" i="2"/>
  <c r="H1050" i="2"/>
  <c r="P1052" i="2"/>
  <c r="I1008" i="2"/>
  <c r="M1013" i="2"/>
  <c r="M1008" i="2" s="1"/>
  <c r="Q926" i="2"/>
  <c r="Q928" i="2" s="1"/>
  <c r="Q930" i="2" s="1"/>
  <c r="Q932" i="2" s="1"/>
  <c r="Q934" i="2" s="1"/>
  <c r="Q936" i="2" s="1"/>
  <c r="H924" i="2"/>
  <c r="I924" i="2"/>
  <c r="M1100" i="2"/>
  <c r="M1098" i="2"/>
  <c r="H1092" i="2"/>
  <c r="P1348" i="2"/>
  <c r="H1218" i="2"/>
  <c r="I1134" i="2"/>
  <c r="I1113" i="2"/>
  <c r="M1099" i="2"/>
  <c r="M1058" i="2"/>
  <c r="I1050" i="2"/>
  <c r="M973" i="2"/>
  <c r="H966" i="2"/>
  <c r="W968" i="2"/>
  <c r="W970" i="2" s="1"/>
  <c r="W972" i="2" s="1"/>
  <c r="W974" i="2" s="1"/>
  <c r="W976" i="2" s="1"/>
  <c r="W978" i="2" s="1"/>
  <c r="T842" i="2"/>
  <c r="T844" i="2" s="1"/>
  <c r="T846" i="2" s="1"/>
  <c r="T848" i="2" s="1"/>
  <c r="T850" i="2" s="1"/>
  <c r="T852" i="2" s="1"/>
  <c r="M848" i="2"/>
  <c r="M845" i="2"/>
  <c r="M840" i="2" s="1"/>
  <c r="M1156" i="2"/>
  <c r="M1161" i="2"/>
  <c r="I1092" i="2"/>
  <c r="M806" i="2"/>
  <c r="M807" i="2"/>
  <c r="H798" i="2"/>
  <c r="R800" i="2"/>
  <c r="M1223" i="2"/>
  <c r="M1218" i="2" s="1"/>
  <c r="M929" i="2"/>
  <c r="M924" i="2" s="1"/>
  <c r="M912" i="2"/>
  <c r="M1141" i="2"/>
  <c r="M1136" i="2"/>
  <c r="P1136" i="2"/>
  <c r="M1120" i="2"/>
  <c r="M1119" i="2"/>
  <c r="M1115" i="2"/>
  <c r="M1121" i="2"/>
  <c r="M1055" i="2"/>
  <c r="M1050" i="2" s="1"/>
  <c r="H945" i="2"/>
  <c r="P1157" i="2"/>
  <c r="I1157" i="2" s="1"/>
  <c r="H1155" i="2"/>
  <c r="M1079" i="2"/>
  <c r="Q884" i="2"/>
  <c r="Q886" i="2" s="1"/>
  <c r="Q888" i="2" s="1"/>
  <c r="Q890" i="2" s="1"/>
  <c r="Q892" i="2" s="1"/>
  <c r="Q894" i="2" s="1"/>
  <c r="M888" i="2"/>
  <c r="M890" i="2"/>
  <c r="M883" i="2"/>
  <c r="M884" i="2"/>
  <c r="M889" i="2"/>
  <c r="I861" i="2"/>
  <c r="M1038" i="2"/>
  <c r="P970" i="2"/>
  <c r="M953" i="2"/>
  <c r="S863" i="2"/>
  <c r="I863" i="2" s="1"/>
  <c r="M863" i="2"/>
  <c r="M868" i="2"/>
  <c r="M1157" i="2"/>
  <c r="H1134" i="2"/>
  <c r="P991" i="2"/>
  <c r="M1164" i="2"/>
  <c r="M1163" i="2"/>
  <c r="H1113" i="2"/>
  <c r="M1076" i="2"/>
  <c r="M1071" i="2" s="1"/>
  <c r="M1036" i="2"/>
  <c r="M1031" i="2"/>
  <c r="P1031" i="2"/>
  <c r="M1035" i="2"/>
  <c r="M1030" i="2"/>
  <c r="H1029" i="2"/>
  <c r="I882" i="2"/>
  <c r="M887" i="2"/>
  <c r="M882" i="2" s="1"/>
  <c r="M1101" i="2"/>
  <c r="M1094" i="2"/>
  <c r="M925" i="2"/>
  <c r="M930" i="2"/>
  <c r="M926" i="2"/>
  <c r="M931" i="2"/>
  <c r="M932" i="2"/>
  <c r="P926" i="2"/>
  <c r="M933" i="2"/>
  <c r="I798" i="2"/>
  <c r="M803" i="2"/>
  <c r="M798" i="2" s="1"/>
  <c r="M1077" i="2"/>
  <c r="M1078" i="2"/>
  <c r="M1073" i="2"/>
  <c r="H987" i="2"/>
  <c r="M993" i="2"/>
  <c r="M995" i="2"/>
  <c r="M988" i="2"/>
  <c r="M989" i="2"/>
  <c r="I987" i="2"/>
  <c r="M992" i="2"/>
  <c r="M987" i="2" s="1"/>
  <c r="P865" i="2"/>
  <c r="M1093" i="2"/>
  <c r="P1073" i="2"/>
  <c r="M967" i="2"/>
  <c r="M972" i="2"/>
  <c r="M974" i="2"/>
  <c r="M968" i="2"/>
  <c r="T821" i="2"/>
  <c r="T823" i="2" s="1"/>
  <c r="T825" i="2" s="1"/>
  <c r="T827" i="2" s="1"/>
  <c r="T829" i="2" s="1"/>
  <c r="T831" i="2" s="1"/>
  <c r="M821" i="2"/>
  <c r="M825" i="2"/>
  <c r="H819" i="2"/>
  <c r="M827" i="2"/>
  <c r="M741" i="2"/>
  <c r="M742" i="2"/>
  <c r="M737" i="2"/>
  <c r="P737" i="2"/>
  <c r="I737" i="2" s="1"/>
  <c r="M743" i="2"/>
  <c r="M744" i="2"/>
  <c r="M736" i="2"/>
  <c r="H735" i="2"/>
  <c r="I735" i="2"/>
  <c r="M740" i="2"/>
  <c r="M735" i="2" s="1"/>
  <c r="H1071" i="2"/>
  <c r="Q989" i="2"/>
  <c r="M975" i="2"/>
  <c r="I945" i="2"/>
  <c r="M950" i="2"/>
  <c r="M945" i="2" s="1"/>
  <c r="M909" i="2"/>
  <c r="H903" i="2"/>
  <c r="M910" i="2"/>
  <c r="M904" i="2"/>
  <c r="M905" i="2"/>
  <c r="P905" i="2"/>
  <c r="M911" i="2"/>
  <c r="X695" i="2"/>
  <c r="X697" i="2" s="1"/>
  <c r="X699" i="2" s="1"/>
  <c r="X701" i="2" s="1"/>
  <c r="X703" i="2" s="1"/>
  <c r="X705" i="2" s="1"/>
  <c r="M702" i="2"/>
  <c r="I903" i="2"/>
  <c r="M908" i="2"/>
  <c r="M903" i="2" s="1"/>
  <c r="M849" i="2"/>
  <c r="H840" i="2"/>
  <c r="M841" i="2"/>
  <c r="P842" i="2"/>
  <c r="M846" i="2"/>
  <c r="M951" i="2"/>
  <c r="M946" i="2"/>
  <c r="M952" i="2"/>
  <c r="M947" i="2"/>
  <c r="M869" i="2"/>
  <c r="M870" i="2"/>
  <c r="M862" i="2"/>
  <c r="H861" i="2"/>
  <c r="M867" i="2"/>
  <c r="P823" i="2"/>
  <c r="M847" i="2"/>
  <c r="I966" i="2"/>
  <c r="M971" i="2"/>
  <c r="M966" i="2" s="1"/>
  <c r="M842" i="2"/>
  <c r="U611" i="2"/>
  <c r="U613" i="2" s="1"/>
  <c r="U615" i="2" s="1"/>
  <c r="U617" i="2" s="1"/>
  <c r="U619" i="2" s="1"/>
  <c r="U621" i="2" s="1"/>
  <c r="M616" i="2"/>
  <c r="H672" i="2"/>
  <c r="P884" i="2"/>
  <c r="H882" i="2"/>
  <c r="I777" i="2"/>
  <c r="M782" i="2"/>
  <c r="M777" i="2" s="1"/>
  <c r="M891" i="2"/>
  <c r="P806" i="2"/>
  <c r="M828" i="2"/>
  <c r="M531" i="2"/>
  <c r="M532" i="2"/>
  <c r="H525" i="2"/>
  <c r="R527" i="2"/>
  <c r="R529" i="2" s="1"/>
  <c r="R531" i="2" s="1"/>
  <c r="R533" i="2" s="1"/>
  <c r="R535" i="2" s="1"/>
  <c r="R537" i="2" s="1"/>
  <c r="M820" i="2"/>
  <c r="P726" i="2"/>
  <c r="Q653" i="2"/>
  <c r="Q655" i="2" s="1"/>
  <c r="Q657" i="2" s="1"/>
  <c r="Q659" i="2" s="1"/>
  <c r="Q661" i="2" s="1"/>
  <c r="Q663" i="2" s="1"/>
  <c r="H651" i="2"/>
  <c r="I651" i="2"/>
  <c r="I819" i="2"/>
  <c r="M824" i="2"/>
  <c r="M819" i="2" s="1"/>
  <c r="M757" i="2"/>
  <c r="M698" i="2"/>
  <c r="M693" i="2" s="1"/>
  <c r="M722" i="2"/>
  <c r="T716" i="2"/>
  <c r="T718" i="2" s="1"/>
  <c r="T720" i="2" s="1"/>
  <c r="T722" i="2" s="1"/>
  <c r="T724" i="2" s="1"/>
  <c r="T726" i="2" s="1"/>
  <c r="U695" i="2"/>
  <c r="U697" i="2" s="1"/>
  <c r="U699" i="2" s="1"/>
  <c r="U701" i="2" s="1"/>
  <c r="U703" i="2" s="1"/>
  <c r="U705" i="2" s="1"/>
  <c r="I630" i="2"/>
  <c r="P128" i="2"/>
  <c r="I128" i="2" s="1"/>
  <c r="M134" i="2"/>
  <c r="M135" i="2"/>
  <c r="H126" i="2"/>
  <c r="M128" i="2"/>
  <c r="M127" i="2"/>
  <c r="M132" i="2"/>
  <c r="M133" i="2"/>
  <c r="M799" i="2"/>
  <c r="M804" i="2"/>
  <c r="M805" i="2"/>
  <c r="M800" i="2"/>
  <c r="H714" i="2"/>
  <c r="M658" i="2"/>
  <c r="M653" i="2"/>
  <c r="P653" i="2"/>
  <c r="M659" i="2"/>
  <c r="M660" i="2"/>
  <c r="M652" i="2"/>
  <c r="M657" i="2"/>
  <c r="M610" i="2"/>
  <c r="M720" i="2"/>
  <c r="M694" i="2"/>
  <c r="AA464" i="2"/>
  <c r="AA466" i="2" s="1"/>
  <c r="AA468" i="2" s="1"/>
  <c r="AA470" i="2" s="1"/>
  <c r="AA472" i="2" s="1"/>
  <c r="AA474" i="2" s="1"/>
  <c r="M468" i="2"/>
  <c r="M866" i="2"/>
  <c r="M861" i="2" s="1"/>
  <c r="M762" i="2"/>
  <c r="M763" i="2"/>
  <c r="M758" i="2"/>
  <c r="P758" i="2"/>
  <c r="M764" i="2"/>
  <c r="M505" i="2"/>
  <c r="M506" i="2"/>
  <c r="M826" i="2"/>
  <c r="M715" i="2"/>
  <c r="I714" i="2"/>
  <c r="M678" i="2"/>
  <c r="M679" i="2"/>
  <c r="M674" i="2"/>
  <c r="P674" i="2"/>
  <c r="M680" i="2"/>
  <c r="M673" i="2"/>
  <c r="AA569" i="2"/>
  <c r="AA571" i="2" s="1"/>
  <c r="AA573" i="2" s="1"/>
  <c r="AA575" i="2" s="1"/>
  <c r="AA577" i="2" s="1"/>
  <c r="AA579" i="2" s="1"/>
  <c r="M575" i="2"/>
  <c r="M637" i="2"/>
  <c r="M632" i="2"/>
  <c r="P632" i="2"/>
  <c r="M638" i="2"/>
  <c r="M639" i="2"/>
  <c r="H630" i="2"/>
  <c r="M631" i="2"/>
  <c r="M723" i="2"/>
  <c r="M611" i="2"/>
  <c r="M617" i="2"/>
  <c r="M618" i="2"/>
  <c r="H609" i="2"/>
  <c r="M595" i="2"/>
  <c r="M596" i="2"/>
  <c r="M699" i="2"/>
  <c r="M700" i="2"/>
  <c r="M695" i="2"/>
  <c r="P695" i="2"/>
  <c r="H693" i="2"/>
  <c r="Q716" i="2"/>
  <c r="Q718" i="2" s="1"/>
  <c r="M615" i="2"/>
  <c r="H567" i="2"/>
  <c r="X548" i="2"/>
  <c r="M555" i="2"/>
  <c r="M554" i="2"/>
  <c r="I672" i="2"/>
  <c r="M677" i="2"/>
  <c r="M672" i="2" s="1"/>
  <c r="M551" i="2"/>
  <c r="M721" i="2"/>
  <c r="M701" i="2"/>
  <c r="M636" i="2"/>
  <c r="M576" i="2"/>
  <c r="H546" i="2"/>
  <c r="R422" i="2"/>
  <c r="R424" i="2" s="1"/>
  <c r="R426" i="2" s="1"/>
  <c r="R428" i="2" s="1"/>
  <c r="R430" i="2" s="1"/>
  <c r="R432" i="2" s="1"/>
  <c r="M428" i="2"/>
  <c r="M69" i="2"/>
  <c r="M65" i="2"/>
  <c r="M510" i="2"/>
  <c r="H504" i="2"/>
  <c r="Q443" i="2"/>
  <c r="I443" i="2" s="1"/>
  <c r="M442" i="2"/>
  <c r="M448" i="2"/>
  <c r="Q401" i="2"/>
  <c r="M407" i="2"/>
  <c r="M408" i="2"/>
  <c r="M406" i="2"/>
  <c r="P571" i="2"/>
  <c r="H588" i="2"/>
  <c r="M589" i="2"/>
  <c r="M594" i="2"/>
  <c r="M590" i="2"/>
  <c r="M552" i="2"/>
  <c r="I588" i="2"/>
  <c r="M593" i="2"/>
  <c r="I567" i="2"/>
  <c r="M569" i="2"/>
  <c r="M553" i="2"/>
  <c r="M405" i="2"/>
  <c r="M573" i="2"/>
  <c r="M547" i="2"/>
  <c r="M489" i="2"/>
  <c r="M490" i="2"/>
  <c r="M491" i="2"/>
  <c r="M492" i="2"/>
  <c r="H483" i="2"/>
  <c r="M484" i="2"/>
  <c r="M485" i="2"/>
  <c r="M469" i="2"/>
  <c r="M464" i="2"/>
  <c r="P464" i="2"/>
  <c r="P463" i="2" s="1"/>
  <c r="M470" i="2"/>
  <c r="M471" i="2"/>
  <c r="H462" i="2"/>
  <c r="M463" i="2"/>
  <c r="M426" i="2"/>
  <c r="M422" i="2"/>
  <c r="M526" i="2"/>
  <c r="M446" i="2"/>
  <c r="M404" i="2"/>
  <c r="I441" i="2"/>
  <c r="I399" i="2"/>
  <c r="S359" i="2"/>
  <c r="S361" i="2" s="1"/>
  <c r="S363" i="2" s="1"/>
  <c r="S365" i="2" s="1"/>
  <c r="S367" i="2" s="1"/>
  <c r="S369" i="2" s="1"/>
  <c r="M358" i="2"/>
  <c r="M366" i="2"/>
  <c r="M359" i="2"/>
  <c r="M364" i="2"/>
  <c r="M574" i="2"/>
  <c r="M548" i="2"/>
  <c r="I462" i="2"/>
  <c r="M467" i="2"/>
  <c r="I420" i="2"/>
  <c r="M443" i="2"/>
  <c r="M449" i="2"/>
  <c r="M450" i="2"/>
  <c r="H441" i="2"/>
  <c r="M447" i="2"/>
  <c r="Q422" i="2"/>
  <c r="Q424" i="2" s="1"/>
  <c r="Q426" i="2" s="1"/>
  <c r="Q428" i="2" s="1"/>
  <c r="Q430" i="2" s="1"/>
  <c r="Q432" i="2" s="1"/>
  <c r="I525" i="2"/>
  <c r="M530" i="2"/>
  <c r="M400" i="2"/>
  <c r="M534" i="2"/>
  <c r="M527" i="2"/>
  <c r="P527" i="2"/>
  <c r="M533" i="2"/>
  <c r="P422" i="2"/>
  <c r="M429" i="2"/>
  <c r="H420" i="2"/>
  <c r="M421" i="2"/>
  <c r="M427" i="2"/>
  <c r="M380" i="2"/>
  <c r="M386" i="2"/>
  <c r="M387" i="2"/>
  <c r="H378" i="2"/>
  <c r="M385" i="2"/>
  <c r="M384" i="2"/>
  <c r="M379" i="2"/>
  <c r="X317" i="2"/>
  <c r="X319" i="2" s="1"/>
  <c r="X321" i="2" s="1"/>
  <c r="X323" i="2" s="1"/>
  <c r="X325" i="2" s="1"/>
  <c r="X327" i="2" s="1"/>
  <c r="M324" i="2"/>
  <c r="M363" i="2"/>
  <c r="M572" i="2"/>
  <c r="I315" i="2"/>
  <c r="M513" i="2"/>
  <c r="M401" i="2"/>
  <c r="H399" i="2"/>
  <c r="M337" i="2"/>
  <c r="M338" i="2"/>
  <c r="M342" i="2"/>
  <c r="M343" i="2"/>
  <c r="M344" i="2"/>
  <c r="M345" i="2"/>
  <c r="M316" i="2"/>
  <c r="W317" i="2"/>
  <c r="M317" i="2"/>
  <c r="M322" i="2"/>
  <c r="M323" i="2"/>
  <c r="M512" i="2"/>
  <c r="M303" i="2"/>
  <c r="M300" i="2"/>
  <c r="M301" i="2"/>
  <c r="M425" i="2"/>
  <c r="H315" i="2"/>
  <c r="M365" i="2"/>
  <c r="P359" i="2"/>
  <c r="P358" i="2" s="1"/>
  <c r="H336" i="2"/>
  <c r="M281" i="2"/>
  <c r="M282" i="2"/>
  <c r="M258" i="2"/>
  <c r="T233" i="2"/>
  <c r="T235" i="2" s="1"/>
  <c r="T237" i="2" s="1"/>
  <c r="T239" i="2" s="1"/>
  <c r="T241" i="2" s="1"/>
  <c r="T243" i="2" s="1"/>
  <c r="M238" i="2"/>
  <c r="M196" i="2"/>
  <c r="M197" i="2"/>
  <c r="M195" i="2"/>
  <c r="M362" i="2"/>
  <c r="I357" i="2"/>
  <c r="M320" i="2"/>
  <c r="H357" i="2"/>
  <c r="M321" i="2"/>
  <c r="M296" i="2"/>
  <c r="M302" i="2"/>
  <c r="H294" i="2"/>
  <c r="M253" i="2"/>
  <c r="M260" i="2"/>
  <c r="M254" i="2"/>
  <c r="M261" i="2"/>
  <c r="H252" i="2"/>
  <c r="M259" i="2"/>
  <c r="H210" i="2"/>
  <c r="M211" i="2"/>
  <c r="M216" i="2"/>
  <c r="M217" i="2"/>
  <c r="M212" i="2"/>
  <c r="H189" i="2"/>
  <c r="M190" i="2"/>
  <c r="M191" i="2"/>
  <c r="M198" i="2"/>
  <c r="M219" i="2"/>
  <c r="M218" i="2"/>
  <c r="M239" i="2"/>
  <c r="M148" i="2"/>
  <c r="M149" i="2"/>
  <c r="M155" i="2"/>
  <c r="M156" i="2"/>
  <c r="H147" i="2"/>
  <c r="M154" i="2"/>
  <c r="M153" i="2"/>
  <c r="H105" i="2"/>
  <c r="M112" i="2"/>
  <c r="M113" i="2"/>
  <c r="M111" i="2"/>
  <c r="M107" i="2"/>
  <c r="I126" i="2"/>
  <c r="M131" i="2"/>
  <c r="M50" i="2"/>
  <c r="AA44" i="2"/>
  <c r="AA46" i="2" s="1"/>
  <c r="AA48" i="2" s="1"/>
  <c r="AA50" i="2" s="1"/>
  <c r="AA52" i="2" s="1"/>
  <c r="AA54" i="2" s="1"/>
  <c r="M44"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72" i="2" l="1"/>
  <c r="H548" i="2"/>
  <c r="M71" i="2"/>
  <c r="M233" i="2"/>
  <c r="H63" i="2"/>
  <c r="M237" i="2"/>
  <c r="M274" i="2"/>
  <c r="P65" i="2"/>
  <c r="P64" i="2" s="1"/>
  <c r="Q359" i="2"/>
  <c r="M240" i="2"/>
  <c r="M232" i="2"/>
  <c r="M279" i="2"/>
  <c r="I718" i="2"/>
  <c r="R359" i="2"/>
  <c r="M275" i="2"/>
  <c r="I63" i="2"/>
  <c r="M114" i="2"/>
  <c r="M70" i="2"/>
  <c r="M64" i="2"/>
  <c r="M68" i="2"/>
  <c r="M169" i="2"/>
  <c r="S254" i="2"/>
  <c r="S253" i="2" s="1"/>
  <c r="P590" i="2"/>
  <c r="P589" i="2" s="1"/>
  <c r="X25" i="27"/>
  <c r="AB24" i="27"/>
  <c r="AC24" i="27" s="1"/>
  <c r="Z24" i="27"/>
  <c r="AA24" i="27" s="1"/>
  <c r="Q608" i="2"/>
  <c r="P608" i="2"/>
  <c r="M597" i="2"/>
  <c r="Q590" i="2"/>
  <c r="Q589" i="2" s="1"/>
  <c r="R590" i="2"/>
  <c r="R589" i="2" s="1"/>
  <c r="P550" i="2"/>
  <c r="M511" i="2"/>
  <c r="P503" i="2"/>
  <c r="P506" i="2" s="1"/>
  <c r="R506" i="2"/>
  <c r="P482" i="2"/>
  <c r="Q464" i="2"/>
  <c r="Q463" i="2" s="1"/>
  <c r="S464" i="2"/>
  <c r="S463" i="2" s="1"/>
  <c r="R464" i="2"/>
  <c r="H464" i="2" s="1"/>
  <c r="P445" i="2"/>
  <c r="P403" i="2"/>
  <c r="P402" i="2" s="1"/>
  <c r="X12" i="16"/>
  <c r="AB12" i="16" s="1"/>
  <c r="AC12" i="16" s="1"/>
  <c r="Q377" i="2"/>
  <c r="R380" i="2" s="1"/>
  <c r="Q358" i="2"/>
  <c r="R358" i="2"/>
  <c r="P335" i="2"/>
  <c r="Q316" i="2"/>
  <c r="R319" i="2" s="1"/>
  <c r="R316" i="2"/>
  <c r="R293" i="2"/>
  <c r="S293" i="2"/>
  <c r="S296" i="2" s="1"/>
  <c r="S272" i="2"/>
  <c r="T272" i="2"/>
  <c r="R272" i="2"/>
  <c r="P253" i="2"/>
  <c r="I252" i="2"/>
  <c r="M257" i="2"/>
  <c r="Q254" i="2"/>
  <c r="R254" i="2"/>
  <c r="P230" i="2"/>
  <c r="Q230" i="2"/>
  <c r="R209" i="2"/>
  <c r="R188" i="2"/>
  <c r="M170" i="2"/>
  <c r="M177" i="2"/>
  <c r="M175" i="2"/>
  <c r="M174" i="2"/>
  <c r="M176" i="2"/>
  <c r="T167" i="2"/>
  <c r="U167" i="2"/>
  <c r="S167" i="2"/>
  <c r="H168" i="2"/>
  <c r="R167" i="2"/>
  <c r="S146" i="2"/>
  <c r="R104" i="2"/>
  <c r="M85" i="2"/>
  <c r="M90" i="2"/>
  <c r="M92" i="2"/>
  <c r="M86" i="2"/>
  <c r="M91" i="2"/>
  <c r="H84" i="2"/>
  <c r="M93" i="2"/>
  <c r="Q83" i="2"/>
  <c r="R83" i="2"/>
  <c r="S83" i="2"/>
  <c r="U83" i="2"/>
  <c r="R64" i="2"/>
  <c r="Q65" i="2"/>
  <c r="P41" i="2"/>
  <c r="Q41" i="2"/>
  <c r="M43" i="2"/>
  <c r="H42" i="2"/>
  <c r="M47" i="2"/>
  <c r="M49" i="2"/>
  <c r="M51" i="2"/>
  <c r="M48" i="2"/>
  <c r="H1283" i="2"/>
  <c r="J1283" i="2" s="1"/>
  <c r="H1285" i="2"/>
  <c r="J1285" i="2" s="1"/>
  <c r="I1285" i="2"/>
  <c r="H968" i="2"/>
  <c r="J968" i="2" s="1"/>
  <c r="H2039" i="2"/>
  <c r="J2039" i="2" s="1"/>
  <c r="I1392" i="2"/>
  <c r="I2043" i="2"/>
  <c r="I884" i="2"/>
  <c r="I2041" i="2"/>
  <c r="H1430" i="2"/>
  <c r="J1430" i="2" s="1"/>
  <c r="I1999" i="2"/>
  <c r="I2039" i="2"/>
  <c r="I653" i="2"/>
  <c r="I2020" i="2"/>
  <c r="H1997" i="2"/>
  <c r="J1997" i="2" s="1"/>
  <c r="I2018" i="2"/>
  <c r="H2018" i="2"/>
  <c r="J2018" i="2" s="1"/>
  <c r="I1304" i="2"/>
  <c r="I2001" i="2"/>
  <c r="H1516" i="2"/>
  <c r="J1516" i="2" s="1"/>
  <c r="I970" i="2"/>
  <c r="H2041" i="2"/>
  <c r="J2041" i="2" s="1"/>
  <c r="H1999" i="2"/>
  <c r="J1999" i="2" s="1"/>
  <c r="H1392" i="2"/>
  <c r="J1392" i="2" s="1"/>
  <c r="I716" i="2"/>
  <c r="I1115" i="2"/>
  <c r="H1514" i="2"/>
  <c r="J1514" i="2" s="1"/>
  <c r="I1997" i="2"/>
  <c r="H1955" i="2"/>
  <c r="J1955" i="2" s="1"/>
  <c r="I823" i="2"/>
  <c r="H821" i="2"/>
  <c r="J821" i="2" s="1"/>
  <c r="H1115" i="2"/>
  <c r="I1955" i="2"/>
  <c r="I821" i="2"/>
  <c r="I1117" i="2"/>
  <c r="H569" i="2"/>
  <c r="J569" i="2" s="1"/>
  <c r="H716" i="2"/>
  <c r="I1514" i="2"/>
  <c r="H317" i="2"/>
  <c r="J317" i="2" s="1"/>
  <c r="J1598" i="2"/>
  <c r="P424" i="2"/>
  <c r="H422" i="2"/>
  <c r="I422" i="2"/>
  <c r="J548" i="2"/>
  <c r="M666" i="2"/>
  <c r="M687" i="2"/>
  <c r="M708" i="2"/>
  <c r="M729" i="2"/>
  <c r="M750" i="2"/>
  <c r="M771" i="2"/>
  <c r="M792" i="2"/>
  <c r="M813" i="2"/>
  <c r="M918" i="2"/>
  <c r="M939" i="2"/>
  <c r="M897" i="2"/>
  <c r="M855" i="2"/>
  <c r="M1023" i="2"/>
  <c r="M1044" i="2"/>
  <c r="M1065" i="2"/>
  <c r="M834" i="2"/>
  <c r="M1107" i="2"/>
  <c r="M1128" i="2"/>
  <c r="M876" i="2"/>
  <c r="M1233" i="2"/>
  <c r="M1254" i="2"/>
  <c r="M981" i="2"/>
  <c r="M1275" i="2"/>
  <c r="M1002" i="2"/>
  <c r="M1149" i="2"/>
  <c r="M1296" i="2"/>
  <c r="M1338" i="2"/>
  <c r="M1359" i="2"/>
  <c r="M960" i="2"/>
  <c r="M1317" i="2"/>
  <c r="M1464" i="2"/>
  <c r="M1380" i="2"/>
  <c r="M1401" i="2"/>
  <c r="M1170" i="2"/>
  <c r="M1212" i="2"/>
  <c r="M1422" i="2"/>
  <c r="M1086" i="2"/>
  <c r="M1527" i="2"/>
  <c r="M1548" i="2"/>
  <c r="M1569" i="2"/>
  <c r="M1590" i="2"/>
  <c r="M1611" i="2"/>
  <c r="M1191" i="2"/>
  <c r="M1506" i="2"/>
  <c r="M1716" i="2"/>
  <c r="M1737" i="2"/>
  <c r="M1758" i="2"/>
  <c r="M1485" i="2"/>
  <c r="M1632" i="2"/>
  <c r="M1674" i="2"/>
  <c r="M1779" i="2"/>
  <c r="M1800" i="2"/>
  <c r="M1821" i="2"/>
  <c r="M1842" i="2"/>
  <c r="M1863" i="2"/>
  <c r="M1884" i="2"/>
  <c r="M1653" i="2"/>
  <c r="M1905" i="2"/>
  <c r="M1926" i="2"/>
  <c r="M1443" i="2"/>
  <c r="M2052" i="2"/>
  <c r="M2073" i="2"/>
  <c r="M2094" i="2"/>
  <c r="M1947" i="2"/>
  <c r="M2031" i="2"/>
  <c r="M1695" i="2"/>
  <c r="M1989" i="2"/>
  <c r="M1968" i="2"/>
  <c r="M2010" i="2"/>
  <c r="P907" i="2"/>
  <c r="H905" i="2"/>
  <c r="I905" i="2"/>
  <c r="W319" i="2"/>
  <c r="I317" i="2"/>
  <c r="Q403" i="2"/>
  <c r="H401" i="2"/>
  <c r="I401" i="2"/>
  <c r="P951" i="2"/>
  <c r="H949" i="2"/>
  <c r="J949" i="2" s="1"/>
  <c r="I949" i="2"/>
  <c r="P1579" i="2"/>
  <c r="H1577" i="2"/>
  <c r="I1577" i="2"/>
  <c r="P1831" i="2"/>
  <c r="H1829" i="2"/>
  <c r="I1829" i="2"/>
  <c r="I1913" i="2"/>
  <c r="P844" i="2"/>
  <c r="H842" i="2"/>
  <c r="I842" i="2"/>
  <c r="P993" i="2"/>
  <c r="H1325" i="2"/>
  <c r="P1327" i="2"/>
  <c r="H1472" i="2"/>
  <c r="P1474" i="2"/>
  <c r="I1472" i="2"/>
  <c r="Q2062" i="2"/>
  <c r="Q2064" i="2" s="1"/>
  <c r="Q2066" i="2" s="1"/>
  <c r="Q2068" i="2" s="1"/>
  <c r="Q2070" i="2" s="1"/>
  <c r="I2060" i="2"/>
  <c r="P1705" i="2"/>
  <c r="H1703" i="2"/>
  <c r="P1978" i="2"/>
  <c r="H1976" i="2"/>
  <c r="I1976" i="2"/>
  <c r="Q991" i="2"/>
  <c r="H991" i="2" s="1"/>
  <c r="J991" i="2" s="1"/>
  <c r="H989" i="2"/>
  <c r="I989" i="2"/>
  <c r="H926" i="2"/>
  <c r="P928" i="2"/>
  <c r="I926" i="2"/>
  <c r="S865" i="2"/>
  <c r="S867" i="2" s="1"/>
  <c r="S869" i="2" s="1"/>
  <c r="S871" i="2" s="1"/>
  <c r="S873" i="2" s="1"/>
  <c r="H863" i="2"/>
  <c r="P1938" i="2"/>
  <c r="H1936" i="2"/>
  <c r="J1936" i="2" s="1"/>
  <c r="I1936" i="2"/>
  <c r="H65" i="2"/>
  <c r="I1073" i="2"/>
  <c r="H1493" i="2"/>
  <c r="P1495" i="2"/>
  <c r="I1493" i="2"/>
  <c r="U1600" i="2"/>
  <c r="U1602" i="2" s="1"/>
  <c r="U1604" i="2" s="1"/>
  <c r="U1606" i="2" s="1"/>
  <c r="U1608" i="2" s="1"/>
  <c r="I1598" i="2"/>
  <c r="M1599" i="2" s="1"/>
  <c r="H695" i="2"/>
  <c r="P697" i="2"/>
  <c r="I695" i="2"/>
  <c r="P634" i="2"/>
  <c r="H632" i="2"/>
  <c r="I632" i="2"/>
  <c r="I1325" i="2"/>
  <c r="Q1411" i="2"/>
  <c r="H1409" i="2"/>
  <c r="H1287" i="2"/>
  <c r="J1287" i="2" s="1"/>
  <c r="P1289" i="2"/>
  <c r="Q1012" i="2"/>
  <c r="Q1014" i="2" s="1"/>
  <c r="Q1016" i="2" s="1"/>
  <c r="Q1018" i="2" s="1"/>
  <c r="Q1020" i="2" s="1"/>
  <c r="I1010" i="2"/>
  <c r="Y1894" i="2"/>
  <c r="Y1896" i="2" s="1"/>
  <c r="Y1898" i="2" s="1"/>
  <c r="Y1900" i="2" s="1"/>
  <c r="Y1902" i="2" s="1"/>
  <c r="I1892" i="2"/>
  <c r="P573" i="2"/>
  <c r="H571" i="2"/>
  <c r="J571" i="2" s="1"/>
  <c r="I571" i="2"/>
  <c r="X550" i="2"/>
  <c r="I548" i="2"/>
  <c r="R802" i="2"/>
  <c r="H800" i="2"/>
  <c r="I800" i="2"/>
  <c r="T1348" i="2"/>
  <c r="H1348" i="2" s="1"/>
  <c r="J1348" i="2" s="1"/>
  <c r="H1346" i="2"/>
  <c r="I1346" i="2"/>
  <c r="P1434" i="2"/>
  <c r="Q720" i="2"/>
  <c r="H718" i="2"/>
  <c r="J718" i="2" s="1"/>
  <c r="H823" i="2"/>
  <c r="J823" i="2" s="1"/>
  <c r="P825" i="2"/>
  <c r="H1031" i="2"/>
  <c r="P1033" i="2"/>
  <c r="P1222" i="2"/>
  <c r="H1220" i="2"/>
  <c r="H1178" i="2"/>
  <c r="P1180" i="2"/>
  <c r="H1535" i="2"/>
  <c r="P1537" i="2"/>
  <c r="P1810" i="2"/>
  <c r="H1808" i="2"/>
  <c r="J716" i="2"/>
  <c r="P739" i="2"/>
  <c r="H737" i="2"/>
  <c r="H1073" i="2"/>
  <c r="P1075" i="2"/>
  <c r="H1052" i="2"/>
  <c r="P1054" i="2"/>
  <c r="J1388" i="2"/>
  <c r="M1389" i="2"/>
  <c r="P1417" i="2"/>
  <c r="P1663" i="2"/>
  <c r="H1661" i="2"/>
  <c r="P1915" i="2"/>
  <c r="H1913" i="2"/>
  <c r="H1745" i="2"/>
  <c r="P1747" i="2"/>
  <c r="H1871" i="2"/>
  <c r="P1873" i="2"/>
  <c r="P361" i="2"/>
  <c r="P360" i="2" s="1"/>
  <c r="H359" i="2"/>
  <c r="P886" i="2"/>
  <c r="H884" i="2"/>
  <c r="H970" i="2"/>
  <c r="J970" i="2" s="1"/>
  <c r="P972" i="2"/>
  <c r="H1136" i="2"/>
  <c r="P1138" i="2"/>
  <c r="I1136" i="2"/>
  <c r="I1031" i="2"/>
  <c r="H1304" i="2"/>
  <c r="P1306" i="2"/>
  <c r="J1094" i="2"/>
  <c r="M1095" i="2"/>
  <c r="I1394" i="2"/>
  <c r="I1535" i="2"/>
  <c r="I1516" i="2"/>
  <c r="I1661" i="2"/>
  <c r="P2045" i="2"/>
  <c r="H2043" i="2"/>
  <c r="J2043" i="2" s="1"/>
  <c r="P1520" i="2"/>
  <c r="H1518" i="2"/>
  <c r="J1518" i="2" s="1"/>
  <c r="P1684" i="2"/>
  <c r="H1682" i="2"/>
  <c r="I1871" i="2"/>
  <c r="P2003" i="2"/>
  <c r="H2001" i="2"/>
  <c r="J2001" i="2" s="1"/>
  <c r="P2083" i="2"/>
  <c r="H2081" i="2"/>
  <c r="I2081" i="2"/>
  <c r="P1959" i="2"/>
  <c r="H1957" i="2"/>
  <c r="J1957" i="2" s="1"/>
  <c r="H2102" i="2"/>
  <c r="P2104" i="2"/>
  <c r="P529" i="2"/>
  <c r="H527" i="2"/>
  <c r="I527" i="2"/>
  <c r="H443" i="2"/>
  <c r="Q445" i="2"/>
  <c r="P655" i="2"/>
  <c r="H653" i="2"/>
  <c r="H1262" i="2"/>
  <c r="P1264" i="2"/>
  <c r="I1262" i="2"/>
  <c r="P1012" i="2"/>
  <c r="H1010" i="2"/>
  <c r="H1096" i="2"/>
  <c r="J1096" i="2" s="1"/>
  <c r="P1098" i="2"/>
  <c r="P1119" i="2"/>
  <c r="H1117" i="2"/>
  <c r="J1117" i="2" s="1"/>
  <c r="P1201" i="2"/>
  <c r="H1199" i="2"/>
  <c r="I1199" i="2"/>
  <c r="P1369" i="2"/>
  <c r="H1367" i="2"/>
  <c r="I1367" i="2"/>
  <c r="P1396" i="2"/>
  <c r="H1394" i="2"/>
  <c r="J1394" i="2" s="1"/>
  <c r="P1602" i="2"/>
  <c r="P1625" i="2"/>
  <c r="H1623" i="2"/>
  <c r="J1623" i="2" s="1"/>
  <c r="I1518" i="2"/>
  <c r="I1745" i="2"/>
  <c r="H2060" i="2"/>
  <c r="P2062" i="2"/>
  <c r="P1642" i="2"/>
  <c r="H1640" i="2"/>
  <c r="H254" i="2"/>
  <c r="I569" i="2"/>
  <c r="P867" i="2"/>
  <c r="I1052" i="2"/>
  <c r="I1178" i="2"/>
  <c r="H779" i="2"/>
  <c r="P781" i="2"/>
  <c r="I968" i="2"/>
  <c r="P1558" i="2"/>
  <c r="H1556" i="2"/>
  <c r="P1726" i="2"/>
  <c r="H1724" i="2"/>
  <c r="I1934" i="2"/>
  <c r="I2102" i="2"/>
  <c r="H674" i="2"/>
  <c r="P676" i="2"/>
  <c r="P130" i="2"/>
  <c r="H128" i="2"/>
  <c r="P1159" i="2"/>
  <c r="H1157" i="2"/>
  <c r="P1350" i="2"/>
  <c r="I1220" i="2"/>
  <c r="Q1432" i="2"/>
  <c r="Q1434" i="2" s="1"/>
  <c r="Q1436" i="2" s="1"/>
  <c r="Q1438" i="2" s="1"/>
  <c r="Q1440" i="2" s="1"/>
  <c r="I1430" i="2"/>
  <c r="H1241" i="2"/>
  <c r="I1241" i="2"/>
  <c r="P1243" i="2"/>
  <c r="P1894" i="2"/>
  <c r="H1892" i="2"/>
  <c r="I359" i="2"/>
  <c r="H758" i="2"/>
  <c r="P760" i="2"/>
  <c r="I674" i="2"/>
  <c r="I758" i="2"/>
  <c r="P808" i="2"/>
  <c r="J947" i="2"/>
  <c r="M948" i="2"/>
  <c r="P1453" i="2"/>
  <c r="H1451" i="2"/>
  <c r="J1619" i="2"/>
  <c r="M1620" i="2"/>
  <c r="H1850" i="2"/>
  <c r="P1852" i="2"/>
  <c r="H1766" i="2"/>
  <c r="P1768" i="2"/>
  <c r="H1934" i="2"/>
  <c r="I1808" i="2"/>
  <c r="P1789" i="2"/>
  <c r="H1787" i="2"/>
  <c r="H2020" i="2"/>
  <c r="J2020" i="2" s="1"/>
  <c r="P2022" i="2"/>
  <c r="I1957" i="2"/>
  <c r="B15" i="2"/>
  <c r="Q233" i="2" l="1"/>
  <c r="Q361" i="2"/>
  <c r="Q44" i="2"/>
  <c r="S170" i="2"/>
  <c r="Z25" i="27"/>
  <c r="AA25" i="27" s="1"/>
  <c r="X26" i="27"/>
  <c r="AB25" i="27"/>
  <c r="AC25" i="27" s="1"/>
  <c r="P611" i="2"/>
  <c r="M614" i="2"/>
  <c r="I609" i="2"/>
  <c r="R611" i="2"/>
  <c r="Q611" i="2"/>
  <c r="R592" i="2"/>
  <c r="R591" i="2" s="1"/>
  <c r="P592" i="2"/>
  <c r="P591" i="2" s="1"/>
  <c r="I590" i="2"/>
  <c r="Q592" i="2"/>
  <c r="H592" i="2" s="1"/>
  <c r="J592" i="2" s="1"/>
  <c r="H590" i="2"/>
  <c r="J590" i="2" s="1"/>
  <c r="P552" i="2"/>
  <c r="P505" i="2"/>
  <c r="P508" i="2" s="1"/>
  <c r="P507" i="2" s="1"/>
  <c r="R505" i="2"/>
  <c r="T506" i="2"/>
  <c r="T505" i="2" s="1"/>
  <c r="Q506" i="2"/>
  <c r="Q505" i="2" s="1"/>
  <c r="I504" i="2"/>
  <c r="S506" i="2"/>
  <c r="S505" i="2" s="1"/>
  <c r="M509" i="2"/>
  <c r="I483" i="2"/>
  <c r="P485" i="2"/>
  <c r="M488" i="2"/>
  <c r="R485" i="2"/>
  <c r="R484" i="2" s="1"/>
  <c r="Q485" i="2"/>
  <c r="Q484" i="2" s="1"/>
  <c r="R463" i="2"/>
  <c r="S466" i="2" s="1"/>
  <c r="S465" i="2" s="1"/>
  <c r="P447" i="2"/>
  <c r="P405" i="2"/>
  <c r="P404" i="2" s="1"/>
  <c r="X13" i="16"/>
  <c r="AB13" i="16" s="1"/>
  <c r="AC13" i="16" s="1"/>
  <c r="R379" i="2"/>
  <c r="P380" i="2"/>
  <c r="I378" i="2"/>
  <c r="M383" i="2"/>
  <c r="Q380" i="2"/>
  <c r="S380" i="2"/>
  <c r="Q360" i="2"/>
  <c r="R361" i="2"/>
  <c r="R338" i="2"/>
  <c r="I336" i="2"/>
  <c r="Q338" i="2"/>
  <c r="M341" i="2"/>
  <c r="P338" i="2"/>
  <c r="R318" i="2"/>
  <c r="P319" i="2"/>
  <c r="Q319" i="2"/>
  <c r="S295" i="2"/>
  <c r="M299" i="2"/>
  <c r="P296" i="2"/>
  <c r="Q296" i="2"/>
  <c r="I294" i="2"/>
  <c r="R296" i="2"/>
  <c r="I273" i="2"/>
  <c r="P275" i="2"/>
  <c r="M278" i="2"/>
  <c r="R275" i="2"/>
  <c r="T275" i="2"/>
  <c r="S275" i="2"/>
  <c r="Q275" i="2"/>
  <c r="R253" i="2"/>
  <c r="Q253" i="2"/>
  <c r="P256" i="2" s="1"/>
  <c r="P255" i="2" s="1"/>
  <c r="Q232" i="2"/>
  <c r="S233" i="2"/>
  <c r="R233" i="2"/>
  <c r="M236" i="2"/>
  <c r="I231" i="2"/>
  <c r="P233" i="2"/>
  <c r="S212" i="2"/>
  <c r="Q212" i="2"/>
  <c r="P212" i="2"/>
  <c r="I210" i="2"/>
  <c r="M215" i="2"/>
  <c r="R212" i="2"/>
  <c r="S191" i="2"/>
  <c r="P191" i="2"/>
  <c r="M194" i="2"/>
  <c r="Q191" i="2"/>
  <c r="I189" i="2"/>
  <c r="R191" i="2"/>
  <c r="S169" i="2"/>
  <c r="R170" i="2"/>
  <c r="T170" i="2"/>
  <c r="M173" i="2"/>
  <c r="P170" i="2"/>
  <c r="I168" i="2"/>
  <c r="U170" i="2"/>
  <c r="Q170" i="2"/>
  <c r="I147" i="2"/>
  <c r="M152" i="2"/>
  <c r="P149" i="2"/>
  <c r="Q149" i="2"/>
  <c r="S149" i="2"/>
  <c r="R149" i="2"/>
  <c r="M110" i="2"/>
  <c r="I105" i="2"/>
  <c r="P107" i="2"/>
  <c r="R107" i="2"/>
  <c r="Q107" i="2"/>
  <c r="S86" i="2"/>
  <c r="S85" i="2" s="1"/>
  <c r="R86" i="2"/>
  <c r="R85" i="2" s="1"/>
  <c r="U86" i="2"/>
  <c r="P86" i="2"/>
  <c r="M89" i="2"/>
  <c r="I84" i="2"/>
  <c r="Q86" i="2"/>
  <c r="T86" i="2"/>
  <c r="Q64" i="2"/>
  <c r="Q43" i="2"/>
  <c r="R44" i="2"/>
  <c r="I42" i="2"/>
  <c r="P44" i="2"/>
  <c r="M2040" i="2"/>
  <c r="M969" i="2"/>
  <c r="M1998" i="2"/>
  <c r="C15" i="2"/>
  <c r="E19" i="2" s="1"/>
  <c r="M1284" i="2"/>
  <c r="M717" i="2"/>
  <c r="M822" i="2"/>
  <c r="M1116" i="2"/>
  <c r="M1431" i="2"/>
  <c r="M2019" i="2"/>
  <c r="M318" i="2"/>
  <c r="M315" i="2" s="1"/>
  <c r="M309" i="2" s="1"/>
  <c r="M1956" i="2"/>
  <c r="J1115" i="2"/>
  <c r="M1515" i="2"/>
  <c r="H865" i="2"/>
  <c r="J865" i="2" s="1"/>
  <c r="H1432" i="2"/>
  <c r="J1432" i="2" s="1"/>
  <c r="I865" i="2"/>
  <c r="I1432" i="2"/>
  <c r="J1892" i="2"/>
  <c r="M1893" i="2"/>
  <c r="P1476" i="2"/>
  <c r="H1474" i="2"/>
  <c r="J1474" i="2" s="1"/>
  <c r="I1474" i="2"/>
  <c r="J1850" i="2"/>
  <c r="M1851" i="2"/>
  <c r="P1896" i="2"/>
  <c r="H1894" i="2"/>
  <c r="J1894" i="2" s="1"/>
  <c r="I1894" i="2"/>
  <c r="H130" i="2"/>
  <c r="J130" i="2" s="1"/>
  <c r="P132" i="2"/>
  <c r="I130" i="2"/>
  <c r="J1556" i="2"/>
  <c r="M1557" i="2"/>
  <c r="J254" i="2"/>
  <c r="H1201" i="2"/>
  <c r="J1201" i="2" s="1"/>
  <c r="P1203" i="2"/>
  <c r="I1201" i="2"/>
  <c r="Q447" i="2"/>
  <c r="I445" i="2"/>
  <c r="H445" i="2"/>
  <c r="J445" i="2" s="1"/>
  <c r="J1745" i="2"/>
  <c r="M1746" i="2"/>
  <c r="P1077" i="2"/>
  <c r="H1075" i="2"/>
  <c r="J1075" i="2" s="1"/>
  <c r="I1075" i="2"/>
  <c r="P1436" i="2"/>
  <c r="H1434" i="2"/>
  <c r="I1434" i="2"/>
  <c r="H573" i="2"/>
  <c r="J573" i="2" s="1"/>
  <c r="P575" i="2"/>
  <c r="I573" i="2"/>
  <c r="M1473" i="2"/>
  <c r="J1472" i="2"/>
  <c r="Q405" i="2"/>
  <c r="I403" i="2"/>
  <c r="H403" i="2"/>
  <c r="J403" i="2" s="1"/>
  <c r="P678" i="2"/>
  <c r="H676" i="2"/>
  <c r="J676" i="2" s="1"/>
  <c r="I676" i="2"/>
  <c r="H1625" i="2"/>
  <c r="P1627" i="2"/>
  <c r="I1625" i="2"/>
  <c r="M885" i="2"/>
  <c r="J884" i="2"/>
  <c r="J1829" i="2"/>
  <c r="M1830" i="2"/>
  <c r="J758" i="2"/>
  <c r="M759" i="2"/>
  <c r="J674" i="2"/>
  <c r="M675" i="2"/>
  <c r="I1600" i="2"/>
  <c r="P1121" i="2"/>
  <c r="H1119" i="2"/>
  <c r="I1119" i="2"/>
  <c r="P2085" i="2"/>
  <c r="H2083" i="2"/>
  <c r="J2083" i="2" s="1"/>
  <c r="I2083" i="2"/>
  <c r="H886" i="2"/>
  <c r="J886" i="2" s="1"/>
  <c r="P888" i="2"/>
  <c r="I886" i="2"/>
  <c r="P1917" i="2"/>
  <c r="H1915" i="2"/>
  <c r="J1915" i="2" s="1"/>
  <c r="I1915" i="2"/>
  <c r="J737" i="2"/>
  <c r="M738" i="2"/>
  <c r="P1812" i="2"/>
  <c r="H1810" i="2"/>
  <c r="J1810" i="2" s="1"/>
  <c r="I1810" i="2"/>
  <c r="J632" i="2"/>
  <c r="P1980" i="2"/>
  <c r="H1978" i="2"/>
  <c r="J1978" i="2" s="1"/>
  <c r="I1978" i="2"/>
  <c r="J1325" i="2"/>
  <c r="M1326" i="2"/>
  <c r="P1833" i="2"/>
  <c r="H1831" i="2"/>
  <c r="J1831" i="2" s="1"/>
  <c r="I1831" i="2"/>
  <c r="J464" i="2"/>
  <c r="P1728" i="2"/>
  <c r="H1726" i="2"/>
  <c r="J1726" i="2" s="1"/>
  <c r="I1726" i="2"/>
  <c r="P657" i="2"/>
  <c r="H655" i="2"/>
  <c r="J655" i="2" s="1"/>
  <c r="I655" i="2"/>
  <c r="P1749" i="2"/>
  <c r="H1747" i="2"/>
  <c r="J1747" i="2" s="1"/>
  <c r="I1747" i="2"/>
  <c r="H825" i="2"/>
  <c r="P827" i="2"/>
  <c r="I825" i="2"/>
  <c r="P1245" i="2"/>
  <c r="H1243" i="2"/>
  <c r="J1243" i="2" s="1"/>
  <c r="I1243" i="2"/>
  <c r="M1977" i="2"/>
  <c r="J1976" i="2"/>
  <c r="P2024" i="2"/>
  <c r="H2022" i="2"/>
  <c r="I2022" i="2"/>
  <c r="M1242" i="2"/>
  <c r="J1241" i="2"/>
  <c r="P783" i="2"/>
  <c r="H781" i="2"/>
  <c r="J781" i="2" s="1"/>
  <c r="I781" i="2"/>
  <c r="H1600" i="2"/>
  <c r="P1100" i="2"/>
  <c r="H1098" i="2"/>
  <c r="J1098" i="2" s="1"/>
  <c r="I1098" i="2"/>
  <c r="J527" i="2"/>
  <c r="M1662" i="2"/>
  <c r="J1661" i="2"/>
  <c r="P741" i="2"/>
  <c r="H739" i="2"/>
  <c r="J739" i="2" s="1"/>
  <c r="I739" i="2"/>
  <c r="P1539" i="2"/>
  <c r="H1537" i="2"/>
  <c r="J1537" i="2" s="1"/>
  <c r="I1537" i="2"/>
  <c r="M1347" i="2"/>
  <c r="J1346" i="2"/>
  <c r="P636" i="2"/>
  <c r="H634" i="2"/>
  <c r="J634" i="2" s="1"/>
  <c r="I634" i="2"/>
  <c r="H1495" i="2"/>
  <c r="J1495" i="2" s="1"/>
  <c r="P1497" i="2"/>
  <c r="I1495" i="2"/>
  <c r="J65" i="2"/>
  <c r="M1704" i="2"/>
  <c r="J1703" i="2"/>
  <c r="P995" i="2"/>
  <c r="J422" i="2"/>
  <c r="J128" i="2"/>
  <c r="J1052" i="2"/>
  <c r="M1053" i="2"/>
  <c r="P762" i="2"/>
  <c r="H760" i="2"/>
  <c r="J760" i="2" s="1"/>
  <c r="I760" i="2"/>
  <c r="J1073" i="2"/>
  <c r="M1074" i="2"/>
  <c r="M864" i="2"/>
  <c r="J863" i="2"/>
  <c r="M1452" i="2"/>
  <c r="J1451" i="2"/>
  <c r="P531" i="2"/>
  <c r="H529" i="2"/>
  <c r="J529" i="2" s="1"/>
  <c r="I529" i="2"/>
  <c r="P2005" i="2"/>
  <c r="H2003" i="2"/>
  <c r="I2003" i="2"/>
  <c r="H1663" i="2"/>
  <c r="J1663" i="2" s="1"/>
  <c r="P1665" i="2"/>
  <c r="I1663" i="2"/>
  <c r="J1535" i="2"/>
  <c r="M1536" i="2"/>
  <c r="T1350" i="2"/>
  <c r="T1352" i="2" s="1"/>
  <c r="T1354" i="2" s="1"/>
  <c r="T1356" i="2" s="1"/>
  <c r="I1348" i="2"/>
  <c r="M1494" i="2"/>
  <c r="J1493" i="2"/>
  <c r="P930" i="2"/>
  <c r="H928" i="2"/>
  <c r="J928" i="2" s="1"/>
  <c r="I928" i="2"/>
  <c r="H1705" i="2"/>
  <c r="J1705" i="2" s="1"/>
  <c r="P1707" i="2"/>
  <c r="I1705" i="2"/>
  <c r="J1577" i="2"/>
  <c r="M1578" i="2"/>
  <c r="W321" i="2"/>
  <c r="W323" i="2" s="1"/>
  <c r="W325" i="2" s="1"/>
  <c r="W327" i="2" s="1"/>
  <c r="H424" i="2"/>
  <c r="J424" i="2" s="1"/>
  <c r="P426" i="2"/>
  <c r="I424" i="2"/>
  <c r="H1959" i="2"/>
  <c r="I1959" i="2"/>
  <c r="P1961" i="2"/>
  <c r="J1808" i="2"/>
  <c r="M1809" i="2"/>
  <c r="H1327" i="2"/>
  <c r="J1327" i="2" s="1"/>
  <c r="P1329" i="2"/>
  <c r="I1327" i="2"/>
  <c r="J779" i="2"/>
  <c r="M780" i="2"/>
  <c r="H1602" i="2"/>
  <c r="J1602" i="2" s="1"/>
  <c r="P1604" i="2"/>
  <c r="I1602" i="2"/>
  <c r="M1788" i="2"/>
  <c r="J1787" i="2"/>
  <c r="H1453" i="2"/>
  <c r="J1453" i="2" s="1"/>
  <c r="P1455" i="2"/>
  <c r="I1453" i="2"/>
  <c r="J1640" i="2"/>
  <c r="M1641" i="2"/>
  <c r="M1011" i="2"/>
  <c r="J1010" i="2"/>
  <c r="P2047" i="2"/>
  <c r="H2045" i="2"/>
  <c r="J2045" i="2" s="1"/>
  <c r="I2045" i="2"/>
  <c r="P1308" i="2"/>
  <c r="H1306" i="2"/>
  <c r="J1306" i="2" s="1"/>
  <c r="I1306" i="2"/>
  <c r="H1180" i="2"/>
  <c r="J1180" i="2" s="1"/>
  <c r="P1182" i="2"/>
  <c r="I1180" i="2"/>
  <c r="Q722" i="2"/>
  <c r="I720" i="2"/>
  <c r="H720" i="2"/>
  <c r="H1289" i="2"/>
  <c r="J1289" i="2" s="1"/>
  <c r="P1291" i="2"/>
  <c r="I1289" i="2"/>
  <c r="P699" i="2"/>
  <c r="H697" i="2"/>
  <c r="J697" i="2" s="1"/>
  <c r="I697" i="2"/>
  <c r="M927" i="2"/>
  <c r="J926" i="2"/>
  <c r="P1581" i="2"/>
  <c r="H1579" i="2"/>
  <c r="J1579" i="2" s="1"/>
  <c r="I1579" i="2"/>
  <c r="J401" i="2"/>
  <c r="J443" i="2"/>
  <c r="J1913" i="2"/>
  <c r="M1914" i="2"/>
  <c r="P1644" i="2"/>
  <c r="H1642" i="2"/>
  <c r="J1642" i="2" s="1"/>
  <c r="I1642" i="2"/>
  <c r="H1396" i="2"/>
  <c r="J1396" i="2" s="1"/>
  <c r="P1398" i="2"/>
  <c r="I1396" i="2"/>
  <c r="P1014" i="2"/>
  <c r="H1012" i="2"/>
  <c r="J1012" i="2" s="1"/>
  <c r="I1012" i="2"/>
  <c r="J1682" i="2"/>
  <c r="M1683" i="2"/>
  <c r="J1304" i="2"/>
  <c r="M1305" i="2"/>
  <c r="J359" i="2"/>
  <c r="M360" i="2"/>
  <c r="M357" i="2" s="1"/>
  <c r="M351" i="2" s="1"/>
  <c r="P1419" i="2"/>
  <c r="J1178" i="2"/>
  <c r="M1179" i="2"/>
  <c r="J800" i="2"/>
  <c r="M801" i="2"/>
  <c r="J695" i="2"/>
  <c r="M696" i="2"/>
  <c r="M843" i="2"/>
  <c r="J842" i="2"/>
  <c r="P1854" i="2"/>
  <c r="H1852" i="2"/>
  <c r="J1852" i="2" s="1"/>
  <c r="I1852" i="2"/>
  <c r="P1560" i="2"/>
  <c r="H1558" i="2"/>
  <c r="J1558" i="2" s="1"/>
  <c r="I1558" i="2"/>
  <c r="J2081" i="2"/>
  <c r="M2082" i="2"/>
  <c r="P1791" i="2"/>
  <c r="H1789" i="2"/>
  <c r="J1789" i="2" s="1"/>
  <c r="I1789" i="2"/>
  <c r="P2064" i="2"/>
  <c r="H2062" i="2"/>
  <c r="J2062" i="2" s="1"/>
  <c r="I2062" i="2"/>
  <c r="H1684" i="2"/>
  <c r="J1684" i="2" s="1"/>
  <c r="P1686" i="2"/>
  <c r="I1684" i="2"/>
  <c r="H361" i="2"/>
  <c r="J361" i="2" s="1"/>
  <c r="M1221" i="2"/>
  <c r="J1220" i="2"/>
  <c r="R804" i="2"/>
  <c r="H802" i="2"/>
  <c r="J802" i="2" s="1"/>
  <c r="I802" i="2"/>
  <c r="M1410" i="2"/>
  <c r="J1409" i="2"/>
  <c r="P1940" i="2"/>
  <c r="H1938" i="2"/>
  <c r="J1938" i="2" s="1"/>
  <c r="I1938" i="2"/>
  <c r="J989" i="2"/>
  <c r="M990" i="2"/>
  <c r="H844" i="2"/>
  <c r="J844" i="2" s="1"/>
  <c r="P846" i="2"/>
  <c r="I844" i="2"/>
  <c r="Q993" i="2"/>
  <c r="Q995" i="2" s="1"/>
  <c r="Q997" i="2" s="1"/>
  <c r="Q999" i="2" s="1"/>
  <c r="I991" i="2"/>
  <c r="H951" i="2"/>
  <c r="P953" i="2"/>
  <c r="I951" i="2"/>
  <c r="J1199" i="2"/>
  <c r="M1200" i="2"/>
  <c r="H1222" i="2"/>
  <c r="J1222" i="2" s="1"/>
  <c r="P1224" i="2"/>
  <c r="I1222" i="2"/>
  <c r="Q1413" i="2"/>
  <c r="H1411" i="2"/>
  <c r="J1411" i="2" s="1"/>
  <c r="I1411" i="2"/>
  <c r="H1768" i="2"/>
  <c r="J1768" i="2" s="1"/>
  <c r="P1770" i="2"/>
  <c r="I1768" i="2"/>
  <c r="P810" i="2"/>
  <c r="M1158" i="2"/>
  <c r="J1157" i="2"/>
  <c r="P1371" i="2"/>
  <c r="H1369" i="2"/>
  <c r="J1369" i="2" s="1"/>
  <c r="I1369" i="2"/>
  <c r="J1262" i="2"/>
  <c r="M1263" i="2"/>
  <c r="J2102" i="2"/>
  <c r="M2103" i="2"/>
  <c r="P1522" i="2"/>
  <c r="H1520" i="2"/>
  <c r="J1520" i="2" s="1"/>
  <c r="I1520" i="2"/>
  <c r="P1140" i="2"/>
  <c r="H1138" i="2"/>
  <c r="J1138" i="2" s="1"/>
  <c r="I1138" i="2"/>
  <c r="P1875" i="2"/>
  <c r="H1873" i="2"/>
  <c r="J1873" i="2" s="1"/>
  <c r="I1873" i="2"/>
  <c r="P1035" i="2"/>
  <c r="H1033" i="2"/>
  <c r="J1033" i="2" s="1"/>
  <c r="I1033" i="2"/>
  <c r="X552" i="2"/>
  <c r="I550" i="2"/>
  <c r="H550" i="2"/>
  <c r="M906" i="2"/>
  <c r="J905" i="2"/>
  <c r="H972" i="2"/>
  <c r="J972" i="2" s="1"/>
  <c r="P974" i="2"/>
  <c r="I972" i="2"/>
  <c r="J1934" i="2"/>
  <c r="M1935" i="2"/>
  <c r="P1352" i="2"/>
  <c r="H867" i="2"/>
  <c r="J867" i="2" s="1"/>
  <c r="P869" i="2"/>
  <c r="I867" i="2"/>
  <c r="M2061" i="2"/>
  <c r="J2060" i="2"/>
  <c r="J1367" i="2"/>
  <c r="M1368" i="2"/>
  <c r="P1266" i="2"/>
  <c r="H1264" i="2"/>
  <c r="J1264" i="2" s="1"/>
  <c r="I1264" i="2"/>
  <c r="P2106" i="2"/>
  <c r="H2104" i="2"/>
  <c r="J2104" i="2" s="1"/>
  <c r="I2104" i="2"/>
  <c r="J1766" i="2"/>
  <c r="M1767" i="2"/>
  <c r="P1161" i="2"/>
  <c r="H1159" i="2"/>
  <c r="J1159" i="2" s="1"/>
  <c r="I1159" i="2"/>
  <c r="M1725" i="2"/>
  <c r="J1724" i="2"/>
  <c r="J653" i="2"/>
  <c r="J1136" i="2"/>
  <c r="M1137" i="2"/>
  <c r="J1871" i="2"/>
  <c r="M1872" i="2"/>
  <c r="P1056" i="2"/>
  <c r="I1054" i="2"/>
  <c r="H1054" i="2"/>
  <c r="J1054" i="2" s="1"/>
  <c r="J1031" i="2"/>
  <c r="M1032" i="2"/>
  <c r="H907" i="2"/>
  <c r="J907" i="2" s="1"/>
  <c r="P909" i="2"/>
  <c r="I907" i="2"/>
  <c r="E2" i="2"/>
  <c r="V19" i="2"/>
  <c r="W19" i="2"/>
  <c r="X19" i="2"/>
  <c r="Y19" i="2"/>
  <c r="Z19" i="2"/>
  <c r="AA19" i="2"/>
  <c r="AB19" i="2"/>
  <c r="AC19" i="2"/>
  <c r="AD19" i="2"/>
  <c r="AE19" i="2"/>
  <c r="AF19" i="2"/>
  <c r="AG19" i="2"/>
  <c r="AH19" i="2"/>
  <c r="AI19" i="2"/>
  <c r="Q19" i="2"/>
  <c r="R19" i="2"/>
  <c r="S19" i="2"/>
  <c r="T19" i="2"/>
  <c r="U19" i="2"/>
  <c r="R508" i="2" l="1"/>
  <c r="R507" i="2" s="1"/>
  <c r="S256" i="2"/>
  <c r="Q466" i="2"/>
  <c r="Q465" i="2" s="1"/>
  <c r="E194" i="14"/>
  <c r="E194" i="23"/>
  <c r="E187" i="14"/>
  <c r="F187" i="14" s="1"/>
  <c r="E187" i="23"/>
  <c r="F187" i="23" s="1"/>
  <c r="AB26" i="27"/>
  <c r="AC26" i="27" s="1"/>
  <c r="X27" i="27"/>
  <c r="Z26" i="27"/>
  <c r="AA26" i="27" s="1"/>
  <c r="Q610" i="2"/>
  <c r="R610" i="2"/>
  <c r="P610" i="2"/>
  <c r="I611" i="2" s="1"/>
  <c r="H611" i="2"/>
  <c r="J611" i="2" s="1"/>
  <c r="Q591" i="2"/>
  <c r="Q594" i="2" s="1"/>
  <c r="Q593" i="2" s="1"/>
  <c r="P554" i="2"/>
  <c r="Q508" i="2"/>
  <c r="Q507" i="2" s="1"/>
  <c r="S508" i="2"/>
  <c r="S507" i="2" s="1"/>
  <c r="I506" i="2"/>
  <c r="T508" i="2"/>
  <c r="T507" i="2" s="1"/>
  <c r="P510" i="2" s="1"/>
  <c r="P509" i="2" s="1"/>
  <c r="H506" i="2"/>
  <c r="J506" i="2" s="1"/>
  <c r="R510" i="2"/>
  <c r="R509" i="2" s="1"/>
  <c r="P484" i="2"/>
  <c r="I485" i="2" s="1"/>
  <c r="H485" i="2"/>
  <c r="J485" i="2" s="1"/>
  <c r="I464" i="2"/>
  <c r="P466" i="2"/>
  <c r="R466" i="2"/>
  <c r="R465" i="2" s="1"/>
  <c r="P449" i="2"/>
  <c r="P407" i="2"/>
  <c r="P406" i="2" s="1"/>
  <c r="X14" i="16"/>
  <c r="AB14" i="16" s="1"/>
  <c r="AC14" i="16" s="1"/>
  <c r="S379" i="2"/>
  <c r="Q379" i="2"/>
  <c r="P379" i="2"/>
  <c r="R382" i="2" s="1"/>
  <c r="H380" i="2"/>
  <c r="R360" i="2"/>
  <c r="P337" i="2"/>
  <c r="H338" i="2"/>
  <c r="J338" i="2" s="1"/>
  <c r="Q337" i="2"/>
  <c r="R340" i="2"/>
  <c r="R337" i="2"/>
  <c r="Q340" i="2" s="1"/>
  <c r="Q318" i="2"/>
  <c r="P318" i="2"/>
  <c r="H319" i="2"/>
  <c r="J319" i="2" s="1"/>
  <c r="R295" i="2"/>
  <c r="Q295" i="2"/>
  <c r="P295" i="2"/>
  <c r="P298" i="2" s="1"/>
  <c r="H296" i="2"/>
  <c r="S274" i="2"/>
  <c r="Q274" i="2"/>
  <c r="I275" i="2" s="1"/>
  <c r="T274" i="2"/>
  <c r="R274" i="2"/>
  <c r="P274" i="2"/>
  <c r="H275" i="2"/>
  <c r="S255" i="2"/>
  <c r="Q256" i="2"/>
  <c r="R256" i="2"/>
  <c r="I254" i="2"/>
  <c r="P232" i="2"/>
  <c r="H233" i="2"/>
  <c r="R232" i="2"/>
  <c r="S235" i="2" s="1"/>
  <c r="S232" i="2"/>
  <c r="R211" i="2"/>
  <c r="P211" i="2"/>
  <c r="Q214" i="2" s="1"/>
  <c r="H212" i="2"/>
  <c r="Q211" i="2"/>
  <c r="S211" i="2"/>
  <c r="R190" i="2"/>
  <c r="Q190" i="2"/>
  <c r="P190" i="2"/>
  <c r="R193" i="2" s="1"/>
  <c r="H191" i="2"/>
  <c r="S190" i="2"/>
  <c r="U169" i="2"/>
  <c r="P169" i="2"/>
  <c r="H170" i="2"/>
  <c r="T169" i="2"/>
  <c r="R169" i="2"/>
  <c r="Q169" i="2"/>
  <c r="Q172" i="2" s="1"/>
  <c r="R148" i="2"/>
  <c r="S148" i="2"/>
  <c r="Q148" i="2"/>
  <c r="P148" i="2"/>
  <c r="H149" i="2"/>
  <c r="Q106" i="2"/>
  <c r="R106" i="2"/>
  <c r="P106" i="2"/>
  <c r="I107" i="2" s="1"/>
  <c r="H107" i="2"/>
  <c r="U85" i="2"/>
  <c r="P85" i="2"/>
  <c r="H86" i="2"/>
  <c r="J86" i="2" s="1"/>
  <c r="T85" i="2"/>
  <c r="P88" i="2" s="1"/>
  <c r="Q85" i="2"/>
  <c r="R67" i="2"/>
  <c r="P67" i="2"/>
  <c r="I65" i="2"/>
  <c r="Q67" i="2"/>
  <c r="P43" i="2"/>
  <c r="H44" i="2"/>
  <c r="J44" i="2" s="1"/>
  <c r="R43" i="2"/>
  <c r="P46" i="2" s="1"/>
  <c r="S21" i="2"/>
  <c r="R21" i="2"/>
  <c r="Q21" i="2"/>
  <c r="P21" i="2"/>
  <c r="I1350" i="2"/>
  <c r="H1350" i="2"/>
  <c r="J1350" i="2" s="1"/>
  <c r="H1371" i="2"/>
  <c r="P1373" i="2"/>
  <c r="I1371" i="2"/>
  <c r="P1667" i="2"/>
  <c r="H1665" i="2"/>
  <c r="J1665" i="2" s="1"/>
  <c r="I1665" i="2"/>
  <c r="J1600" i="2"/>
  <c r="P1268" i="2"/>
  <c r="H1266" i="2"/>
  <c r="J1266" i="2" s="1"/>
  <c r="I1266" i="2"/>
  <c r="P1524" i="2"/>
  <c r="H1522" i="2"/>
  <c r="I1522" i="2"/>
  <c r="J951" i="2"/>
  <c r="P764" i="2"/>
  <c r="H762" i="2"/>
  <c r="J762" i="2" s="1"/>
  <c r="I762" i="2"/>
  <c r="P1541" i="2"/>
  <c r="H1539" i="2"/>
  <c r="J1539" i="2" s="1"/>
  <c r="I1539" i="2"/>
  <c r="H1627" i="2"/>
  <c r="J1627" i="2" s="1"/>
  <c r="P1629" i="2"/>
  <c r="I1627" i="2"/>
  <c r="P577" i="2"/>
  <c r="H575" i="2"/>
  <c r="I575" i="2"/>
  <c r="P1205" i="2"/>
  <c r="H1203" i="2"/>
  <c r="I1203" i="2"/>
  <c r="P2108" i="2"/>
  <c r="H2106" i="2"/>
  <c r="J2106" i="2" s="1"/>
  <c r="I2106" i="2"/>
  <c r="P134" i="2"/>
  <c r="H132" i="2"/>
  <c r="I132" i="2"/>
  <c r="J2003" i="2"/>
  <c r="H1224" i="2"/>
  <c r="J1224" i="2" s="1"/>
  <c r="P1226" i="2"/>
  <c r="I1224" i="2"/>
  <c r="P2026" i="2"/>
  <c r="H2024" i="2"/>
  <c r="J2024" i="2" s="1"/>
  <c r="I2024" i="2"/>
  <c r="P848" i="2"/>
  <c r="H846" i="2"/>
  <c r="J846" i="2" s="1"/>
  <c r="I846" i="2"/>
  <c r="P1646" i="2"/>
  <c r="H1644" i="2"/>
  <c r="J1644" i="2" s="1"/>
  <c r="I1644" i="2"/>
  <c r="P1331" i="2"/>
  <c r="H1329" i="2"/>
  <c r="I1329" i="2"/>
  <c r="I993" i="2"/>
  <c r="P1814" i="2"/>
  <c r="H1812" i="2"/>
  <c r="I1812" i="2"/>
  <c r="J1625" i="2"/>
  <c r="H1896" i="2"/>
  <c r="J1896" i="2" s="1"/>
  <c r="P1898" i="2"/>
  <c r="I1896" i="2"/>
  <c r="P1142" i="2"/>
  <c r="H1140" i="2"/>
  <c r="I1140" i="2"/>
  <c r="P1354" i="2"/>
  <c r="H1352" i="2"/>
  <c r="J1352" i="2" s="1"/>
  <c r="I1352" i="2"/>
  <c r="P1037" i="2"/>
  <c r="H1035" i="2"/>
  <c r="I1035" i="2"/>
  <c r="P1457" i="2"/>
  <c r="H1455" i="2"/>
  <c r="J1455" i="2" s="1"/>
  <c r="I1455" i="2"/>
  <c r="H531" i="2"/>
  <c r="J531" i="2" s="1"/>
  <c r="P533" i="2"/>
  <c r="I531" i="2"/>
  <c r="P997" i="2"/>
  <c r="H995" i="2"/>
  <c r="J995" i="2" s="1"/>
  <c r="I995" i="2"/>
  <c r="P1751" i="2"/>
  <c r="H1749" i="2"/>
  <c r="J1749" i="2" s="1"/>
  <c r="I1749" i="2"/>
  <c r="H2085" i="2"/>
  <c r="P2087" i="2"/>
  <c r="I2085" i="2"/>
  <c r="P1478" i="2"/>
  <c r="H1476" i="2"/>
  <c r="I1476" i="2"/>
  <c r="Q1415" i="2"/>
  <c r="H1413" i="2"/>
  <c r="J1413" i="2" s="1"/>
  <c r="I1413" i="2"/>
  <c r="J825" i="2"/>
  <c r="P701" i="2"/>
  <c r="H699" i="2"/>
  <c r="I699" i="2"/>
  <c r="H993" i="2"/>
  <c r="P638" i="2"/>
  <c r="H636" i="2"/>
  <c r="J636" i="2" s="1"/>
  <c r="I636" i="2"/>
  <c r="P743" i="2"/>
  <c r="H741" i="2"/>
  <c r="J741" i="2" s="1"/>
  <c r="I741" i="2"/>
  <c r="J1434" i="2"/>
  <c r="P1942" i="2"/>
  <c r="H1940" i="2"/>
  <c r="I1940" i="2"/>
  <c r="P1856" i="2"/>
  <c r="H1854" i="2"/>
  <c r="J1854" i="2" s="1"/>
  <c r="I1854" i="2"/>
  <c r="H1398" i="2"/>
  <c r="J1398" i="2" s="1"/>
  <c r="P1399" i="2" s="1"/>
  <c r="I1398" i="2"/>
  <c r="Q724" i="2"/>
  <c r="H722" i="2"/>
  <c r="J722" i="2" s="1"/>
  <c r="I722" i="2"/>
  <c r="P932" i="2"/>
  <c r="H930" i="2"/>
  <c r="I930" i="2"/>
  <c r="J2022" i="2"/>
  <c r="P1835" i="2"/>
  <c r="H1833" i="2"/>
  <c r="J1833" i="2" s="1"/>
  <c r="I1833" i="2"/>
  <c r="P955" i="2"/>
  <c r="H953" i="2"/>
  <c r="J953" i="2" s="1"/>
  <c r="I953" i="2"/>
  <c r="P1058" i="2"/>
  <c r="H1056" i="2"/>
  <c r="J1056" i="2" s="1"/>
  <c r="I1056" i="2"/>
  <c r="R806" i="2"/>
  <c r="H804" i="2"/>
  <c r="J804" i="2" s="1"/>
  <c r="I804" i="2"/>
  <c r="P785" i="2"/>
  <c r="H783" i="2"/>
  <c r="I783" i="2"/>
  <c r="P1982" i="2"/>
  <c r="H1980" i="2"/>
  <c r="J1980" i="2" s="1"/>
  <c r="I1980" i="2"/>
  <c r="J1119" i="2"/>
  <c r="H678" i="2"/>
  <c r="P680" i="2"/>
  <c r="I678" i="2"/>
  <c r="Q407" i="2"/>
  <c r="H405" i="2"/>
  <c r="I405" i="2"/>
  <c r="P1438" i="2"/>
  <c r="H1436" i="2"/>
  <c r="J1436" i="2" s="1"/>
  <c r="I1436" i="2"/>
  <c r="H1581" i="2"/>
  <c r="J1581" i="2" s="1"/>
  <c r="P1583" i="2"/>
  <c r="I1581" i="2"/>
  <c r="P890" i="2"/>
  <c r="H888" i="2"/>
  <c r="I888" i="2"/>
  <c r="H827" i="2"/>
  <c r="J827" i="2" s="1"/>
  <c r="P829" i="2"/>
  <c r="I827" i="2"/>
  <c r="P1184" i="2"/>
  <c r="H1182" i="2"/>
  <c r="I1182" i="2"/>
  <c r="H974" i="2"/>
  <c r="P976" i="2"/>
  <c r="I974" i="2"/>
  <c r="P1772" i="2"/>
  <c r="H1770" i="2"/>
  <c r="I1770" i="2"/>
  <c r="H1560" i="2"/>
  <c r="J1560" i="2" s="1"/>
  <c r="P1562" i="2"/>
  <c r="I1560" i="2"/>
  <c r="P1293" i="2"/>
  <c r="H1291" i="2"/>
  <c r="I1291" i="2"/>
  <c r="P1709" i="2"/>
  <c r="H1707" i="2"/>
  <c r="J1707" i="2" s="1"/>
  <c r="I1707" i="2"/>
  <c r="H657" i="2"/>
  <c r="P659" i="2"/>
  <c r="I657" i="2"/>
  <c r="H1121" i="2"/>
  <c r="J1121" i="2" s="1"/>
  <c r="P1123" i="2"/>
  <c r="I1121" i="2"/>
  <c r="H1100" i="2"/>
  <c r="P1102" i="2"/>
  <c r="I1100" i="2"/>
  <c r="P2066" i="2"/>
  <c r="H2064" i="2"/>
  <c r="J2064" i="2" s="1"/>
  <c r="I2064" i="2"/>
  <c r="Q449" i="2"/>
  <c r="I447" i="2"/>
  <c r="H447" i="2"/>
  <c r="H1497" i="2"/>
  <c r="P1499" i="2"/>
  <c r="I1497" i="2"/>
  <c r="P911" i="2"/>
  <c r="H909" i="2"/>
  <c r="J909" i="2" s="1"/>
  <c r="I909" i="2"/>
  <c r="P1163" i="2"/>
  <c r="H1161" i="2"/>
  <c r="I1161" i="2"/>
  <c r="J550" i="2"/>
  <c r="H1875" i="2"/>
  <c r="P1877" i="2"/>
  <c r="I1875" i="2"/>
  <c r="P1688" i="2"/>
  <c r="H1686" i="2"/>
  <c r="J1686" i="2" s="1"/>
  <c r="I1686" i="2"/>
  <c r="H1308" i="2"/>
  <c r="P1310" i="2"/>
  <c r="I1308" i="2"/>
  <c r="P1963" i="2"/>
  <c r="H1961" i="2"/>
  <c r="J1961" i="2" s="1"/>
  <c r="I1961" i="2"/>
  <c r="P1793" i="2"/>
  <c r="H1791" i="2"/>
  <c r="J1791" i="2" s="1"/>
  <c r="I1791" i="2"/>
  <c r="P1016" i="2"/>
  <c r="H1014" i="2"/>
  <c r="J1014" i="2" s="1"/>
  <c r="I1014" i="2"/>
  <c r="J720" i="2"/>
  <c r="P1247" i="2"/>
  <c r="H1245" i="2"/>
  <c r="I1245" i="2"/>
  <c r="H1917" i="2"/>
  <c r="P1919" i="2"/>
  <c r="I1917" i="2"/>
  <c r="H1077" i="2"/>
  <c r="P1079" i="2"/>
  <c r="I1077" i="2"/>
  <c r="H2047" i="2"/>
  <c r="P2049" i="2"/>
  <c r="I2047" i="2"/>
  <c r="P428" i="2"/>
  <c r="H426" i="2"/>
  <c r="J426" i="2" s="1"/>
  <c r="I426" i="2"/>
  <c r="H2005" i="2"/>
  <c r="J2005" i="2" s="1"/>
  <c r="P2007" i="2"/>
  <c r="I2005" i="2"/>
  <c r="P871" i="2"/>
  <c r="H869" i="2"/>
  <c r="J869" i="2" s="1"/>
  <c r="I869" i="2"/>
  <c r="X554" i="2"/>
  <c r="I552" i="2"/>
  <c r="H552" i="2"/>
  <c r="J552" i="2" s="1"/>
  <c r="P1606" i="2"/>
  <c r="H1604" i="2"/>
  <c r="J1604" i="2" s="1"/>
  <c r="I1604" i="2"/>
  <c r="J1959" i="2"/>
  <c r="P1730" i="2"/>
  <c r="H1728" i="2"/>
  <c r="I1728"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P193" i="2" l="1"/>
  <c r="P382" i="2"/>
  <c r="P613" i="2"/>
  <c r="T172" i="2"/>
  <c r="I149" i="2"/>
  <c r="R235" i="2"/>
  <c r="S277" i="2"/>
  <c r="S276" i="2" s="1"/>
  <c r="Q510" i="2"/>
  <c r="P340" i="2"/>
  <c r="H508" i="2"/>
  <c r="J508" i="2" s="1"/>
  <c r="P109" i="2"/>
  <c r="P235" i="2"/>
  <c r="P321" i="2"/>
  <c r="S510" i="2"/>
  <c r="S509" i="2" s="1"/>
  <c r="P594" i="2"/>
  <c r="P593" i="2" s="1"/>
  <c r="X28" i="27"/>
  <c r="Z27" i="27"/>
  <c r="AA27" i="27" s="1"/>
  <c r="AB27" i="27"/>
  <c r="AC27" i="27" s="1"/>
  <c r="P612" i="2"/>
  <c r="R613" i="2"/>
  <c r="R612" i="2" s="1"/>
  <c r="Q613" i="2"/>
  <c r="I592" i="2"/>
  <c r="R594" i="2"/>
  <c r="P556" i="2"/>
  <c r="T510" i="2"/>
  <c r="T509" i="2" s="1"/>
  <c r="Q509" i="2"/>
  <c r="Q512" i="2" s="1"/>
  <c r="Q511" i="2" s="1"/>
  <c r="I508" i="2"/>
  <c r="S512" i="2"/>
  <c r="S511" i="2" s="1"/>
  <c r="H510" i="2"/>
  <c r="J510" i="2" s="1"/>
  <c r="P512" i="2"/>
  <c r="P511" i="2" s="1"/>
  <c r="I510" i="2"/>
  <c r="P487" i="2"/>
  <c r="R487" i="2"/>
  <c r="R486" i="2" s="1"/>
  <c r="Q487" i="2"/>
  <c r="Q486" i="2" s="1"/>
  <c r="P465" i="2"/>
  <c r="P468" i="2" s="1"/>
  <c r="H466" i="2"/>
  <c r="J466" i="2" s="1"/>
  <c r="R468" i="2"/>
  <c r="R467" i="2" s="1"/>
  <c r="P451" i="2"/>
  <c r="P409" i="2"/>
  <c r="P408" i="2" s="1"/>
  <c r="X15" i="16"/>
  <c r="AB15" i="16" s="1"/>
  <c r="AC15" i="16" s="1"/>
  <c r="R381" i="2"/>
  <c r="I380" i="2"/>
  <c r="Q382" i="2"/>
  <c r="P381" i="2"/>
  <c r="J380" i="2"/>
  <c r="S382" i="2"/>
  <c r="P363" i="2"/>
  <c r="I361" i="2"/>
  <c r="R363" i="2"/>
  <c r="Q363" i="2"/>
  <c r="P339" i="2"/>
  <c r="H340" i="2"/>
  <c r="J340" i="2" s="1"/>
  <c r="R339" i="2"/>
  <c r="Q339" i="2"/>
  <c r="Q342" i="2" s="1"/>
  <c r="I338" i="2"/>
  <c r="P320" i="2"/>
  <c r="R321" i="2"/>
  <c r="I319" i="2"/>
  <c r="Q321" i="2"/>
  <c r="P297" i="2"/>
  <c r="J296" i="2"/>
  <c r="I296" i="2"/>
  <c r="M297" i="2" s="1"/>
  <c r="M294" i="2" s="1"/>
  <c r="M288" i="2" s="1"/>
  <c r="S298" i="2"/>
  <c r="Q298" i="2"/>
  <c r="R298" i="2"/>
  <c r="R277" i="2"/>
  <c r="P277" i="2"/>
  <c r="T277" i="2"/>
  <c r="J275" i="2"/>
  <c r="M276" i="2"/>
  <c r="M273" i="2" s="1"/>
  <c r="M267" i="2" s="1"/>
  <c r="Q277" i="2"/>
  <c r="R255" i="2"/>
  <c r="Q255" i="2"/>
  <c r="H256" i="2"/>
  <c r="J256" i="2" s="1"/>
  <c r="R234" i="2"/>
  <c r="P234" i="2"/>
  <c r="S234" i="2"/>
  <c r="J233" i="2"/>
  <c r="I233" i="2"/>
  <c r="Q235" i="2"/>
  <c r="H235" i="2" s="1"/>
  <c r="J235" i="2" s="1"/>
  <c r="Q213" i="2"/>
  <c r="J212" i="2"/>
  <c r="I212" i="2"/>
  <c r="P214" i="2"/>
  <c r="S214" i="2"/>
  <c r="R214" i="2"/>
  <c r="R192" i="2"/>
  <c r="P192" i="2"/>
  <c r="I191" i="2"/>
  <c r="M192" i="2" s="1"/>
  <c r="M189" i="2" s="1"/>
  <c r="M183" i="2" s="1"/>
  <c r="Q193" i="2"/>
  <c r="S193" i="2"/>
  <c r="J191" i="2"/>
  <c r="Q171" i="2"/>
  <c r="T171" i="2"/>
  <c r="J170" i="2"/>
  <c r="P172" i="2"/>
  <c r="S172" i="2"/>
  <c r="I170" i="2"/>
  <c r="M171" i="2" s="1"/>
  <c r="M168" i="2" s="1"/>
  <c r="M162" i="2" s="1"/>
  <c r="R172" i="2"/>
  <c r="U172" i="2"/>
  <c r="P151" i="2"/>
  <c r="Q151" i="2"/>
  <c r="S151" i="2"/>
  <c r="J149" i="2"/>
  <c r="M150" i="2"/>
  <c r="M147" i="2" s="1"/>
  <c r="M141" i="2" s="1"/>
  <c r="R151" i="2"/>
  <c r="P108" i="2"/>
  <c r="J107" i="2"/>
  <c r="M108" i="2"/>
  <c r="M105" i="2" s="1"/>
  <c r="M99" i="2" s="1"/>
  <c r="R109" i="2"/>
  <c r="Q109" i="2"/>
  <c r="P87" i="2"/>
  <c r="T88" i="2"/>
  <c r="S88" i="2"/>
  <c r="R88" i="2"/>
  <c r="I86" i="2"/>
  <c r="Q88" i="2"/>
  <c r="U88" i="2"/>
  <c r="Q66" i="2"/>
  <c r="P66" i="2"/>
  <c r="H67" i="2"/>
  <c r="J67" i="2" s="1"/>
  <c r="R66" i="2"/>
  <c r="P45" i="2"/>
  <c r="R46" i="2"/>
  <c r="I44" i="2"/>
  <c r="Q46" i="2"/>
  <c r="W1399" i="2"/>
  <c r="AB1399" i="2"/>
  <c r="AI1399" i="2"/>
  <c r="X1399" i="2"/>
  <c r="AC1399" i="2"/>
  <c r="AE1399" i="2"/>
  <c r="V1399" i="2"/>
  <c r="Y1399" i="2"/>
  <c r="AG1399" i="2"/>
  <c r="U1399" i="2"/>
  <c r="AA1399" i="2"/>
  <c r="J678" i="2"/>
  <c r="P850" i="2"/>
  <c r="H848" i="2"/>
  <c r="J848" i="2" s="1"/>
  <c r="I848" i="2"/>
  <c r="H2108" i="2"/>
  <c r="P2110" i="2"/>
  <c r="I2108" i="2"/>
  <c r="H2007" i="2"/>
  <c r="J2007" i="2" s="1"/>
  <c r="R2008" i="2" s="1"/>
  <c r="I2007" i="2"/>
  <c r="H1247" i="2"/>
  <c r="J1247" i="2" s="1"/>
  <c r="P1249" i="2"/>
  <c r="I1247" i="2"/>
  <c r="H1016" i="2"/>
  <c r="J1016" i="2" s="1"/>
  <c r="P1018" i="2"/>
  <c r="I1016" i="2"/>
  <c r="H1963" i="2"/>
  <c r="J1963" i="2" s="1"/>
  <c r="P1965" i="2"/>
  <c r="I1963" i="2"/>
  <c r="P1186" i="2"/>
  <c r="H1184" i="2"/>
  <c r="J1184" i="2" s="1"/>
  <c r="I1184" i="2"/>
  <c r="H638" i="2"/>
  <c r="J638" i="2" s="1"/>
  <c r="P640" i="2"/>
  <c r="I638" i="2"/>
  <c r="Q1417" i="2"/>
  <c r="H1415" i="2"/>
  <c r="J1415" i="2" s="1"/>
  <c r="I1415" i="2"/>
  <c r="J1203" i="2"/>
  <c r="P1608" i="2"/>
  <c r="H1606" i="2"/>
  <c r="J1606" i="2" s="1"/>
  <c r="I1606" i="2"/>
  <c r="H1079" i="2"/>
  <c r="J1079" i="2" s="1"/>
  <c r="P1081" i="2"/>
  <c r="I1079" i="2"/>
  <c r="P1921" i="2"/>
  <c r="H1919" i="2"/>
  <c r="J1919" i="2" s="1"/>
  <c r="I1919" i="2"/>
  <c r="J1161" i="2"/>
  <c r="P1104" i="2"/>
  <c r="H1102" i="2"/>
  <c r="J1102" i="2" s="1"/>
  <c r="I1102" i="2"/>
  <c r="P1774" i="2"/>
  <c r="H1772" i="2"/>
  <c r="J1772" i="2" s="1"/>
  <c r="I1772" i="2"/>
  <c r="P1984" i="2"/>
  <c r="H1982" i="2"/>
  <c r="J1982" i="2" s="1"/>
  <c r="I1982" i="2"/>
  <c r="H1058" i="2"/>
  <c r="J1058" i="2" s="1"/>
  <c r="P1060" i="2"/>
  <c r="I1058" i="2"/>
  <c r="J1476" i="2"/>
  <c r="P1228" i="2"/>
  <c r="H1226" i="2"/>
  <c r="I1226" i="2"/>
  <c r="P1207" i="2"/>
  <c r="H1205" i="2"/>
  <c r="J1205" i="2" s="1"/>
  <c r="I1205" i="2"/>
  <c r="H1268" i="2"/>
  <c r="J1268" i="2" s="1"/>
  <c r="P1270" i="2"/>
  <c r="I1268" i="2"/>
  <c r="H997" i="2"/>
  <c r="J997" i="2" s="1"/>
  <c r="P999" i="2"/>
  <c r="I997" i="2"/>
  <c r="H2049" i="2"/>
  <c r="J2049" i="2" s="1"/>
  <c r="I2049" i="2"/>
  <c r="J1077" i="2"/>
  <c r="J1917" i="2"/>
  <c r="P1165" i="2"/>
  <c r="H1163" i="2"/>
  <c r="J1163" i="2" s="1"/>
  <c r="I1163" i="2"/>
  <c r="J1100" i="2"/>
  <c r="J1940" i="2"/>
  <c r="H1478" i="2"/>
  <c r="J1478" i="2" s="1"/>
  <c r="P1480" i="2"/>
  <c r="I1478" i="2"/>
  <c r="J1329" i="2"/>
  <c r="Q1399" i="2"/>
  <c r="P1375" i="2"/>
  <c r="H1373" i="2"/>
  <c r="J1373" i="2" s="1"/>
  <c r="I1373" i="2"/>
  <c r="J1182" i="2"/>
  <c r="P1858" i="2"/>
  <c r="H1856" i="2"/>
  <c r="I1856" i="2"/>
  <c r="J2047" i="2"/>
  <c r="P1312" i="2"/>
  <c r="H1310" i="2"/>
  <c r="J1310" i="2" s="1"/>
  <c r="I1310" i="2"/>
  <c r="J447" i="2"/>
  <c r="P1125" i="2"/>
  <c r="H1123" i="2"/>
  <c r="I1123" i="2"/>
  <c r="H1709" i="2"/>
  <c r="P1711" i="2"/>
  <c r="I1709" i="2"/>
  <c r="J930" i="2"/>
  <c r="H1942" i="2"/>
  <c r="J1942" i="2" s="1"/>
  <c r="P1944" i="2"/>
  <c r="I1942" i="2"/>
  <c r="H533" i="2"/>
  <c r="P535" i="2"/>
  <c r="I533" i="2"/>
  <c r="J1140" i="2"/>
  <c r="J1812" i="2"/>
  <c r="P1333" i="2"/>
  <c r="H1331" i="2"/>
  <c r="J1331" i="2" s="1"/>
  <c r="I1331" i="2"/>
  <c r="AD1399" i="2"/>
  <c r="AH1399" i="2"/>
  <c r="J1371" i="2"/>
  <c r="H829" i="2"/>
  <c r="J829" i="2" s="1"/>
  <c r="P831" i="2"/>
  <c r="I829" i="2"/>
  <c r="H1793" i="2"/>
  <c r="J1793" i="2" s="1"/>
  <c r="P1795" i="2"/>
  <c r="I1793" i="2"/>
  <c r="J1308" i="2"/>
  <c r="J888" i="2"/>
  <c r="H1438" i="2"/>
  <c r="J1438" i="2" s="1"/>
  <c r="P1440" i="2"/>
  <c r="I1438" i="2"/>
  <c r="J783" i="2"/>
  <c r="P934" i="2"/>
  <c r="H932" i="2"/>
  <c r="J932" i="2" s="1"/>
  <c r="I932" i="2"/>
  <c r="H1457" i="2"/>
  <c r="P1459" i="2"/>
  <c r="I1457" i="2"/>
  <c r="P1356" i="2"/>
  <c r="H1354" i="2"/>
  <c r="I1354" i="2"/>
  <c r="P1144" i="2"/>
  <c r="H1142" i="2"/>
  <c r="J1142" i="2" s="1"/>
  <c r="I1142" i="2"/>
  <c r="H1814" i="2"/>
  <c r="J1814" i="2" s="1"/>
  <c r="P1816" i="2"/>
  <c r="I1814" i="2"/>
  <c r="Z1399" i="2"/>
  <c r="P766" i="2"/>
  <c r="H764" i="2"/>
  <c r="I764" i="2"/>
  <c r="AF1399" i="2"/>
  <c r="P430" i="2"/>
  <c r="H428" i="2"/>
  <c r="J428" i="2" s="1"/>
  <c r="I428" i="2"/>
  <c r="J1728" i="2"/>
  <c r="P1879" i="2"/>
  <c r="H1877" i="2"/>
  <c r="J1877" i="2" s="1"/>
  <c r="I1877" i="2"/>
  <c r="P913" i="2"/>
  <c r="H911" i="2"/>
  <c r="J911" i="2" s="1"/>
  <c r="I911" i="2"/>
  <c r="Q451" i="2"/>
  <c r="H449" i="2"/>
  <c r="J449" i="2" s="1"/>
  <c r="I449" i="2"/>
  <c r="J1291" i="2"/>
  <c r="P978" i="2"/>
  <c r="H976" i="2"/>
  <c r="J976" i="2" s="1"/>
  <c r="I976" i="2"/>
  <c r="P892" i="2"/>
  <c r="H890" i="2"/>
  <c r="J890" i="2" s="1"/>
  <c r="I890" i="2"/>
  <c r="P787" i="2"/>
  <c r="H785" i="2"/>
  <c r="J785" i="2" s="1"/>
  <c r="I785" i="2"/>
  <c r="M1390" i="2"/>
  <c r="H2026" i="2"/>
  <c r="P2028" i="2"/>
  <c r="I2026" i="2"/>
  <c r="J575" i="2"/>
  <c r="J993" i="2"/>
  <c r="P1543" i="2"/>
  <c r="H1541" i="2"/>
  <c r="I1541" i="2"/>
  <c r="H1730" i="2"/>
  <c r="J1730" i="2" s="1"/>
  <c r="P1732" i="2"/>
  <c r="I1730" i="2"/>
  <c r="X556" i="2"/>
  <c r="H554" i="2"/>
  <c r="J554" i="2" s="1"/>
  <c r="I554" i="2"/>
  <c r="J1875" i="2"/>
  <c r="H1293" i="2"/>
  <c r="J1293" i="2" s="1"/>
  <c r="I1293" i="2"/>
  <c r="J974" i="2"/>
  <c r="J405" i="2"/>
  <c r="R808" i="2"/>
  <c r="I806" i="2"/>
  <c r="H806" i="2"/>
  <c r="J806" i="2" s="1"/>
  <c r="P1900" i="2"/>
  <c r="H1898" i="2"/>
  <c r="I1898" i="2"/>
  <c r="P1648" i="2"/>
  <c r="H1646" i="2"/>
  <c r="J1646" i="2" s="1"/>
  <c r="I1646" i="2"/>
  <c r="J132" i="2"/>
  <c r="P579" i="2"/>
  <c r="H577" i="2"/>
  <c r="J577" i="2" s="1"/>
  <c r="I577" i="2"/>
  <c r="P1669" i="2"/>
  <c r="H1667" i="2"/>
  <c r="I1667" i="2"/>
  <c r="H1499" i="2"/>
  <c r="J1499" i="2" s="1"/>
  <c r="P1501" i="2"/>
  <c r="I1499" i="2"/>
  <c r="H659" i="2"/>
  <c r="J659" i="2" s="1"/>
  <c r="P661" i="2"/>
  <c r="I659" i="2"/>
  <c r="P1585" i="2"/>
  <c r="H1583" i="2"/>
  <c r="I1583" i="2"/>
  <c r="Q409" i="2"/>
  <c r="H407" i="2"/>
  <c r="J407" i="2" s="1"/>
  <c r="I407" i="2"/>
  <c r="P957" i="2"/>
  <c r="H955" i="2"/>
  <c r="J955" i="2" s="1"/>
  <c r="I955" i="2"/>
  <c r="Q726" i="2"/>
  <c r="I724" i="2"/>
  <c r="H724" i="2"/>
  <c r="J699" i="2"/>
  <c r="H2087" i="2"/>
  <c r="J2087" i="2" s="1"/>
  <c r="P2089" i="2"/>
  <c r="I2087" i="2"/>
  <c r="P136" i="2"/>
  <c r="H134" i="2"/>
  <c r="I134" i="2"/>
  <c r="J1522" i="2"/>
  <c r="J1770" i="2"/>
  <c r="J1497" i="2"/>
  <c r="H2066" i="2"/>
  <c r="J2066" i="2" s="1"/>
  <c r="P2068" i="2"/>
  <c r="I2066" i="2"/>
  <c r="J657" i="2"/>
  <c r="H743" i="2"/>
  <c r="J743" i="2" s="1"/>
  <c r="P745" i="2"/>
  <c r="I743" i="2"/>
  <c r="P703" i="2"/>
  <c r="H701" i="2"/>
  <c r="J701" i="2" s="1"/>
  <c r="I701" i="2"/>
  <c r="J2085" i="2"/>
  <c r="J1035" i="2"/>
  <c r="H1629" i="2"/>
  <c r="I1629" i="2"/>
  <c r="H1524" i="2"/>
  <c r="J1524" i="2" s="1"/>
  <c r="I1524" i="2"/>
  <c r="J1245" i="2"/>
  <c r="H1835" i="2"/>
  <c r="P1837" i="2"/>
  <c r="I1835" i="2"/>
  <c r="H871" i="2"/>
  <c r="J871" i="2" s="1"/>
  <c r="P873" i="2"/>
  <c r="I871" i="2"/>
  <c r="H1751" i="2"/>
  <c r="P1753" i="2"/>
  <c r="I1751" i="2"/>
  <c r="P1690" i="2"/>
  <c r="H1688" i="2"/>
  <c r="J1688" i="2" s="1"/>
  <c r="I1688" i="2"/>
  <c r="P1564" i="2"/>
  <c r="H1562" i="2"/>
  <c r="J1562" i="2" s="1"/>
  <c r="I1562" i="2"/>
  <c r="H680" i="2"/>
  <c r="J680" i="2" s="1"/>
  <c r="P682" i="2"/>
  <c r="I680" i="2"/>
  <c r="S1399" i="2"/>
  <c r="M1384" i="2"/>
  <c r="R1399" i="2"/>
  <c r="H1037" i="2"/>
  <c r="J1037" i="2" s="1"/>
  <c r="P1039" i="2"/>
  <c r="I1037" i="2"/>
  <c r="T1399" i="2"/>
  <c r="M23" i="2"/>
  <c r="O33" i="2"/>
  <c r="O32" i="2"/>
  <c r="O31" i="2"/>
  <c r="O30" i="2"/>
  <c r="O29" i="2"/>
  <c r="O28" i="2"/>
  <c r="O27" i="2"/>
  <c r="O26" i="2"/>
  <c r="O25" i="2"/>
  <c r="O24" i="2"/>
  <c r="O23" i="2"/>
  <c r="O22" i="2"/>
  <c r="P69" i="2" l="1"/>
  <c r="P342" i="2"/>
  <c r="H382" i="2"/>
  <c r="T512" i="2"/>
  <c r="T511" i="2" s="1"/>
  <c r="E23" i="14"/>
  <c r="E55" i="14" s="1"/>
  <c r="F55" i="14" s="1"/>
  <c r="E23" i="23"/>
  <c r="E153" i="14"/>
  <c r="E159" i="14" s="1"/>
  <c r="E153" i="23"/>
  <c r="E24" i="14"/>
  <c r="F24" i="14" s="1"/>
  <c r="E24" i="23"/>
  <c r="E26" i="14"/>
  <c r="E37" i="14" s="1"/>
  <c r="E26" i="23"/>
  <c r="E22" i="14"/>
  <c r="E33" i="14" s="1"/>
  <c r="F33" i="14" s="1"/>
  <c r="E22" i="23"/>
  <c r="E25" i="14"/>
  <c r="F25" i="14" s="1"/>
  <c r="E25" i="23"/>
  <c r="X29" i="27"/>
  <c r="Z28" i="27"/>
  <c r="AA28" i="27" s="1"/>
  <c r="AB28" i="27"/>
  <c r="AC28" i="27" s="1"/>
  <c r="Q612" i="2"/>
  <c r="P615" i="2" s="1"/>
  <c r="H613" i="2"/>
  <c r="J613" i="2" s="1"/>
  <c r="R615" i="2"/>
  <c r="R614" i="2" s="1"/>
  <c r="R593" i="2"/>
  <c r="Q596" i="2" s="1"/>
  <c r="Q595" i="2" s="1"/>
  <c r="H594" i="2"/>
  <c r="J594" i="2" s="1"/>
  <c r="P558" i="2"/>
  <c r="R512" i="2"/>
  <c r="H512" i="2" s="1"/>
  <c r="J512" i="2" s="1"/>
  <c r="P486" i="2"/>
  <c r="I487" i="2" s="1"/>
  <c r="H487" i="2"/>
  <c r="J487" i="2" s="1"/>
  <c r="P467" i="2"/>
  <c r="I466" i="2"/>
  <c r="S468" i="2"/>
  <c r="S467" i="2" s="1"/>
  <c r="Q468" i="2"/>
  <c r="P453" i="2"/>
  <c r="P411" i="2"/>
  <c r="P410" i="2" s="1"/>
  <c r="F23" i="14"/>
  <c r="X16" i="16"/>
  <c r="AB16" i="16" s="1"/>
  <c r="AC16" i="16" s="1"/>
  <c r="J382" i="2"/>
  <c r="Q381" i="2"/>
  <c r="S381" i="2"/>
  <c r="Q362" i="2"/>
  <c r="R362" i="2"/>
  <c r="P362" i="2"/>
  <c r="I363" i="2" s="1"/>
  <c r="H363" i="2"/>
  <c r="J363" i="2" s="1"/>
  <c r="Q341" i="2"/>
  <c r="P341" i="2"/>
  <c r="R342" i="2"/>
  <c r="H342" i="2" s="1"/>
  <c r="J342" i="2" s="1"/>
  <c r="I340" i="2"/>
  <c r="Q320" i="2"/>
  <c r="R320" i="2"/>
  <c r="R323" i="2" s="1"/>
  <c r="H321" i="2"/>
  <c r="J321" i="2" s="1"/>
  <c r="Q297" i="2"/>
  <c r="S297" i="2"/>
  <c r="H298" i="2"/>
  <c r="J298" i="2" s="1"/>
  <c r="R297" i="2"/>
  <c r="R300" i="2" s="1"/>
  <c r="T276" i="2"/>
  <c r="P276" i="2"/>
  <c r="R279" i="2" s="1"/>
  <c r="H277" i="2"/>
  <c r="J277" i="2" s="1"/>
  <c r="Q276" i="2"/>
  <c r="R276" i="2"/>
  <c r="P258" i="2"/>
  <c r="S258" i="2"/>
  <c r="I256" i="2"/>
  <c r="Q258" i="2"/>
  <c r="R258" i="2"/>
  <c r="Q234" i="2"/>
  <c r="I235" i="2" s="1"/>
  <c r="R237" i="2"/>
  <c r="R213" i="2"/>
  <c r="P213" i="2"/>
  <c r="S216" i="2" s="1"/>
  <c r="H214" i="2"/>
  <c r="J214" i="2" s="1"/>
  <c r="S213" i="2"/>
  <c r="Q192" i="2"/>
  <c r="I193" i="2" s="1"/>
  <c r="S192" i="2"/>
  <c r="H193" i="2"/>
  <c r="J193" i="2" s="1"/>
  <c r="P171" i="2"/>
  <c r="H172" i="2"/>
  <c r="J172" i="2" s="1"/>
  <c r="S171" i="2"/>
  <c r="S174" i="2" s="1"/>
  <c r="U171" i="2"/>
  <c r="R171" i="2"/>
  <c r="R150" i="2"/>
  <c r="S150" i="2"/>
  <c r="Q150" i="2"/>
  <c r="P150" i="2"/>
  <c r="H151" i="2"/>
  <c r="J151" i="2" s="1"/>
  <c r="J134" i="2"/>
  <c r="Q108" i="2"/>
  <c r="R111" i="2" s="1"/>
  <c r="R108" i="2"/>
  <c r="H109" i="2"/>
  <c r="J109" i="2" s="1"/>
  <c r="Q87" i="2"/>
  <c r="R87" i="2"/>
  <c r="S87" i="2"/>
  <c r="T87" i="2"/>
  <c r="H88" i="2"/>
  <c r="J88" i="2" s="1"/>
  <c r="U87" i="2"/>
  <c r="P68" i="2"/>
  <c r="R69" i="2"/>
  <c r="I67" i="2"/>
  <c r="Q69" i="2"/>
  <c r="Q45" i="2"/>
  <c r="R45" i="2"/>
  <c r="R48" i="2" s="1"/>
  <c r="H46" i="2"/>
  <c r="J46" i="2" s="1"/>
  <c r="T2008" i="2"/>
  <c r="Q2008" i="2"/>
  <c r="Y2008" i="2"/>
  <c r="S2008" i="2"/>
  <c r="AI2008" i="2"/>
  <c r="W2008" i="2"/>
  <c r="U2008" i="2"/>
  <c r="M1993" i="2"/>
  <c r="AD2008" i="2"/>
  <c r="AG2008" i="2"/>
  <c r="Z2008" i="2"/>
  <c r="AC2008" i="2"/>
  <c r="AF2008" i="2"/>
  <c r="AH2008" i="2"/>
  <c r="V2008" i="2"/>
  <c r="AB2008" i="2"/>
  <c r="AE2008" i="2"/>
  <c r="P2008" i="2"/>
  <c r="X2008" i="2"/>
  <c r="M2041" i="2"/>
  <c r="AA2008" i="2"/>
  <c r="M1999" i="2"/>
  <c r="M214" i="2"/>
  <c r="M1516" i="2"/>
  <c r="H1965" i="2"/>
  <c r="J1965" i="2" s="1"/>
  <c r="T1966" i="2" s="1"/>
  <c r="I1965" i="2"/>
  <c r="P684" i="2"/>
  <c r="H682" i="2"/>
  <c r="J682" i="2" s="1"/>
  <c r="I682" i="2"/>
  <c r="J1835" i="2"/>
  <c r="P2070" i="2"/>
  <c r="H2068" i="2"/>
  <c r="J2068" i="2" s="1"/>
  <c r="I2068" i="2"/>
  <c r="I726" i="2"/>
  <c r="H726" i="2"/>
  <c r="J726" i="2" s="1"/>
  <c r="H1459" i="2"/>
  <c r="J1459" i="2" s="1"/>
  <c r="P1461" i="2"/>
  <c r="I1459" i="2"/>
  <c r="H535" i="2"/>
  <c r="J535" i="2" s="1"/>
  <c r="P537" i="2"/>
  <c r="I535" i="2"/>
  <c r="H1165" i="2"/>
  <c r="J1165" i="2" s="1"/>
  <c r="P1167" i="2"/>
  <c r="I1165" i="2"/>
  <c r="P1020" i="2"/>
  <c r="H1018" i="2"/>
  <c r="I1018" i="2"/>
  <c r="P1902" i="2"/>
  <c r="H1900" i="2"/>
  <c r="J1900" i="2" s="1"/>
  <c r="I1900" i="2"/>
  <c r="P1818" i="2"/>
  <c r="H1816" i="2"/>
  <c r="J1816" i="2" s="1"/>
  <c r="I1816" i="2"/>
  <c r="P705" i="2"/>
  <c r="H703" i="2"/>
  <c r="J703" i="2" s="1"/>
  <c r="I703" i="2"/>
  <c r="P1503" i="2"/>
  <c r="H1501" i="2"/>
  <c r="I1501" i="2"/>
  <c r="P915" i="2"/>
  <c r="H913" i="2"/>
  <c r="I913" i="2"/>
  <c r="P1146" i="2"/>
  <c r="H1144" i="2"/>
  <c r="J1144" i="2" s="1"/>
  <c r="I1144" i="2"/>
  <c r="J1457" i="2"/>
  <c r="J533" i="2"/>
  <c r="W2050" i="2"/>
  <c r="AI2050" i="2"/>
  <c r="S2050" i="2"/>
  <c r="T2050" i="2"/>
  <c r="AH2050" i="2"/>
  <c r="AE2050" i="2"/>
  <c r="AG2050" i="2"/>
  <c r="Y2050" i="2"/>
  <c r="AF2050" i="2"/>
  <c r="P2050" i="2"/>
  <c r="Q2050" i="2"/>
  <c r="AB2050" i="2"/>
  <c r="V2050" i="2"/>
  <c r="X2050" i="2"/>
  <c r="R2050" i="2"/>
  <c r="AA2050" i="2"/>
  <c r="M2035" i="2"/>
  <c r="AC2050" i="2"/>
  <c r="AD2050" i="2"/>
  <c r="Z2050" i="2"/>
  <c r="U2050" i="2"/>
  <c r="P1923" i="2"/>
  <c r="H1921" i="2"/>
  <c r="I1921" i="2"/>
  <c r="H1608" i="2"/>
  <c r="I1608" i="2"/>
  <c r="P1839" i="2"/>
  <c r="H1837" i="2"/>
  <c r="J1837" i="2" s="1"/>
  <c r="I1837" i="2"/>
  <c r="H892" i="2"/>
  <c r="J892" i="2" s="1"/>
  <c r="P894" i="2"/>
  <c r="I892" i="2"/>
  <c r="H1774" i="2"/>
  <c r="J1774" i="2" s="1"/>
  <c r="P1776" i="2"/>
  <c r="I1774" i="2"/>
  <c r="Q411" i="2"/>
  <c r="I409" i="2"/>
  <c r="H409" i="2"/>
  <c r="P1377" i="2"/>
  <c r="H1375" i="2"/>
  <c r="I1375" i="2"/>
  <c r="P1272" i="2"/>
  <c r="H1270" i="2"/>
  <c r="I1270" i="2"/>
  <c r="J2026" i="2"/>
  <c r="P663" i="2"/>
  <c r="H661" i="2"/>
  <c r="I661" i="2"/>
  <c r="H999" i="2"/>
  <c r="I999" i="2"/>
  <c r="H579" i="2"/>
  <c r="J579" i="2" s="1"/>
  <c r="Y580" i="2" s="1"/>
  <c r="I579" i="2"/>
  <c r="H850" i="2"/>
  <c r="J850" i="2" s="1"/>
  <c r="P852" i="2"/>
  <c r="I850" i="2"/>
  <c r="H957" i="2"/>
  <c r="J957" i="2" s="1"/>
  <c r="AD958" i="2" s="1"/>
  <c r="I957" i="2"/>
  <c r="H1944" i="2"/>
  <c r="J1944" i="2" s="1"/>
  <c r="W1945" i="2" s="1"/>
  <c r="I1944" i="2"/>
  <c r="P1314" i="2"/>
  <c r="H1312" i="2"/>
  <c r="I1312" i="2"/>
  <c r="P1083" i="2"/>
  <c r="H1081" i="2"/>
  <c r="I1081" i="2"/>
  <c r="Q1419" i="2"/>
  <c r="H1417" i="2"/>
  <c r="I1417" i="2"/>
  <c r="P1230" i="2"/>
  <c r="H1228" i="2"/>
  <c r="J1228" i="2" s="1"/>
  <c r="I1228" i="2"/>
  <c r="P1062" i="2"/>
  <c r="H1060" i="2"/>
  <c r="I1060" i="2"/>
  <c r="P1566" i="2"/>
  <c r="H1564" i="2"/>
  <c r="J1564" i="2" s="1"/>
  <c r="I1564" i="2"/>
  <c r="H136" i="2"/>
  <c r="J136" i="2" s="1"/>
  <c r="P138" i="2"/>
  <c r="I136" i="2"/>
  <c r="J1583" i="2"/>
  <c r="H1648" i="2"/>
  <c r="P1650" i="2"/>
  <c r="I1648" i="2"/>
  <c r="X558" i="2"/>
  <c r="I556" i="2"/>
  <c r="H556" i="2"/>
  <c r="H978" i="2"/>
  <c r="I978" i="2"/>
  <c r="P1881" i="2"/>
  <c r="H1879" i="2"/>
  <c r="I1879" i="2"/>
  <c r="J1354" i="2"/>
  <c r="H1711" i="2"/>
  <c r="J1711" i="2" s="1"/>
  <c r="P1713" i="2"/>
  <c r="I1711" i="2"/>
  <c r="H1104" i="2"/>
  <c r="I1104" i="2"/>
  <c r="H1690" i="2"/>
  <c r="P1692" i="2"/>
  <c r="I1690" i="2"/>
  <c r="P1482" i="2"/>
  <c r="H1480" i="2"/>
  <c r="J1480" i="2" s="1"/>
  <c r="I1480" i="2"/>
  <c r="J1226" i="2"/>
  <c r="P747" i="2"/>
  <c r="H745" i="2"/>
  <c r="I745" i="2"/>
  <c r="P1587" i="2"/>
  <c r="H1585" i="2"/>
  <c r="J1585" i="2" s="1"/>
  <c r="I1585" i="2"/>
  <c r="J1667" i="2"/>
  <c r="M1285" i="2"/>
  <c r="H1356" i="2"/>
  <c r="J1356" i="2" s="1"/>
  <c r="I1356" i="2"/>
  <c r="J1709" i="2"/>
  <c r="H1984" i="2"/>
  <c r="P1986" i="2"/>
  <c r="I1984" i="2"/>
  <c r="H1333" i="2"/>
  <c r="J1333" i="2" s="1"/>
  <c r="P1335" i="2"/>
  <c r="I1333" i="2"/>
  <c r="J1629" i="2"/>
  <c r="M1621" i="2"/>
  <c r="P1041" i="2"/>
  <c r="H1039" i="2"/>
  <c r="J1039" i="2" s="1"/>
  <c r="I1039" i="2"/>
  <c r="P2091" i="2"/>
  <c r="H2089" i="2"/>
  <c r="I2089" i="2"/>
  <c r="H1669" i="2"/>
  <c r="J1669" i="2" s="1"/>
  <c r="P1671" i="2"/>
  <c r="I1669" i="2"/>
  <c r="R810" i="2"/>
  <c r="H808" i="2"/>
  <c r="I808" i="2"/>
  <c r="P1734" i="2"/>
  <c r="H1732" i="2"/>
  <c r="J1732" i="2" s="1"/>
  <c r="I1732" i="2"/>
  <c r="AF1294" i="2"/>
  <c r="S1294" i="2"/>
  <c r="Z1294" i="2"/>
  <c r="T1294" i="2"/>
  <c r="AE1294" i="2"/>
  <c r="R1294" i="2"/>
  <c r="AA1294" i="2"/>
  <c r="Y1294" i="2"/>
  <c r="U1294" i="2"/>
  <c r="P1294" i="2"/>
  <c r="V1294" i="2"/>
  <c r="AD1294" i="2"/>
  <c r="AC1294" i="2"/>
  <c r="X1294" i="2"/>
  <c r="AB1294" i="2"/>
  <c r="AH1294" i="2"/>
  <c r="M1279" i="2"/>
  <c r="AI1294" i="2"/>
  <c r="W1294" i="2"/>
  <c r="AG1294" i="2"/>
  <c r="Q1294" i="2"/>
  <c r="J764" i="2"/>
  <c r="P1797" i="2"/>
  <c r="H1795" i="2"/>
  <c r="J1795" i="2" s="1"/>
  <c r="I1795" i="2"/>
  <c r="J1541" i="2"/>
  <c r="P642" i="2"/>
  <c r="H640" i="2"/>
  <c r="J640" i="2" s="1"/>
  <c r="I640" i="2"/>
  <c r="X1525" i="2"/>
  <c r="AH1525" i="2"/>
  <c r="AD1525" i="2"/>
  <c r="AF1525" i="2"/>
  <c r="P1525" i="2"/>
  <c r="AI1525" i="2"/>
  <c r="Z1525" i="2"/>
  <c r="R1525" i="2"/>
  <c r="AG1525" i="2"/>
  <c r="S1525" i="2"/>
  <c r="W1525" i="2"/>
  <c r="Y1525" i="2"/>
  <c r="V1525" i="2"/>
  <c r="U1525" i="2"/>
  <c r="AB1525" i="2"/>
  <c r="AA1525" i="2"/>
  <c r="M1510" i="2"/>
  <c r="T1525" i="2"/>
  <c r="Q1525" i="2"/>
  <c r="AC1525" i="2"/>
  <c r="AE1525" i="2"/>
  <c r="P1755" i="2"/>
  <c r="H1753" i="2"/>
  <c r="J1753" i="2" s="1"/>
  <c r="I1753" i="2"/>
  <c r="P768" i="2"/>
  <c r="H766" i="2"/>
  <c r="J766" i="2" s="1"/>
  <c r="I766" i="2"/>
  <c r="H831" i="2"/>
  <c r="I831" i="2"/>
  <c r="J1123" i="2"/>
  <c r="J1856" i="2"/>
  <c r="H1207" i="2"/>
  <c r="P1209" i="2"/>
  <c r="I1207" i="2"/>
  <c r="P1251" i="2"/>
  <c r="H1249" i="2"/>
  <c r="I1249" i="2"/>
  <c r="P2112" i="2"/>
  <c r="H2110" i="2"/>
  <c r="J2110" i="2" s="1"/>
  <c r="I2110" i="2"/>
  <c r="J724" i="2"/>
  <c r="P1545" i="2"/>
  <c r="H1543" i="2"/>
  <c r="I1543" i="2"/>
  <c r="Q453" i="2"/>
  <c r="H451" i="2"/>
  <c r="I451" i="2"/>
  <c r="H1186" i="2"/>
  <c r="P1188" i="2"/>
  <c r="I1186" i="2"/>
  <c r="J1751" i="2"/>
  <c r="H873" i="2"/>
  <c r="I873" i="2"/>
  <c r="J1898" i="2"/>
  <c r="H2028" i="2"/>
  <c r="J2028" i="2" s="1"/>
  <c r="I2028" i="2"/>
  <c r="P789" i="2"/>
  <c r="H787" i="2"/>
  <c r="J787" i="2" s="1"/>
  <c r="I787" i="2"/>
  <c r="H430" i="2"/>
  <c r="P432" i="2"/>
  <c r="I430" i="2"/>
  <c r="P936" i="2"/>
  <c r="H934" i="2"/>
  <c r="J934" i="2" s="1"/>
  <c r="I934" i="2"/>
  <c r="H1440" i="2"/>
  <c r="I1440" i="2"/>
  <c r="H1125" i="2"/>
  <c r="J1125" i="2" s="1"/>
  <c r="I1125" i="2"/>
  <c r="P1860" i="2"/>
  <c r="H1858" i="2"/>
  <c r="J1858" i="2" s="1"/>
  <c r="I1858" i="2"/>
  <c r="J2108" i="2"/>
  <c r="E3" i="10"/>
  <c r="E34" i="14" l="1"/>
  <c r="F34" i="14" s="1"/>
  <c r="F22" i="14"/>
  <c r="E54" i="14"/>
  <c r="F54" i="14" s="1"/>
  <c r="E36" i="14"/>
  <c r="F36" i="14" s="1"/>
  <c r="U174" i="2"/>
  <c r="P323" i="2"/>
  <c r="I613" i="2"/>
  <c r="I151" i="2"/>
  <c r="P174" i="2"/>
  <c r="R195" i="2"/>
  <c r="P216" i="2"/>
  <c r="I109" i="2"/>
  <c r="P384" i="2"/>
  <c r="S300" i="2"/>
  <c r="F153" i="14"/>
  <c r="E154" i="14" s="1"/>
  <c r="F154" i="14" s="1"/>
  <c r="F155" i="14" s="1"/>
  <c r="G156" i="14" s="1"/>
  <c r="R596" i="2"/>
  <c r="R595" i="2" s="1"/>
  <c r="S195" i="2"/>
  <c r="P279" i="2"/>
  <c r="I321" i="2"/>
  <c r="E165" i="14"/>
  <c r="F165" i="14" s="1"/>
  <c r="E166" i="14" s="1"/>
  <c r="F166" i="14" s="1"/>
  <c r="E167" i="14" s="1"/>
  <c r="F167" i="14" s="1"/>
  <c r="G168" i="14" s="1"/>
  <c r="P596" i="2"/>
  <c r="H596" i="2" s="1"/>
  <c r="J596" i="2" s="1"/>
  <c r="F26" i="14"/>
  <c r="E35" i="23"/>
  <c r="F24" i="23"/>
  <c r="E35" i="14"/>
  <c r="E36" i="23"/>
  <c r="F25" i="23"/>
  <c r="E159" i="23"/>
  <c r="F159" i="23" s="1"/>
  <c r="F160" i="23" s="1"/>
  <c r="E161" i="23" s="1"/>
  <c r="F161" i="23" s="1"/>
  <c r="G162" i="23" s="1"/>
  <c r="F153" i="23"/>
  <c r="E154" i="23" s="1"/>
  <c r="F154" i="23" s="1"/>
  <c r="F155" i="23" s="1"/>
  <c r="G156" i="23" s="1"/>
  <c r="E165" i="23"/>
  <c r="F165" i="23" s="1"/>
  <c r="E166" i="23" s="1"/>
  <c r="F166" i="23" s="1"/>
  <c r="E167" i="23" s="1"/>
  <c r="F167" i="23" s="1"/>
  <c r="G168" i="23" s="1"/>
  <c r="E37" i="23"/>
  <c r="F26" i="23"/>
  <c r="E33" i="23"/>
  <c r="F33" i="23" s="1"/>
  <c r="F22" i="23"/>
  <c r="E54" i="23"/>
  <c r="F54" i="23" s="1"/>
  <c r="E34" i="23"/>
  <c r="F34" i="23" s="1"/>
  <c r="F23" i="23"/>
  <c r="E55" i="23"/>
  <c r="F55" i="23" s="1"/>
  <c r="X30" i="27"/>
  <c r="AB29" i="27"/>
  <c r="AC29" i="27" s="1"/>
  <c r="Z29" i="27"/>
  <c r="AA29" i="27" s="1"/>
  <c r="P614" i="2"/>
  <c r="Q615" i="2"/>
  <c r="I594" i="2"/>
  <c r="P595" i="2"/>
  <c r="M570" i="2"/>
  <c r="M567" i="2" s="1"/>
  <c r="M561" i="2" s="1"/>
  <c r="R511" i="2"/>
  <c r="M507" i="2"/>
  <c r="M504" i="2" s="1"/>
  <c r="M498" i="2" s="1"/>
  <c r="P489" i="2"/>
  <c r="R489" i="2"/>
  <c r="R488" i="2" s="1"/>
  <c r="Q489" i="2"/>
  <c r="Q488" i="2" s="1"/>
  <c r="Q467" i="2"/>
  <c r="R470" i="2" s="1"/>
  <c r="R469" i="2" s="1"/>
  <c r="H468" i="2"/>
  <c r="J468" i="2" s="1"/>
  <c r="I468" i="2"/>
  <c r="F159" i="14"/>
  <c r="F160" i="14" s="1"/>
  <c r="E161" i="14" s="1"/>
  <c r="F161" i="14" s="1"/>
  <c r="G162" i="14" s="1"/>
  <c r="F37" i="14"/>
  <c r="E48" i="14"/>
  <c r="F48" i="14" s="1"/>
  <c r="E56" i="14"/>
  <c r="F56" i="14" s="1"/>
  <c r="G57" i="14" s="1"/>
  <c r="E46" i="14"/>
  <c r="F46" i="14" s="1"/>
  <c r="F35" i="14"/>
  <c r="X17" i="16"/>
  <c r="AB17" i="16" s="1"/>
  <c r="AC17" i="16" s="1"/>
  <c r="P383" i="2"/>
  <c r="S384" i="2"/>
  <c r="Q384" i="2"/>
  <c r="I382" i="2"/>
  <c r="R384" i="2"/>
  <c r="P365" i="2"/>
  <c r="R365" i="2"/>
  <c r="Q365" i="2"/>
  <c r="R341" i="2"/>
  <c r="P344" i="2" s="1"/>
  <c r="Q344" i="2"/>
  <c r="R322" i="2"/>
  <c r="P322" i="2"/>
  <c r="Q323" i="2"/>
  <c r="R299" i="2"/>
  <c r="S299" i="2"/>
  <c r="I298" i="2"/>
  <c r="P300" i="2"/>
  <c r="Q300" i="2"/>
  <c r="P278" i="2"/>
  <c r="R278" i="2"/>
  <c r="Q279" i="2"/>
  <c r="I277" i="2"/>
  <c r="S279" i="2"/>
  <c r="T279" i="2"/>
  <c r="R257" i="2"/>
  <c r="Q257" i="2"/>
  <c r="S257" i="2"/>
  <c r="P257" i="2"/>
  <c r="H258" i="2"/>
  <c r="J258" i="2" s="1"/>
  <c r="R236" i="2"/>
  <c r="P237" i="2"/>
  <c r="S237" i="2"/>
  <c r="Q237" i="2"/>
  <c r="P215" i="2"/>
  <c r="I214" i="2"/>
  <c r="Q216" i="2"/>
  <c r="S215" i="2"/>
  <c r="R216" i="2"/>
  <c r="S194" i="2"/>
  <c r="R194" i="2"/>
  <c r="P195" i="2"/>
  <c r="Q195" i="2"/>
  <c r="U173" i="2"/>
  <c r="S173" i="2"/>
  <c r="P173" i="2"/>
  <c r="R174" i="2"/>
  <c r="I172" i="2"/>
  <c r="Q174" i="2"/>
  <c r="H174" i="2" s="1"/>
  <c r="J174" i="2" s="1"/>
  <c r="T174" i="2"/>
  <c r="P153" i="2"/>
  <c r="Q153" i="2"/>
  <c r="S153" i="2"/>
  <c r="R153" i="2"/>
  <c r="R110" i="2"/>
  <c r="P111" i="2"/>
  <c r="Q111" i="2"/>
  <c r="U90" i="2"/>
  <c r="U89" i="2" s="1"/>
  <c r="S90" i="2"/>
  <c r="S89" i="2" s="1"/>
  <c r="R90" i="2"/>
  <c r="R89" i="2" s="1"/>
  <c r="T90" i="2"/>
  <c r="I88" i="2"/>
  <c r="P90" i="2"/>
  <c r="Q90" i="2"/>
  <c r="Q68" i="2"/>
  <c r="I69" i="2" s="1"/>
  <c r="R68" i="2"/>
  <c r="H69" i="2"/>
  <c r="J69" i="2" s="1"/>
  <c r="R47" i="2"/>
  <c r="P48" i="2"/>
  <c r="Q48" i="2"/>
  <c r="I46" i="2"/>
  <c r="M45" i="2"/>
  <c r="M42" i="2" s="1"/>
  <c r="M36" i="2" s="1"/>
  <c r="Q958" i="2"/>
  <c r="M949" i="2"/>
  <c r="X580" i="2"/>
  <c r="AC1966" i="2"/>
  <c r="T958" i="2"/>
  <c r="R958" i="2"/>
  <c r="Y1966" i="2"/>
  <c r="V1966" i="2"/>
  <c r="U1966" i="2"/>
  <c r="Z1966" i="2"/>
  <c r="AI1966" i="2"/>
  <c r="M508" i="2"/>
  <c r="Q1945" i="2"/>
  <c r="M1957" i="2"/>
  <c r="M718" i="2"/>
  <c r="R1966" i="2"/>
  <c r="Q1966" i="2"/>
  <c r="S1966" i="2"/>
  <c r="AD1966" i="2"/>
  <c r="V580" i="2"/>
  <c r="AE1966" i="2"/>
  <c r="W580" i="2"/>
  <c r="M565" i="2"/>
  <c r="AB580" i="2"/>
  <c r="T1945" i="2"/>
  <c r="X1945" i="2"/>
  <c r="M1936" i="2"/>
  <c r="M1117" i="2"/>
  <c r="AE580" i="2"/>
  <c r="T580" i="2"/>
  <c r="AH1945" i="2"/>
  <c r="AF1966" i="2"/>
  <c r="AG580" i="2"/>
  <c r="AF580" i="2"/>
  <c r="AD580" i="2"/>
  <c r="V1945" i="2"/>
  <c r="AF1945" i="2"/>
  <c r="AD1945" i="2"/>
  <c r="AA1966" i="2"/>
  <c r="AH580" i="2"/>
  <c r="S580" i="2"/>
  <c r="AH1966" i="2"/>
  <c r="AC1945" i="2"/>
  <c r="P1966" i="2"/>
  <c r="P580" i="2"/>
  <c r="AA1945" i="2"/>
  <c r="AC580" i="2"/>
  <c r="Z580" i="2"/>
  <c r="AG1966" i="2"/>
  <c r="S1945" i="2"/>
  <c r="M1951" i="2"/>
  <c r="U580" i="2"/>
  <c r="Y1945" i="2"/>
  <c r="M1930" i="2"/>
  <c r="AA580" i="2"/>
  <c r="Q580" i="2"/>
  <c r="R580" i="2"/>
  <c r="AI580" i="2"/>
  <c r="AE1945" i="2"/>
  <c r="M571" i="2"/>
  <c r="M2020" i="2"/>
  <c r="H1881" i="2"/>
  <c r="J1881" i="2" s="1"/>
  <c r="I1881" i="2"/>
  <c r="H1692" i="2"/>
  <c r="J1692" i="2" s="1"/>
  <c r="I1692" i="2"/>
  <c r="J978" i="2"/>
  <c r="M970" i="2"/>
  <c r="H1566" i="2"/>
  <c r="J1566" i="2" s="1"/>
  <c r="W1567" i="2" s="1"/>
  <c r="I1566" i="2"/>
  <c r="H1377" i="2"/>
  <c r="J1377" i="2" s="1"/>
  <c r="I1377" i="2"/>
  <c r="J2089" i="2"/>
  <c r="J1186" i="2"/>
  <c r="J1690" i="2"/>
  <c r="H852" i="2"/>
  <c r="J852" i="2" s="1"/>
  <c r="AG853" i="2" s="1"/>
  <c r="I852" i="2"/>
  <c r="H768" i="2"/>
  <c r="J768" i="2" s="1"/>
  <c r="AF769" i="2" s="1"/>
  <c r="I768" i="2"/>
  <c r="H747" i="2"/>
  <c r="J747" i="2" s="1"/>
  <c r="I747" i="2"/>
  <c r="H432" i="2"/>
  <c r="J432" i="2" s="1"/>
  <c r="I432" i="2"/>
  <c r="AI1126" i="2"/>
  <c r="V1126" i="2"/>
  <c r="AH1126" i="2"/>
  <c r="AA1126" i="2"/>
  <c r="X1126" i="2"/>
  <c r="AC1126" i="2"/>
  <c r="Z1126" i="2"/>
  <c r="AB1126" i="2"/>
  <c r="R1126" i="2"/>
  <c r="M1111" i="2"/>
  <c r="P1126" i="2"/>
  <c r="AE1126" i="2"/>
  <c r="AD1126" i="2"/>
  <c r="AG1126" i="2"/>
  <c r="AF1126" i="2"/>
  <c r="Y1126" i="2"/>
  <c r="U1126" i="2"/>
  <c r="T1126" i="2"/>
  <c r="Q1126" i="2"/>
  <c r="S1126" i="2"/>
  <c r="W1126" i="2"/>
  <c r="H1041" i="2"/>
  <c r="I1041" i="2"/>
  <c r="H1482" i="2"/>
  <c r="J1482" i="2" s="1"/>
  <c r="U1483" i="2" s="1"/>
  <c r="I1482" i="2"/>
  <c r="J1312" i="2"/>
  <c r="J1104" i="2"/>
  <c r="M1096" i="2"/>
  <c r="AD1630" i="2"/>
  <c r="AI1630" i="2"/>
  <c r="AF1630" i="2"/>
  <c r="U1630" i="2"/>
  <c r="X1630" i="2"/>
  <c r="P1630" i="2"/>
  <c r="Q1630" i="2"/>
  <c r="AE1630" i="2"/>
  <c r="AG1630" i="2"/>
  <c r="AA1630" i="2"/>
  <c r="T1630" i="2"/>
  <c r="AC1630" i="2"/>
  <c r="Y1630" i="2"/>
  <c r="M1615" i="2"/>
  <c r="W1630" i="2"/>
  <c r="V1630" i="2"/>
  <c r="S1630" i="2"/>
  <c r="AH1630" i="2"/>
  <c r="R1630" i="2"/>
  <c r="Z1630" i="2"/>
  <c r="AB1630" i="2"/>
  <c r="H558" i="2"/>
  <c r="J558" i="2" s="1"/>
  <c r="I558" i="2"/>
  <c r="H138" i="2"/>
  <c r="I138" i="2"/>
  <c r="H1314" i="2"/>
  <c r="J1314" i="2" s="1"/>
  <c r="I1314" i="2"/>
  <c r="H1188" i="2"/>
  <c r="J1188" i="2" s="1"/>
  <c r="I1188" i="2"/>
  <c r="M319" i="2"/>
  <c r="J1249" i="2"/>
  <c r="H2091" i="2"/>
  <c r="J2091" i="2" s="1"/>
  <c r="I2091" i="2"/>
  <c r="H1860" i="2"/>
  <c r="J1860" i="2" s="1"/>
  <c r="AC1861" i="2" s="1"/>
  <c r="I1860" i="2"/>
  <c r="H453" i="2"/>
  <c r="J453" i="2" s="1"/>
  <c r="I453" i="2"/>
  <c r="H789" i="2"/>
  <c r="I789" i="2"/>
  <c r="J1543" i="2"/>
  <c r="J999" i="2"/>
  <c r="M991" i="2"/>
  <c r="H642" i="2"/>
  <c r="J642" i="2" s="1"/>
  <c r="AE643" i="2" s="1"/>
  <c r="I642" i="2"/>
  <c r="M46" i="2"/>
  <c r="H1251" i="2"/>
  <c r="J1251" i="2" s="1"/>
  <c r="I1251" i="2"/>
  <c r="J430" i="2"/>
  <c r="J451" i="2"/>
  <c r="H1797" i="2"/>
  <c r="I1797" i="2"/>
  <c r="J873" i="2"/>
  <c r="M865" i="2"/>
  <c r="H1545" i="2"/>
  <c r="J1545" i="2" s="1"/>
  <c r="I1545" i="2"/>
  <c r="J831" i="2"/>
  <c r="M823" i="2"/>
  <c r="H1671" i="2"/>
  <c r="J1671" i="2" s="1"/>
  <c r="AI1672" i="2" s="1"/>
  <c r="I1671" i="2"/>
  <c r="J661" i="2"/>
  <c r="U1357" i="2"/>
  <c r="W1357" i="2"/>
  <c r="V1357" i="2"/>
  <c r="AI1357" i="2"/>
  <c r="AA1357" i="2"/>
  <c r="M1342" i="2"/>
  <c r="X1357" i="2"/>
  <c r="AD1357" i="2"/>
  <c r="Y1357" i="2"/>
  <c r="AE1357" i="2"/>
  <c r="Z1357" i="2"/>
  <c r="AF1357" i="2"/>
  <c r="T1357" i="2"/>
  <c r="P1357" i="2"/>
  <c r="AG1357" i="2"/>
  <c r="R1357" i="2"/>
  <c r="AB1357" i="2"/>
  <c r="AH1357" i="2"/>
  <c r="S1357" i="2"/>
  <c r="Q1357" i="2"/>
  <c r="AC1357" i="2"/>
  <c r="J1440" i="2"/>
  <c r="M1432" i="2"/>
  <c r="M760" i="2"/>
  <c r="W727" i="2"/>
  <c r="AB727" i="2"/>
  <c r="U727" i="2"/>
  <c r="Y727" i="2"/>
  <c r="T727" i="2"/>
  <c r="P727" i="2"/>
  <c r="V727" i="2"/>
  <c r="AG727" i="2"/>
  <c r="R727" i="2"/>
  <c r="M712" i="2"/>
  <c r="Z727" i="2"/>
  <c r="X727" i="2"/>
  <c r="AF727" i="2"/>
  <c r="AD727" i="2"/>
  <c r="AH727" i="2"/>
  <c r="Q727" i="2"/>
  <c r="AA727" i="2"/>
  <c r="AC727" i="2"/>
  <c r="AE727" i="2"/>
  <c r="S727" i="2"/>
  <c r="AI727" i="2"/>
  <c r="H2112" i="2"/>
  <c r="J2112" i="2" s="1"/>
  <c r="Q2113" i="2" s="1"/>
  <c r="I2112" i="2"/>
  <c r="V769" i="2"/>
  <c r="J1879" i="2"/>
  <c r="AA958" i="2"/>
  <c r="M943" i="2"/>
  <c r="AG958" i="2"/>
  <c r="AC958" i="2"/>
  <c r="P958" i="2"/>
  <c r="AB958" i="2"/>
  <c r="AI958" i="2"/>
  <c r="Y958" i="2"/>
  <c r="AH958" i="2"/>
  <c r="AF958" i="2"/>
  <c r="W958" i="2"/>
  <c r="U958" i="2"/>
  <c r="V958" i="2"/>
  <c r="Z958" i="2"/>
  <c r="S958" i="2"/>
  <c r="X958" i="2"/>
  <c r="AE958" i="2"/>
  <c r="H1923" i="2"/>
  <c r="J1923" i="2" s="1"/>
  <c r="I1923" i="2"/>
  <c r="H1839" i="2"/>
  <c r="J1839" i="2" s="1"/>
  <c r="AE1840" i="2" s="1"/>
  <c r="I1839" i="2"/>
  <c r="H936" i="2"/>
  <c r="I936" i="2"/>
  <c r="J1207" i="2"/>
  <c r="H810" i="2"/>
  <c r="J810" i="2" s="1"/>
  <c r="I810" i="2"/>
  <c r="J1984" i="2"/>
  <c r="P1945" i="2"/>
  <c r="R1945" i="2"/>
  <c r="J556" i="2"/>
  <c r="H1272" i="2"/>
  <c r="J1272" i="2" s="1"/>
  <c r="I1272" i="2"/>
  <c r="J1018" i="2"/>
  <c r="J1060" i="2"/>
  <c r="J1417" i="2"/>
  <c r="R2029" i="2"/>
  <c r="AB2029" i="2"/>
  <c r="AA2029" i="2"/>
  <c r="AI2029" i="2"/>
  <c r="AH2029" i="2"/>
  <c r="AC2029" i="2"/>
  <c r="AD2029" i="2"/>
  <c r="Q2029" i="2"/>
  <c r="X2029" i="2"/>
  <c r="V2029" i="2"/>
  <c r="U2029" i="2"/>
  <c r="S2029" i="2"/>
  <c r="AE2029" i="2"/>
  <c r="P2029" i="2"/>
  <c r="Y2029" i="2"/>
  <c r="M2014" i="2"/>
  <c r="AF2029" i="2"/>
  <c r="T2029" i="2"/>
  <c r="W2029" i="2"/>
  <c r="Z2029" i="2"/>
  <c r="AG2029" i="2"/>
  <c r="H411" i="2"/>
  <c r="J411" i="2" s="1"/>
  <c r="I411" i="2"/>
  <c r="U1945" i="2"/>
  <c r="AI1945" i="2"/>
  <c r="H1650" i="2"/>
  <c r="J1650" i="2" s="1"/>
  <c r="I1650" i="2"/>
  <c r="H1062" i="2"/>
  <c r="J1062" i="2" s="1"/>
  <c r="I1062" i="2"/>
  <c r="H1419" i="2"/>
  <c r="J1419" i="2" s="1"/>
  <c r="I1419" i="2"/>
  <c r="J1501" i="2"/>
  <c r="H2070" i="2"/>
  <c r="I2070" i="2"/>
  <c r="H1209" i="2"/>
  <c r="J1209" i="2" s="1"/>
  <c r="I1209" i="2"/>
  <c r="H1755" i="2"/>
  <c r="I1755" i="2"/>
  <c r="J808" i="2"/>
  <c r="H1335" i="2"/>
  <c r="I1335" i="2"/>
  <c r="H1986" i="2"/>
  <c r="J1986" i="2" s="1"/>
  <c r="I1986" i="2"/>
  <c r="AB1945" i="2"/>
  <c r="AG1945" i="2"/>
  <c r="H1713" i="2"/>
  <c r="I1713" i="2"/>
  <c r="J1648" i="2"/>
  <c r="J1270" i="2"/>
  <c r="J1608" i="2"/>
  <c r="M1600" i="2"/>
  <c r="H1503" i="2"/>
  <c r="J1503" i="2" s="1"/>
  <c r="I1503" i="2"/>
  <c r="H1167" i="2"/>
  <c r="I1167" i="2"/>
  <c r="Z1945" i="2"/>
  <c r="M1348" i="2"/>
  <c r="H1230" i="2"/>
  <c r="I1230" i="2"/>
  <c r="H1020" i="2"/>
  <c r="J1020" i="2" s="1"/>
  <c r="I1020" i="2"/>
  <c r="H1461" i="2"/>
  <c r="J1461" i="2" s="1"/>
  <c r="R1462" i="2" s="1"/>
  <c r="I1461" i="2"/>
  <c r="H1818" i="2"/>
  <c r="J1818" i="2" s="1"/>
  <c r="AI1819" i="2" s="1"/>
  <c r="I1818" i="2"/>
  <c r="H1776" i="2"/>
  <c r="J1776" i="2" s="1"/>
  <c r="AC1777" i="2" s="1"/>
  <c r="I1776" i="2"/>
  <c r="J1921" i="2"/>
  <c r="H1146" i="2"/>
  <c r="J1146" i="2" s="1"/>
  <c r="U1147" i="2" s="1"/>
  <c r="I1146" i="2"/>
  <c r="H684" i="2"/>
  <c r="J684" i="2" s="1"/>
  <c r="U685" i="2" s="1"/>
  <c r="I684" i="2"/>
  <c r="J1081" i="2"/>
  <c r="H663" i="2"/>
  <c r="J663" i="2" s="1"/>
  <c r="I663" i="2"/>
  <c r="H537" i="2"/>
  <c r="I537" i="2"/>
  <c r="W1966" i="2"/>
  <c r="AB1966" i="2"/>
  <c r="H1587" i="2"/>
  <c r="J1587" i="2" s="1"/>
  <c r="AD1588" i="2" s="1"/>
  <c r="I1587" i="2"/>
  <c r="J745" i="2"/>
  <c r="H1083" i="2"/>
  <c r="J1083" i="2" s="1"/>
  <c r="I1083" i="2"/>
  <c r="J1375" i="2"/>
  <c r="J409" i="2"/>
  <c r="H894" i="2"/>
  <c r="J894" i="2" s="1"/>
  <c r="Y895" i="2" s="1"/>
  <c r="I894" i="2"/>
  <c r="J913" i="2"/>
  <c r="H1902" i="2"/>
  <c r="I1902" i="2"/>
  <c r="X1966" i="2"/>
  <c r="H915" i="2"/>
  <c r="J915" i="2" s="1"/>
  <c r="I915" i="2"/>
  <c r="H705" i="2"/>
  <c r="I705" i="2"/>
  <c r="I1734" i="2"/>
  <c r="H1734" i="2"/>
  <c r="J1734" i="2" s="1"/>
  <c r="X1735" i="2" s="1"/>
  <c r="J21" i="2"/>
  <c r="E56" i="23" l="1"/>
  <c r="F56" i="23" s="1"/>
  <c r="G57" i="23" s="1"/>
  <c r="E47" i="14"/>
  <c r="F47" i="14" s="1"/>
  <c r="P71" i="2"/>
  <c r="I258" i="2"/>
  <c r="M654" i="2"/>
  <c r="M651" i="2" s="1"/>
  <c r="M645" i="2" s="1"/>
  <c r="E87" i="14"/>
  <c r="E93" i="14" s="1"/>
  <c r="E87" i="23"/>
  <c r="F36" i="23"/>
  <c r="E47" i="23"/>
  <c r="F47" i="23" s="1"/>
  <c r="E188" i="14"/>
  <c r="E189" i="14" s="1"/>
  <c r="F189" i="14" s="1"/>
  <c r="E188" i="23"/>
  <c r="E189" i="23" s="1"/>
  <c r="F189" i="23" s="1"/>
  <c r="E48" i="23"/>
  <c r="F48" i="23" s="1"/>
  <c r="F37" i="23"/>
  <c r="F35" i="23"/>
  <c r="E46" i="23"/>
  <c r="F46" i="23" s="1"/>
  <c r="G170" i="23"/>
  <c r="X31" i="27"/>
  <c r="AB30" i="27"/>
  <c r="AC30" i="27" s="1"/>
  <c r="Z30" i="27"/>
  <c r="AA30" i="27" s="1"/>
  <c r="M633" i="2"/>
  <c r="M630" i="2" s="1"/>
  <c r="M624" i="2" s="1"/>
  <c r="Q614" i="2"/>
  <c r="P617" i="2" s="1"/>
  <c r="H615" i="2"/>
  <c r="J615" i="2" s="1"/>
  <c r="R598" i="2"/>
  <c r="R597" i="2" s="1"/>
  <c r="I596" i="2"/>
  <c r="Q598" i="2"/>
  <c r="P598" i="2"/>
  <c r="M592" i="2"/>
  <c r="M591" i="2"/>
  <c r="M588" i="2" s="1"/>
  <c r="M582" i="2" s="1"/>
  <c r="M549" i="2"/>
  <c r="M546" i="2" s="1"/>
  <c r="M540" i="2" s="1"/>
  <c r="M528" i="2"/>
  <c r="M525" i="2" s="1"/>
  <c r="M519" i="2" s="1"/>
  <c r="T514" i="2"/>
  <c r="S514" i="2"/>
  <c r="I512" i="2"/>
  <c r="P514" i="2"/>
  <c r="Q514" i="2"/>
  <c r="R514" i="2"/>
  <c r="P488" i="2"/>
  <c r="I489" i="2" s="1"/>
  <c r="H489" i="2"/>
  <c r="J489" i="2" s="1"/>
  <c r="M486" i="2"/>
  <c r="M483" i="2" s="1"/>
  <c r="M477" i="2" s="1"/>
  <c r="S470" i="2"/>
  <c r="S469" i="2" s="1"/>
  <c r="Q470" i="2"/>
  <c r="P470" i="2"/>
  <c r="M465" i="2"/>
  <c r="M462" i="2" s="1"/>
  <c r="M456" i="2" s="1"/>
  <c r="G170" i="14"/>
  <c r="M444" i="2"/>
  <c r="M441" i="2" s="1"/>
  <c r="M435" i="2" s="1"/>
  <c r="M423" i="2"/>
  <c r="M420" i="2" s="1"/>
  <c r="M414" i="2" s="1"/>
  <c r="M402" i="2"/>
  <c r="M399" i="2" s="1"/>
  <c r="M393" i="2" s="1"/>
  <c r="X18" i="16"/>
  <c r="AB18" i="16" s="1"/>
  <c r="AC18" i="16" s="1"/>
  <c r="R383" i="2"/>
  <c r="Q383" i="2"/>
  <c r="S383" i="2"/>
  <c r="H384" i="2"/>
  <c r="J384" i="2" s="1"/>
  <c r="Q364" i="2"/>
  <c r="R364" i="2"/>
  <c r="P364" i="2"/>
  <c r="I365" i="2" s="1"/>
  <c r="P367" i="2"/>
  <c r="H365" i="2"/>
  <c r="J365" i="2" s="1"/>
  <c r="P343" i="2"/>
  <c r="Q343" i="2"/>
  <c r="I342" i="2"/>
  <c r="R344" i="2"/>
  <c r="Q322" i="2"/>
  <c r="P325" i="2" s="1"/>
  <c r="H323" i="2"/>
  <c r="J323" i="2" s="1"/>
  <c r="R325" i="2"/>
  <c r="Q299" i="2"/>
  <c r="P299" i="2"/>
  <c r="H300" i="2"/>
  <c r="J300" i="2" s="1"/>
  <c r="P302" i="2"/>
  <c r="S278" i="2"/>
  <c r="Q278" i="2"/>
  <c r="H279" i="2"/>
  <c r="J279" i="2" s="1"/>
  <c r="T278" i="2"/>
  <c r="S260" i="2"/>
  <c r="Q260" i="2"/>
  <c r="P260" i="2"/>
  <c r="R260" i="2"/>
  <c r="Q236" i="2"/>
  <c r="S236" i="2"/>
  <c r="P236" i="2"/>
  <c r="P239" i="2" s="1"/>
  <c r="H237" i="2"/>
  <c r="R215" i="2"/>
  <c r="P218" i="2" s="1"/>
  <c r="Q215" i="2"/>
  <c r="H216" i="2"/>
  <c r="Q194" i="2"/>
  <c r="P194" i="2"/>
  <c r="P197" i="2" s="1"/>
  <c r="H195" i="2"/>
  <c r="J195" i="2" s="1"/>
  <c r="R173" i="2"/>
  <c r="T173" i="2"/>
  <c r="Q176" i="2" s="1"/>
  <c r="Q173" i="2"/>
  <c r="R152" i="2"/>
  <c r="S152" i="2"/>
  <c r="Q152" i="2"/>
  <c r="P155" i="2" s="1"/>
  <c r="P152" i="2"/>
  <c r="H153" i="2"/>
  <c r="J153" i="2" s="1"/>
  <c r="M129" i="2"/>
  <c r="M126" i="2" s="1"/>
  <c r="M120" i="2" s="1"/>
  <c r="Q110" i="2"/>
  <c r="P110" i="2"/>
  <c r="P113" i="2"/>
  <c r="H111" i="2"/>
  <c r="J111" i="2" s="1"/>
  <c r="T89" i="2"/>
  <c r="Q89" i="2"/>
  <c r="P89" i="2"/>
  <c r="P92" i="2" s="1"/>
  <c r="H90" i="2"/>
  <c r="J90" i="2" s="1"/>
  <c r="P70" i="2"/>
  <c r="R71" i="2"/>
  <c r="Q71" i="2"/>
  <c r="Q47" i="2"/>
  <c r="P47" i="2"/>
  <c r="H48" i="2"/>
  <c r="J48" i="2" s="1"/>
  <c r="AH769" i="2"/>
  <c r="AI769" i="2"/>
  <c r="AD769" i="2"/>
  <c r="T769" i="2"/>
  <c r="P769" i="2"/>
  <c r="AA769" i="2"/>
  <c r="Z769" i="2"/>
  <c r="AG769" i="2"/>
  <c r="Q769" i="2"/>
  <c r="M739" i="2"/>
  <c r="M550" i="2"/>
  <c r="AB769" i="2"/>
  <c r="Y769" i="2"/>
  <c r="AE769" i="2"/>
  <c r="X769" i="2"/>
  <c r="R769" i="2"/>
  <c r="W769" i="2"/>
  <c r="S769" i="2"/>
  <c r="M754" i="2"/>
  <c r="U769" i="2"/>
  <c r="AC769" i="2"/>
  <c r="S1567" i="2"/>
  <c r="M1852" i="2"/>
  <c r="R1483" i="2"/>
  <c r="M66" i="2"/>
  <c r="M63" i="2" s="1"/>
  <c r="M57" i="2" s="1"/>
  <c r="AG1483" i="2"/>
  <c r="AI1483" i="2"/>
  <c r="M802" i="2"/>
  <c r="U1546" i="2"/>
  <c r="M403" i="2"/>
  <c r="M67" i="2"/>
  <c r="R1546" i="2"/>
  <c r="AI1546" i="2"/>
  <c r="AD1546" i="2"/>
  <c r="M445" i="2"/>
  <c r="X1987" i="2"/>
  <c r="M1264" i="2"/>
  <c r="P1546" i="2"/>
  <c r="Q1546" i="2"/>
  <c r="Y1546" i="2"/>
  <c r="M1915" i="2"/>
  <c r="AB1546" i="2"/>
  <c r="T1546" i="2"/>
  <c r="M1369" i="2"/>
  <c r="V1546" i="2"/>
  <c r="X1546" i="2"/>
  <c r="AC1546" i="2"/>
  <c r="AG1546" i="2"/>
  <c r="M1873" i="2"/>
  <c r="M361" i="2"/>
  <c r="Z1546" i="2"/>
  <c r="S1546" i="2"/>
  <c r="AA1546" i="2"/>
  <c r="W1546" i="2"/>
  <c r="AH1546" i="2"/>
  <c r="AE1546" i="2"/>
  <c r="AF1546" i="2"/>
  <c r="U1693" i="2"/>
  <c r="M1531" i="2"/>
  <c r="X1462" i="2"/>
  <c r="R1147" i="2"/>
  <c r="AI1861" i="2"/>
  <c r="W1861" i="2"/>
  <c r="M1306" i="2"/>
  <c r="M1201" i="2"/>
  <c r="V2113" i="2"/>
  <c r="Z1861" i="2"/>
  <c r="P1861" i="2"/>
  <c r="M1657" i="2"/>
  <c r="AF1861" i="2"/>
  <c r="Y1672" i="2"/>
  <c r="T1462" i="2"/>
  <c r="U1672" i="2"/>
  <c r="Y1462" i="2"/>
  <c r="AC1567" i="2"/>
  <c r="M1642" i="2"/>
  <c r="AH1672" i="2"/>
  <c r="AD643" i="2"/>
  <c r="AE1567" i="2"/>
  <c r="U1462" i="2"/>
  <c r="R1567" i="2"/>
  <c r="W643" i="2"/>
  <c r="M676" i="2"/>
  <c r="AI1567" i="2"/>
  <c r="P853" i="2"/>
  <c r="V1567" i="2"/>
  <c r="AG1567" i="2"/>
  <c r="T1567" i="2"/>
  <c r="AH1567" i="2"/>
  <c r="V1588" i="2"/>
  <c r="AG685" i="2"/>
  <c r="M1720" i="2"/>
  <c r="W895" i="2"/>
  <c r="T895" i="2"/>
  <c r="U1819" i="2"/>
  <c r="M1573" i="2"/>
  <c r="AD1672" i="2"/>
  <c r="AH1777" i="2"/>
  <c r="M907" i="2"/>
  <c r="P1588" i="2"/>
  <c r="AB1672" i="2"/>
  <c r="M424" i="2"/>
  <c r="M382" i="2"/>
  <c r="M1762" i="2"/>
  <c r="S1483" i="2"/>
  <c r="M151" i="2"/>
  <c r="M1558" i="2"/>
  <c r="M1075" i="2"/>
  <c r="V895" i="2"/>
  <c r="AC1672" i="2"/>
  <c r="Z2113" i="2"/>
  <c r="T1735" i="2"/>
  <c r="AG1861" i="2"/>
  <c r="U853" i="2"/>
  <c r="AE853" i="2"/>
  <c r="S853" i="2"/>
  <c r="AC853" i="2"/>
  <c r="AA853" i="2"/>
  <c r="AH853" i="2"/>
  <c r="M838" i="2"/>
  <c r="V853" i="2"/>
  <c r="AB853" i="2"/>
  <c r="AD853" i="2"/>
  <c r="Z853" i="2"/>
  <c r="Q853" i="2"/>
  <c r="AB1735" i="2"/>
  <c r="AF1378" i="2"/>
  <c r="AA1378" i="2"/>
  <c r="AH1378" i="2"/>
  <c r="AE1378" i="2"/>
  <c r="T1378" i="2"/>
  <c r="Q1378" i="2"/>
  <c r="W1378" i="2"/>
  <c r="P1378" i="2"/>
  <c r="Z1378" i="2"/>
  <c r="V1378" i="2"/>
  <c r="Y1378" i="2"/>
  <c r="S1378" i="2"/>
  <c r="AD1378" i="2"/>
  <c r="X1378" i="2"/>
  <c r="R1378" i="2"/>
  <c r="AB1378" i="2"/>
  <c r="M1363" i="2"/>
  <c r="U1378" i="2"/>
  <c r="AG1378" i="2"/>
  <c r="AI1378" i="2"/>
  <c r="AC1378" i="2"/>
  <c r="AI1084" i="2"/>
  <c r="Y1084" i="2"/>
  <c r="AG1084" i="2"/>
  <c r="AF1084" i="2"/>
  <c r="AC1084" i="2"/>
  <c r="T1084" i="2"/>
  <c r="AH1084" i="2"/>
  <c r="P1084" i="2"/>
  <c r="W1084" i="2"/>
  <c r="M1069" i="2"/>
  <c r="AD1084" i="2"/>
  <c r="AB1084" i="2"/>
  <c r="Z1084" i="2"/>
  <c r="S1084" i="2"/>
  <c r="X1084" i="2"/>
  <c r="Q1084" i="2"/>
  <c r="V1084" i="2"/>
  <c r="R1084" i="2"/>
  <c r="U1084" i="2"/>
  <c r="AE1084" i="2"/>
  <c r="AA1084" i="2"/>
  <c r="V1462" i="2"/>
  <c r="AC1462" i="2"/>
  <c r="AF1819" i="2"/>
  <c r="X1588" i="2"/>
  <c r="AA1588" i="2"/>
  <c r="Z895" i="2"/>
  <c r="AD1651" i="2"/>
  <c r="P1651" i="2"/>
  <c r="AI1651" i="2"/>
  <c r="T1651" i="2"/>
  <c r="V1651" i="2"/>
  <c r="Y1651" i="2"/>
  <c r="AF1651" i="2"/>
  <c r="AG1651" i="2"/>
  <c r="AH1651" i="2"/>
  <c r="AC1651" i="2"/>
  <c r="AA1651" i="2"/>
  <c r="S1651" i="2"/>
  <c r="U1651" i="2"/>
  <c r="Q1651" i="2"/>
  <c r="W1651" i="2"/>
  <c r="R1651" i="2"/>
  <c r="X1651" i="2"/>
  <c r="M1636" i="2"/>
  <c r="Z1651" i="2"/>
  <c r="AB1651" i="2"/>
  <c r="AE1651" i="2"/>
  <c r="M1495" i="2"/>
  <c r="M1825" i="2"/>
  <c r="AC1840" i="2"/>
  <c r="AF685" i="2"/>
  <c r="AB1147" i="2"/>
  <c r="V1210" i="2"/>
  <c r="AF1210" i="2"/>
  <c r="Z1210" i="2"/>
  <c r="U1210" i="2"/>
  <c r="S1210" i="2"/>
  <c r="AG1210" i="2"/>
  <c r="AC1210" i="2"/>
  <c r="AH1210" i="2"/>
  <c r="T1210" i="2"/>
  <c r="X1210" i="2"/>
  <c r="AB1210" i="2"/>
  <c r="Y1210" i="2"/>
  <c r="AE1210" i="2"/>
  <c r="W1210" i="2"/>
  <c r="P1210" i="2"/>
  <c r="Q1210" i="2"/>
  <c r="AI1210" i="2"/>
  <c r="R1210" i="2"/>
  <c r="AD1210" i="2"/>
  <c r="AA1210" i="2"/>
  <c r="M1195" i="2"/>
  <c r="V1777" i="2"/>
  <c r="AE1672" i="2"/>
  <c r="W1672" i="2"/>
  <c r="M1663" i="2"/>
  <c r="J1797" i="2"/>
  <c r="M1789" i="2"/>
  <c r="Y2113" i="2"/>
  <c r="AD2113" i="2"/>
  <c r="J789" i="2"/>
  <c r="M781" i="2"/>
  <c r="AB895" i="2"/>
  <c r="Y1861" i="2"/>
  <c r="AH1861" i="2"/>
  <c r="AB643" i="2"/>
  <c r="R643" i="2"/>
  <c r="AG1777" i="2"/>
  <c r="R1777" i="2"/>
  <c r="AB1483" i="2"/>
  <c r="M1684" i="2"/>
  <c r="AF1735" i="2"/>
  <c r="S1735" i="2"/>
  <c r="J1167" i="2"/>
  <c r="M1159" i="2"/>
  <c r="J1902" i="2"/>
  <c r="M1894" i="2"/>
  <c r="S1819" i="2"/>
  <c r="J537" i="2"/>
  <c r="M529" i="2"/>
  <c r="AG895" i="2"/>
  <c r="AH1462" i="2"/>
  <c r="S1462" i="2"/>
  <c r="Y853" i="2"/>
  <c r="R1588" i="2"/>
  <c r="AG1588" i="2"/>
  <c r="W1147" i="2"/>
  <c r="R853" i="2"/>
  <c r="M886" i="2"/>
  <c r="AH1504" i="2"/>
  <c r="AI1504" i="2"/>
  <c r="M1489" i="2"/>
  <c r="AB1504" i="2"/>
  <c r="T1504" i="2"/>
  <c r="AD1504" i="2"/>
  <c r="AC1504" i="2"/>
  <c r="AE1504" i="2"/>
  <c r="Z1504" i="2"/>
  <c r="X1504" i="2"/>
  <c r="R1504" i="2"/>
  <c r="U1504" i="2"/>
  <c r="AA1504" i="2"/>
  <c r="Y1504" i="2"/>
  <c r="W1504" i="2"/>
  <c r="S1504" i="2"/>
  <c r="AF1504" i="2"/>
  <c r="AG1504" i="2"/>
  <c r="Q1504" i="2"/>
  <c r="V1504" i="2"/>
  <c r="P1504" i="2"/>
  <c r="AI685" i="2"/>
  <c r="W1840" i="2"/>
  <c r="S1840" i="2"/>
  <c r="S2113" i="2"/>
  <c r="P2113" i="2"/>
  <c r="P1000" i="2"/>
  <c r="AB1000" i="2"/>
  <c r="U1000" i="2"/>
  <c r="AD1000" i="2"/>
  <c r="Q1000" i="2"/>
  <c r="T1000" i="2"/>
  <c r="R1000" i="2"/>
  <c r="AH1000" i="2"/>
  <c r="W1000" i="2"/>
  <c r="AF1000" i="2"/>
  <c r="S1000" i="2"/>
  <c r="V1000" i="2"/>
  <c r="AG1000" i="2"/>
  <c r="AC1000" i="2"/>
  <c r="AI1000" i="2"/>
  <c r="AA1000" i="2"/>
  <c r="Z1000" i="2"/>
  <c r="Y1000" i="2"/>
  <c r="X1000" i="2"/>
  <c r="M985" i="2"/>
  <c r="AE1000" i="2"/>
  <c r="AA1735" i="2"/>
  <c r="U643" i="2"/>
  <c r="AF643" i="2"/>
  <c r="P1777" i="2"/>
  <c r="W1777" i="2"/>
  <c r="AF1483" i="2"/>
  <c r="Z1693" i="2"/>
  <c r="AI1693" i="2"/>
  <c r="W1693" i="2"/>
  <c r="S1693" i="2"/>
  <c r="Y1693" i="2"/>
  <c r="AG1693" i="2"/>
  <c r="AA1693" i="2"/>
  <c r="R1693" i="2"/>
  <c r="P1693" i="2"/>
  <c r="AF1693" i="2"/>
  <c r="AC1693" i="2"/>
  <c r="Q1693" i="2"/>
  <c r="M1678" i="2"/>
  <c r="AD1693" i="2"/>
  <c r="AH1693" i="2"/>
  <c r="AE1693" i="2"/>
  <c r="T1693" i="2"/>
  <c r="X1693" i="2"/>
  <c r="V1693" i="2"/>
  <c r="AB1693" i="2"/>
  <c r="P1735" i="2"/>
  <c r="M1180" i="2"/>
  <c r="AB1567" i="2"/>
  <c r="Z1567" i="2"/>
  <c r="U1567" i="2"/>
  <c r="AD1567" i="2"/>
  <c r="Q1567" i="2"/>
  <c r="AF1567" i="2"/>
  <c r="AA1567" i="2"/>
  <c r="X1567" i="2"/>
  <c r="M1552" i="2"/>
  <c r="Y1567" i="2"/>
  <c r="P1567" i="2"/>
  <c r="V685" i="2"/>
  <c r="AD895" i="2"/>
  <c r="M172" i="2"/>
  <c r="AE1462" i="2"/>
  <c r="Q1462" i="2"/>
  <c r="AB1588" i="2"/>
  <c r="W1588" i="2"/>
  <c r="Q895" i="2"/>
  <c r="M670" i="2"/>
  <c r="U1840" i="2"/>
  <c r="AH1840" i="2"/>
  <c r="AI2113" i="2"/>
  <c r="AC2113" i="2"/>
  <c r="AE1861" i="2"/>
  <c r="V1861" i="2"/>
  <c r="AD1483" i="2"/>
  <c r="T643" i="2"/>
  <c r="X643" i="2"/>
  <c r="U1777" i="2"/>
  <c r="W1735" i="2"/>
  <c r="M1468" i="2"/>
  <c r="M2104" i="2"/>
  <c r="AD1735" i="2"/>
  <c r="X1189" i="2"/>
  <c r="S1189" i="2"/>
  <c r="M1174" i="2"/>
  <c r="AE1189" i="2"/>
  <c r="AC1189" i="2"/>
  <c r="AF1189" i="2"/>
  <c r="V1189" i="2"/>
  <c r="Q1189" i="2"/>
  <c r="AB1189" i="2"/>
  <c r="AH1189" i="2"/>
  <c r="AA1189" i="2"/>
  <c r="R1189" i="2"/>
  <c r="W1189" i="2"/>
  <c r="T1189" i="2"/>
  <c r="AD1189" i="2"/>
  <c r="Z1189" i="2"/>
  <c r="AG1189" i="2"/>
  <c r="P1189" i="2"/>
  <c r="U1189" i="2"/>
  <c r="Y1189" i="2"/>
  <c r="AI1189" i="2"/>
  <c r="Y685" i="2"/>
  <c r="AF1462" i="2"/>
  <c r="P1462" i="2"/>
  <c r="J1230" i="2"/>
  <c r="M1222" i="2"/>
  <c r="AC1588" i="2"/>
  <c r="S1588" i="2"/>
  <c r="J1713" i="2"/>
  <c r="M1705" i="2"/>
  <c r="AF1147" i="2"/>
  <c r="M256" i="2"/>
  <c r="Z1840" i="2"/>
  <c r="AD1840" i="2"/>
  <c r="M1978" i="2"/>
  <c r="M655" i="2"/>
  <c r="AA1672" i="2"/>
  <c r="Q1672" i="2"/>
  <c r="V454" i="2"/>
  <c r="X454" i="2"/>
  <c r="P454" i="2"/>
  <c r="AA454" i="2"/>
  <c r="W454" i="2"/>
  <c r="T454" i="2"/>
  <c r="AH454" i="2"/>
  <c r="AE454" i="2"/>
  <c r="Z454" i="2"/>
  <c r="AC454" i="2"/>
  <c r="R454" i="2"/>
  <c r="Q454" i="2"/>
  <c r="S454" i="2"/>
  <c r="AB454" i="2"/>
  <c r="Y454" i="2"/>
  <c r="AD454" i="2"/>
  <c r="U454" i="2"/>
  <c r="AG454" i="2"/>
  <c r="AF454" i="2"/>
  <c r="M439" i="2"/>
  <c r="AI454" i="2"/>
  <c r="AE2113" i="2"/>
  <c r="M466" i="2"/>
  <c r="S1861" i="2"/>
  <c r="Q1861" i="2"/>
  <c r="AA643" i="2"/>
  <c r="M628" i="2"/>
  <c r="Y1777" i="2"/>
  <c r="M1474" i="2"/>
  <c r="Y1483" i="2"/>
  <c r="AG1735" i="2"/>
  <c r="M2083" i="2"/>
  <c r="W979" i="2"/>
  <c r="R979" i="2"/>
  <c r="T979" i="2"/>
  <c r="AF979" i="2"/>
  <c r="AI979" i="2"/>
  <c r="Z979" i="2"/>
  <c r="AC979" i="2"/>
  <c r="AH979" i="2"/>
  <c r="Q979" i="2"/>
  <c r="AE979" i="2"/>
  <c r="U979" i="2"/>
  <c r="V979" i="2"/>
  <c r="AD979" i="2"/>
  <c r="AG979" i="2"/>
  <c r="P979" i="2"/>
  <c r="AA979" i="2"/>
  <c r="S979" i="2"/>
  <c r="M964" i="2"/>
  <c r="X979" i="2"/>
  <c r="AB979" i="2"/>
  <c r="Y979" i="2"/>
  <c r="AG643" i="2"/>
  <c r="Z685" i="2"/>
  <c r="P685" i="2"/>
  <c r="AH685" i="2"/>
  <c r="X685" i="2"/>
  <c r="W685" i="2"/>
  <c r="S685" i="2"/>
  <c r="AB685" i="2"/>
  <c r="AA1819" i="2"/>
  <c r="X1819" i="2"/>
  <c r="Y1819" i="2"/>
  <c r="AB1819" i="2"/>
  <c r="Q1819" i="2"/>
  <c r="AH1819" i="2"/>
  <c r="AD1819" i="2"/>
  <c r="AC1819" i="2"/>
  <c r="AB1462" i="2"/>
  <c r="AI1462" i="2"/>
  <c r="Q1588" i="2"/>
  <c r="AH1588" i="2"/>
  <c r="AC685" i="2"/>
  <c r="AE1147" i="2"/>
  <c r="R685" i="2"/>
  <c r="V1819" i="2"/>
  <c r="AG1840" i="2"/>
  <c r="P1840" i="2"/>
  <c r="X1273" i="2"/>
  <c r="AF1987" i="2"/>
  <c r="R1987" i="2"/>
  <c r="AI1987" i="2"/>
  <c r="AC1987" i="2"/>
  <c r="P1987" i="2"/>
  <c r="T1987" i="2"/>
  <c r="S1987" i="2"/>
  <c r="AD1987" i="2"/>
  <c r="U1987" i="2"/>
  <c r="W1987" i="2"/>
  <c r="AH1987" i="2"/>
  <c r="Z1987" i="2"/>
  <c r="M1972" i="2"/>
  <c r="Q1987" i="2"/>
  <c r="V1987" i="2"/>
  <c r="AB1987" i="2"/>
  <c r="AG1987" i="2"/>
  <c r="AA1987" i="2"/>
  <c r="Y1987" i="2"/>
  <c r="AE1987" i="2"/>
  <c r="J936" i="2"/>
  <c r="M928" i="2"/>
  <c r="T664" i="2"/>
  <c r="R664" i="2"/>
  <c r="AI664" i="2"/>
  <c r="V664" i="2"/>
  <c r="AC664" i="2"/>
  <c r="AE664" i="2"/>
  <c r="AH664" i="2"/>
  <c r="AA664" i="2"/>
  <c r="U664" i="2"/>
  <c r="W664" i="2"/>
  <c r="Q664" i="2"/>
  <c r="AB664" i="2"/>
  <c r="Z664" i="2"/>
  <c r="P664" i="2"/>
  <c r="Y664" i="2"/>
  <c r="AD664" i="2"/>
  <c r="M649" i="2"/>
  <c r="X664" i="2"/>
  <c r="S664" i="2"/>
  <c r="AF664" i="2"/>
  <c r="AG664" i="2"/>
  <c r="T1672" i="2"/>
  <c r="V1672" i="2"/>
  <c r="X2113" i="2"/>
  <c r="T1483" i="2"/>
  <c r="U1861" i="2"/>
  <c r="AA1861" i="2"/>
  <c r="J138" i="2"/>
  <c r="M130" i="2"/>
  <c r="Z643" i="2"/>
  <c r="AH1735" i="2"/>
  <c r="AB1777" i="2"/>
  <c r="W853" i="2"/>
  <c r="Z1483" i="2"/>
  <c r="U1735" i="2"/>
  <c r="AI2092" i="2"/>
  <c r="Y2092" i="2"/>
  <c r="AA2092" i="2"/>
  <c r="P2092" i="2"/>
  <c r="Z2092" i="2"/>
  <c r="AH2092" i="2"/>
  <c r="M2077" i="2"/>
  <c r="X2092" i="2"/>
  <c r="S2092" i="2"/>
  <c r="V2092" i="2"/>
  <c r="AG2092" i="2"/>
  <c r="AD2092" i="2"/>
  <c r="Q2092" i="2"/>
  <c r="W2092" i="2"/>
  <c r="AF2092" i="2"/>
  <c r="T2092" i="2"/>
  <c r="AC2092" i="2"/>
  <c r="U2092" i="2"/>
  <c r="R2092" i="2"/>
  <c r="AB2092" i="2"/>
  <c r="AE2092" i="2"/>
  <c r="M1810" i="2"/>
  <c r="M1411" i="2"/>
  <c r="AF1840" i="2"/>
  <c r="Q1840" i="2"/>
  <c r="M1804" i="2"/>
  <c r="M1831" i="2"/>
  <c r="Z1735" i="2"/>
  <c r="AE1735" i="2"/>
  <c r="T832" i="2"/>
  <c r="M817" i="2"/>
  <c r="Y832" i="2"/>
  <c r="X832" i="2"/>
  <c r="P832" i="2"/>
  <c r="R832" i="2"/>
  <c r="AI832" i="2"/>
  <c r="V832" i="2"/>
  <c r="AE832" i="2"/>
  <c r="AH832" i="2"/>
  <c r="Z832" i="2"/>
  <c r="U832" i="2"/>
  <c r="AG832" i="2"/>
  <c r="AD832" i="2"/>
  <c r="W832" i="2"/>
  <c r="AA832" i="2"/>
  <c r="S832" i="2"/>
  <c r="AF832" i="2"/>
  <c r="AC832" i="2"/>
  <c r="AB832" i="2"/>
  <c r="Q832" i="2"/>
  <c r="AI433" i="2"/>
  <c r="Q433" i="2"/>
  <c r="AE433" i="2"/>
  <c r="M418" i="2"/>
  <c r="V433" i="2"/>
  <c r="AA433" i="2"/>
  <c r="AC433" i="2"/>
  <c r="X433" i="2"/>
  <c r="U433" i="2"/>
  <c r="Z433" i="2"/>
  <c r="AF433" i="2"/>
  <c r="R433" i="2"/>
  <c r="AD433" i="2"/>
  <c r="P433" i="2"/>
  <c r="W433" i="2"/>
  <c r="Y433" i="2"/>
  <c r="AG433" i="2"/>
  <c r="T433" i="2"/>
  <c r="AB433" i="2"/>
  <c r="S433" i="2"/>
  <c r="AH433" i="2"/>
  <c r="T2113" i="2"/>
  <c r="P643" i="2"/>
  <c r="AF1777" i="2"/>
  <c r="AC1483" i="2"/>
  <c r="P1483" i="2"/>
  <c r="AI1735" i="2"/>
  <c r="T1021" i="2"/>
  <c r="M1006" i="2"/>
  <c r="AA685" i="2"/>
  <c r="M1447" i="2"/>
  <c r="Q685" i="2"/>
  <c r="Y1588" i="2"/>
  <c r="U1588" i="2"/>
  <c r="X1609" i="2"/>
  <c r="AD1609" i="2"/>
  <c r="AI1609" i="2"/>
  <c r="AB1609" i="2"/>
  <c r="P1609" i="2"/>
  <c r="AF1609" i="2"/>
  <c r="Q1609" i="2"/>
  <c r="Z1609" i="2"/>
  <c r="U1609" i="2"/>
  <c r="Y1609" i="2"/>
  <c r="V1609" i="2"/>
  <c r="AG1609" i="2"/>
  <c r="AC1609" i="2"/>
  <c r="AH1609" i="2"/>
  <c r="T1609" i="2"/>
  <c r="M1594" i="2"/>
  <c r="S1609" i="2"/>
  <c r="R1609" i="2"/>
  <c r="W1609" i="2"/>
  <c r="AA1609" i="2"/>
  <c r="AE1609" i="2"/>
  <c r="X853" i="2"/>
  <c r="V1420" i="2"/>
  <c r="AD1420" i="2"/>
  <c r="AH1420" i="2"/>
  <c r="T1420" i="2"/>
  <c r="AG1420" i="2"/>
  <c r="U1420" i="2"/>
  <c r="M1405" i="2"/>
  <c r="AE1420" i="2"/>
  <c r="AB1420" i="2"/>
  <c r="S1420" i="2"/>
  <c r="AF1420" i="2"/>
  <c r="X1420" i="2"/>
  <c r="Z1420" i="2"/>
  <c r="P1420" i="2"/>
  <c r="R1420" i="2"/>
  <c r="AC1420" i="2"/>
  <c r="Q1420" i="2"/>
  <c r="AA1420" i="2"/>
  <c r="Y1420" i="2"/>
  <c r="R1840" i="2"/>
  <c r="AI1840" i="2"/>
  <c r="T1819" i="2"/>
  <c r="R1672" i="2"/>
  <c r="AF2113" i="2"/>
  <c r="AA2113" i="2"/>
  <c r="P1819" i="2"/>
  <c r="AD1861" i="2"/>
  <c r="AB1861" i="2"/>
  <c r="AI643" i="2"/>
  <c r="Z1315" i="2"/>
  <c r="Y1315" i="2"/>
  <c r="AB1315" i="2"/>
  <c r="AA1315" i="2"/>
  <c r="AC1315" i="2"/>
  <c r="T1315" i="2"/>
  <c r="AD1315" i="2"/>
  <c r="M1300" i="2"/>
  <c r="W1315" i="2"/>
  <c r="Q1315" i="2"/>
  <c r="AH1315" i="2"/>
  <c r="AE1315" i="2"/>
  <c r="AG1315" i="2"/>
  <c r="X1315" i="2"/>
  <c r="R1315" i="2"/>
  <c r="AF1315" i="2"/>
  <c r="AI1315" i="2"/>
  <c r="U1315" i="2"/>
  <c r="S1315" i="2"/>
  <c r="V1315" i="2"/>
  <c r="P1315" i="2"/>
  <c r="AE1777" i="2"/>
  <c r="V1483" i="2"/>
  <c r="X1483" i="2"/>
  <c r="Q1735" i="2"/>
  <c r="J705" i="2"/>
  <c r="M697" i="2"/>
  <c r="U748" i="2"/>
  <c r="AA748" i="2"/>
  <c r="AH748" i="2"/>
  <c r="S748" i="2"/>
  <c r="Q748" i="2"/>
  <c r="Y748" i="2"/>
  <c r="R748" i="2"/>
  <c r="AI748" i="2"/>
  <c r="X748" i="2"/>
  <c r="AC748" i="2"/>
  <c r="AE748" i="2"/>
  <c r="W748" i="2"/>
  <c r="P748" i="2"/>
  <c r="AD748" i="2"/>
  <c r="V748" i="2"/>
  <c r="AG748" i="2"/>
  <c r="AB748" i="2"/>
  <c r="Z748" i="2"/>
  <c r="AF748" i="2"/>
  <c r="T748" i="2"/>
  <c r="M733" i="2"/>
  <c r="AA1462" i="2"/>
  <c r="AE685" i="2"/>
  <c r="Z1588" i="2"/>
  <c r="T1588" i="2"/>
  <c r="J1335" i="2"/>
  <c r="M1327" i="2"/>
  <c r="T853" i="2"/>
  <c r="AF853" i="2"/>
  <c r="M1054" i="2"/>
  <c r="T1840" i="2"/>
  <c r="V1840" i="2"/>
  <c r="M1579" i="2"/>
  <c r="M844" i="2"/>
  <c r="M193" i="2"/>
  <c r="M1426" i="2"/>
  <c r="AE1441" i="2"/>
  <c r="X1441" i="2"/>
  <c r="Q1441" i="2"/>
  <c r="AC1441" i="2"/>
  <c r="AA1441" i="2"/>
  <c r="W1441" i="2"/>
  <c r="AH1441" i="2"/>
  <c r="AI1441" i="2"/>
  <c r="Z1441" i="2"/>
  <c r="T1441" i="2"/>
  <c r="V1441" i="2"/>
  <c r="AF1441" i="2"/>
  <c r="R1441" i="2"/>
  <c r="AG1441" i="2"/>
  <c r="U1441" i="2"/>
  <c r="P1441" i="2"/>
  <c r="AB1441" i="2"/>
  <c r="S1441" i="2"/>
  <c r="Y1441" i="2"/>
  <c r="AD1441" i="2"/>
  <c r="AG1672" i="2"/>
  <c r="AB2113" i="2"/>
  <c r="M2098" i="2"/>
  <c r="M298" i="2"/>
  <c r="R1861" i="2"/>
  <c r="Q643" i="2"/>
  <c r="AA1777" i="2"/>
  <c r="X1777" i="2"/>
  <c r="Q1483" i="2"/>
  <c r="AE1483" i="2"/>
  <c r="AC1735" i="2"/>
  <c r="AI1420" i="2"/>
  <c r="W1420" i="2"/>
  <c r="X1840" i="2"/>
  <c r="J1041" i="2"/>
  <c r="M1033" i="2"/>
  <c r="AI895" i="2"/>
  <c r="AA895" i="2"/>
  <c r="AF895" i="2"/>
  <c r="R895" i="2"/>
  <c r="AC895" i="2"/>
  <c r="AE895" i="2"/>
  <c r="X895" i="2"/>
  <c r="S895" i="2"/>
  <c r="U895" i="2"/>
  <c r="M880" i="2"/>
  <c r="AH1147" i="2"/>
  <c r="AC1147" i="2"/>
  <c r="X1147" i="2"/>
  <c r="AD1147" i="2"/>
  <c r="Z1147" i="2"/>
  <c r="AA1147" i="2"/>
  <c r="Q1147" i="2"/>
  <c r="P1147" i="2"/>
  <c r="AG1147" i="2"/>
  <c r="Y1147" i="2"/>
  <c r="T1147" i="2"/>
  <c r="S1147" i="2"/>
  <c r="AI1147" i="2"/>
  <c r="AD1462" i="2"/>
  <c r="AI1588" i="2"/>
  <c r="AE1588" i="2"/>
  <c r="T1273" i="2"/>
  <c r="M1258" i="2"/>
  <c r="AF1273" i="2"/>
  <c r="AD1273" i="2"/>
  <c r="AE1273" i="2"/>
  <c r="AB1273" i="2"/>
  <c r="Q1273" i="2"/>
  <c r="V1273" i="2"/>
  <c r="Y1273" i="2"/>
  <c r="U1273" i="2"/>
  <c r="AC1273" i="2"/>
  <c r="P1273" i="2"/>
  <c r="AG1273" i="2"/>
  <c r="AA1273" i="2"/>
  <c r="S1273" i="2"/>
  <c r="R1273" i="2"/>
  <c r="AI1273" i="2"/>
  <c r="W1273" i="2"/>
  <c r="Z1273" i="2"/>
  <c r="AH1273" i="2"/>
  <c r="J2070" i="2"/>
  <c r="M2062" i="2"/>
  <c r="R1819" i="2"/>
  <c r="V1147" i="2"/>
  <c r="AC1063" i="2"/>
  <c r="R1063" i="2"/>
  <c r="AH1063" i="2"/>
  <c r="S1063" i="2"/>
  <c r="P1063" i="2"/>
  <c r="AI1063" i="2"/>
  <c r="AB1063" i="2"/>
  <c r="AG1063" i="2"/>
  <c r="AF1063" i="2"/>
  <c r="Q1063" i="2"/>
  <c r="AA1063" i="2"/>
  <c r="Y1063" i="2"/>
  <c r="AE1063" i="2"/>
  <c r="T1063" i="2"/>
  <c r="M1048" i="2"/>
  <c r="Z1063" i="2"/>
  <c r="X1063" i="2"/>
  <c r="AD1063" i="2"/>
  <c r="W1063" i="2"/>
  <c r="V1063" i="2"/>
  <c r="U1063" i="2"/>
  <c r="AB1840" i="2"/>
  <c r="Y1840" i="2"/>
  <c r="AF1672" i="2"/>
  <c r="P1672" i="2"/>
  <c r="M487" i="2"/>
  <c r="AG2113" i="2"/>
  <c r="R2113" i="2"/>
  <c r="M1537" i="2"/>
  <c r="V643" i="2"/>
  <c r="X1861" i="2"/>
  <c r="Y643" i="2"/>
  <c r="Z1777" i="2"/>
  <c r="AD1777" i="2"/>
  <c r="AA1483" i="2"/>
  <c r="M277" i="2"/>
  <c r="Y1735" i="2"/>
  <c r="S643" i="2"/>
  <c r="AG1462" i="2"/>
  <c r="Z1462" i="2"/>
  <c r="AF1588" i="2"/>
  <c r="W1819" i="2"/>
  <c r="V811" i="2"/>
  <c r="W811" i="2"/>
  <c r="Z811" i="2"/>
  <c r="S811" i="2"/>
  <c r="AI811" i="2"/>
  <c r="M796" i="2"/>
  <c r="AG811" i="2"/>
  <c r="R811" i="2"/>
  <c r="U811" i="2"/>
  <c r="AD811" i="2"/>
  <c r="AC811" i="2"/>
  <c r="Y811" i="2"/>
  <c r="P811" i="2"/>
  <c r="AF811" i="2"/>
  <c r="AB811" i="2"/>
  <c r="AE811" i="2"/>
  <c r="AA811" i="2"/>
  <c r="X811" i="2"/>
  <c r="Q811" i="2"/>
  <c r="AH811" i="2"/>
  <c r="T811" i="2"/>
  <c r="AE1819" i="2"/>
  <c r="AH895" i="2"/>
  <c r="AA1840" i="2"/>
  <c r="M1012" i="2"/>
  <c r="AC559" i="2"/>
  <c r="X559" i="2"/>
  <c r="Z559" i="2"/>
  <c r="R559" i="2"/>
  <c r="AF559" i="2"/>
  <c r="AA559" i="2"/>
  <c r="Y559" i="2"/>
  <c r="AH559" i="2"/>
  <c r="AD559" i="2"/>
  <c r="AG559" i="2"/>
  <c r="Q559" i="2"/>
  <c r="T559" i="2"/>
  <c r="P559" i="2"/>
  <c r="W559" i="2"/>
  <c r="V559" i="2"/>
  <c r="M544" i="2"/>
  <c r="AE559" i="2"/>
  <c r="U559" i="2"/>
  <c r="S559" i="2"/>
  <c r="AB559" i="2"/>
  <c r="AI559" i="2"/>
  <c r="AI853" i="2"/>
  <c r="T685" i="2"/>
  <c r="S1882" i="2"/>
  <c r="X1882" i="2"/>
  <c r="W1882" i="2"/>
  <c r="AH1882" i="2"/>
  <c r="Q1882" i="2"/>
  <c r="Y1882" i="2"/>
  <c r="AC1882" i="2"/>
  <c r="R1882" i="2"/>
  <c r="M1867" i="2"/>
  <c r="P1882" i="2"/>
  <c r="AI1882" i="2"/>
  <c r="V1882" i="2"/>
  <c r="AD1882" i="2"/>
  <c r="AF1882" i="2"/>
  <c r="AA1882" i="2"/>
  <c r="AE1882" i="2"/>
  <c r="U1882" i="2"/>
  <c r="AG1882" i="2"/>
  <c r="Z1882" i="2"/>
  <c r="AB1882" i="2"/>
  <c r="T1882" i="2"/>
  <c r="Z1672" i="2"/>
  <c r="X1672" i="2"/>
  <c r="X874" i="2"/>
  <c r="M859" i="2"/>
  <c r="S874" i="2"/>
  <c r="AB874" i="2"/>
  <c r="U874" i="2"/>
  <c r="AC874" i="2"/>
  <c r="R874" i="2"/>
  <c r="Q874" i="2"/>
  <c r="AE874" i="2"/>
  <c r="Z874" i="2"/>
  <c r="AD874" i="2"/>
  <c r="W874" i="2"/>
  <c r="AA874" i="2"/>
  <c r="Y874" i="2"/>
  <c r="AI874" i="2"/>
  <c r="AH874" i="2"/>
  <c r="P874" i="2"/>
  <c r="T874" i="2"/>
  <c r="AF874" i="2"/>
  <c r="V874" i="2"/>
  <c r="AG874" i="2"/>
  <c r="AH2113" i="2"/>
  <c r="U2113" i="2"/>
  <c r="M1243" i="2"/>
  <c r="AH643" i="2"/>
  <c r="M1846" i="2"/>
  <c r="AD685" i="2"/>
  <c r="AC643" i="2"/>
  <c r="Q1777" i="2"/>
  <c r="AI1777" i="2"/>
  <c r="AH1483" i="2"/>
  <c r="R1735" i="2"/>
  <c r="V1735" i="2"/>
  <c r="T916" i="2"/>
  <c r="W916" i="2"/>
  <c r="AA916" i="2"/>
  <c r="AD916" i="2"/>
  <c r="Y916" i="2"/>
  <c r="AB916" i="2"/>
  <c r="AE916" i="2"/>
  <c r="X916" i="2"/>
  <c r="Q916" i="2"/>
  <c r="V916" i="2"/>
  <c r="S916" i="2"/>
  <c r="U916" i="2"/>
  <c r="Z916" i="2"/>
  <c r="R916" i="2"/>
  <c r="AG916" i="2"/>
  <c r="AC916" i="2"/>
  <c r="AH916" i="2"/>
  <c r="P916" i="2"/>
  <c r="AI916" i="2"/>
  <c r="AF916" i="2"/>
  <c r="M901" i="2"/>
  <c r="AH412" i="2"/>
  <c r="Q412" i="2"/>
  <c r="W412" i="2"/>
  <c r="AF412" i="2"/>
  <c r="AC412" i="2"/>
  <c r="U412" i="2"/>
  <c r="AB412" i="2"/>
  <c r="Z412" i="2"/>
  <c r="S412" i="2"/>
  <c r="T412" i="2"/>
  <c r="AG412" i="2"/>
  <c r="M397" i="2"/>
  <c r="R412" i="2"/>
  <c r="AA412" i="2"/>
  <c r="X412" i="2"/>
  <c r="Y412" i="2"/>
  <c r="V412" i="2"/>
  <c r="AI412" i="2"/>
  <c r="AD412" i="2"/>
  <c r="P412" i="2"/>
  <c r="AE412" i="2"/>
  <c r="Z1819" i="2"/>
  <c r="AC1924" i="2"/>
  <c r="AD1924" i="2"/>
  <c r="Y1924" i="2"/>
  <c r="W1924" i="2"/>
  <c r="P1924" i="2"/>
  <c r="Z1924" i="2"/>
  <c r="V1924" i="2"/>
  <c r="Q1924" i="2"/>
  <c r="U1924" i="2"/>
  <c r="AA1924" i="2"/>
  <c r="T1924" i="2"/>
  <c r="M1909" i="2"/>
  <c r="R1924" i="2"/>
  <c r="S1924" i="2"/>
  <c r="AH1924" i="2"/>
  <c r="AF1924" i="2"/>
  <c r="AB1924" i="2"/>
  <c r="AI1924" i="2"/>
  <c r="AE1924" i="2"/>
  <c r="X1924" i="2"/>
  <c r="AG1924" i="2"/>
  <c r="W1462" i="2"/>
  <c r="M1138" i="2"/>
  <c r="AG1819" i="2"/>
  <c r="J1755" i="2"/>
  <c r="M1747" i="2"/>
  <c r="M109" i="2"/>
  <c r="M1132" i="2"/>
  <c r="AC1021" i="2"/>
  <c r="Q1021" i="2"/>
  <c r="W1021" i="2"/>
  <c r="AA1021" i="2"/>
  <c r="AG1021" i="2"/>
  <c r="X1021" i="2"/>
  <c r="Z1021" i="2"/>
  <c r="Y1021" i="2"/>
  <c r="V1021" i="2"/>
  <c r="U1021" i="2"/>
  <c r="P1021" i="2"/>
  <c r="AH1021" i="2"/>
  <c r="AB1021" i="2"/>
  <c r="AD1021" i="2"/>
  <c r="AF1021" i="2"/>
  <c r="AE1021" i="2"/>
  <c r="R1021" i="2"/>
  <c r="AI1021" i="2"/>
  <c r="S1021" i="2"/>
  <c r="M1453" i="2"/>
  <c r="P895" i="2"/>
  <c r="S1672" i="2"/>
  <c r="W2113" i="2"/>
  <c r="M1768" i="2"/>
  <c r="P1252" i="2"/>
  <c r="Z1252" i="2"/>
  <c r="Q1252" i="2"/>
  <c r="AB1252" i="2"/>
  <c r="AG1252" i="2"/>
  <c r="Y1252" i="2"/>
  <c r="R1252" i="2"/>
  <c r="U1252" i="2"/>
  <c r="AA1252" i="2"/>
  <c r="T1252" i="2"/>
  <c r="S1252" i="2"/>
  <c r="X1252" i="2"/>
  <c r="AE1252" i="2"/>
  <c r="AH1252" i="2"/>
  <c r="W1252" i="2"/>
  <c r="V1252" i="2"/>
  <c r="AC1252" i="2"/>
  <c r="M1237" i="2"/>
  <c r="AF1252" i="2"/>
  <c r="AI1252" i="2"/>
  <c r="AD1252" i="2"/>
  <c r="M634" i="2"/>
  <c r="T1861" i="2"/>
  <c r="M1726" i="2"/>
  <c r="AE1105" i="2"/>
  <c r="S1105" i="2"/>
  <c r="AB1105" i="2"/>
  <c r="U1105" i="2"/>
  <c r="V1105" i="2"/>
  <c r="M1090" i="2"/>
  <c r="AA1105" i="2"/>
  <c r="AC1105" i="2"/>
  <c r="X1105" i="2"/>
  <c r="P1105" i="2"/>
  <c r="R1105" i="2"/>
  <c r="T1105" i="2"/>
  <c r="Y1105" i="2"/>
  <c r="AD1105" i="2"/>
  <c r="Z1105" i="2"/>
  <c r="W1105" i="2"/>
  <c r="AG1105" i="2"/>
  <c r="AF1105" i="2"/>
  <c r="AI1105" i="2"/>
  <c r="AH1105" i="2"/>
  <c r="Q1105" i="2"/>
  <c r="S1777" i="2"/>
  <c r="T1777" i="2"/>
  <c r="W1483" i="2"/>
  <c r="U20" i="2"/>
  <c r="P20" i="2"/>
  <c r="Q20" i="2"/>
  <c r="R20" i="2"/>
  <c r="T281" i="2" l="1"/>
  <c r="R617" i="2"/>
  <c r="R616" i="2" s="1"/>
  <c r="P176" i="2"/>
  <c r="I615" i="2"/>
  <c r="S218" i="2"/>
  <c r="P386" i="2"/>
  <c r="I153" i="2"/>
  <c r="I279" i="2"/>
  <c r="E186" i="23"/>
  <c r="F186" i="23" s="1"/>
  <c r="E186" i="14"/>
  <c r="D17" i="28"/>
  <c r="F17" i="28" s="1"/>
  <c r="E191" i="23"/>
  <c r="F191" i="23" s="1"/>
  <c r="E203" i="14"/>
  <c r="F203" i="14" s="1"/>
  <c r="E203" i="23"/>
  <c r="F203" i="23" s="1"/>
  <c r="F44" i="16"/>
  <c r="H44" i="16" s="1"/>
  <c r="F44" i="27"/>
  <c r="H44" i="27" s="1"/>
  <c r="E176" i="14"/>
  <c r="F176" i="14" s="1"/>
  <c r="E177" i="14" s="1"/>
  <c r="F177" i="14" s="1"/>
  <c r="E178" i="14" s="1"/>
  <c r="F178" i="14" s="1"/>
  <c r="G179" i="14" s="1"/>
  <c r="G181" i="14" s="1"/>
  <c r="E176" i="23"/>
  <c r="F176" i="23" s="1"/>
  <c r="E177" i="23" s="1"/>
  <c r="F177" i="23" s="1"/>
  <c r="E178" i="23" s="1"/>
  <c r="F178" i="23" s="1"/>
  <c r="G179" i="23" s="1"/>
  <c r="G181" i="23" s="1"/>
  <c r="E204" i="14"/>
  <c r="F204" i="14" s="1"/>
  <c r="E204" i="23"/>
  <c r="F204" i="23" s="1"/>
  <c r="E99" i="23"/>
  <c r="E93" i="23"/>
  <c r="F93" i="23" s="1"/>
  <c r="F94" i="23" s="1"/>
  <c r="E95" i="23" s="1"/>
  <c r="F95" i="23" s="1"/>
  <c r="G96" i="23" s="1"/>
  <c r="E109" i="14"/>
  <c r="E115" i="14" s="1"/>
  <c r="E109" i="23"/>
  <c r="D16" i="28"/>
  <c r="F16" i="28" s="1"/>
  <c r="F18" i="28" s="1"/>
  <c r="E190" i="23"/>
  <c r="F190" i="23" s="1"/>
  <c r="Z31" i="27"/>
  <c r="AA31" i="27" s="1"/>
  <c r="X32" i="27"/>
  <c r="AB31" i="27"/>
  <c r="AC31" i="27" s="1"/>
  <c r="D17" i="17"/>
  <c r="F17" i="17" s="1"/>
  <c r="E191" i="14"/>
  <c r="F191" i="14" s="1"/>
  <c r="D16" i="17"/>
  <c r="F16" i="17" s="1"/>
  <c r="E190" i="14"/>
  <c r="F190" i="14" s="1"/>
  <c r="P616" i="2"/>
  <c r="Q617" i="2"/>
  <c r="H617" i="2" s="1"/>
  <c r="P597" i="2"/>
  <c r="H598" i="2"/>
  <c r="J598" i="2" s="1"/>
  <c r="Q597" i="2"/>
  <c r="P600" i="2" s="1"/>
  <c r="R513" i="2"/>
  <c r="Q513" i="2"/>
  <c r="P513" i="2"/>
  <c r="H514" i="2"/>
  <c r="J514" i="2" s="1"/>
  <c r="S513" i="2"/>
  <c r="T513" i="2"/>
  <c r="P491" i="2"/>
  <c r="R491" i="2"/>
  <c r="R490" i="2" s="1"/>
  <c r="Q491" i="2"/>
  <c r="Q490" i="2" s="1"/>
  <c r="P469" i="2"/>
  <c r="H470" i="2"/>
  <c r="J470" i="2" s="1"/>
  <c r="Q469" i="2"/>
  <c r="R472" i="2" s="1"/>
  <c r="R471" i="2" s="1"/>
  <c r="X19" i="16"/>
  <c r="AB19" i="16" s="1"/>
  <c r="AC19" i="16" s="1"/>
  <c r="P385" i="2"/>
  <c r="S386" i="2"/>
  <c r="Q386" i="2"/>
  <c r="I384" i="2"/>
  <c r="R386" i="2"/>
  <c r="P366" i="2"/>
  <c r="R367" i="2"/>
  <c r="Q367" i="2"/>
  <c r="R343" i="2"/>
  <c r="Q346" i="2" s="1"/>
  <c r="H344" i="2"/>
  <c r="I344" i="2"/>
  <c r="P324" i="2"/>
  <c r="R324" i="2"/>
  <c r="I323" i="2"/>
  <c r="Q325" i="2"/>
  <c r="P301" i="2"/>
  <c r="I300" i="2"/>
  <c r="R302" i="2"/>
  <c r="S302" i="2"/>
  <c r="Q302" i="2"/>
  <c r="T280" i="2"/>
  <c r="P281" i="2"/>
  <c r="R281" i="2"/>
  <c r="Q281" i="2"/>
  <c r="S281" i="2"/>
  <c r="R259" i="2"/>
  <c r="P259" i="2"/>
  <c r="P262" i="2" s="1"/>
  <c r="H260" i="2"/>
  <c r="Q259" i="2"/>
  <c r="S259" i="2"/>
  <c r="P238" i="2"/>
  <c r="J237" i="2"/>
  <c r="I237" i="2"/>
  <c r="R239" i="2"/>
  <c r="S239" i="2"/>
  <c r="Q239" i="2"/>
  <c r="H239" i="2" s="1"/>
  <c r="J216" i="2"/>
  <c r="S217" i="2"/>
  <c r="Q218" i="2"/>
  <c r="H218" i="2" s="1"/>
  <c r="J218" i="2" s="1"/>
  <c r="P217" i="2"/>
  <c r="R218" i="2"/>
  <c r="I216" i="2"/>
  <c r="P196" i="2"/>
  <c r="I195" i="2"/>
  <c r="S197" i="2"/>
  <c r="R197" i="2"/>
  <c r="Q197" i="2"/>
  <c r="P175" i="2"/>
  <c r="Q175" i="2"/>
  <c r="S176" i="2"/>
  <c r="T176" i="2"/>
  <c r="I174" i="2"/>
  <c r="U176" i="2"/>
  <c r="R176" i="2"/>
  <c r="P154" i="2"/>
  <c r="Q155" i="2"/>
  <c r="S155" i="2"/>
  <c r="R155" i="2"/>
  <c r="P112" i="2"/>
  <c r="I111" i="2"/>
  <c r="R113" i="2"/>
  <c r="Q113" i="2"/>
  <c r="P91" i="2"/>
  <c r="I90" i="2"/>
  <c r="U92" i="2"/>
  <c r="S92" i="2"/>
  <c r="R92" i="2"/>
  <c r="Q92" i="2"/>
  <c r="T92" i="2"/>
  <c r="Q70" i="2"/>
  <c r="P73" i="2" s="1"/>
  <c r="R70" i="2"/>
  <c r="H71" i="2"/>
  <c r="J71" i="2" s="1"/>
  <c r="I48" i="2"/>
  <c r="R50" i="2"/>
  <c r="P50" i="2"/>
  <c r="Q50" i="2"/>
  <c r="AI1903" i="2"/>
  <c r="AC1903" i="2"/>
  <c r="M1888" i="2"/>
  <c r="AB1903" i="2"/>
  <c r="Q1903" i="2"/>
  <c r="R1903" i="2"/>
  <c r="X1903" i="2"/>
  <c r="P1903" i="2"/>
  <c r="V1903" i="2"/>
  <c r="AH1903" i="2"/>
  <c r="Y1903" i="2"/>
  <c r="AD1903" i="2"/>
  <c r="AF1903" i="2"/>
  <c r="S1903" i="2"/>
  <c r="T1903" i="2"/>
  <c r="AE1903" i="2"/>
  <c r="AA1903" i="2"/>
  <c r="U1903" i="2"/>
  <c r="Z1903" i="2"/>
  <c r="AG1903" i="2"/>
  <c r="W1903" i="2"/>
  <c r="R1168" i="2"/>
  <c r="V1168" i="2"/>
  <c r="AD1168" i="2"/>
  <c r="AF1168" i="2"/>
  <c r="W1168" i="2"/>
  <c r="U1168" i="2"/>
  <c r="AI1168" i="2"/>
  <c r="AB1168" i="2"/>
  <c r="Q1168" i="2"/>
  <c r="AG1168" i="2"/>
  <c r="M1153" i="2"/>
  <c r="P1168" i="2"/>
  <c r="AC1168" i="2"/>
  <c r="Y1168" i="2"/>
  <c r="AH1168" i="2"/>
  <c r="AE1168" i="2"/>
  <c r="AA1168" i="2"/>
  <c r="S1168" i="2"/>
  <c r="Z1168" i="2"/>
  <c r="X1168" i="2"/>
  <c r="T1168" i="2"/>
  <c r="AD937" i="2"/>
  <c r="P937" i="2"/>
  <c r="S937" i="2"/>
  <c r="AF937" i="2"/>
  <c r="V937" i="2"/>
  <c r="M922" i="2"/>
  <c r="AG937" i="2"/>
  <c r="AB937" i="2"/>
  <c r="R937" i="2"/>
  <c r="AH937" i="2"/>
  <c r="Q937" i="2"/>
  <c r="T937" i="2"/>
  <c r="X937" i="2"/>
  <c r="AE937" i="2"/>
  <c r="AA937" i="2"/>
  <c r="AI937" i="2"/>
  <c r="U937" i="2"/>
  <c r="W937" i="2"/>
  <c r="AC937" i="2"/>
  <c r="Z937" i="2"/>
  <c r="Y937" i="2"/>
  <c r="Z1714" i="2"/>
  <c r="AC1714" i="2"/>
  <c r="P1714" i="2"/>
  <c r="M1699" i="2"/>
  <c r="T1714" i="2"/>
  <c r="AA1714" i="2"/>
  <c r="R1714" i="2"/>
  <c r="S1714" i="2"/>
  <c r="AH1714" i="2"/>
  <c r="X1714" i="2"/>
  <c r="W1714" i="2"/>
  <c r="AG1714" i="2"/>
  <c r="AB1714" i="2"/>
  <c r="AI1714" i="2"/>
  <c r="U1714" i="2"/>
  <c r="Y1714" i="2"/>
  <c r="Q1714" i="2"/>
  <c r="AD1714" i="2"/>
  <c r="AE1714" i="2"/>
  <c r="V1714" i="2"/>
  <c r="AF1714" i="2"/>
  <c r="R790" i="2"/>
  <c r="S790" i="2"/>
  <c r="AB790" i="2"/>
  <c r="Q790" i="2"/>
  <c r="T790" i="2"/>
  <c r="U790" i="2"/>
  <c r="M775" i="2"/>
  <c r="Z790" i="2"/>
  <c r="AI790" i="2"/>
  <c r="AG790" i="2"/>
  <c r="AC790" i="2"/>
  <c r="V790" i="2"/>
  <c r="AD790" i="2"/>
  <c r="AA790" i="2"/>
  <c r="P790" i="2"/>
  <c r="AH790" i="2"/>
  <c r="AF790" i="2"/>
  <c r="Y790" i="2"/>
  <c r="W790" i="2"/>
  <c r="AE790" i="2"/>
  <c r="X790" i="2"/>
  <c r="M1783" i="2"/>
  <c r="P1798" i="2"/>
  <c r="AB1798" i="2"/>
  <c r="V1798" i="2"/>
  <c r="Q1798" i="2"/>
  <c r="S1798" i="2"/>
  <c r="AI1798" i="2"/>
  <c r="R1798" i="2"/>
  <c r="AH1798" i="2"/>
  <c r="T1798" i="2"/>
  <c r="AE1798" i="2"/>
  <c r="AA1798" i="2"/>
  <c r="AF1798" i="2"/>
  <c r="X1798" i="2"/>
  <c r="AC1798" i="2"/>
  <c r="U1798" i="2"/>
  <c r="AD1798" i="2"/>
  <c r="Y1798" i="2"/>
  <c r="W1798" i="2"/>
  <c r="Z1798" i="2"/>
  <c r="AG1798" i="2"/>
  <c r="S2071" i="2"/>
  <c r="X2071" i="2"/>
  <c r="M2056" i="2"/>
  <c r="AE2071" i="2"/>
  <c r="AB2071" i="2"/>
  <c r="T2071" i="2"/>
  <c r="AA2071" i="2"/>
  <c r="Q2071" i="2"/>
  <c r="AI2071" i="2"/>
  <c r="R2071" i="2"/>
  <c r="Z2071" i="2"/>
  <c r="V2071" i="2"/>
  <c r="P2071" i="2"/>
  <c r="AG2071" i="2"/>
  <c r="AF2071" i="2"/>
  <c r="AH2071" i="2"/>
  <c r="W2071" i="2"/>
  <c r="U2071" i="2"/>
  <c r="Y2071" i="2"/>
  <c r="AD2071" i="2"/>
  <c r="AC2071" i="2"/>
  <c r="AH1042" i="2"/>
  <c r="AI1042" i="2"/>
  <c r="S1042" i="2"/>
  <c r="R1042" i="2"/>
  <c r="AE1042" i="2"/>
  <c r="Y1042" i="2"/>
  <c r="P1042" i="2"/>
  <c r="U1042" i="2"/>
  <c r="AF1042" i="2"/>
  <c r="T1042" i="2"/>
  <c r="V1042" i="2"/>
  <c r="W1042" i="2"/>
  <c r="AA1042" i="2"/>
  <c r="Q1042" i="2"/>
  <c r="M1027" i="2"/>
  <c r="AB1042" i="2"/>
  <c r="AD1042" i="2"/>
  <c r="Z1042" i="2"/>
  <c r="AG1042" i="2"/>
  <c r="AC1042" i="2"/>
  <c r="X1042" i="2"/>
  <c r="S1336" i="2"/>
  <c r="AC1336" i="2"/>
  <c r="AA1336" i="2"/>
  <c r="AH1336" i="2"/>
  <c r="AF1336" i="2"/>
  <c r="AB1336" i="2"/>
  <c r="AD1336" i="2"/>
  <c r="Q1336" i="2"/>
  <c r="X1336" i="2"/>
  <c r="U1336" i="2"/>
  <c r="W1336" i="2"/>
  <c r="AG1336" i="2"/>
  <c r="M1321" i="2"/>
  <c r="AE1336" i="2"/>
  <c r="AI1336" i="2"/>
  <c r="R1336" i="2"/>
  <c r="Y1336" i="2"/>
  <c r="T1336" i="2"/>
  <c r="Z1336" i="2"/>
  <c r="P1336" i="2"/>
  <c r="V1336" i="2"/>
  <c r="AF1231" i="2"/>
  <c r="AI1231" i="2"/>
  <c r="U1231" i="2"/>
  <c r="AD1231" i="2"/>
  <c r="Q1231" i="2"/>
  <c r="AC1231" i="2"/>
  <c r="AB1231" i="2"/>
  <c r="X1231" i="2"/>
  <c r="S1231" i="2"/>
  <c r="R1231" i="2"/>
  <c r="AG1231" i="2"/>
  <c r="AH1231" i="2"/>
  <c r="P1231" i="2"/>
  <c r="V1231" i="2"/>
  <c r="Z1231" i="2"/>
  <c r="T1231" i="2"/>
  <c r="AA1231" i="2"/>
  <c r="AE1231" i="2"/>
  <c r="M1216" i="2"/>
  <c r="Y1231" i="2"/>
  <c r="W1231" i="2"/>
  <c r="AA139" i="2"/>
  <c r="AI139" i="2"/>
  <c r="AF139" i="2"/>
  <c r="AC139" i="2"/>
  <c r="T139" i="2"/>
  <c r="Q139" i="2"/>
  <c r="AD139" i="2"/>
  <c r="AB139" i="2"/>
  <c r="U139" i="2"/>
  <c r="W139" i="2"/>
  <c r="Z139" i="2"/>
  <c r="AH139" i="2"/>
  <c r="M124" i="2"/>
  <c r="R139" i="2"/>
  <c r="AG139" i="2"/>
  <c r="V139" i="2"/>
  <c r="S139" i="2"/>
  <c r="X139" i="2"/>
  <c r="P139" i="2"/>
  <c r="Y139" i="2"/>
  <c r="AE139" i="2"/>
  <c r="S538" i="2"/>
  <c r="AI538" i="2"/>
  <c r="AA538" i="2"/>
  <c r="Q538" i="2"/>
  <c r="Z538" i="2"/>
  <c r="AE538" i="2"/>
  <c r="Y538" i="2"/>
  <c r="AC538" i="2"/>
  <c r="P538" i="2"/>
  <c r="U538" i="2"/>
  <c r="X538" i="2"/>
  <c r="W538" i="2"/>
  <c r="R538" i="2"/>
  <c r="AF538" i="2"/>
  <c r="V538" i="2"/>
  <c r="AB538" i="2"/>
  <c r="T538" i="2"/>
  <c r="M523" i="2"/>
  <c r="AG538" i="2"/>
  <c r="AD538" i="2"/>
  <c r="AH538" i="2"/>
  <c r="AE1756" i="2"/>
  <c r="AD1756" i="2"/>
  <c r="AI1756" i="2"/>
  <c r="AF1756" i="2"/>
  <c r="Z1756" i="2"/>
  <c r="AA1756" i="2"/>
  <c r="AH1756" i="2"/>
  <c r="M1741" i="2"/>
  <c r="R1756" i="2"/>
  <c r="X1756" i="2"/>
  <c r="S1756" i="2"/>
  <c r="AC1756" i="2"/>
  <c r="V1756" i="2"/>
  <c r="P1756" i="2"/>
  <c r="W1756" i="2"/>
  <c r="Q1756" i="2"/>
  <c r="AB1756" i="2"/>
  <c r="AG1756" i="2"/>
  <c r="Y1756" i="2"/>
  <c r="U1756" i="2"/>
  <c r="T1756" i="2"/>
  <c r="Y706" i="2"/>
  <c r="T706" i="2"/>
  <c r="AH706" i="2"/>
  <c r="U706" i="2"/>
  <c r="AI706" i="2"/>
  <c r="Z706" i="2"/>
  <c r="AG706" i="2"/>
  <c r="X706" i="2"/>
  <c r="W706" i="2"/>
  <c r="P706" i="2"/>
  <c r="Q706" i="2"/>
  <c r="M691" i="2"/>
  <c r="AE706" i="2"/>
  <c r="AB706" i="2"/>
  <c r="AF706" i="2"/>
  <c r="AA706" i="2"/>
  <c r="R706" i="2"/>
  <c r="S706" i="2"/>
  <c r="AC706" i="2"/>
  <c r="V706" i="2"/>
  <c r="AD706" i="2"/>
  <c r="V20" i="2"/>
  <c r="Q262" i="2" l="1"/>
  <c r="I71" i="2"/>
  <c r="H367" i="2"/>
  <c r="J367" i="2" s="1"/>
  <c r="P516" i="2"/>
  <c r="H176" i="2"/>
  <c r="J176" i="2" s="1"/>
  <c r="E121" i="14"/>
  <c r="F121" i="14" s="1"/>
  <c r="E122" i="14" s="1"/>
  <c r="F122" i="14" s="1"/>
  <c r="E123" i="14" s="1"/>
  <c r="F123" i="14" s="1"/>
  <c r="G124" i="14" s="1"/>
  <c r="F109" i="14"/>
  <c r="E110" i="14" s="1"/>
  <c r="F110" i="14" s="1"/>
  <c r="F111" i="14" s="1"/>
  <c r="G112" i="14" s="1"/>
  <c r="F18" i="17"/>
  <c r="E121" i="23"/>
  <c r="F121" i="23" s="1"/>
  <c r="E122" i="23" s="1"/>
  <c r="F122" i="23" s="1"/>
  <c r="E123" i="23" s="1"/>
  <c r="F123" i="23" s="1"/>
  <c r="G124" i="23" s="1"/>
  <c r="E115" i="23"/>
  <c r="F115" i="23" s="1"/>
  <c r="F116" i="23" s="1"/>
  <c r="E117" i="23" s="1"/>
  <c r="F117" i="23" s="1"/>
  <c r="G118" i="23" s="1"/>
  <c r="F109" i="23"/>
  <c r="E110" i="23" s="1"/>
  <c r="F110" i="23" s="1"/>
  <c r="F111" i="23" s="1"/>
  <c r="G112" i="23" s="1"/>
  <c r="Z32" i="27"/>
  <c r="AA32" i="27" s="1"/>
  <c r="X33" i="27"/>
  <c r="AB32" i="27"/>
  <c r="AC32" i="27" s="1"/>
  <c r="J617" i="2"/>
  <c r="Q616" i="2"/>
  <c r="P619" i="2" s="1"/>
  <c r="P599" i="2"/>
  <c r="Q600" i="2"/>
  <c r="Q599" i="2" s="1"/>
  <c r="R600" i="2"/>
  <c r="R599" i="2" s="1"/>
  <c r="I598" i="2"/>
  <c r="P515" i="2"/>
  <c r="I514" i="2"/>
  <c r="T516" i="2"/>
  <c r="T515" i="2" s="1"/>
  <c r="Q516" i="2"/>
  <c r="Q515" i="2" s="1"/>
  <c r="R516" i="2"/>
  <c r="R515" i="2" s="1"/>
  <c r="S516" i="2"/>
  <c r="S515" i="2" s="1"/>
  <c r="P490" i="2"/>
  <c r="I491" i="2" s="1"/>
  <c r="H491" i="2"/>
  <c r="J491" i="2" s="1"/>
  <c r="P472" i="2"/>
  <c r="P471" i="2" s="1"/>
  <c r="Q472" i="2"/>
  <c r="I470" i="2"/>
  <c r="S472" i="2"/>
  <c r="S471" i="2" s="1"/>
  <c r="F115" i="14"/>
  <c r="F116" i="14" s="1"/>
  <c r="E117" i="14" s="1"/>
  <c r="F117" i="14" s="1"/>
  <c r="G118" i="14" s="1"/>
  <c r="X20" i="16"/>
  <c r="AB20" i="16" s="1"/>
  <c r="AC20" i="16" s="1"/>
  <c r="R385" i="2"/>
  <c r="Q385" i="2"/>
  <c r="S385" i="2"/>
  <c r="H386" i="2"/>
  <c r="J386" i="2" s="1"/>
  <c r="Q366" i="2"/>
  <c r="I367" i="2" s="1"/>
  <c r="R366" i="2"/>
  <c r="Q345" i="2"/>
  <c r="J344" i="2"/>
  <c r="R346" i="2"/>
  <c r="P346" i="2"/>
  <c r="Q324" i="2"/>
  <c r="P327" i="2" s="1"/>
  <c r="H325" i="2"/>
  <c r="J325" i="2" s="1"/>
  <c r="Q301" i="2"/>
  <c r="S301" i="2"/>
  <c r="R301" i="2"/>
  <c r="H302" i="2"/>
  <c r="J302" i="2" s="1"/>
  <c r="S280" i="2"/>
  <c r="Q280" i="2"/>
  <c r="R280" i="2"/>
  <c r="P280" i="2"/>
  <c r="Q283" i="2" s="1"/>
  <c r="H281" i="2"/>
  <c r="J281" i="2" s="1"/>
  <c r="Q261" i="2"/>
  <c r="P261" i="2"/>
  <c r="S262" i="2"/>
  <c r="J260" i="2"/>
  <c r="I260" i="2"/>
  <c r="R262" i="2"/>
  <c r="J239" i="2"/>
  <c r="R238" i="2"/>
  <c r="Q238" i="2"/>
  <c r="S238" i="2"/>
  <c r="Q217" i="2"/>
  <c r="S220" i="2" s="1"/>
  <c r="R217" i="2"/>
  <c r="Q196" i="2"/>
  <c r="R196" i="2"/>
  <c r="S196" i="2"/>
  <c r="H197" i="2"/>
  <c r="J197" i="2" s="1"/>
  <c r="T175" i="2"/>
  <c r="S175" i="2"/>
  <c r="R175" i="2"/>
  <c r="U175" i="2"/>
  <c r="S154" i="2"/>
  <c r="Q154" i="2"/>
  <c r="H155" i="2"/>
  <c r="J155" i="2" s="1"/>
  <c r="R154" i="2"/>
  <c r="Q112" i="2"/>
  <c r="R115" i="2" s="1"/>
  <c r="R112" i="2"/>
  <c r="H113" i="2"/>
  <c r="J113" i="2" s="1"/>
  <c r="I113" i="2"/>
  <c r="Q91" i="2"/>
  <c r="R91" i="2"/>
  <c r="S91" i="2"/>
  <c r="U91" i="2"/>
  <c r="H92" i="2"/>
  <c r="T91" i="2"/>
  <c r="P72" i="2"/>
  <c r="R73" i="2"/>
  <c r="Q73" i="2"/>
  <c r="P49" i="2"/>
  <c r="H50" i="2"/>
  <c r="J50" i="2" s="1"/>
  <c r="R49" i="2"/>
  <c r="Q49" i="2"/>
  <c r="B5" i="12"/>
  <c r="E3" i="12"/>
  <c r="P52" i="2" l="1"/>
  <c r="P157" i="2"/>
  <c r="H262" i="2"/>
  <c r="H73" i="2"/>
  <c r="J73" i="2" s="1"/>
  <c r="P199" i="2"/>
  <c r="P283" i="2"/>
  <c r="P388" i="2"/>
  <c r="P387" i="2" s="1"/>
  <c r="S178" i="2"/>
  <c r="R304" i="2"/>
  <c r="Q52" i="2"/>
  <c r="T178" i="2"/>
  <c r="Q241" i="2"/>
  <c r="G126" i="23"/>
  <c r="Z33" i="27"/>
  <c r="AA33" i="27" s="1"/>
  <c r="X34" i="27"/>
  <c r="AB33" i="27"/>
  <c r="AC33" i="27" s="1"/>
  <c r="G126" i="14"/>
  <c r="P618" i="2"/>
  <c r="R619" i="2"/>
  <c r="R618" i="2" s="1"/>
  <c r="I617" i="2"/>
  <c r="Q619" i="2"/>
  <c r="H600" i="2"/>
  <c r="J600" i="2" s="1"/>
  <c r="I600" i="2"/>
  <c r="H516" i="2"/>
  <c r="J516" i="2" s="1"/>
  <c r="I516" i="2"/>
  <c r="P493" i="2"/>
  <c r="R493" i="2"/>
  <c r="R492" i="2" s="1"/>
  <c r="Q493" i="2"/>
  <c r="Q492" i="2" s="1"/>
  <c r="Q471" i="2"/>
  <c r="R474" i="2" s="1"/>
  <c r="R473" i="2" s="1"/>
  <c r="H472" i="2"/>
  <c r="J472" i="2" s="1"/>
  <c r="I472" i="2"/>
  <c r="X21" i="16"/>
  <c r="AB21" i="16" s="1"/>
  <c r="AC21" i="16" s="1"/>
  <c r="Q388" i="2"/>
  <c r="S388" i="2"/>
  <c r="I386" i="2"/>
  <c r="R388" i="2"/>
  <c r="Q369" i="2"/>
  <c r="Q368" i="2" s="1"/>
  <c r="P369" i="2"/>
  <c r="R369" i="2"/>
  <c r="R368" i="2" s="1"/>
  <c r="P345" i="2"/>
  <c r="H346" i="2"/>
  <c r="R345" i="2"/>
  <c r="R348" i="2" s="1"/>
  <c r="R347" i="2" s="1"/>
  <c r="P326" i="2"/>
  <c r="R327" i="2"/>
  <c r="R326" i="2" s="1"/>
  <c r="I325" i="2"/>
  <c r="Q327" i="2"/>
  <c r="Q326" i="2" s="1"/>
  <c r="R303" i="2"/>
  <c r="S304" i="2"/>
  <c r="I302" i="2"/>
  <c r="P304" i="2"/>
  <c r="Q304" i="2"/>
  <c r="Q282" i="2"/>
  <c r="P282" i="2"/>
  <c r="R283" i="2"/>
  <c r="I281" i="2"/>
  <c r="T283" i="2"/>
  <c r="S283" i="2"/>
  <c r="J262" i="2"/>
  <c r="S261" i="2"/>
  <c r="S264" i="2" s="1"/>
  <c r="S263" i="2" s="1"/>
  <c r="R261" i="2"/>
  <c r="Q240" i="2"/>
  <c r="I239" i="2"/>
  <c r="R241" i="2"/>
  <c r="P241" i="2"/>
  <c r="S241" i="2"/>
  <c r="S219" i="2"/>
  <c r="P220" i="2"/>
  <c r="Q220" i="2"/>
  <c r="R220" i="2"/>
  <c r="I218" i="2"/>
  <c r="P198" i="2"/>
  <c r="S199" i="2"/>
  <c r="R199" i="2"/>
  <c r="Q199" i="2"/>
  <c r="I197" i="2"/>
  <c r="S177" i="2"/>
  <c r="T177" i="2"/>
  <c r="U178" i="2"/>
  <c r="I176" i="2"/>
  <c r="P178" i="2"/>
  <c r="R178" i="2"/>
  <c r="Q178" i="2"/>
  <c r="P156" i="2"/>
  <c r="R157" i="2"/>
  <c r="Q157" i="2"/>
  <c r="I155" i="2"/>
  <c r="S157" i="2"/>
  <c r="R114" i="2"/>
  <c r="P115" i="2"/>
  <c r="Q115" i="2"/>
  <c r="T94" i="2"/>
  <c r="R94" i="2"/>
  <c r="J92" i="2"/>
  <c r="T93" i="2"/>
  <c r="R93" i="2"/>
  <c r="S94" i="2"/>
  <c r="I92" i="2"/>
  <c r="U94" i="2"/>
  <c r="P94" i="2"/>
  <c r="Q94" i="2"/>
  <c r="Q72" i="2"/>
  <c r="R72" i="2"/>
  <c r="Q51" i="2"/>
  <c r="P51" i="2"/>
  <c r="R52" i="2"/>
  <c r="H52" i="2" s="1"/>
  <c r="J52" i="2" s="1"/>
  <c r="I50" i="2"/>
  <c r="S20" i="2"/>
  <c r="T20" i="2"/>
  <c r="Z20" i="2"/>
  <c r="AA20" i="2"/>
  <c r="AB20" i="2"/>
  <c r="AC20" i="2"/>
  <c r="AD20" i="2"/>
  <c r="AE20" i="2"/>
  <c r="AF20" i="2"/>
  <c r="AG20" i="2"/>
  <c r="AH20" i="2"/>
  <c r="AI20" i="2"/>
  <c r="R75" i="2" l="1"/>
  <c r="R74" i="2" s="1"/>
  <c r="P264" i="2"/>
  <c r="Z34" i="27"/>
  <c r="AA34" i="27" s="1"/>
  <c r="X35" i="27"/>
  <c r="AB34" i="27"/>
  <c r="AC34" i="27" s="1"/>
  <c r="Q618" i="2"/>
  <c r="P621" i="2" s="1"/>
  <c r="H619" i="2"/>
  <c r="AA601" i="2"/>
  <c r="T601" i="2"/>
  <c r="AI601" i="2"/>
  <c r="Y601" i="2"/>
  <c r="S601" i="2"/>
  <c r="P601" i="2"/>
  <c r="Q601" i="2"/>
  <c r="AG601" i="2"/>
  <c r="X601" i="2"/>
  <c r="V601" i="2"/>
  <c r="AC601" i="2"/>
  <c r="W601" i="2"/>
  <c r="AE601" i="2"/>
  <c r="U601" i="2"/>
  <c r="AB601" i="2"/>
  <c r="AF601" i="2"/>
  <c r="AD601" i="2"/>
  <c r="R601" i="2"/>
  <c r="AH601" i="2"/>
  <c r="M586" i="2"/>
  <c r="Z601" i="2"/>
  <c r="W517" i="2"/>
  <c r="Z517" i="2"/>
  <c r="V517" i="2"/>
  <c r="X517" i="2"/>
  <c r="R517" i="2"/>
  <c r="AH517" i="2"/>
  <c r="M502" i="2"/>
  <c r="Q517" i="2"/>
  <c r="AC517" i="2"/>
  <c r="AB517" i="2"/>
  <c r="AI517" i="2"/>
  <c r="AA517" i="2"/>
  <c r="AE517" i="2"/>
  <c r="AG517" i="2"/>
  <c r="AD517" i="2"/>
  <c r="P517" i="2"/>
  <c r="U517" i="2"/>
  <c r="AF517" i="2"/>
  <c r="S517" i="2"/>
  <c r="T517" i="2"/>
  <c r="Y517" i="2"/>
  <c r="P492" i="2"/>
  <c r="I493" i="2" s="1"/>
  <c r="H493" i="2"/>
  <c r="J493" i="2" s="1"/>
  <c r="S474" i="2"/>
  <c r="S473" i="2" s="1"/>
  <c r="Q474" i="2"/>
  <c r="Q473" i="2" s="1"/>
  <c r="P474" i="2"/>
  <c r="X22" i="16"/>
  <c r="AB22" i="16" s="1"/>
  <c r="AC22" i="16" s="1"/>
  <c r="R387" i="2"/>
  <c r="S387" i="2"/>
  <c r="Q387" i="2"/>
  <c r="P390" i="2" s="1"/>
  <c r="H388" i="2"/>
  <c r="J388" i="2" s="1"/>
  <c r="P368" i="2"/>
  <c r="I369" i="2" s="1"/>
  <c r="H369" i="2"/>
  <c r="J369" i="2" s="1"/>
  <c r="P348" i="2"/>
  <c r="J346" i="2"/>
  <c r="I346" i="2"/>
  <c r="Q348" i="2"/>
  <c r="Q347" i="2" s="1"/>
  <c r="H327" i="2"/>
  <c r="J327" i="2" s="1"/>
  <c r="I327" i="2"/>
  <c r="P303" i="2"/>
  <c r="H304" i="2"/>
  <c r="J304" i="2" s="1"/>
  <c r="Q303" i="2"/>
  <c r="S303" i="2"/>
  <c r="R282" i="2"/>
  <c r="H283" i="2"/>
  <c r="J283" i="2" s="1"/>
  <c r="T282" i="2"/>
  <c r="S282" i="2"/>
  <c r="S285" i="2" s="1"/>
  <c r="S284" i="2" s="1"/>
  <c r="P263" i="2"/>
  <c r="R264" i="2"/>
  <c r="R263" i="2" s="1"/>
  <c r="Q264" i="2"/>
  <c r="Q263" i="2" s="1"/>
  <c r="I262" i="2"/>
  <c r="P240" i="2"/>
  <c r="H241" i="2"/>
  <c r="S240" i="2"/>
  <c r="R240" i="2"/>
  <c r="P243" i="2" s="1"/>
  <c r="Q219" i="2"/>
  <c r="R219" i="2"/>
  <c r="P219" i="2"/>
  <c r="H220" i="2"/>
  <c r="J220" i="2" s="1"/>
  <c r="Q198" i="2"/>
  <c r="R198" i="2"/>
  <c r="H199" i="2"/>
  <c r="J199" i="2" s="1"/>
  <c r="S198" i="2"/>
  <c r="I199" i="2" s="1"/>
  <c r="P177" i="2"/>
  <c r="H178" i="2"/>
  <c r="J178" i="2" s="1"/>
  <c r="U177" i="2"/>
  <c r="R177" i="2"/>
  <c r="Q177" i="2"/>
  <c r="Q156" i="2"/>
  <c r="R156" i="2"/>
  <c r="S156" i="2"/>
  <c r="I157" i="2" s="1"/>
  <c r="H157" i="2"/>
  <c r="J157" i="2" s="1"/>
  <c r="P114" i="2"/>
  <c r="H115" i="2"/>
  <c r="J115" i="2" s="1"/>
  <c r="Q114" i="2"/>
  <c r="S93" i="2"/>
  <c r="Q93" i="2"/>
  <c r="P93" i="2"/>
  <c r="H94" i="2"/>
  <c r="U93" i="2"/>
  <c r="Q75" i="2"/>
  <c r="Q74" i="2" s="1"/>
  <c r="P75" i="2"/>
  <c r="I73" i="2"/>
  <c r="R51" i="2"/>
  <c r="I52" i="2" s="1"/>
  <c r="E3" i="11"/>
  <c r="B5" i="11"/>
  <c r="C5" i="11" s="1"/>
  <c r="P104" i="10"/>
  <c r="P105" i="10"/>
  <c r="S306" i="2" l="1"/>
  <c r="S305" i="2" s="1"/>
  <c r="I619" i="2"/>
  <c r="R159" i="2"/>
  <c r="R158" i="2" s="1"/>
  <c r="R201" i="2"/>
  <c r="R200" i="2" s="1"/>
  <c r="P117" i="2"/>
  <c r="P180" i="2"/>
  <c r="R621" i="2"/>
  <c r="R620" i="2" s="1"/>
  <c r="AB35" i="27"/>
  <c r="AC35" i="27" s="1"/>
  <c r="Z35" i="27"/>
  <c r="AA35" i="27" s="1"/>
  <c r="X36" i="27"/>
  <c r="P620" i="2"/>
  <c r="J619" i="2"/>
  <c r="Q621" i="2"/>
  <c r="Q620" i="2" s="1"/>
  <c r="P495" i="2"/>
  <c r="R495" i="2"/>
  <c r="R494" i="2" s="1"/>
  <c r="Q495" i="2"/>
  <c r="Q494" i="2" s="1"/>
  <c r="P473" i="2"/>
  <c r="I474" i="2" s="1"/>
  <c r="H474" i="2"/>
  <c r="J474" i="2" s="1"/>
  <c r="X23" i="16"/>
  <c r="AB23" i="16" s="1"/>
  <c r="AC23" i="16" s="1"/>
  <c r="P389" i="2"/>
  <c r="Q390" i="2"/>
  <c r="Q389" i="2" s="1"/>
  <c r="S390" i="2"/>
  <c r="S389" i="2" s="1"/>
  <c r="I388" i="2"/>
  <c r="R390" i="2"/>
  <c r="R389" i="2" s="1"/>
  <c r="AC370" i="2"/>
  <c r="W370" i="2"/>
  <c r="R370" i="2"/>
  <c r="U370" i="2"/>
  <c r="AH370" i="2"/>
  <c r="AA370" i="2"/>
  <c r="AE370" i="2"/>
  <c r="AB370" i="2"/>
  <c r="P370" i="2"/>
  <c r="AI370" i="2"/>
  <c r="T370" i="2"/>
  <c r="V370" i="2"/>
  <c r="AF370" i="2"/>
  <c r="Z370" i="2"/>
  <c r="Y370" i="2"/>
  <c r="X370" i="2"/>
  <c r="Q370" i="2"/>
  <c r="AD370" i="2"/>
  <c r="AG370" i="2"/>
  <c r="S370" i="2"/>
  <c r="M355" i="2"/>
  <c r="P347" i="2"/>
  <c r="I348" i="2" s="1"/>
  <c r="H348" i="2"/>
  <c r="Y328" i="2"/>
  <c r="Q328" i="2"/>
  <c r="U328" i="2"/>
  <c r="AA328" i="2"/>
  <c r="P328" i="2"/>
  <c r="R328" i="2"/>
  <c r="AG328" i="2"/>
  <c r="V328" i="2"/>
  <c r="AH328" i="2"/>
  <c r="AE328" i="2"/>
  <c r="AC328" i="2"/>
  <c r="AF328" i="2"/>
  <c r="X328" i="2"/>
  <c r="W328" i="2"/>
  <c r="S328" i="2"/>
  <c r="AD328" i="2"/>
  <c r="AI328" i="2"/>
  <c r="T328" i="2"/>
  <c r="Z328" i="2"/>
  <c r="M313" i="2"/>
  <c r="AB328" i="2"/>
  <c r="Q306" i="2"/>
  <c r="Q305" i="2" s="1"/>
  <c r="P306" i="2"/>
  <c r="I304" i="2"/>
  <c r="R306" i="2"/>
  <c r="R305" i="2" s="1"/>
  <c r="I283" i="2"/>
  <c r="T285" i="2"/>
  <c r="T284" i="2" s="1"/>
  <c r="P285" i="2"/>
  <c r="Q285" i="2"/>
  <c r="Q284" i="2" s="1"/>
  <c r="R285" i="2"/>
  <c r="R284" i="2" s="1"/>
  <c r="H264" i="2"/>
  <c r="J264" i="2" s="1"/>
  <c r="I264" i="2"/>
  <c r="P242" i="2"/>
  <c r="R243" i="2"/>
  <c r="R242" i="2" s="1"/>
  <c r="S243" i="2"/>
  <c r="S242" i="2" s="1"/>
  <c r="J241" i="2"/>
  <c r="I241" i="2"/>
  <c r="Q243" i="2"/>
  <c r="Q242" i="2" s="1"/>
  <c r="I220" i="2"/>
  <c r="S222" i="2"/>
  <c r="S221" i="2" s="1"/>
  <c r="R222" i="2"/>
  <c r="R221" i="2" s="1"/>
  <c r="P222" i="2"/>
  <c r="Q222" i="2"/>
  <c r="Q221" i="2" s="1"/>
  <c r="S201" i="2"/>
  <c r="S200" i="2" s="1"/>
  <c r="P201" i="2"/>
  <c r="Q201" i="2"/>
  <c r="Q200" i="2" s="1"/>
  <c r="P179" i="2"/>
  <c r="Q180" i="2"/>
  <c r="Q179" i="2" s="1"/>
  <c r="U180" i="2"/>
  <c r="U179" i="2" s="1"/>
  <c r="R180" i="2"/>
  <c r="R179" i="2" s="1"/>
  <c r="I178" i="2"/>
  <c r="S180" i="2"/>
  <c r="S179" i="2" s="1"/>
  <c r="T180" i="2"/>
  <c r="T179" i="2" s="1"/>
  <c r="P159" i="2"/>
  <c r="S159" i="2"/>
  <c r="S158" i="2" s="1"/>
  <c r="Q159" i="2"/>
  <c r="Q158" i="2" s="1"/>
  <c r="P116" i="2"/>
  <c r="Q117" i="2"/>
  <c r="Q116" i="2" s="1"/>
  <c r="I115" i="2"/>
  <c r="R117" i="2"/>
  <c r="R116" i="2" s="1"/>
  <c r="J94" i="2"/>
  <c r="I94" i="2"/>
  <c r="T96" i="2"/>
  <c r="T95" i="2" s="1"/>
  <c r="R96" i="2"/>
  <c r="R95" i="2" s="1"/>
  <c r="U96" i="2"/>
  <c r="U95" i="2" s="1"/>
  <c r="Q96" i="2"/>
  <c r="Q95" i="2" s="1"/>
  <c r="P96" i="2"/>
  <c r="S96" i="2"/>
  <c r="S95" i="2" s="1"/>
  <c r="P74" i="2"/>
  <c r="I75" i="2" s="1"/>
  <c r="H75" i="2"/>
  <c r="J75" i="2" s="1"/>
  <c r="R54" i="2"/>
  <c r="R53" i="2" s="1"/>
  <c r="P54" i="2"/>
  <c r="Q54" i="2"/>
  <c r="Q53" i="2" s="1"/>
  <c r="D15" i="2"/>
  <c r="AB36" i="27" l="1"/>
  <c r="AC36" i="27" s="1"/>
  <c r="Z36" i="27"/>
  <c r="AA36" i="27" s="1"/>
  <c r="X37" i="27"/>
  <c r="H621" i="2"/>
  <c r="I621" i="2"/>
  <c r="P494" i="2"/>
  <c r="I495" i="2" s="1"/>
  <c r="H495" i="2"/>
  <c r="J495" i="2" s="1"/>
  <c r="Y475" i="2"/>
  <c r="M460" i="2"/>
  <c r="Q475" i="2"/>
  <c r="AE475" i="2"/>
  <c r="AI475" i="2"/>
  <c r="AC475" i="2"/>
  <c r="R475" i="2"/>
  <c r="T475" i="2"/>
  <c r="X475" i="2"/>
  <c r="U475" i="2"/>
  <c r="AH475" i="2"/>
  <c r="S475" i="2"/>
  <c r="Z475" i="2"/>
  <c r="AF475" i="2"/>
  <c r="AB475" i="2"/>
  <c r="AA475" i="2"/>
  <c r="P475" i="2"/>
  <c r="W475" i="2"/>
  <c r="AG475" i="2"/>
  <c r="AD475" i="2"/>
  <c r="V475" i="2"/>
  <c r="X24" i="16"/>
  <c r="AB24" i="16" s="1"/>
  <c r="AC24" i="16" s="1"/>
  <c r="H390" i="2"/>
  <c r="J390" i="2" s="1"/>
  <c r="I390" i="2"/>
  <c r="M381" i="2" s="1"/>
  <c r="M378" i="2" s="1"/>
  <c r="M372" i="2" s="1"/>
  <c r="J348" i="2"/>
  <c r="M340" i="2"/>
  <c r="M339" i="2"/>
  <c r="M336" i="2" s="1"/>
  <c r="M330" i="2" s="1"/>
  <c r="P305" i="2"/>
  <c r="I306" i="2" s="1"/>
  <c r="H306" i="2"/>
  <c r="J306" i="2" s="1"/>
  <c r="P284" i="2"/>
  <c r="I285" i="2" s="1"/>
  <c r="H285" i="2"/>
  <c r="J285" i="2" s="1"/>
  <c r="AD265" i="2"/>
  <c r="AE265" i="2"/>
  <c r="Z265" i="2"/>
  <c r="AH265" i="2"/>
  <c r="AB265" i="2"/>
  <c r="U265" i="2"/>
  <c r="S265" i="2"/>
  <c r="X265" i="2"/>
  <c r="AF265" i="2"/>
  <c r="V265" i="2"/>
  <c r="R265" i="2"/>
  <c r="M250" i="2"/>
  <c r="AC265" i="2"/>
  <c r="Q265" i="2"/>
  <c r="P265" i="2"/>
  <c r="W265" i="2"/>
  <c r="AI265" i="2"/>
  <c r="Y265" i="2"/>
  <c r="T265" i="2"/>
  <c r="AG265" i="2"/>
  <c r="AA265" i="2"/>
  <c r="M255" i="2"/>
  <c r="M252" i="2" s="1"/>
  <c r="M246" i="2" s="1"/>
  <c r="H243" i="2"/>
  <c r="I243" i="2"/>
  <c r="P221" i="2"/>
  <c r="I222" i="2" s="1"/>
  <c r="H222" i="2"/>
  <c r="P200" i="2"/>
  <c r="I201" i="2" s="1"/>
  <c r="H201" i="2"/>
  <c r="J201" i="2" s="1"/>
  <c r="H180" i="2"/>
  <c r="J180" i="2" s="1"/>
  <c r="I180" i="2"/>
  <c r="P158" i="2"/>
  <c r="I159" i="2" s="1"/>
  <c r="H159" i="2"/>
  <c r="J159" i="2" s="1"/>
  <c r="H117" i="2"/>
  <c r="J117" i="2" s="1"/>
  <c r="I117" i="2"/>
  <c r="P95" i="2"/>
  <c r="I96" i="2" s="1"/>
  <c r="H96" i="2"/>
  <c r="M88" i="2" s="1"/>
  <c r="U76" i="2"/>
  <c r="T76" i="2"/>
  <c r="AG76" i="2"/>
  <c r="P76" i="2"/>
  <c r="AB76" i="2"/>
  <c r="Y76" i="2"/>
  <c r="X76" i="2"/>
  <c r="AF76" i="2"/>
  <c r="AI76" i="2"/>
  <c r="W76" i="2"/>
  <c r="S76" i="2"/>
  <c r="R76" i="2"/>
  <c r="AD76" i="2"/>
  <c r="AA76" i="2"/>
  <c r="Z76" i="2"/>
  <c r="AH76" i="2"/>
  <c r="Q76" i="2"/>
  <c r="M61" i="2"/>
  <c r="V76" i="2"/>
  <c r="AE76" i="2"/>
  <c r="AC76" i="2"/>
  <c r="P53" i="2"/>
  <c r="I54" i="2" s="1"/>
  <c r="H54" i="2"/>
  <c r="J54" i="2" s="1"/>
  <c r="D16" i="2"/>
  <c r="D17" i="2" s="1"/>
  <c r="D18" i="2" s="1"/>
  <c r="D19" i="2" s="1"/>
  <c r="D20" i="2" s="1"/>
  <c r="D21" i="2" s="1"/>
  <c r="D22" i="2" s="1"/>
  <c r="D23" i="2" s="1"/>
  <c r="D24" i="2" s="1"/>
  <c r="D25" i="2" s="1"/>
  <c r="D26" i="2" s="1"/>
  <c r="D27" i="2" s="1"/>
  <c r="D28" i="2" s="1"/>
  <c r="D29" i="2" s="1"/>
  <c r="D30" i="2" s="1"/>
  <c r="D31" i="2" s="1"/>
  <c r="D32" i="2" s="1"/>
  <c r="D33" i="2" s="1"/>
  <c r="D34" i="2" s="1"/>
  <c r="C16" i="2"/>
  <c r="H15" i="2"/>
  <c r="J15" i="2"/>
  <c r="B16" i="2"/>
  <c r="E196" i="14" l="1"/>
  <c r="E196" i="23"/>
  <c r="F196" i="23" s="1"/>
  <c r="E28" i="14"/>
  <c r="E39" i="14" s="1"/>
  <c r="E28" i="23"/>
  <c r="E192" i="14"/>
  <c r="E192" i="23"/>
  <c r="E193" i="23" s="1"/>
  <c r="F193" i="23" s="1"/>
  <c r="X38" i="27"/>
  <c r="AB37" i="27"/>
  <c r="AC37" i="27" s="1"/>
  <c r="Z37" i="27"/>
  <c r="AA37" i="27" s="1"/>
  <c r="J621" i="2"/>
  <c r="M613" i="2"/>
  <c r="M612" i="2"/>
  <c r="M609" i="2" s="1"/>
  <c r="M603" i="2" s="1"/>
  <c r="Q496" i="2"/>
  <c r="AE496" i="2"/>
  <c r="AI496" i="2"/>
  <c r="W496" i="2"/>
  <c r="AH496" i="2"/>
  <c r="S496" i="2"/>
  <c r="AB496" i="2"/>
  <c r="U496" i="2"/>
  <c r="T496" i="2"/>
  <c r="Z496" i="2"/>
  <c r="AC496" i="2"/>
  <c r="P496" i="2"/>
  <c r="AD496" i="2"/>
  <c r="AA496" i="2"/>
  <c r="AF496" i="2"/>
  <c r="M481" i="2"/>
  <c r="R496" i="2"/>
  <c r="AG496" i="2"/>
  <c r="V496" i="2"/>
  <c r="Y496" i="2"/>
  <c r="X496" i="2"/>
  <c r="F28" i="14"/>
  <c r="X25" i="16"/>
  <c r="AB25" i="16" s="1"/>
  <c r="AC25" i="16" s="1"/>
  <c r="AC391" i="2"/>
  <c r="AF391" i="2"/>
  <c r="P391" i="2"/>
  <c r="Z391" i="2"/>
  <c r="T391" i="2"/>
  <c r="V391" i="2"/>
  <c r="AG391" i="2"/>
  <c r="AB391" i="2"/>
  <c r="AA391" i="2"/>
  <c r="AD391" i="2"/>
  <c r="AH391" i="2"/>
  <c r="S391" i="2"/>
  <c r="Q391" i="2"/>
  <c r="AI391" i="2"/>
  <c r="M376" i="2"/>
  <c r="W391" i="2"/>
  <c r="AE391" i="2"/>
  <c r="Y391" i="2"/>
  <c r="R391" i="2"/>
  <c r="U391" i="2"/>
  <c r="X391" i="2"/>
  <c r="AB349" i="2"/>
  <c r="AI349" i="2"/>
  <c r="R349" i="2"/>
  <c r="Z349" i="2"/>
  <c r="P349" i="2"/>
  <c r="V349" i="2"/>
  <c r="S349" i="2"/>
  <c r="AH349" i="2"/>
  <c r="AF349" i="2"/>
  <c r="X349" i="2"/>
  <c r="M334" i="2"/>
  <c r="AD349" i="2"/>
  <c r="AE349" i="2"/>
  <c r="U349" i="2"/>
  <c r="T349" i="2"/>
  <c r="Q349" i="2"/>
  <c r="W349" i="2"/>
  <c r="AA349" i="2"/>
  <c r="Y349" i="2"/>
  <c r="AC349" i="2"/>
  <c r="AG349" i="2"/>
  <c r="W307" i="2"/>
  <c r="R307" i="2"/>
  <c r="AB307" i="2"/>
  <c r="P307" i="2"/>
  <c r="S307" i="2"/>
  <c r="AG307" i="2"/>
  <c r="V307" i="2"/>
  <c r="Z307" i="2"/>
  <c r="T307" i="2"/>
  <c r="AI307" i="2"/>
  <c r="AC307" i="2"/>
  <c r="AD307" i="2"/>
  <c r="M292" i="2"/>
  <c r="AF307" i="2"/>
  <c r="U307" i="2"/>
  <c r="Q307" i="2"/>
  <c r="Y307" i="2"/>
  <c r="X307" i="2"/>
  <c r="AA307" i="2"/>
  <c r="AE307" i="2"/>
  <c r="AH307" i="2"/>
  <c r="AA286" i="2"/>
  <c r="AD286" i="2"/>
  <c r="V286" i="2"/>
  <c r="AG286" i="2"/>
  <c r="W286" i="2"/>
  <c r="Z286" i="2"/>
  <c r="AH286" i="2"/>
  <c r="AE286" i="2"/>
  <c r="Q286" i="2"/>
  <c r="X286" i="2"/>
  <c r="AC286" i="2"/>
  <c r="Y286" i="2"/>
  <c r="S286" i="2"/>
  <c r="P286" i="2"/>
  <c r="AI286" i="2"/>
  <c r="U286" i="2"/>
  <c r="T286" i="2"/>
  <c r="AB286" i="2"/>
  <c r="R286" i="2"/>
  <c r="AF286" i="2"/>
  <c r="M271" i="2"/>
  <c r="J243" i="2"/>
  <c r="M235" i="2"/>
  <c r="M234" i="2"/>
  <c r="M231" i="2" s="1"/>
  <c r="M225" i="2" s="1"/>
  <c r="J222" i="2"/>
  <c r="M213" i="2"/>
  <c r="M210" i="2" s="1"/>
  <c r="M204" i="2" s="1"/>
  <c r="AD202" i="2"/>
  <c r="W202" i="2"/>
  <c r="AG202" i="2"/>
  <c r="AB202" i="2"/>
  <c r="U202" i="2"/>
  <c r="V202" i="2"/>
  <c r="Z202" i="2"/>
  <c r="AE202" i="2"/>
  <c r="AA202" i="2"/>
  <c r="T202" i="2"/>
  <c r="X202" i="2"/>
  <c r="AI202" i="2"/>
  <c r="AC202" i="2"/>
  <c r="S202" i="2"/>
  <c r="P202" i="2"/>
  <c r="Q202" i="2"/>
  <c r="Y202" i="2"/>
  <c r="AH202" i="2"/>
  <c r="AF202" i="2"/>
  <c r="R202" i="2"/>
  <c r="M187" i="2"/>
  <c r="X181" i="2"/>
  <c r="U181" i="2"/>
  <c r="AF181" i="2"/>
  <c r="Z181" i="2"/>
  <c r="T181" i="2"/>
  <c r="P181" i="2"/>
  <c r="AD181" i="2"/>
  <c r="Q181" i="2"/>
  <c r="V181" i="2"/>
  <c r="AH181" i="2"/>
  <c r="AE181" i="2"/>
  <c r="M166" i="2"/>
  <c r="Y181" i="2"/>
  <c r="R181" i="2"/>
  <c r="AA181" i="2"/>
  <c r="AB181" i="2"/>
  <c r="S181" i="2"/>
  <c r="AC181" i="2"/>
  <c r="AG181" i="2"/>
  <c r="AI181" i="2"/>
  <c r="W181" i="2"/>
  <c r="U160" i="2"/>
  <c r="M145" i="2"/>
  <c r="W160" i="2"/>
  <c r="X160" i="2"/>
  <c r="P160" i="2"/>
  <c r="AI160" i="2"/>
  <c r="AH160" i="2"/>
  <c r="Z160" i="2"/>
  <c r="AF160" i="2"/>
  <c r="S160" i="2"/>
  <c r="T160" i="2"/>
  <c r="Y160" i="2"/>
  <c r="Q160" i="2"/>
  <c r="AG160" i="2"/>
  <c r="AB160" i="2"/>
  <c r="AA160" i="2"/>
  <c r="AD160" i="2"/>
  <c r="V160" i="2"/>
  <c r="AC160" i="2"/>
  <c r="R160" i="2"/>
  <c r="AE160" i="2"/>
  <c r="AD118" i="2"/>
  <c r="U118" i="2"/>
  <c r="AI118" i="2"/>
  <c r="W118" i="2"/>
  <c r="V118" i="2"/>
  <c r="AF118" i="2"/>
  <c r="X118" i="2"/>
  <c r="P118" i="2"/>
  <c r="AC118" i="2"/>
  <c r="AG118" i="2"/>
  <c r="AB118" i="2"/>
  <c r="Z118" i="2"/>
  <c r="S118" i="2"/>
  <c r="T118" i="2"/>
  <c r="R118" i="2"/>
  <c r="AA118" i="2"/>
  <c r="Y118" i="2"/>
  <c r="AH118" i="2"/>
  <c r="M103" i="2"/>
  <c r="Q118" i="2"/>
  <c r="AE118" i="2"/>
  <c r="M87" i="2"/>
  <c r="M84" i="2" s="1"/>
  <c r="M78" i="2" s="1"/>
  <c r="J96" i="2"/>
  <c r="AH55" i="2"/>
  <c r="W55" i="2"/>
  <c r="AC55" i="2"/>
  <c r="P55" i="2"/>
  <c r="AE55" i="2"/>
  <c r="V55" i="2"/>
  <c r="Y55" i="2"/>
  <c r="T55" i="2"/>
  <c r="AD55" i="2"/>
  <c r="X55" i="2"/>
  <c r="U55" i="2"/>
  <c r="AB55" i="2"/>
  <c r="S55" i="2"/>
  <c r="AG55" i="2"/>
  <c r="AA55" i="2"/>
  <c r="Z55" i="2"/>
  <c r="M40" i="2"/>
  <c r="Q55" i="2"/>
  <c r="AI55" i="2"/>
  <c r="AF55" i="2"/>
  <c r="R55" i="2"/>
  <c r="B17" i="2"/>
  <c r="B18" i="2" s="1"/>
  <c r="H21" i="2"/>
  <c r="M30" i="2"/>
  <c r="M29" i="2"/>
  <c r="M22" i="2"/>
  <c r="M28" i="2"/>
  <c r="M27" i="2"/>
  <c r="Y20" i="2"/>
  <c r="E40" i="14" l="1"/>
  <c r="F40" i="14" s="1"/>
  <c r="E40" i="23"/>
  <c r="F40" i="23" s="1"/>
  <c r="E205" i="14"/>
  <c r="E206" i="14" s="1"/>
  <c r="F206" i="14" s="1"/>
  <c r="G207" i="14" s="1"/>
  <c r="G209" i="14" s="1"/>
  <c r="E205" i="23"/>
  <c r="E206" i="23" s="1"/>
  <c r="F206" i="23" s="1"/>
  <c r="G207" i="23" s="1"/>
  <c r="G209" i="23" s="1"/>
  <c r="E39" i="23"/>
  <c r="F28" i="23"/>
  <c r="E27" i="14"/>
  <c r="E38" i="14" s="1"/>
  <c r="F38" i="14" s="1"/>
  <c r="E27" i="23"/>
  <c r="E131" i="14"/>
  <c r="E137" i="14" s="1"/>
  <c r="E131" i="23"/>
  <c r="Z38" i="27"/>
  <c r="AA38" i="27" s="1"/>
  <c r="X39" i="27"/>
  <c r="AB38" i="27"/>
  <c r="AC38" i="27" s="1"/>
  <c r="Z622" i="2"/>
  <c r="AI622" i="2"/>
  <c r="X622" i="2"/>
  <c r="T622" i="2"/>
  <c r="Y622" i="2"/>
  <c r="AG622" i="2"/>
  <c r="AE622" i="2"/>
  <c r="AB622" i="2"/>
  <c r="AC622" i="2"/>
  <c r="U622" i="2"/>
  <c r="S622" i="2"/>
  <c r="AF622" i="2"/>
  <c r="AH622" i="2"/>
  <c r="R622" i="2"/>
  <c r="Q622" i="2"/>
  <c r="AD622" i="2"/>
  <c r="P622" i="2"/>
  <c r="V622" i="2"/>
  <c r="M607" i="2"/>
  <c r="AA622" i="2"/>
  <c r="W622" i="2"/>
  <c r="F131" i="14"/>
  <c r="E143" i="14"/>
  <c r="F143" i="14" s="1"/>
  <c r="E144" i="14" s="1"/>
  <c r="F144" i="14" s="1"/>
  <c r="E145" i="14" s="1"/>
  <c r="F145" i="14" s="1"/>
  <c r="G146" i="14" s="1"/>
  <c r="E49" i="14"/>
  <c r="F49" i="14" s="1"/>
  <c r="E50" i="14" s="1"/>
  <c r="F50" i="14" s="1"/>
  <c r="G51" i="14" s="1"/>
  <c r="F39" i="14"/>
  <c r="X26" i="16"/>
  <c r="AB26" i="16" s="1"/>
  <c r="AC26" i="16" s="1"/>
  <c r="AH244" i="2"/>
  <c r="AF244" i="2"/>
  <c r="AI244" i="2"/>
  <c r="AB244" i="2"/>
  <c r="Z244" i="2"/>
  <c r="AE244" i="2"/>
  <c r="V244" i="2"/>
  <c r="W244" i="2"/>
  <c r="T244" i="2"/>
  <c r="Q244" i="2"/>
  <c r="S244" i="2"/>
  <c r="AD244" i="2"/>
  <c r="AG244" i="2"/>
  <c r="AA244" i="2"/>
  <c r="P244" i="2"/>
  <c r="R244" i="2"/>
  <c r="X244" i="2"/>
  <c r="U244" i="2"/>
  <c r="Y244" i="2"/>
  <c r="M229" i="2"/>
  <c r="AC244" i="2"/>
  <c r="T223" i="2"/>
  <c r="AB223" i="2"/>
  <c r="AG223" i="2"/>
  <c r="V223" i="2"/>
  <c r="S223" i="2"/>
  <c r="W223" i="2"/>
  <c r="M208" i="2"/>
  <c r="AI223" i="2"/>
  <c r="AA223" i="2"/>
  <c r="X223" i="2"/>
  <c r="Y223" i="2"/>
  <c r="AC223" i="2"/>
  <c r="AD223" i="2"/>
  <c r="Z223" i="2"/>
  <c r="R223" i="2"/>
  <c r="AH223" i="2"/>
  <c r="U223" i="2"/>
  <c r="AF223" i="2"/>
  <c r="Q223" i="2"/>
  <c r="AE223" i="2"/>
  <c r="P223" i="2"/>
  <c r="AG97" i="2"/>
  <c r="AB97" i="2"/>
  <c r="AH97" i="2"/>
  <c r="V97" i="2"/>
  <c r="AD97" i="2"/>
  <c r="AI97" i="2"/>
  <c r="R97" i="2"/>
  <c r="Y97" i="2"/>
  <c r="M82" i="2"/>
  <c r="Q97" i="2"/>
  <c r="U97" i="2"/>
  <c r="Z97" i="2"/>
  <c r="AE97" i="2"/>
  <c r="T97" i="2"/>
  <c r="P97" i="2"/>
  <c r="AF97" i="2"/>
  <c r="AA97" i="2"/>
  <c r="S97" i="2"/>
  <c r="X97" i="2"/>
  <c r="AC97" i="2"/>
  <c r="W97" i="2"/>
  <c r="B19" i="2"/>
  <c r="B20" i="2" s="1"/>
  <c r="W20" i="2"/>
  <c r="X20" i="2"/>
  <c r="C17" i="2"/>
  <c r="C18" i="2" s="1"/>
  <c r="F27" i="14" l="1"/>
  <c r="E29" i="14" s="1"/>
  <c r="E38" i="23"/>
  <c r="F38" i="23" s="1"/>
  <c r="F27" i="23"/>
  <c r="E29" i="23" s="1"/>
  <c r="F29" i="23" s="1"/>
  <c r="G30" i="23" s="1"/>
  <c r="F39" i="23"/>
  <c r="E49" i="23"/>
  <c r="F49" i="23" s="1"/>
  <c r="E50" i="23" s="1"/>
  <c r="F50" i="23" s="1"/>
  <c r="G51" i="23" s="1"/>
  <c r="E143" i="23"/>
  <c r="F143" i="23" s="1"/>
  <c r="E144" i="23" s="1"/>
  <c r="F144" i="23" s="1"/>
  <c r="E145" i="23" s="1"/>
  <c r="F145" i="23" s="1"/>
  <c r="G146" i="23" s="1"/>
  <c r="E137" i="23"/>
  <c r="F137" i="23" s="1"/>
  <c r="F138" i="23" s="1"/>
  <c r="E139" i="23" s="1"/>
  <c r="F139" i="23" s="1"/>
  <c r="G140" i="23" s="1"/>
  <c r="F131" i="23"/>
  <c r="E132" i="23" s="1"/>
  <c r="F132" i="23" s="1"/>
  <c r="F133" i="23" s="1"/>
  <c r="G134" i="23" s="1"/>
  <c r="AB39" i="27"/>
  <c r="AC39" i="27" s="1"/>
  <c r="Z39" i="27"/>
  <c r="AA39" i="27" s="1"/>
  <c r="X40" i="27"/>
  <c r="M18" i="2"/>
  <c r="E132" i="14"/>
  <c r="F132" i="14" s="1"/>
  <c r="F133" i="14" s="1"/>
  <c r="G134" i="14" s="1"/>
  <c r="F137" i="14"/>
  <c r="F138" i="14" s="1"/>
  <c r="E139" i="14" s="1"/>
  <c r="F139" i="14" s="1"/>
  <c r="G140" i="14" s="1"/>
  <c r="G148" i="14" s="1"/>
  <c r="E41" i="14"/>
  <c r="F41" i="14" s="1"/>
  <c r="G42" i="14" s="1"/>
  <c r="X27" i="16"/>
  <c r="AB27" i="16" s="1"/>
  <c r="AC27" i="16" s="1"/>
  <c r="P23" i="2"/>
  <c r="P22" i="2" s="1"/>
  <c r="M26" i="2"/>
  <c r="S23" i="2"/>
  <c r="S22" i="2" s="1"/>
  <c r="R23" i="2"/>
  <c r="R22" i="2" s="1"/>
  <c r="Q23" i="2"/>
  <c r="Q22" i="2" s="1"/>
  <c r="I21" i="2"/>
  <c r="B21" i="2"/>
  <c r="C19" i="2"/>
  <c r="G148" i="23" l="1"/>
  <c r="E41" i="23"/>
  <c r="F41" i="23" s="1"/>
  <c r="G42" i="23" s="1"/>
  <c r="G59" i="23" s="1"/>
  <c r="AB40" i="27"/>
  <c r="AC40" i="27" s="1"/>
  <c r="Z40" i="27"/>
  <c r="AA40" i="27" s="1"/>
  <c r="X41" i="27"/>
  <c r="X28" i="16"/>
  <c r="AB28" i="16" s="1"/>
  <c r="AC28" i="16" s="1"/>
  <c r="B22" i="2"/>
  <c r="B23" i="2" s="1"/>
  <c r="B24" i="2" s="1"/>
  <c r="B25" i="2" s="1"/>
  <c r="B26" i="2" s="1"/>
  <c r="B27" i="2" s="1"/>
  <c r="B28" i="2" s="1"/>
  <c r="B29" i="2" s="1"/>
  <c r="B30" i="2" s="1"/>
  <c r="B31" i="2" s="1"/>
  <c r="B32" i="2" s="1"/>
  <c r="B33" i="2" s="1"/>
  <c r="B34" i="2" s="1"/>
  <c r="B36" i="2" s="1"/>
  <c r="B37" i="2" s="1"/>
  <c r="B38" i="2" s="1"/>
  <c r="I23" i="2"/>
  <c r="S25" i="2"/>
  <c r="S24" i="2" s="1"/>
  <c r="R25" i="2"/>
  <c r="R24" i="2" s="1"/>
  <c r="Q25" i="2"/>
  <c r="Q24" i="2" s="1"/>
  <c r="P25" i="2"/>
  <c r="H23" i="2"/>
  <c r="J23" i="2" s="1"/>
  <c r="C20" i="2"/>
  <c r="AB41" i="27" l="1"/>
  <c r="AC41" i="27" s="1"/>
  <c r="X42" i="27"/>
  <c r="Z41" i="27"/>
  <c r="AA41" i="27" s="1"/>
  <c r="X29" i="16"/>
  <c r="AB29" i="16" s="1"/>
  <c r="AC29" i="16" s="1"/>
  <c r="H36" i="2"/>
  <c r="C36" i="2"/>
  <c r="C37" i="2" s="1"/>
  <c r="C38" i="2" s="1"/>
  <c r="J36" i="2"/>
  <c r="B39" i="2"/>
  <c r="B40" i="2"/>
  <c r="C21" i="2"/>
  <c r="C22" i="2" s="1"/>
  <c r="C23" i="2" s="1"/>
  <c r="C24" i="2" s="1"/>
  <c r="C25" i="2" s="1"/>
  <c r="C26" i="2" s="1"/>
  <c r="C27" i="2" s="1"/>
  <c r="C28" i="2" s="1"/>
  <c r="C29" i="2" s="1"/>
  <c r="C30" i="2" s="1"/>
  <c r="C31" i="2" s="1"/>
  <c r="C32" i="2" s="1"/>
  <c r="C33" i="2" s="1"/>
  <c r="C34" i="2" s="1"/>
  <c r="AB42" i="27" l="1"/>
  <c r="AC42" i="27" s="1"/>
  <c r="X43" i="27"/>
  <c r="Z42" i="27"/>
  <c r="AA42" i="27" s="1"/>
  <c r="X30" i="16"/>
  <c r="AB30" i="16" s="1"/>
  <c r="AC30" i="16" s="1"/>
  <c r="E40" i="2"/>
  <c r="D36" i="2"/>
  <c r="C39" i="2"/>
  <c r="C40" i="2"/>
  <c r="C41" i="2" s="1"/>
  <c r="C42" i="2" s="1"/>
  <c r="C43" i="2" s="1"/>
  <c r="C44" i="2" s="1"/>
  <c r="C45" i="2" s="1"/>
  <c r="C46" i="2" s="1"/>
  <c r="C47" i="2" s="1"/>
  <c r="C48" i="2" s="1"/>
  <c r="C49" i="2" s="1"/>
  <c r="C50" i="2" s="1"/>
  <c r="C51" i="2" s="1"/>
  <c r="C52" i="2" s="1"/>
  <c r="C53" i="2" s="1"/>
  <c r="C54" i="2" s="1"/>
  <c r="C55" i="2" s="1"/>
  <c r="M38" i="2"/>
  <c r="M55" i="2" s="1"/>
  <c r="M39" i="2"/>
  <c r="B41" i="2"/>
  <c r="B42" i="2" s="1"/>
  <c r="B43" i="2" s="1"/>
  <c r="B44" i="2" s="1"/>
  <c r="B45" i="2" s="1"/>
  <c r="B46" i="2" s="1"/>
  <c r="B47" i="2" s="1"/>
  <c r="B48" i="2" s="1"/>
  <c r="B49" i="2" s="1"/>
  <c r="B50" i="2" s="1"/>
  <c r="B51" i="2" s="1"/>
  <c r="B52" i="2" s="1"/>
  <c r="B53" i="2" s="1"/>
  <c r="B54" i="2" s="1"/>
  <c r="B55" i="2" s="1"/>
  <c r="B57" i="2" s="1"/>
  <c r="H25" i="2"/>
  <c r="J25" i="2" s="1"/>
  <c r="P24" i="2"/>
  <c r="Z43" i="27" l="1"/>
  <c r="AA43" i="27" s="1"/>
  <c r="X44" i="27"/>
  <c r="AB43" i="27"/>
  <c r="AC43" i="27" s="1"/>
  <c r="E99" i="14"/>
  <c r="X31" i="16"/>
  <c r="AB31" i="16" s="1"/>
  <c r="AC31" i="16" s="1"/>
  <c r="C57" i="2"/>
  <c r="H57" i="2"/>
  <c r="J57" i="2"/>
  <c r="B58" i="2"/>
  <c r="B59" i="2" s="1"/>
  <c r="D37" i="2"/>
  <c r="D38" i="2" s="1"/>
  <c r="D39" i="2" s="1"/>
  <c r="D40" i="2" s="1"/>
  <c r="D41" i="2" s="1"/>
  <c r="D42" i="2" s="1"/>
  <c r="D43" i="2" s="1"/>
  <c r="D44" i="2" s="1"/>
  <c r="D45" i="2" s="1"/>
  <c r="D46" i="2" s="1"/>
  <c r="D47" i="2" s="1"/>
  <c r="D48" i="2" s="1"/>
  <c r="D49" i="2" s="1"/>
  <c r="D50" i="2" s="1"/>
  <c r="D51" i="2" s="1"/>
  <c r="D52" i="2" s="1"/>
  <c r="D53" i="2" s="1"/>
  <c r="D54" i="2" s="1"/>
  <c r="D55" i="2" s="1"/>
  <c r="E37" i="2"/>
  <c r="R27" i="2"/>
  <c r="R26" i="2" s="1"/>
  <c r="S27" i="2"/>
  <c r="S26" i="2" s="1"/>
  <c r="P27" i="2"/>
  <c r="Q27" i="2"/>
  <c r="Q26" i="2" s="1"/>
  <c r="I25" i="2"/>
  <c r="Z44" i="27" l="1"/>
  <c r="AA44" i="27" s="1"/>
  <c r="X45" i="27"/>
  <c r="AB44" i="27"/>
  <c r="AC44" i="27" s="1"/>
  <c r="X32" i="16"/>
  <c r="AB32" i="16" s="1"/>
  <c r="AC32" i="16" s="1"/>
  <c r="B60" i="2"/>
  <c r="B61" i="2"/>
  <c r="D57" i="2"/>
  <c r="C58" i="2"/>
  <c r="C59" i="2" s="1"/>
  <c r="E61" i="2"/>
  <c r="H27" i="2"/>
  <c r="J27" i="2" s="1"/>
  <c r="P26" i="2"/>
  <c r="S29" i="2" s="1"/>
  <c r="S28" i="2" s="1"/>
  <c r="AB45" i="27" l="1"/>
  <c r="AC45" i="27" s="1"/>
  <c r="Z45" i="27"/>
  <c r="AA45" i="27" s="1"/>
  <c r="X46" i="27"/>
  <c r="X33" i="16"/>
  <c r="AB33" i="16" s="1"/>
  <c r="AC33" i="16" s="1"/>
  <c r="M59" i="2"/>
  <c r="M76" i="2" s="1"/>
  <c r="M60" i="2"/>
  <c r="B62" i="2"/>
  <c r="B63" i="2" s="1"/>
  <c r="B64" i="2" s="1"/>
  <c r="B65" i="2" s="1"/>
  <c r="B66" i="2" s="1"/>
  <c r="B67" i="2" s="1"/>
  <c r="B68" i="2" s="1"/>
  <c r="B69" i="2" s="1"/>
  <c r="B70" i="2" s="1"/>
  <c r="B71" i="2" s="1"/>
  <c r="B72" i="2" s="1"/>
  <c r="B73" i="2" s="1"/>
  <c r="B74" i="2" s="1"/>
  <c r="B75" i="2" s="1"/>
  <c r="B76" i="2" s="1"/>
  <c r="B78"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Q29" i="2"/>
  <c r="Q28" i="2" s="1"/>
  <c r="R29" i="2"/>
  <c r="R28" i="2" s="1"/>
  <c r="I27" i="2"/>
  <c r="P29" i="2"/>
  <c r="P28" i="2"/>
  <c r="X47" i="27" l="1"/>
  <c r="AB46" i="27"/>
  <c r="AC46" i="27" s="1"/>
  <c r="Z46" i="27"/>
  <c r="AA46" i="27" s="1"/>
  <c r="X34" i="16"/>
  <c r="AB34" i="16" s="1"/>
  <c r="AC34" i="16" s="1"/>
  <c r="C78" i="2"/>
  <c r="H78" i="2"/>
  <c r="J78" i="2"/>
  <c r="B79" i="2"/>
  <c r="B80" i="2" s="1"/>
  <c r="Q31" i="2"/>
  <c r="Q30" i="2" s="1"/>
  <c r="S31" i="2"/>
  <c r="S30" i="2" s="1"/>
  <c r="R31" i="2"/>
  <c r="R30" i="2" s="1"/>
  <c r="P31" i="2"/>
  <c r="P30" i="2" s="1"/>
  <c r="I29" i="2"/>
  <c r="H29" i="2"/>
  <c r="J29" i="2" s="1"/>
  <c r="Z47" i="27" l="1"/>
  <c r="AA47" i="27" s="1"/>
  <c r="AB47" i="27"/>
  <c r="AC47" i="27" s="1"/>
  <c r="X48" i="27"/>
  <c r="X35" i="16"/>
  <c r="AB35" i="16" s="1"/>
  <c r="AC35" i="16" s="1"/>
  <c r="B82" i="2"/>
  <c r="B81" i="2"/>
  <c r="C79" i="2"/>
  <c r="C80" i="2" s="1"/>
  <c r="D78" i="2"/>
  <c r="E82" i="2"/>
  <c r="Q33" i="2"/>
  <c r="Q32" i="2" s="1"/>
  <c r="S33" i="2"/>
  <c r="S32" i="2" s="1"/>
  <c r="R33" i="2"/>
  <c r="R32" i="2" s="1"/>
  <c r="P33" i="2"/>
  <c r="I31" i="2"/>
  <c r="H31" i="2"/>
  <c r="J31" i="2" s="1"/>
  <c r="AB48" i="27" l="1"/>
  <c r="AC48" i="27" s="1"/>
  <c r="Z48" i="27"/>
  <c r="AA48" i="27" s="1"/>
  <c r="X49" i="27"/>
  <c r="X36" i="16"/>
  <c r="AB36" i="16" s="1"/>
  <c r="AC36" i="16" s="1"/>
  <c r="B83" i="2"/>
  <c r="B84" i="2" s="1"/>
  <c r="B85" i="2" s="1"/>
  <c r="B86" i="2" s="1"/>
  <c r="B87" i="2" s="1"/>
  <c r="B88" i="2" s="1"/>
  <c r="B89" i="2" s="1"/>
  <c r="B90" i="2" s="1"/>
  <c r="B91" i="2" s="1"/>
  <c r="B92" i="2" s="1"/>
  <c r="B93" i="2" s="1"/>
  <c r="B94" i="2" s="1"/>
  <c r="B95" i="2" s="1"/>
  <c r="B96" i="2" s="1"/>
  <c r="B97" i="2" s="1"/>
  <c r="B99" i="2" s="1"/>
  <c r="M81" i="2"/>
  <c r="M80" i="2"/>
  <c r="M97" i="2" s="1"/>
  <c r="C82" i="2"/>
  <c r="C83" i="2" s="1"/>
  <c r="C84" i="2" s="1"/>
  <c r="C85" i="2" s="1"/>
  <c r="C86" i="2" s="1"/>
  <c r="C87" i="2" s="1"/>
  <c r="C88" i="2" s="1"/>
  <c r="C89" i="2" s="1"/>
  <c r="C90" i="2" s="1"/>
  <c r="C91" i="2" s="1"/>
  <c r="C92" i="2" s="1"/>
  <c r="C93" i="2" s="1"/>
  <c r="C94" i="2" s="1"/>
  <c r="C95" i="2" s="1"/>
  <c r="C96" i="2" s="1"/>
  <c r="C97" i="2" s="1"/>
  <c r="C81" i="2"/>
  <c r="D79" i="2"/>
  <c r="D80" i="2" s="1"/>
  <c r="D81" i="2" s="1"/>
  <c r="D82" i="2" s="1"/>
  <c r="D83" i="2" s="1"/>
  <c r="D84" i="2" s="1"/>
  <c r="D85" i="2" s="1"/>
  <c r="D86" i="2" s="1"/>
  <c r="D87" i="2" s="1"/>
  <c r="D88" i="2" s="1"/>
  <c r="D89" i="2" s="1"/>
  <c r="D90" i="2" s="1"/>
  <c r="D91" i="2" s="1"/>
  <c r="D92" i="2" s="1"/>
  <c r="D93" i="2" s="1"/>
  <c r="D94" i="2" s="1"/>
  <c r="D95" i="2" s="1"/>
  <c r="D96" i="2" s="1"/>
  <c r="D97" i="2" s="1"/>
  <c r="E79" i="2"/>
  <c r="H33" i="2"/>
  <c r="P32" i="2"/>
  <c r="X50" i="27" l="1"/>
  <c r="Z49" i="27"/>
  <c r="AA49" i="27" s="1"/>
  <c r="AB49" i="27"/>
  <c r="AC49" i="27" s="1"/>
  <c r="X37" i="16"/>
  <c r="AB37" i="16" s="1"/>
  <c r="AC37" i="16" s="1"/>
  <c r="B100" i="2"/>
  <c r="B101" i="2" s="1"/>
  <c r="C99" i="2"/>
  <c r="H99" i="2"/>
  <c r="J99" i="2"/>
  <c r="J33" i="2"/>
  <c r="P34" i="2" s="1"/>
  <c r="I33" i="2"/>
  <c r="M24" i="2" s="1"/>
  <c r="M21" i="2" s="1"/>
  <c r="M25" i="2"/>
  <c r="Z50" i="27" l="1"/>
  <c r="AA50" i="27" s="1"/>
  <c r="X51" i="27"/>
  <c r="AB50" i="27"/>
  <c r="AC50" i="27" s="1"/>
  <c r="X38" i="16"/>
  <c r="AB38" i="16" s="1"/>
  <c r="AC38" i="16" s="1"/>
  <c r="C100" i="2"/>
  <c r="C101" i="2" s="1"/>
  <c r="D99" i="2"/>
  <c r="E103" i="2"/>
  <c r="B103" i="2"/>
  <c r="B102" i="2"/>
  <c r="M19" i="2"/>
  <c r="M15" i="2"/>
  <c r="T34" i="2"/>
  <c r="AE34" i="2"/>
  <c r="AH34" i="2"/>
  <c r="W34" i="2"/>
  <c r="AB34" i="2"/>
  <c r="AD34" i="2"/>
  <c r="U34" i="2"/>
  <c r="S34" i="2"/>
  <c r="AF34" i="2"/>
  <c r="Z34" i="2"/>
  <c r="AA34" i="2"/>
  <c r="AG34" i="2"/>
  <c r="AC34" i="2"/>
  <c r="V34" i="2"/>
  <c r="Y34" i="2"/>
  <c r="X34" i="2"/>
  <c r="AI34" i="2"/>
  <c r="R34" i="2"/>
  <c r="Q34" i="2"/>
  <c r="M17" i="2"/>
  <c r="E65" i="14" l="1"/>
  <c r="E71" i="14" s="1"/>
  <c r="E65" i="23"/>
  <c r="X52" i="27"/>
  <c r="AB51" i="27"/>
  <c r="AC51" i="27" s="1"/>
  <c r="Z51" i="27"/>
  <c r="AA51" i="27" s="1"/>
  <c r="E77" i="14"/>
  <c r="X39" i="16"/>
  <c r="AB39" i="16" s="1"/>
  <c r="AC39" i="16" s="1"/>
  <c r="C102" i="2"/>
  <c r="C103" i="2"/>
  <c r="C104" i="2" s="1"/>
  <c r="C105" i="2" s="1"/>
  <c r="C106" i="2" s="1"/>
  <c r="C107" i="2" s="1"/>
  <c r="C108" i="2" s="1"/>
  <c r="C109" i="2" s="1"/>
  <c r="C110" i="2" s="1"/>
  <c r="C111" i="2" s="1"/>
  <c r="C112" i="2" s="1"/>
  <c r="C113" i="2" s="1"/>
  <c r="C114" i="2" s="1"/>
  <c r="C115" i="2" s="1"/>
  <c r="C116" i="2" s="1"/>
  <c r="C117" i="2" s="1"/>
  <c r="C118" i="2" s="1"/>
  <c r="M102" i="2"/>
  <c r="M101" i="2"/>
  <c r="M118" i="2" s="1"/>
  <c r="B104" i="2"/>
  <c r="B105" i="2" s="1"/>
  <c r="B106" i="2" s="1"/>
  <c r="B107" i="2" s="1"/>
  <c r="B108" i="2" s="1"/>
  <c r="B109" i="2" s="1"/>
  <c r="B110" i="2" s="1"/>
  <c r="B111" i="2" s="1"/>
  <c r="B112" i="2" s="1"/>
  <c r="B113" i="2" s="1"/>
  <c r="B114" i="2" s="1"/>
  <c r="B115" i="2" s="1"/>
  <c r="B116" i="2" s="1"/>
  <c r="B117" i="2" s="1"/>
  <c r="B118" i="2" s="1"/>
  <c r="B120" i="2" s="1"/>
  <c r="D100" i="2"/>
  <c r="D101" i="2" s="1"/>
  <c r="D102" i="2" s="1"/>
  <c r="D103" i="2" s="1"/>
  <c r="D104" i="2" s="1"/>
  <c r="D105" i="2" s="1"/>
  <c r="D106" i="2" s="1"/>
  <c r="D107" i="2" s="1"/>
  <c r="D108" i="2" s="1"/>
  <c r="D109" i="2" s="1"/>
  <c r="D110" i="2" s="1"/>
  <c r="D111" i="2" s="1"/>
  <c r="D112" i="2" s="1"/>
  <c r="D113" i="2" s="1"/>
  <c r="D114" i="2" s="1"/>
  <c r="D115" i="2" s="1"/>
  <c r="D116" i="2" s="1"/>
  <c r="D117" i="2" s="1"/>
  <c r="D118" i="2" s="1"/>
  <c r="E100" i="2"/>
  <c r="M34" i="2"/>
  <c r="E77" i="23" l="1"/>
  <c r="F77" i="23" s="1"/>
  <c r="E78" i="23" s="1"/>
  <c r="F78" i="23" s="1"/>
  <c r="E79" i="23" s="1"/>
  <c r="F79" i="23" s="1"/>
  <c r="G80" i="23" s="1"/>
  <c r="E71" i="23"/>
  <c r="F71" i="23" s="1"/>
  <c r="F72" i="23" s="1"/>
  <c r="E73" i="23" s="1"/>
  <c r="F73" i="23" s="1"/>
  <c r="G74" i="23" s="1"/>
  <c r="F65" i="23"/>
  <c r="E66" i="23" s="1"/>
  <c r="F66" i="23" s="1"/>
  <c r="F67" i="23" s="1"/>
  <c r="G68" i="23" s="1"/>
  <c r="X53" i="27"/>
  <c r="AB52" i="27"/>
  <c r="AC52" i="27" s="1"/>
  <c r="Z52" i="27"/>
  <c r="AA52" i="27" s="1"/>
  <c r="X40" i="16"/>
  <c r="AB40" i="16" s="1"/>
  <c r="AC40" i="16" s="1"/>
  <c r="B121" i="2"/>
  <c r="B122" i="2" s="1"/>
  <c r="C120" i="2"/>
  <c r="H120" i="2"/>
  <c r="J120" i="2"/>
  <c r="C5" i="12"/>
  <c r="B6" i="12" s="1"/>
  <c r="C6" i="12" s="1"/>
  <c r="B7" i="12" s="1"/>
  <c r="B6" i="11"/>
  <c r="G82" i="23" l="1"/>
  <c r="AB53" i="27"/>
  <c r="AC53" i="27" s="1"/>
  <c r="Z53" i="27"/>
  <c r="AA53" i="27" s="1"/>
  <c r="X54" i="27"/>
  <c r="X41" i="16"/>
  <c r="AB41" i="16" s="1"/>
  <c r="AC41" i="16" s="1"/>
  <c r="C121" i="2"/>
  <c r="C122" i="2" s="1"/>
  <c r="E124" i="2"/>
  <c r="D120" i="2"/>
  <c r="B124" i="2"/>
  <c r="B123" i="2"/>
  <c r="C6" i="11"/>
  <c r="C7" i="12"/>
  <c r="B8" i="12" s="1"/>
  <c r="X55" i="27" l="1"/>
  <c r="AB54" i="27"/>
  <c r="AC54" i="27" s="1"/>
  <c r="Z54" i="27"/>
  <c r="AA54" i="27" s="1"/>
  <c r="X42" i="16"/>
  <c r="AB42" i="16" s="1"/>
  <c r="AC42" i="16" s="1"/>
  <c r="M123" i="2"/>
  <c r="B125" i="2"/>
  <c r="B126" i="2" s="1"/>
  <c r="B127" i="2" s="1"/>
  <c r="B128" i="2" s="1"/>
  <c r="B129" i="2" s="1"/>
  <c r="B130" i="2" s="1"/>
  <c r="B131" i="2" s="1"/>
  <c r="B132" i="2" s="1"/>
  <c r="B133" i="2" s="1"/>
  <c r="B134" i="2" s="1"/>
  <c r="B135" i="2" s="1"/>
  <c r="B136" i="2" s="1"/>
  <c r="B137" i="2" s="1"/>
  <c r="B138" i="2" s="1"/>
  <c r="B139" i="2" s="1"/>
  <c r="B141" i="2" s="1"/>
  <c r="M122" i="2"/>
  <c r="M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C8" i="12"/>
  <c r="G6" i="11"/>
  <c r="I6" i="11"/>
  <c r="L6" i="11"/>
  <c r="B7" i="11"/>
  <c r="F6" i="11"/>
  <c r="H6" i="11"/>
  <c r="Z55" i="27" l="1"/>
  <c r="AA55" i="27" s="1"/>
  <c r="AB55" i="27"/>
  <c r="AC55" i="27" s="1"/>
  <c r="X56" i="27"/>
  <c r="X43" i="16"/>
  <c r="AB43" i="16" s="1"/>
  <c r="AC43" i="16" s="1"/>
  <c r="B142" i="2"/>
  <c r="B143" i="2" s="1"/>
  <c r="H141" i="2"/>
  <c r="J141" i="2"/>
  <c r="C141" i="2"/>
  <c r="B9" i="12"/>
  <c r="C7" i="11"/>
  <c r="AB56" i="27" l="1"/>
  <c r="AC56" i="27" s="1"/>
  <c r="Z56" i="27"/>
  <c r="AA56" i="27" s="1"/>
  <c r="X57" i="27"/>
  <c r="X44" i="16"/>
  <c r="AB44" i="16" s="1"/>
  <c r="AC44" i="16" s="1"/>
  <c r="C142" i="2"/>
  <c r="C143" i="2" s="1"/>
  <c r="E145" i="2"/>
  <c r="D141" i="2"/>
  <c r="B145" i="2"/>
  <c r="B144" i="2"/>
  <c r="F7" i="11"/>
  <c r="I7" i="11"/>
  <c r="L7" i="11"/>
  <c r="G7" i="11"/>
  <c r="H7" i="11"/>
  <c r="B8" i="11"/>
  <c r="Z57" i="27" l="1"/>
  <c r="AA57" i="27" s="1"/>
  <c r="X58" i="27"/>
  <c r="AB57" i="27"/>
  <c r="AC57" i="27" s="1"/>
  <c r="X45" i="16"/>
  <c r="AB45" i="16" s="1"/>
  <c r="AC45" i="16" s="1"/>
  <c r="D142" i="2"/>
  <c r="D143" i="2" s="1"/>
  <c r="D144" i="2" s="1"/>
  <c r="D145" i="2" s="1"/>
  <c r="D146" i="2" s="1"/>
  <c r="D147" i="2" s="1"/>
  <c r="D148" i="2" s="1"/>
  <c r="D149" i="2" s="1"/>
  <c r="D150" i="2" s="1"/>
  <c r="D151" i="2" s="1"/>
  <c r="D152" i="2" s="1"/>
  <c r="D153" i="2" s="1"/>
  <c r="D154" i="2" s="1"/>
  <c r="D155" i="2" s="1"/>
  <c r="D156" i="2" s="1"/>
  <c r="D157" i="2" s="1"/>
  <c r="D158" i="2" s="1"/>
  <c r="D159" i="2" s="1"/>
  <c r="D160" i="2" s="1"/>
  <c r="E142" i="2"/>
  <c r="M144" i="2"/>
  <c r="B146" i="2"/>
  <c r="B147" i="2" s="1"/>
  <c r="B148" i="2" s="1"/>
  <c r="B149" i="2" s="1"/>
  <c r="B150" i="2" s="1"/>
  <c r="B151" i="2" s="1"/>
  <c r="B152" i="2" s="1"/>
  <c r="B153" i="2" s="1"/>
  <c r="B154" i="2" s="1"/>
  <c r="B155" i="2" s="1"/>
  <c r="B156" i="2" s="1"/>
  <c r="B157" i="2" s="1"/>
  <c r="B158" i="2" s="1"/>
  <c r="B159" i="2" s="1"/>
  <c r="B160" i="2" s="1"/>
  <c r="B162" i="2" s="1"/>
  <c r="M143" i="2"/>
  <c r="M160" i="2" s="1"/>
  <c r="C145" i="2"/>
  <c r="C146" i="2" s="1"/>
  <c r="C147" i="2" s="1"/>
  <c r="C148" i="2" s="1"/>
  <c r="C149" i="2" s="1"/>
  <c r="C150" i="2" s="1"/>
  <c r="C151" i="2" s="1"/>
  <c r="C152" i="2" s="1"/>
  <c r="C153" i="2" s="1"/>
  <c r="C154" i="2" s="1"/>
  <c r="C155" i="2" s="1"/>
  <c r="C156" i="2" s="1"/>
  <c r="C157" i="2" s="1"/>
  <c r="C158" i="2" s="1"/>
  <c r="C159" i="2" s="1"/>
  <c r="C160" i="2" s="1"/>
  <c r="C144" i="2"/>
  <c r="G8" i="12"/>
  <c r="C8" i="11"/>
  <c r="Z58" i="27" l="1"/>
  <c r="AA58" i="27" s="1"/>
  <c r="X59" i="27"/>
  <c r="AB58" i="27"/>
  <c r="AC58" i="27" s="1"/>
  <c r="X46" i="16"/>
  <c r="AB46" i="16" s="1"/>
  <c r="AC46" i="16" s="1"/>
  <c r="C162" i="2"/>
  <c r="H162" i="2"/>
  <c r="J162" i="2"/>
  <c r="B163" i="2"/>
  <c r="B164" i="2" s="1"/>
  <c r="L8" i="11"/>
  <c r="G8" i="11"/>
  <c r="B9" i="11"/>
  <c r="X60" i="27" l="1"/>
  <c r="AB59" i="27"/>
  <c r="AC59" i="27" s="1"/>
  <c r="Z59" i="27"/>
  <c r="AA59" i="27" s="1"/>
  <c r="X47" i="16"/>
  <c r="AB47" i="16" s="1"/>
  <c r="AC47" i="16" s="1"/>
  <c r="E166" i="2"/>
  <c r="D162" i="2"/>
  <c r="C163" i="2"/>
  <c r="C164" i="2" s="1"/>
  <c r="B165" i="2"/>
  <c r="B166" i="2"/>
  <c r="D6" i="11"/>
  <c r="D6" i="12"/>
  <c r="D7" i="11"/>
  <c r="D7" i="12"/>
  <c r="D5" i="11"/>
  <c r="D8" i="12"/>
  <c r="E8" i="12" s="1"/>
  <c r="D5" i="12"/>
  <c r="D8" i="11"/>
  <c r="E8" i="11" s="1"/>
  <c r="E16" i="2"/>
  <c r="X61" i="27" l="1"/>
  <c r="AB60" i="27"/>
  <c r="AC60" i="27" s="1"/>
  <c r="Z60" i="27"/>
  <c r="AA60" i="27" s="1"/>
  <c r="X48" i="16"/>
  <c r="AB48" i="16" s="1"/>
  <c r="AC48" i="16" s="1"/>
  <c r="M164" i="2"/>
  <c r="M181" i="2" s="1"/>
  <c r="B167" i="2"/>
  <c r="B168" i="2" s="1"/>
  <c r="B169" i="2" s="1"/>
  <c r="B170" i="2" s="1"/>
  <c r="B171" i="2" s="1"/>
  <c r="B172" i="2" s="1"/>
  <c r="B173" i="2" s="1"/>
  <c r="B174" i="2" s="1"/>
  <c r="B175" i="2" s="1"/>
  <c r="B176" i="2" s="1"/>
  <c r="B177" i="2" s="1"/>
  <c r="B178" i="2" s="1"/>
  <c r="B179" i="2" s="1"/>
  <c r="B180" i="2" s="1"/>
  <c r="B181" i="2" s="1"/>
  <c r="B183"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AB61" i="27" l="1"/>
  <c r="AC61" i="27" s="1"/>
  <c r="Z61" i="27"/>
  <c r="AA61" i="27" s="1"/>
  <c r="X62" i="27"/>
  <c r="X49" i="16"/>
  <c r="AB49" i="16" s="1"/>
  <c r="AC49" i="16" s="1"/>
  <c r="C183" i="2"/>
  <c r="J183" i="2"/>
  <c r="B184" i="2"/>
  <c r="B185" i="2" s="1"/>
  <c r="H183" i="2"/>
  <c r="X63" i="27" l="1"/>
  <c r="AB62" i="27"/>
  <c r="AC62" i="27" s="1"/>
  <c r="Z62" i="27"/>
  <c r="AA62" i="27" s="1"/>
  <c r="X50" i="16"/>
  <c r="AB50" i="16" s="1"/>
  <c r="AC50" i="16" s="1"/>
  <c r="E187" i="2"/>
  <c r="C184" i="2"/>
  <c r="C185" i="2" s="1"/>
  <c r="D183" i="2"/>
  <c r="B187" i="2"/>
  <c r="B186" i="2"/>
  <c r="Z63" i="27" l="1"/>
  <c r="AA63" i="27" s="1"/>
  <c r="AB63" i="27"/>
  <c r="AC63" i="27" s="1"/>
  <c r="X64" i="27"/>
  <c r="X51" i="16"/>
  <c r="AB51" i="16" s="1"/>
  <c r="AC51" i="16" s="1"/>
  <c r="M185" i="2"/>
  <c r="M202" i="2" s="1"/>
  <c r="B188" i="2"/>
  <c r="M186" i="2"/>
  <c r="E184" i="2"/>
  <c r="D184" i="2"/>
  <c r="D185" i="2" s="1"/>
  <c r="D186" i="2" s="1"/>
  <c r="D187" i="2" s="1"/>
  <c r="D188" i="2" s="1"/>
  <c r="D189" i="2" s="1"/>
  <c r="D190" i="2" s="1"/>
  <c r="D191" i="2" s="1"/>
  <c r="D192" i="2" s="1"/>
  <c r="D193" i="2" s="1"/>
  <c r="D194" i="2" s="1"/>
  <c r="D195" i="2" s="1"/>
  <c r="D196" i="2" s="1"/>
  <c r="D197" i="2" s="1"/>
  <c r="D198" i="2" s="1"/>
  <c r="D199" i="2" s="1"/>
  <c r="D200" i="2" s="1"/>
  <c r="D201" i="2" s="1"/>
  <c r="D202" i="2" s="1"/>
  <c r="C187" i="2"/>
  <c r="C188" i="2" s="1"/>
  <c r="C189" i="2" s="1"/>
  <c r="C190" i="2" s="1"/>
  <c r="C191" i="2" s="1"/>
  <c r="C192" i="2" s="1"/>
  <c r="C193" i="2" s="1"/>
  <c r="C194" i="2" s="1"/>
  <c r="C195" i="2" s="1"/>
  <c r="C196" i="2" s="1"/>
  <c r="C197" i="2" s="1"/>
  <c r="C198" i="2" s="1"/>
  <c r="C199" i="2" s="1"/>
  <c r="C200" i="2" s="1"/>
  <c r="C201" i="2" s="1"/>
  <c r="C202" i="2" s="1"/>
  <c r="C186" i="2"/>
  <c r="AB64" i="27" l="1"/>
  <c r="AC64" i="27" s="1"/>
  <c r="Z64" i="27"/>
  <c r="AA64" i="27" s="1"/>
  <c r="X65" i="27"/>
  <c r="X52" i="16"/>
  <c r="AB52" i="16" s="1"/>
  <c r="AC52" i="16" s="1"/>
  <c r="B189" i="2"/>
  <c r="B190" i="2" s="1"/>
  <c r="B191" i="2" s="1"/>
  <c r="B192" i="2" s="1"/>
  <c r="B193" i="2" s="1"/>
  <c r="B194" i="2" s="1"/>
  <c r="B195" i="2" s="1"/>
  <c r="B196" i="2" s="1"/>
  <c r="B197" i="2" s="1"/>
  <c r="B198" i="2" s="1"/>
  <c r="B199" i="2" s="1"/>
  <c r="B200" i="2" s="1"/>
  <c r="B201" i="2" s="1"/>
  <c r="B202" i="2" s="1"/>
  <c r="B204" i="2" s="1"/>
  <c r="X66" i="27" l="1"/>
  <c r="Z65" i="27"/>
  <c r="AA65" i="27" s="1"/>
  <c r="AB65" i="27"/>
  <c r="AC65" i="27" s="1"/>
  <c r="X53" i="16"/>
  <c r="AB53" i="16" s="1"/>
  <c r="AC53" i="16" s="1"/>
  <c r="B205" i="2"/>
  <c r="B206" i="2" s="1"/>
  <c r="B207" i="2" s="1"/>
  <c r="J204" i="2"/>
  <c r="H204" i="2"/>
  <c r="C204" i="2"/>
  <c r="E208" i="2" s="1"/>
  <c r="Z66" i="27" l="1"/>
  <c r="AA66" i="27" s="1"/>
  <c r="X67" i="27"/>
  <c r="AB66" i="27"/>
  <c r="AC66" i="27" s="1"/>
  <c r="X54" i="16"/>
  <c r="AB54" i="16" s="1"/>
  <c r="AC54" i="16" s="1"/>
  <c r="B208" i="2"/>
  <c r="B209" i="2" s="1"/>
  <c r="C205" i="2"/>
  <c r="C206" i="2" s="1"/>
  <c r="C207" i="2" s="1"/>
  <c r="D204" i="2"/>
  <c r="E205" i="2" s="1"/>
  <c r="C208" i="2" l="1"/>
  <c r="C209" i="2" s="1"/>
  <c r="C210" i="2" s="1"/>
  <c r="C211" i="2" s="1"/>
  <c r="C212" i="2" s="1"/>
  <c r="C213" i="2" s="1"/>
  <c r="C214" i="2" s="1"/>
  <c r="C215" i="2" s="1"/>
  <c r="C216" i="2" s="1"/>
  <c r="C217" i="2" s="1"/>
  <c r="C218" i="2" s="1"/>
  <c r="C219" i="2" s="1"/>
  <c r="C220" i="2" s="1"/>
  <c r="C221" i="2" s="1"/>
  <c r="C222" i="2" s="1"/>
  <c r="C223" i="2" s="1"/>
  <c r="X68" i="27"/>
  <c r="AB67" i="27"/>
  <c r="AC67" i="27" s="1"/>
  <c r="Z67" i="27"/>
  <c r="AA67" i="27" s="1"/>
  <c r="M207" i="2"/>
  <c r="M206" i="2"/>
  <c r="M223" i="2" s="1"/>
  <c r="D205" i="2"/>
  <c r="D206" i="2" s="1"/>
  <c r="D207" i="2" s="1"/>
  <c r="D208" i="2" s="1"/>
  <c r="D209" i="2" s="1"/>
  <c r="D210" i="2" s="1"/>
  <c r="D211" i="2" s="1"/>
  <c r="D212" i="2" s="1"/>
  <c r="D213" i="2" s="1"/>
  <c r="D214" i="2" s="1"/>
  <c r="D215" i="2" s="1"/>
  <c r="D216" i="2" s="1"/>
  <c r="D217" i="2" s="1"/>
  <c r="D218" i="2" s="1"/>
  <c r="D219" i="2" s="1"/>
  <c r="D220" i="2" s="1"/>
  <c r="D221" i="2" s="1"/>
  <c r="D222" i="2" s="1"/>
  <c r="D223" i="2" s="1"/>
  <c r="X55" i="16"/>
  <c r="AB55" i="16" s="1"/>
  <c r="AC55" i="16" s="1"/>
  <c r="B210" i="2"/>
  <c r="B211" i="2" s="1"/>
  <c r="B212" i="2" s="1"/>
  <c r="B213" i="2" s="1"/>
  <c r="B214" i="2" s="1"/>
  <c r="B215" i="2" s="1"/>
  <c r="B216" i="2" s="1"/>
  <c r="B217" i="2" s="1"/>
  <c r="B218" i="2" s="1"/>
  <c r="B219" i="2" s="1"/>
  <c r="B220" i="2" s="1"/>
  <c r="B221" i="2" s="1"/>
  <c r="B222" i="2" s="1"/>
  <c r="B223" i="2" s="1"/>
  <c r="B225" i="2" s="1"/>
  <c r="C225" i="2" s="1"/>
  <c r="X69" i="27" l="1"/>
  <c r="AB68" i="27"/>
  <c r="AC68" i="27" s="1"/>
  <c r="Z68" i="27"/>
  <c r="AA68" i="27" s="1"/>
  <c r="X56" i="16"/>
  <c r="AB56" i="16" s="1"/>
  <c r="AC56" i="16" s="1"/>
  <c r="J225" i="2"/>
  <c r="B226" i="2"/>
  <c r="B227" i="2" s="1"/>
  <c r="B228" i="2" s="1"/>
  <c r="H225" i="2"/>
  <c r="E229" i="2"/>
  <c r="D225" i="2"/>
  <c r="C226" i="2"/>
  <c r="C227" i="2" s="1"/>
  <c r="AB69" i="27" l="1"/>
  <c r="AC69" i="27" s="1"/>
  <c r="Z69" i="27"/>
  <c r="AA69" i="27" s="1"/>
  <c r="X70" i="27"/>
  <c r="B229" i="2"/>
  <c r="M227" i="2" s="1"/>
  <c r="M244" i="2" s="1"/>
  <c r="X57" i="16"/>
  <c r="AB57" i="16" s="1"/>
  <c r="AC57" i="16" s="1"/>
  <c r="C229" i="2"/>
  <c r="C230" i="2" s="1"/>
  <c r="C231" i="2" s="1"/>
  <c r="C232" i="2" s="1"/>
  <c r="C233" i="2" s="1"/>
  <c r="C234" i="2" s="1"/>
  <c r="C235" i="2" s="1"/>
  <c r="C236" i="2" s="1"/>
  <c r="C237" i="2" s="1"/>
  <c r="C238" i="2" s="1"/>
  <c r="C239" i="2" s="1"/>
  <c r="C240" i="2" s="1"/>
  <c r="C241" i="2" s="1"/>
  <c r="C242" i="2" s="1"/>
  <c r="C243" i="2" s="1"/>
  <c r="C244" i="2" s="1"/>
  <c r="C228" i="2"/>
  <c r="E226" i="2"/>
  <c r="D226" i="2"/>
  <c r="D227" i="2" s="1"/>
  <c r="D228" i="2" s="1"/>
  <c r="D229" i="2" s="1"/>
  <c r="D230" i="2" s="1"/>
  <c r="D231" i="2" s="1"/>
  <c r="D232" i="2" s="1"/>
  <c r="D233" i="2" s="1"/>
  <c r="D234" i="2" s="1"/>
  <c r="D235" i="2" s="1"/>
  <c r="D236" i="2" s="1"/>
  <c r="D237" i="2" s="1"/>
  <c r="D238" i="2" s="1"/>
  <c r="D239" i="2" s="1"/>
  <c r="D240" i="2" s="1"/>
  <c r="D241" i="2" s="1"/>
  <c r="D242" i="2" s="1"/>
  <c r="D243" i="2" s="1"/>
  <c r="D244" i="2" s="1"/>
  <c r="B230" i="2" l="1"/>
  <c r="M228" i="2"/>
  <c r="X71" i="27"/>
  <c r="AB70" i="27"/>
  <c r="AC70" i="27" s="1"/>
  <c r="Z70" i="27"/>
  <c r="AA70" i="27" s="1"/>
  <c r="X58" i="16"/>
  <c r="AB58" i="16" s="1"/>
  <c r="AC58" i="16" s="1"/>
  <c r="B231" i="2"/>
  <c r="B232" i="2" s="1"/>
  <c r="B233" i="2" s="1"/>
  <c r="B234" i="2" s="1"/>
  <c r="B235" i="2" s="1"/>
  <c r="B236" i="2" s="1"/>
  <c r="B237" i="2" s="1"/>
  <c r="B238" i="2" s="1"/>
  <c r="B239" i="2" s="1"/>
  <c r="B240" i="2" s="1"/>
  <c r="B241" i="2" s="1"/>
  <c r="B242" i="2" s="1"/>
  <c r="B243" i="2" s="1"/>
  <c r="B244" i="2" s="1"/>
  <c r="B246" i="2" s="1"/>
  <c r="C246" i="2" s="1"/>
  <c r="Z71" i="27" l="1"/>
  <c r="AA71" i="27" s="1"/>
  <c r="X72" i="27"/>
  <c r="AB71" i="27"/>
  <c r="AC71" i="27" s="1"/>
  <c r="X59" i="16"/>
  <c r="AB59" i="16" s="1"/>
  <c r="AC59" i="16" s="1"/>
  <c r="H246" i="2"/>
  <c r="J246" i="2"/>
  <c r="B247" i="2"/>
  <c r="B248" i="2" s="1"/>
  <c r="B249" i="2" s="1"/>
  <c r="C247" i="2"/>
  <c r="C248" i="2" s="1"/>
  <c r="D246" i="2"/>
  <c r="E250" i="2"/>
  <c r="X73" i="27" l="1"/>
  <c r="AB72" i="27"/>
  <c r="AC72" i="27" s="1"/>
  <c r="Z72" i="27"/>
  <c r="AA72" i="27" s="1"/>
  <c r="X60" i="16"/>
  <c r="AB60" i="16" s="1"/>
  <c r="AC60" i="16" s="1"/>
  <c r="B250" i="2"/>
  <c r="M248" i="2" s="1"/>
  <c r="M265" i="2" s="1"/>
  <c r="D247" i="2"/>
  <c r="D248" i="2" s="1"/>
  <c r="D249" i="2" s="1"/>
  <c r="D250" i="2" s="1"/>
  <c r="D251" i="2" s="1"/>
  <c r="D252" i="2" s="1"/>
  <c r="D253" i="2" s="1"/>
  <c r="D254" i="2" s="1"/>
  <c r="D255" i="2" s="1"/>
  <c r="D256" i="2" s="1"/>
  <c r="D257" i="2" s="1"/>
  <c r="D258" i="2" s="1"/>
  <c r="D259" i="2" s="1"/>
  <c r="D260" i="2" s="1"/>
  <c r="D261" i="2" s="1"/>
  <c r="D262" i="2" s="1"/>
  <c r="D263" i="2" s="1"/>
  <c r="D264" i="2" s="1"/>
  <c r="D265" i="2" s="1"/>
  <c r="E247" i="2"/>
  <c r="C250" i="2"/>
  <c r="C251" i="2" s="1"/>
  <c r="C252" i="2" s="1"/>
  <c r="C253" i="2" s="1"/>
  <c r="C254" i="2" s="1"/>
  <c r="C255" i="2" s="1"/>
  <c r="C256" i="2" s="1"/>
  <c r="C257" i="2" s="1"/>
  <c r="C258" i="2" s="1"/>
  <c r="C259" i="2" s="1"/>
  <c r="C260" i="2" s="1"/>
  <c r="C261" i="2" s="1"/>
  <c r="C262" i="2" s="1"/>
  <c r="C263" i="2" s="1"/>
  <c r="C264" i="2" s="1"/>
  <c r="C265" i="2" s="1"/>
  <c r="C249" i="2"/>
  <c r="B251" i="2" l="1"/>
  <c r="B252" i="2" s="1"/>
  <c r="B253" i="2" s="1"/>
  <c r="B254" i="2" s="1"/>
  <c r="B255" i="2" s="1"/>
  <c r="B256" i="2" s="1"/>
  <c r="B257" i="2" s="1"/>
  <c r="B258" i="2" s="1"/>
  <c r="B259" i="2" s="1"/>
  <c r="B260" i="2" s="1"/>
  <c r="B261" i="2" s="1"/>
  <c r="B262" i="2" s="1"/>
  <c r="B263" i="2" s="1"/>
  <c r="B264" i="2" s="1"/>
  <c r="B265" i="2" s="1"/>
  <c r="B267" i="2" s="1"/>
  <c r="C267" i="2" s="1"/>
  <c r="X74" i="27"/>
  <c r="AB73" i="27"/>
  <c r="AC73" i="27" s="1"/>
  <c r="Z73" i="27"/>
  <c r="AA73" i="27" s="1"/>
  <c r="M249" i="2"/>
  <c r="X61" i="16"/>
  <c r="AB61" i="16" s="1"/>
  <c r="AC61" i="16" s="1"/>
  <c r="J267" i="2" l="1"/>
  <c r="B268" i="2"/>
  <c r="B269" i="2" s="1"/>
  <c r="H267" i="2"/>
  <c r="AB74" i="27"/>
  <c r="AC74" i="27" s="1"/>
  <c r="Z74" i="27"/>
  <c r="AA74" i="27" s="1"/>
  <c r="X75" i="27"/>
  <c r="X62" i="16"/>
  <c r="AB62" i="16" s="1"/>
  <c r="AC62" i="16" s="1"/>
  <c r="C268" i="2"/>
  <c r="C269" i="2" s="1"/>
  <c r="E271" i="2"/>
  <c r="D267" i="2"/>
  <c r="B271" i="2"/>
  <c r="B270" i="2"/>
  <c r="X76" i="27" l="1"/>
  <c r="AB75" i="27"/>
  <c r="AC75" i="27" s="1"/>
  <c r="Z75" i="27"/>
  <c r="AA75" i="27" s="1"/>
  <c r="X63" i="16"/>
  <c r="AB63" i="16" s="1"/>
  <c r="AC63" i="16" s="1"/>
  <c r="M270" i="2"/>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Z76" i="27" l="1"/>
  <c r="AA76" i="27" s="1"/>
  <c r="X77" i="27"/>
  <c r="AB76" i="27"/>
  <c r="AC76" i="27" s="1"/>
  <c r="X64" i="16"/>
  <c r="AB64" i="16" s="1"/>
  <c r="AC64" i="16" s="1"/>
  <c r="J288" i="2"/>
  <c r="B289" i="2"/>
  <c r="B290" i="2" s="1"/>
  <c r="C288" i="2"/>
  <c r="H288" i="2"/>
  <c r="AB77" i="27" l="1"/>
  <c r="AC77" i="27" s="1"/>
  <c r="Z77" i="27"/>
  <c r="AA77" i="27" s="1"/>
  <c r="X78" i="27"/>
  <c r="X65" i="16"/>
  <c r="AB65" i="16" s="1"/>
  <c r="AC65" i="16" s="1"/>
  <c r="C289" i="2"/>
  <c r="C290" i="2" s="1"/>
  <c r="E292" i="2"/>
  <c r="D288" i="2"/>
  <c r="B292" i="2"/>
  <c r="B291" i="2"/>
  <c r="X79" i="27" l="1"/>
  <c r="AB78" i="27"/>
  <c r="AC78" i="27" s="1"/>
  <c r="Z78" i="27"/>
  <c r="AA78" i="27" s="1"/>
  <c r="X66" i="16"/>
  <c r="AB66" i="16" s="1"/>
  <c r="AC66" i="16" s="1"/>
  <c r="M291" i="2"/>
  <c r="B293" i="2"/>
  <c r="B294" i="2" s="1"/>
  <c r="B295" i="2" s="1"/>
  <c r="B296" i="2" s="1"/>
  <c r="B297" i="2" s="1"/>
  <c r="B298" i="2" s="1"/>
  <c r="B299" i="2" s="1"/>
  <c r="B300" i="2" s="1"/>
  <c r="B301" i="2" s="1"/>
  <c r="B302" i="2" s="1"/>
  <c r="B303" i="2" s="1"/>
  <c r="B304" i="2" s="1"/>
  <c r="B305" i="2" s="1"/>
  <c r="B306" i="2" s="1"/>
  <c r="B307" i="2" s="1"/>
  <c r="B309" i="2" s="1"/>
  <c r="M290" i="2"/>
  <c r="M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Z79" i="27" l="1"/>
  <c r="AA79" i="27" s="1"/>
  <c r="X80" i="27"/>
  <c r="AB79" i="27"/>
  <c r="AC79" i="27" s="1"/>
  <c r="X67" i="16"/>
  <c r="AB67" i="16" s="1"/>
  <c r="AC67" i="16" s="1"/>
  <c r="C309" i="2"/>
  <c r="H309" i="2"/>
  <c r="B310" i="2"/>
  <c r="B311" i="2" s="1"/>
  <c r="J309" i="2"/>
  <c r="X81" i="27" l="1"/>
  <c r="AB80" i="27"/>
  <c r="AC80" i="27" s="1"/>
  <c r="Z80" i="27"/>
  <c r="AA80" i="27" s="1"/>
  <c r="X68" i="16"/>
  <c r="AB68" i="16" s="1"/>
  <c r="AC68" i="16" s="1"/>
  <c r="B312" i="2"/>
  <c r="B313" i="2"/>
  <c r="D309" i="2"/>
  <c r="C310" i="2"/>
  <c r="C311" i="2" s="1"/>
  <c r="E313" i="2"/>
  <c r="X82" i="27" l="1"/>
  <c r="AB81" i="27"/>
  <c r="AC81" i="27" s="1"/>
  <c r="Z81" i="27"/>
  <c r="AA81" i="27" s="1"/>
  <c r="X69" i="16"/>
  <c r="AB69" i="16" s="1"/>
  <c r="AC69" i="16" s="1"/>
  <c r="C312" i="2"/>
  <c r="C313" i="2"/>
  <c r="C314" i="2" s="1"/>
  <c r="C315" i="2" s="1"/>
  <c r="C316" i="2" s="1"/>
  <c r="C317" i="2" s="1"/>
  <c r="C318" i="2" s="1"/>
  <c r="C319" i="2" s="1"/>
  <c r="C320" i="2" s="1"/>
  <c r="C321" i="2" s="1"/>
  <c r="C322" i="2" s="1"/>
  <c r="C323" i="2" s="1"/>
  <c r="C324" i="2" s="1"/>
  <c r="C325" i="2" s="1"/>
  <c r="C326" i="2" s="1"/>
  <c r="C327" i="2" s="1"/>
  <c r="C328" i="2" s="1"/>
  <c r="E310" i="2"/>
  <c r="D310" i="2"/>
  <c r="D311" i="2" s="1"/>
  <c r="D312" i="2" s="1"/>
  <c r="D313" i="2" s="1"/>
  <c r="D314" i="2" s="1"/>
  <c r="D315" i="2" s="1"/>
  <c r="D316" i="2" s="1"/>
  <c r="D317" i="2" s="1"/>
  <c r="D318" i="2" s="1"/>
  <c r="D319" i="2" s="1"/>
  <c r="D320" i="2" s="1"/>
  <c r="D321" i="2" s="1"/>
  <c r="D322" i="2" s="1"/>
  <c r="D323" i="2" s="1"/>
  <c r="D324" i="2" s="1"/>
  <c r="D325" i="2" s="1"/>
  <c r="D326" i="2" s="1"/>
  <c r="D327" i="2" s="1"/>
  <c r="D328" i="2" s="1"/>
  <c r="M311" i="2"/>
  <c r="M328" i="2" s="1"/>
  <c r="M312" i="2"/>
  <c r="B314" i="2"/>
  <c r="B315" i="2" s="1"/>
  <c r="B316" i="2" s="1"/>
  <c r="B317" i="2" s="1"/>
  <c r="B318" i="2" s="1"/>
  <c r="B319" i="2" s="1"/>
  <c r="B320" i="2" s="1"/>
  <c r="B321" i="2" s="1"/>
  <c r="B322" i="2" s="1"/>
  <c r="B323" i="2" s="1"/>
  <c r="B324" i="2" s="1"/>
  <c r="B325" i="2" s="1"/>
  <c r="B326" i="2" s="1"/>
  <c r="B327" i="2" s="1"/>
  <c r="B328" i="2" s="1"/>
  <c r="B330" i="2" s="1"/>
  <c r="AB82" i="27" l="1"/>
  <c r="AC82" i="27" s="1"/>
  <c r="Z82" i="27"/>
  <c r="AA82" i="27" s="1"/>
  <c r="X83" i="27"/>
  <c r="X70" i="16"/>
  <c r="AB70" i="16" s="1"/>
  <c r="AC70" i="16" s="1"/>
  <c r="C330" i="2"/>
  <c r="J330" i="2"/>
  <c r="H330" i="2"/>
  <c r="B331" i="2"/>
  <c r="B332" i="2" s="1"/>
  <c r="X84" i="27" l="1"/>
  <c r="AB83" i="27"/>
  <c r="AC83" i="27" s="1"/>
  <c r="Z83" i="27"/>
  <c r="AA83" i="27" s="1"/>
  <c r="X71" i="16"/>
  <c r="AB71" i="16" s="1"/>
  <c r="AC71" i="16" s="1"/>
  <c r="B333" i="2"/>
  <c r="B334" i="2"/>
  <c r="E334" i="2"/>
  <c r="D330" i="2"/>
  <c r="C331" i="2"/>
  <c r="C332" i="2" s="1"/>
  <c r="Z84" i="27" l="1"/>
  <c r="AA84" i="27" s="1"/>
  <c r="X85" i="27"/>
  <c r="AB84" i="27"/>
  <c r="AC84" i="27" s="1"/>
  <c r="X72" i="16"/>
  <c r="AB72" i="16" s="1"/>
  <c r="AC72" i="16"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M332" i="2"/>
  <c r="M349" i="2" s="1"/>
  <c r="M333" i="2"/>
  <c r="B335" i="2"/>
  <c r="B336" i="2" s="1"/>
  <c r="B337" i="2" s="1"/>
  <c r="B338" i="2" s="1"/>
  <c r="B339" i="2" s="1"/>
  <c r="B340" i="2" s="1"/>
  <c r="B341" i="2" s="1"/>
  <c r="B342" i="2" s="1"/>
  <c r="B343" i="2" s="1"/>
  <c r="B344" i="2" s="1"/>
  <c r="B345" i="2" s="1"/>
  <c r="B346" i="2" s="1"/>
  <c r="B347" i="2" s="1"/>
  <c r="B348" i="2" s="1"/>
  <c r="B349" i="2" s="1"/>
  <c r="B351" i="2" s="1"/>
  <c r="AB85" i="27" l="1"/>
  <c r="AC85" i="27" s="1"/>
  <c r="Z85" i="27"/>
  <c r="AA85" i="27" s="1"/>
  <c r="X86" i="27"/>
  <c r="X73" i="16"/>
  <c r="AB73" i="16" s="1"/>
  <c r="AC73" i="16" s="1"/>
  <c r="C351" i="2"/>
  <c r="J351" i="2"/>
  <c r="H351" i="2"/>
  <c r="B352" i="2"/>
  <c r="B353" i="2" s="1"/>
  <c r="X87" i="27" l="1"/>
  <c r="AB86" i="27"/>
  <c r="AC86" i="27" s="1"/>
  <c r="Z86" i="27"/>
  <c r="AA86" i="27" s="1"/>
  <c r="X74" i="16"/>
  <c r="AB74" i="16" s="1"/>
  <c r="AC74" i="16" s="1"/>
  <c r="B354" i="2"/>
  <c r="B355" i="2"/>
  <c r="E355" i="2"/>
  <c r="D351" i="2"/>
  <c r="C352" i="2"/>
  <c r="C353" i="2" s="1"/>
  <c r="Z87" i="27" l="1"/>
  <c r="AA87" i="27" s="1"/>
  <c r="X88" i="27"/>
  <c r="AB87" i="27"/>
  <c r="AC87" i="27" s="1"/>
  <c r="X75" i="16"/>
  <c r="AB75" i="16" s="1"/>
  <c r="AC75" i="16" s="1"/>
  <c r="C354" i="2"/>
  <c r="C355" i="2"/>
  <c r="C356" i="2" s="1"/>
  <c r="C357" i="2" s="1"/>
  <c r="C358" i="2" s="1"/>
  <c r="C359" i="2" s="1"/>
  <c r="C360" i="2" s="1"/>
  <c r="C361" i="2" s="1"/>
  <c r="C362" i="2" s="1"/>
  <c r="C363" i="2" s="1"/>
  <c r="C364" i="2" s="1"/>
  <c r="C365" i="2" s="1"/>
  <c r="C366" i="2" s="1"/>
  <c r="C367" i="2" s="1"/>
  <c r="C368" i="2" s="1"/>
  <c r="C369" i="2" s="1"/>
  <c r="C370" i="2" s="1"/>
  <c r="E352" i="2"/>
  <c r="D352" i="2"/>
  <c r="D353" i="2" s="1"/>
  <c r="D354" i="2" s="1"/>
  <c r="D355" i="2" s="1"/>
  <c r="D356" i="2" s="1"/>
  <c r="D357" i="2" s="1"/>
  <c r="D358" i="2" s="1"/>
  <c r="D359" i="2" s="1"/>
  <c r="D360" i="2" s="1"/>
  <c r="D361" i="2" s="1"/>
  <c r="D362" i="2" s="1"/>
  <c r="D363" i="2" s="1"/>
  <c r="D364" i="2" s="1"/>
  <c r="D365" i="2" s="1"/>
  <c r="D366" i="2" s="1"/>
  <c r="D367" i="2" s="1"/>
  <c r="D368" i="2" s="1"/>
  <c r="D369" i="2" s="1"/>
  <c r="D370" i="2" s="1"/>
  <c r="B356" i="2"/>
  <c r="B357" i="2" s="1"/>
  <c r="B358" i="2" s="1"/>
  <c r="B359" i="2" s="1"/>
  <c r="B360" i="2" s="1"/>
  <c r="B361" i="2" s="1"/>
  <c r="B362" i="2" s="1"/>
  <c r="B363" i="2" s="1"/>
  <c r="B364" i="2" s="1"/>
  <c r="B365" i="2" s="1"/>
  <c r="B366" i="2" s="1"/>
  <c r="B367" i="2" s="1"/>
  <c r="B368" i="2" s="1"/>
  <c r="B369" i="2" s="1"/>
  <c r="B370" i="2" s="1"/>
  <c r="B372" i="2" s="1"/>
  <c r="M354" i="2"/>
  <c r="M353" i="2"/>
  <c r="M370" i="2" s="1"/>
  <c r="X89" i="27" l="1"/>
  <c r="AB88" i="27"/>
  <c r="AC88" i="27" s="1"/>
  <c r="Z88" i="27"/>
  <c r="AA88" i="27" s="1"/>
  <c r="X76" i="16"/>
  <c r="AB76" i="16" s="1"/>
  <c r="AC76" i="16" s="1"/>
  <c r="J372" i="2"/>
  <c r="B373" i="2"/>
  <c r="B374" i="2" s="1"/>
  <c r="C372" i="2"/>
  <c r="H372" i="2"/>
  <c r="X90" i="27" l="1"/>
  <c r="AB89" i="27"/>
  <c r="AC89" i="27" s="1"/>
  <c r="Z89" i="27"/>
  <c r="AA89" i="27" s="1"/>
  <c r="X77" i="16"/>
  <c r="AB77" i="16" s="1"/>
  <c r="AC77" i="16" s="1"/>
  <c r="C373" i="2"/>
  <c r="C374" i="2" s="1"/>
  <c r="E376" i="2"/>
  <c r="D372" i="2"/>
  <c r="B376" i="2"/>
  <c r="B375" i="2"/>
  <c r="AB90" i="27" l="1"/>
  <c r="AC90" i="27" s="1"/>
  <c r="Z90" i="27"/>
  <c r="AA90" i="27" s="1"/>
  <c r="X91" i="27"/>
  <c r="X78" i="16"/>
  <c r="AB78" i="16" s="1"/>
  <c r="AC78" i="16" s="1"/>
  <c r="M375" i="2"/>
  <c r="B377" i="2"/>
  <c r="B378" i="2" s="1"/>
  <c r="B379" i="2" s="1"/>
  <c r="B380" i="2" s="1"/>
  <c r="B381" i="2" s="1"/>
  <c r="B382" i="2" s="1"/>
  <c r="B383" i="2" s="1"/>
  <c r="B384" i="2" s="1"/>
  <c r="B385" i="2" s="1"/>
  <c r="B386" i="2" s="1"/>
  <c r="B387" i="2" s="1"/>
  <c r="B388" i="2" s="1"/>
  <c r="B389" i="2" s="1"/>
  <c r="B390" i="2" s="1"/>
  <c r="B391" i="2" s="1"/>
  <c r="B393" i="2" s="1"/>
  <c r="M374" i="2"/>
  <c r="M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X92" i="27" l="1"/>
  <c r="AB91" i="27"/>
  <c r="AC91" i="27" s="1"/>
  <c r="Z91" i="27"/>
  <c r="AA91" i="27" s="1"/>
  <c r="X79" i="16"/>
  <c r="AB79" i="16" s="1"/>
  <c r="AC79" i="16" s="1"/>
  <c r="J393" i="2"/>
  <c r="B394" i="2"/>
  <c r="B395" i="2" s="1"/>
  <c r="H393" i="2"/>
  <c r="C393" i="2"/>
  <c r="Z92" i="27" l="1"/>
  <c r="AA92" i="27" s="1"/>
  <c r="X93" i="27"/>
  <c r="AB92" i="27"/>
  <c r="AC92" i="27" s="1"/>
  <c r="X80" i="16"/>
  <c r="AB80" i="16" s="1"/>
  <c r="AC80" i="16" s="1"/>
  <c r="C394" i="2"/>
  <c r="C395" i="2" s="1"/>
  <c r="E397" i="2"/>
  <c r="D393" i="2"/>
  <c r="B397" i="2"/>
  <c r="B396" i="2"/>
  <c r="AB93" i="27" l="1"/>
  <c r="AC93" i="27" s="1"/>
  <c r="Z93" i="27"/>
  <c r="AA93" i="27" s="1"/>
  <c r="X94" i="27"/>
  <c r="X81" i="16"/>
  <c r="AB81" i="16" s="1"/>
  <c r="AC81" i="16" s="1"/>
  <c r="B398" i="2"/>
  <c r="B399" i="2" s="1"/>
  <c r="B400" i="2" s="1"/>
  <c r="B401" i="2" s="1"/>
  <c r="B402" i="2" s="1"/>
  <c r="B403" i="2" s="1"/>
  <c r="B404" i="2" s="1"/>
  <c r="B405" i="2" s="1"/>
  <c r="B406" i="2" s="1"/>
  <c r="B407" i="2" s="1"/>
  <c r="B408" i="2" s="1"/>
  <c r="B409" i="2" s="1"/>
  <c r="B410" i="2" s="1"/>
  <c r="B411" i="2" s="1"/>
  <c r="B412" i="2" s="1"/>
  <c r="B414" i="2" s="1"/>
  <c r="M412" i="2"/>
  <c r="D394" i="2"/>
  <c r="D395" i="2" s="1"/>
  <c r="D396" i="2" s="1"/>
  <c r="D397" i="2" s="1"/>
  <c r="D398" i="2" s="1"/>
  <c r="D399" i="2" s="1"/>
  <c r="D400" i="2" s="1"/>
  <c r="D401" i="2" s="1"/>
  <c r="D402" i="2" s="1"/>
  <c r="D403" i="2" s="1"/>
  <c r="D404" i="2" s="1"/>
  <c r="D405" i="2" s="1"/>
  <c r="D406" i="2" s="1"/>
  <c r="D407" i="2" s="1"/>
  <c r="D408" i="2" s="1"/>
  <c r="D409" i="2" s="1"/>
  <c r="D410" i="2" s="1"/>
  <c r="D411" i="2" s="1"/>
  <c r="D412" i="2" s="1"/>
  <c r="E394" i="2"/>
  <c r="C396" i="2"/>
  <c r="C397" i="2"/>
  <c r="C398" i="2" s="1"/>
  <c r="C399" i="2" s="1"/>
  <c r="C400" i="2" s="1"/>
  <c r="C401" i="2" s="1"/>
  <c r="C402" i="2" s="1"/>
  <c r="C403" i="2" s="1"/>
  <c r="C404" i="2" s="1"/>
  <c r="C405" i="2" s="1"/>
  <c r="C406" i="2" s="1"/>
  <c r="C407" i="2" s="1"/>
  <c r="C408" i="2" s="1"/>
  <c r="C409" i="2" s="1"/>
  <c r="C410" i="2" s="1"/>
  <c r="C411" i="2" s="1"/>
  <c r="C412" i="2" s="1"/>
  <c r="X95" i="27" l="1"/>
  <c r="AB94" i="27"/>
  <c r="AC94" i="27" s="1"/>
  <c r="Z94" i="27"/>
  <c r="AA94" i="27" s="1"/>
  <c r="X82" i="16"/>
  <c r="AB82" i="16" s="1"/>
  <c r="AC82" i="16" s="1"/>
  <c r="B415" i="2"/>
  <c r="B416" i="2" s="1"/>
  <c r="C414" i="2"/>
  <c r="J414" i="2"/>
  <c r="H414" i="2"/>
  <c r="Z95" i="27" l="1"/>
  <c r="AA95" i="27" s="1"/>
  <c r="X96" i="27"/>
  <c r="AB95" i="27"/>
  <c r="AC95" i="27" s="1"/>
  <c r="X83" i="16"/>
  <c r="AB83" i="16" s="1"/>
  <c r="AC83" i="16" s="1"/>
  <c r="C415" i="2"/>
  <c r="C416" i="2" s="1"/>
  <c r="E418" i="2"/>
  <c r="D414" i="2"/>
  <c r="B418" i="2"/>
  <c r="B417" i="2"/>
  <c r="X97" i="27" l="1"/>
  <c r="AB96" i="27"/>
  <c r="AC96" i="27" s="1"/>
  <c r="Z96" i="27"/>
  <c r="AA96" i="27" s="1"/>
  <c r="X84" i="16"/>
  <c r="AB84" i="16" s="1"/>
  <c r="AC84" i="16" s="1"/>
  <c r="M433" i="2"/>
  <c r="B419" i="2"/>
  <c r="B420" i="2" s="1"/>
  <c r="B421" i="2" s="1"/>
  <c r="B422" i="2" s="1"/>
  <c r="B423" i="2" s="1"/>
  <c r="B424" i="2" s="1"/>
  <c r="B425" i="2" s="1"/>
  <c r="B426" i="2" s="1"/>
  <c r="B427" i="2" s="1"/>
  <c r="B428" i="2" s="1"/>
  <c r="B429" i="2" s="1"/>
  <c r="B430" i="2" s="1"/>
  <c r="B431" i="2" s="1"/>
  <c r="B432" i="2" s="1"/>
  <c r="B433" i="2" s="1"/>
  <c r="B435"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C417" i="2"/>
  <c r="C418" i="2"/>
  <c r="C419" i="2" s="1"/>
  <c r="C420" i="2" s="1"/>
  <c r="C421" i="2" s="1"/>
  <c r="C422" i="2" s="1"/>
  <c r="C423" i="2" s="1"/>
  <c r="C424" i="2" s="1"/>
  <c r="C425" i="2" s="1"/>
  <c r="C426" i="2" s="1"/>
  <c r="C427" i="2" s="1"/>
  <c r="C428" i="2" s="1"/>
  <c r="C429" i="2" s="1"/>
  <c r="C430" i="2" s="1"/>
  <c r="C431" i="2" s="1"/>
  <c r="C432" i="2" s="1"/>
  <c r="C433" i="2" s="1"/>
  <c r="X98" i="27" l="1"/>
  <c r="AB97" i="27"/>
  <c r="AC97" i="27" s="1"/>
  <c r="Z97" i="27"/>
  <c r="AA97" i="27" s="1"/>
  <c r="X85" i="16"/>
  <c r="AB85" i="16" s="1"/>
  <c r="AC85" i="16" s="1"/>
  <c r="B436" i="2"/>
  <c r="B437" i="2" s="1"/>
  <c r="H435" i="2"/>
  <c r="C435" i="2"/>
  <c r="J435" i="2"/>
  <c r="AB98" i="27" l="1"/>
  <c r="AC98" i="27" s="1"/>
  <c r="Z98" i="27"/>
  <c r="AA98" i="27" s="1"/>
  <c r="X99" i="27"/>
  <c r="X86" i="16"/>
  <c r="AB86" i="16" s="1"/>
  <c r="AC86" i="16" s="1"/>
  <c r="E439" i="2"/>
  <c r="D435" i="2"/>
  <c r="C436" i="2"/>
  <c r="C437" i="2" s="1"/>
  <c r="B438" i="2"/>
  <c r="B439" i="2"/>
  <c r="X100" i="27" l="1"/>
  <c r="AB99" i="27"/>
  <c r="AC99" i="27" s="1"/>
  <c r="Z99" i="27"/>
  <c r="AA99" i="27" s="1"/>
  <c r="X87" i="16"/>
  <c r="AB87" i="16" s="1"/>
  <c r="AC87" i="16" s="1"/>
  <c r="C439" i="2"/>
  <c r="C440" i="2" s="1"/>
  <c r="C441" i="2" s="1"/>
  <c r="C442" i="2" s="1"/>
  <c r="C443" i="2" s="1"/>
  <c r="C444" i="2" s="1"/>
  <c r="C445" i="2" s="1"/>
  <c r="C446" i="2" s="1"/>
  <c r="C447" i="2" s="1"/>
  <c r="C448" i="2" s="1"/>
  <c r="C449" i="2" s="1"/>
  <c r="C450" i="2" s="1"/>
  <c r="C451" i="2" s="1"/>
  <c r="C452" i="2" s="1"/>
  <c r="C453" i="2" s="1"/>
  <c r="C454" i="2" s="1"/>
  <c r="C438" i="2"/>
  <c r="B440" i="2"/>
  <c r="B441" i="2" s="1"/>
  <c r="B442" i="2" s="1"/>
  <c r="B443" i="2" s="1"/>
  <c r="B444" i="2" s="1"/>
  <c r="B445" i="2" s="1"/>
  <c r="B446" i="2" s="1"/>
  <c r="B447" i="2" s="1"/>
  <c r="B448" i="2" s="1"/>
  <c r="B449" i="2" s="1"/>
  <c r="B450" i="2" s="1"/>
  <c r="B451" i="2" s="1"/>
  <c r="B452" i="2" s="1"/>
  <c r="B453" i="2" s="1"/>
  <c r="B454" i="2" s="1"/>
  <c r="B456" i="2" s="1"/>
  <c r="M454" i="2"/>
  <c r="D436" i="2"/>
  <c r="D437" i="2" s="1"/>
  <c r="D438" i="2" s="1"/>
  <c r="D439" i="2" s="1"/>
  <c r="D440" i="2" s="1"/>
  <c r="D441" i="2" s="1"/>
  <c r="D442" i="2" s="1"/>
  <c r="D443" i="2" s="1"/>
  <c r="D444" i="2" s="1"/>
  <c r="D445" i="2" s="1"/>
  <c r="D446" i="2" s="1"/>
  <c r="D447" i="2" s="1"/>
  <c r="D448" i="2" s="1"/>
  <c r="D449" i="2" s="1"/>
  <c r="D450" i="2" s="1"/>
  <c r="D451" i="2" s="1"/>
  <c r="D452" i="2" s="1"/>
  <c r="D453" i="2" s="1"/>
  <c r="D454" i="2" s="1"/>
  <c r="E436" i="2"/>
  <c r="Z100" i="27" l="1"/>
  <c r="AA100" i="27" s="1"/>
  <c r="X101" i="27"/>
  <c r="AB100" i="27"/>
  <c r="AC100" i="27" s="1"/>
  <c r="X88" i="16"/>
  <c r="AB88" i="16" s="1"/>
  <c r="AC88" i="16" s="1"/>
  <c r="J456" i="2"/>
  <c r="C456" i="2"/>
  <c r="H456" i="2"/>
  <c r="B457" i="2"/>
  <c r="B458" i="2" s="1"/>
  <c r="AB101" i="27" l="1"/>
  <c r="AC101" i="27" s="1"/>
  <c r="Z101" i="27"/>
  <c r="AA101" i="27" s="1"/>
  <c r="X102" i="27"/>
  <c r="X89" i="16"/>
  <c r="AB89" i="16" s="1"/>
  <c r="AC89" i="16" s="1"/>
  <c r="B460" i="2"/>
  <c r="B459" i="2"/>
  <c r="C457" i="2"/>
  <c r="C458" i="2" s="1"/>
  <c r="E460" i="2"/>
  <c r="D456" i="2"/>
  <c r="X103" i="27" l="1"/>
  <c r="AB102" i="27"/>
  <c r="AC102" i="27" s="1"/>
  <c r="Z102" i="27"/>
  <c r="AA102" i="27" s="1"/>
  <c r="X90" i="16"/>
  <c r="AB90" i="16" s="1"/>
  <c r="AC90" i="16" s="1"/>
  <c r="C459" i="2"/>
  <c r="C460" i="2"/>
  <c r="C461" i="2" s="1"/>
  <c r="C462" i="2" s="1"/>
  <c r="C463" i="2" s="1"/>
  <c r="C464" i="2" s="1"/>
  <c r="C465" i="2" s="1"/>
  <c r="C466" i="2" s="1"/>
  <c r="C467" i="2" s="1"/>
  <c r="C468" i="2" s="1"/>
  <c r="C469" i="2" s="1"/>
  <c r="C470" i="2" s="1"/>
  <c r="C471" i="2" s="1"/>
  <c r="C472" i="2" s="1"/>
  <c r="C473" i="2" s="1"/>
  <c r="C474" i="2" s="1"/>
  <c r="C475" i="2" s="1"/>
  <c r="B461" i="2"/>
  <c r="B462" i="2" s="1"/>
  <c r="B463" i="2" s="1"/>
  <c r="B464" i="2" s="1"/>
  <c r="B465" i="2" s="1"/>
  <c r="B466" i="2" s="1"/>
  <c r="B467" i="2" s="1"/>
  <c r="B468" i="2" s="1"/>
  <c r="B469" i="2" s="1"/>
  <c r="B470" i="2" s="1"/>
  <c r="B471" i="2" s="1"/>
  <c r="B472" i="2" s="1"/>
  <c r="B473" i="2" s="1"/>
  <c r="B474" i="2" s="1"/>
  <c r="B475" i="2" s="1"/>
  <c r="B477" i="2" s="1"/>
  <c r="M475" i="2"/>
  <c r="D457" i="2"/>
  <c r="D458" i="2" s="1"/>
  <c r="D459" i="2" s="1"/>
  <c r="D460" i="2" s="1"/>
  <c r="D461" i="2" s="1"/>
  <c r="D462" i="2" s="1"/>
  <c r="D463" i="2" s="1"/>
  <c r="D464" i="2" s="1"/>
  <c r="D465" i="2" s="1"/>
  <c r="D466" i="2" s="1"/>
  <c r="D467" i="2" s="1"/>
  <c r="D468" i="2" s="1"/>
  <c r="D469" i="2" s="1"/>
  <c r="D470" i="2" s="1"/>
  <c r="D471" i="2" s="1"/>
  <c r="D472" i="2" s="1"/>
  <c r="D473" i="2" s="1"/>
  <c r="D474" i="2" s="1"/>
  <c r="D475" i="2" s="1"/>
  <c r="E457" i="2"/>
  <c r="Z103" i="27" l="1"/>
  <c r="AA103" i="27" s="1"/>
  <c r="X104" i="27"/>
  <c r="AB103" i="27"/>
  <c r="AC103" i="27" s="1"/>
  <c r="X91" i="16"/>
  <c r="AB91" i="16" s="1"/>
  <c r="AC91" i="16" s="1"/>
  <c r="H477" i="2"/>
  <c r="J477" i="2"/>
  <c r="B478" i="2"/>
  <c r="B479" i="2" s="1"/>
  <c r="C477" i="2"/>
  <c r="X105" i="27" l="1"/>
  <c r="AB104" i="27"/>
  <c r="AC104" i="27" s="1"/>
  <c r="Z104" i="27"/>
  <c r="AA104" i="27" s="1"/>
  <c r="X92" i="16"/>
  <c r="AB92" i="16" s="1"/>
  <c r="AC92" i="16" s="1"/>
  <c r="C478" i="2"/>
  <c r="C479" i="2" s="1"/>
  <c r="E481" i="2"/>
  <c r="D477" i="2"/>
  <c r="B480" i="2"/>
  <c r="B481" i="2"/>
  <c r="X106" i="27" l="1"/>
  <c r="AB105" i="27"/>
  <c r="AC105" i="27" s="1"/>
  <c r="Z105" i="27"/>
  <c r="AA105" i="27" s="1"/>
  <c r="X93" i="16"/>
  <c r="AB93" i="16" s="1"/>
  <c r="AC93" i="16" s="1"/>
  <c r="B482" i="2"/>
  <c r="B483" i="2" s="1"/>
  <c r="B484" i="2" s="1"/>
  <c r="B485" i="2" s="1"/>
  <c r="B486" i="2" s="1"/>
  <c r="B487" i="2" s="1"/>
  <c r="B488" i="2" s="1"/>
  <c r="B489" i="2" s="1"/>
  <c r="B490" i="2" s="1"/>
  <c r="B491" i="2" s="1"/>
  <c r="B492" i="2" s="1"/>
  <c r="B493" i="2" s="1"/>
  <c r="B494" i="2" s="1"/>
  <c r="B495" i="2" s="1"/>
  <c r="B496" i="2" s="1"/>
  <c r="B498" i="2" s="1"/>
  <c r="M496" i="2"/>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AB106" i="27" l="1"/>
  <c r="AC106" i="27" s="1"/>
  <c r="Z106" i="27"/>
  <c r="AA106" i="27" s="1"/>
  <c r="X107" i="27"/>
  <c r="X94" i="16"/>
  <c r="AB94" i="16" s="1"/>
  <c r="AC94" i="16" s="1"/>
  <c r="H498" i="2"/>
  <c r="B499" i="2"/>
  <c r="B500" i="2" s="1"/>
  <c r="J498" i="2"/>
  <c r="C498" i="2"/>
  <c r="X108" i="27" l="1"/>
  <c r="AB107" i="27"/>
  <c r="AC107" i="27" s="1"/>
  <c r="Z107" i="27"/>
  <c r="AA107" i="27" s="1"/>
  <c r="X95" i="16"/>
  <c r="AB95" i="16" s="1"/>
  <c r="AC95" i="16" s="1"/>
  <c r="D498" i="2"/>
  <c r="C499" i="2"/>
  <c r="C500" i="2" s="1"/>
  <c r="E502" i="2"/>
  <c r="B501" i="2"/>
  <c r="B502" i="2"/>
  <c r="Z108" i="27" l="1"/>
  <c r="AA108" i="27" s="1"/>
  <c r="X109" i="27"/>
  <c r="AB108" i="27"/>
  <c r="AC108" i="27" s="1"/>
  <c r="X96" i="16"/>
  <c r="AB96" i="16" s="1"/>
  <c r="AC96" i="16" s="1"/>
  <c r="M500" i="2"/>
  <c r="M517" i="2" s="1"/>
  <c r="M501" i="2"/>
  <c r="B503" i="2"/>
  <c r="B504" i="2" s="1"/>
  <c r="B505" i="2" s="1"/>
  <c r="B506" i="2" s="1"/>
  <c r="B507" i="2" s="1"/>
  <c r="B508" i="2" s="1"/>
  <c r="B509" i="2" s="1"/>
  <c r="B510" i="2" s="1"/>
  <c r="B511" i="2" s="1"/>
  <c r="B512" i="2" s="1"/>
  <c r="B513" i="2" s="1"/>
  <c r="B514" i="2" s="1"/>
  <c r="B515" i="2" s="1"/>
  <c r="B516" i="2" s="1"/>
  <c r="B517" i="2" s="1"/>
  <c r="B519" i="2" s="1"/>
  <c r="C502" i="2"/>
  <c r="C503" i="2" s="1"/>
  <c r="C504" i="2" s="1"/>
  <c r="C505" i="2" s="1"/>
  <c r="C506" i="2" s="1"/>
  <c r="C507" i="2" s="1"/>
  <c r="C508" i="2" s="1"/>
  <c r="C509" i="2" s="1"/>
  <c r="C510" i="2" s="1"/>
  <c r="C511" i="2" s="1"/>
  <c r="C512" i="2" s="1"/>
  <c r="C513" i="2" s="1"/>
  <c r="C514" i="2" s="1"/>
  <c r="C515" i="2" s="1"/>
  <c r="C516" i="2" s="1"/>
  <c r="C517" i="2" s="1"/>
  <c r="C501" i="2"/>
  <c r="D499" i="2"/>
  <c r="D500" i="2" s="1"/>
  <c r="D501" i="2" s="1"/>
  <c r="D502" i="2" s="1"/>
  <c r="D503" i="2" s="1"/>
  <c r="D504" i="2" s="1"/>
  <c r="D505" i="2" s="1"/>
  <c r="D506" i="2" s="1"/>
  <c r="D507" i="2" s="1"/>
  <c r="D508" i="2" s="1"/>
  <c r="D509" i="2" s="1"/>
  <c r="D510" i="2" s="1"/>
  <c r="D511" i="2" s="1"/>
  <c r="D512" i="2" s="1"/>
  <c r="D513" i="2" s="1"/>
  <c r="D514" i="2" s="1"/>
  <c r="D515" i="2" s="1"/>
  <c r="D516" i="2" s="1"/>
  <c r="D517" i="2" s="1"/>
  <c r="E499" i="2"/>
  <c r="AB109" i="27" l="1"/>
  <c r="AC109" i="27" s="1"/>
  <c r="Z109" i="27"/>
  <c r="AA109" i="27" s="1"/>
  <c r="X110" i="27"/>
  <c r="X97" i="16"/>
  <c r="AB97" i="16" s="1"/>
  <c r="AC97" i="16" s="1"/>
  <c r="B520" i="2"/>
  <c r="B521" i="2" s="1"/>
  <c r="C519" i="2"/>
  <c r="H519" i="2"/>
  <c r="J519" i="2"/>
  <c r="X111" i="27" l="1"/>
  <c r="AB110" i="27"/>
  <c r="AC110" i="27" s="1"/>
  <c r="Z110" i="27"/>
  <c r="AA110" i="27" s="1"/>
  <c r="X98" i="16"/>
  <c r="AB98" i="16" s="1"/>
  <c r="AC98" i="16" s="1"/>
  <c r="C520" i="2"/>
  <c r="C521" i="2" s="1"/>
  <c r="E523" i="2"/>
  <c r="D519" i="2"/>
  <c r="B523" i="2"/>
  <c r="B522" i="2"/>
  <c r="Z111" i="27" l="1"/>
  <c r="AA111" i="27" s="1"/>
  <c r="X112" i="27"/>
  <c r="AB111" i="27"/>
  <c r="AC111" i="27" s="1"/>
  <c r="X99" i="16"/>
  <c r="AB99" i="16" s="1"/>
  <c r="AC99" i="16" s="1"/>
  <c r="B524" i="2"/>
  <c r="B525" i="2" s="1"/>
  <c r="B526" i="2" s="1"/>
  <c r="B527" i="2" s="1"/>
  <c r="B528" i="2" s="1"/>
  <c r="B529" i="2" s="1"/>
  <c r="B530" i="2" s="1"/>
  <c r="B531" i="2" s="1"/>
  <c r="B532" i="2" s="1"/>
  <c r="B533" i="2" s="1"/>
  <c r="B534" i="2" s="1"/>
  <c r="B535" i="2" s="1"/>
  <c r="B536" i="2" s="1"/>
  <c r="B537" i="2" s="1"/>
  <c r="B538" i="2" s="1"/>
  <c r="B540" i="2" s="1"/>
  <c r="M538" i="2"/>
  <c r="D520" i="2"/>
  <c r="D521" i="2" s="1"/>
  <c r="D522" i="2" s="1"/>
  <c r="D523" i="2" s="1"/>
  <c r="D524" i="2" s="1"/>
  <c r="D525" i="2" s="1"/>
  <c r="D526" i="2" s="1"/>
  <c r="D527" i="2" s="1"/>
  <c r="D528" i="2" s="1"/>
  <c r="D529" i="2" s="1"/>
  <c r="D530" i="2" s="1"/>
  <c r="D531" i="2" s="1"/>
  <c r="D532" i="2" s="1"/>
  <c r="D533" i="2" s="1"/>
  <c r="D534" i="2" s="1"/>
  <c r="D535" i="2" s="1"/>
  <c r="D536" i="2" s="1"/>
  <c r="D537" i="2" s="1"/>
  <c r="D538" i="2" s="1"/>
  <c r="E520" i="2"/>
  <c r="C523" i="2"/>
  <c r="C524" i="2" s="1"/>
  <c r="C525" i="2" s="1"/>
  <c r="C526" i="2" s="1"/>
  <c r="C527" i="2" s="1"/>
  <c r="C528" i="2" s="1"/>
  <c r="C529" i="2" s="1"/>
  <c r="C530" i="2" s="1"/>
  <c r="C531" i="2" s="1"/>
  <c r="C532" i="2" s="1"/>
  <c r="C533" i="2" s="1"/>
  <c r="C534" i="2" s="1"/>
  <c r="C535" i="2" s="1"/>
  <c r="C536" i="2" s="1"/>
  <c r="C537" i="2" s="1"/>
  <c r="C538" i="2" s="1"/>
  <c r="C522" i="2"/>
  <c r="X113" i="27" l="1"/>
  <c r="AB112" i="27"/>
  <c r="AC112" i="27" s="1"/>
  <c r="Z112" i="27"/>
  <c r="AA112" i="27" s="1"/>
  <c r="X100" i="16"/>
  <c r="AB100" i="16" s="1"/>
  <c r="AC100" i="16" s="1"/>
  <c r="C540" i="2"/>
  <c r="H540" i="2"/>
  <c r="J540" i="2"/>
  <c r="B541" i="2"/>
  <c r="B542" i="2" s="1"/>
  <c r="X114" i="27" l="1"/>
  <c r="AB113" i="27"/>
  <c r="AC113" i="27" s="1"/>
  <c r="Z113" i="27"/>
  <c r="AA113" i="27" s="1"/>
  <c r="X101" i="16"/>
  <c r="AB101" i="16" s="1"/>
  <c r="AC101" i="16" s="1"/>
  <c r="B543" i="2"/>
  <c r="B544" i="2"/>
  <c r="D540" i="2"/>
  <c r="C541" i="2"/>
  <c r="C542" i="2" s="1"/>
  <c r="E544" i="2"/>
  <c r="AB114" i="27" l="1"/>
  <c r="AC114" i="27" s="1"/>
  <c r="Z114" i="27"/>
  <c r="AA114" i="27" s="1"/>
  <c r="X115" i="27"/>
  <c r="X102" i="16"/>
  <c r="AB102" i="16" s="1"/>
  <c r="AC102" i="16" s="1"/>
  <c r="D541" i="2"/>
  <c r="D542" i="2" s="1"/>
  <c r="D543" i="2" s="1"/>
  <c r="D544" i="2" s="1"/>
  <c r="D545" i="2" s="1"/>
  <c r="D546" i="2" s="1"/>
  <c r="D547" i="2" s="1"/>
  <c r="D548" i="2" s="1"/>
  <c r="D549" i="2" s="1"/>
  <c r="D550" i="2" s="1"/>
  <c r="D551" i="2" s="1"/>
  <c r="D552" i="2" s="1"/>
  <c r="D553" i="2" s="1"/>
  <c r="D554" i="2" s="1"/>
  <c r="D555" i="2" s="1"/>
  <c r="D556" i="2" s="1"/>
  <c r="D557" i="2" s="1"/>
  <c r="D558" i="2" s="1"/>
  <c r="D559" i="2" s="1"/>
  <c r="E541" i="2"/>
  <c r="M559" i="2"/>
  <c r="B545" i="2"/>
  <c r="B546" i="2" s="1"/>
  <c r="B547" i="2" s="1"/>
  <c r="B548" i="2" s="1"/>
  <c r="B549" i="2" s="1"/>
  <c r="B550" i="2" s="1"/>
  <c r="B551" i="2" s="1"/>
  <c r="B552" i="2" s="1"/>
  <c r="B553" i="2" s="1"/>
  <c r="B554" i="2" s="1"/>
  <c r="B555" i="2" s="1"/>
  <c r="B556" i="2" s="1"/>
  <c r="B557" i="2" s="1"/>
  <c r="B558" i="2" s="1"/>
  <c r="B559" i="2" s="1"/>
  <c r="B561" i="2" s="1"/>
  <c r="C543" i="2"/>
  <c r="C544" i="2"/>
  <c r="C545" i="2" s="1"/>
  <c r="C546" i="2" s="1"/>
  <c r="C547" i="2" s="1"/>
  <c r="C548" i="2" s="1"/>
  <c r="C549" i="2" s="1"/>
  <c r="C550" i="2" s="1"/>
  <c r="C551" i="2" s="1"/>
  <c r="C552" i="2" s="1"/>
  <c r="C553" i="2" s="1"/>
  <c r="C554" i="2" s="1"/>
  <c r="C555" i="2" s="1"/>
  <c r="C556" i="2" s="1"/>
  <c r="C557" i="2" s="1"/>
  <c r="C558" i="2" s="1"/>
  <c r="C559" i="2" s="1"/>
  <c r="X116" i="27" l="1"/>
  <c r="AB115" i="27"/>
  <c r="AC115" i="27" s="1"/>
  <c r="Z115" i="27"/>
  <c r="AA115" i="27" s="1"/>
  <c r="X103" i="16"/>
  <c r="AB103" i="16" s="1"/>
  <c r="AC103" i="16" s="1"/>
  <c r="C561" i="2"/>
  <c r="H561" i="2"/>
  <c r="J561" i="2"/>
  <c r="B562" i="2"/>
  <c r="B563" i="2" s="1"/>
  <c r="Z116" i="27" l="1"/>
  <c r="AA116" i="27" s="1"/>
  <c r="X117" i="27"/>
  <c r="AB116" i="27"/>
  <c r="AC116" i="27" s="1"/>
  <c r="X104" i="16"/>
  <c r="AB104" i="16" s="1"/>
  <c r="AC104" i="16" s="1"/>
  <c r="B564" i="2"/>
  <c r="B565" i="2"/>
  <c r="D561" i="2"/>
  <c r="C562" i="2"/>
  <c r="C563" i="2" s="1"/>
  <c r="E565" i="2"/>
  <c r="AB117" i="27" l="1"/>
  <c r="AC117" i="27" s="1"/>
  <c r="Z117" i="27"/>
  <c r="AA117" i="27" s="1"/>
  <c r="X118" i="27"/>
  <c r="X105" i="16"/>
  <c r="AB105" i="16" s="1"/>
  <c r="AC105" i="16" s="1"/>
  <c r="C564" i="2"/>
  <c r="C565" i="2"/>
  <c r="C566" i="2" s="1"/>
  <c r="C567" i="2" s="1"/>
  <c r="C568" i="2" s="1"/>
  <c r="C569" i="2" s="1"/>
  <c r="C570" i="2" s="1"/>
  <c r="C571" i="2" s="1"/>
  <c r="C572" i="2" s="1"/>
  <c r="C573" i="2" s="1"/>
  <c r="C574" i="2" s="1"/>
  <c r="C575" i="2" s="1"/>
  <c r="C576" i="2" s="1"/>
  <c r="C577" i="2" s="1"/>
  <c r="C578" i="2" s="1"/>
  <c r="C579" i="2" s="1"/>
  <c r="C580" i="2" s="1"/>
  <c r="M580"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X119" i="27" l="1"/>
  <c r="AB118" i="27"/>
  <c r="AC118" i="27" s="1"/>
  <c r="Z118" i="27"/>
  <c r="AA118" i="27" s="1"/>
  <c r="X106" i="16"/>
  <c r="AB106" i="16" s="1"/>
  <c r="AC106" i="16" s="1"/>
  <c r="C582" i="2"/>
  <c r="H582" i="2"/>
  <c r="J582" i="2"/>
  <c r="B583" i="2"/>
  <c r="B584" i="2" s="1"/>
  <c r="Z119" i="27" l="1"/>
  <c r="AA119" i="27" s="1"/>
  <c r="X120" i="27"/>
  <c r="AB119" i="27"/>
  <c r="AC119" i="27" s="1"/>
  <c r="X107" i="16"/>
  <c r="AB107" i="16" s="1"/>
  <c r="AC107" i="16" s="1"/>
  <c r="B585" i="2"/>
  <c r="B586" i="2"/>
  <c r="E586" i="2"/>
  <c r="D582" i="2"/>
  <c r="C583" i="2"/>
  <c r="C584" i="2" s="1"/>
  <c r="X121" i="27" l="1"/>
  <c r="AB120" i="27"/>
  <c r="AC120" i="27" s="1"/>
  <c r="Z120" i="27"/>
  <c r="AA120" i="27" s="1"/>
  <c r="X108" i="16"/>
  <c r="AB108" i="16" s="1"/>
  <c r="AC108" i="16" s="1"/>
  <c r="C585" i="2"/>
  <c r="C586" i="2"/>
  <c r="C587" i="2" s="1"/>
  <c r="C588" i="2" s="1"/>
  <c r="C589" i="2" s="1"/>
  <c r="C590" i="2" s="1"/>
  <c r="C591" i="2" s="1"/>
  <c r="C592" i="2" s="1"/>
  <c r="C593" i="2" s="1"/>
  <c r="C594" i="2" s="1"/>
  <c r="C595" i="2" s="1"/>
  <c r="C596" i="2" s="1"/>
  <c r="C597" i="2" s="1"/>
  <c r="C598" i="2" s="1"/>
  <c r="C599" i="2" s="1"/>
  <c r="C600" i="2" s="1"/>
  <c r="C601" i="2" s="1"/>
  <c r="D583" i="2"/>
  <c r="D584" i="2" s="1"/>
  <c r="D585" i="2" s="1"/>
  <c r="D586" i="2" s="1"/>
  <c r="D587" i="2" s="1"/>
  <c r="D588" i="2" s="1"/>
  <c r="D589" i="2" s="1"/>
  <c r="D590" i="2" s="1"/>
  <c r="D591" i="2" s="1"/>
  <c r="D592" i="2" s="1"/>
  <c r="D593" i="2" s="1"/>
  <c r="D594" i="2" s="1"/>
  <c r="D595" i="2" s="1"/>
  <c r="D596" i="2" s="1"/>
  <c r="D597" i="2" s="1"/>
  <c r="D598" i="2" s="1"/>
  <c r="D599" i="2" s="1"/>
  <c r="D600" i="2" s="1"/>
  <c r="D601" i="2" s="1"/>
  <c r="E583" i="2"/>
  <c r="M601" i="2"/>
  <c r="B587" i="2"/>
  <c r="B588" i="2" s="1"/>
  <c r="B589" i="2" s="1"/>
  <c r="B590" i="2" s="1"/>
  <c r="B591" i="2" s="1"/>
  <c r="B592" i="2" s="1"/>
  <c r="B593" i="2" s="1"/>
  <c r="B594" i="2" s="1"/>
  <c r="B595" i="2" s="1"/>
  <c r="B596" i="2" s="1"/>
  <c r="B597" i="2" s="1"/>
  <c r="B598" i="2" s="1"/>
  <c r="B599" i="2" s="1"/>
  <c r="B600" i="2" s="1"/>
  <c r="B601" i="2" s="1"/>
  <c r="B603" i="2" s="1"/>
  <c r="X122" i="27" l="1"/>
  <c r="AB121" i="27"/>
  <c r="AC121" i="27" s="1"/>
  <c r="Z121" i="27"/>
  <c r="AA121" i="27" s="1"/>
  <c r="X109" i="16"/>
  <c r="AB109" i="16" s="1"/>
  <c r="AC109" i="16" s="1"/>
  <c r="B604" i="2"/>
  <c r="B605" i="2" s="1"/>
  <c r="J603" i="2"/>
  <c r="C603" i="2"/>
  <c r="H603" i="2"/>
  <c r="AB122" i="27" l="1"/>
  <c r="AC122" i="27" s="1"/>
  <c r="Z122" i="27"/>
  <c r="AA122" i="27" s="1"/>
  <c r="X123" i="27"/>
  <c r="X110" i="16"/>
  <c r="AB110" i="16" s="1"/>
  <c r="AC110" i="16" s="1"/>
  <c r="C604" i="2"/>
  <c r="C605" i="2" s="1"/>
  <c r="E607" i="2"/>
  <c r="D603" i="2"/>
  <c r="B607" i="2"/>
  <c r="B606" i="2"/>
  <c r="X124" i="27" l="1"/>
  <c r="AB123" i="27"/>
  <c r="AC123" i="27" s="1"/>
  <c r="Z123" i="27"/>
  <c r="AA123" i="27" s="1"/>
  <c r="X111" i="16"/>
  <c r="AB111" i="16" s="1"/>
  <c r="AC111" i="16" s="1"/>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22" i="2"/>
  <c r="C607" i="2"/>
  <c r="C608" i="2" s="1"/>
  <c r="C609" i="2" s="1"/>
  <c r="C610" i="2" s="1"/>
  <c r="C611" i="2" s="1"/>
  <c r="C612" i="2" s="1"/>
  <c r="C613" i="2" s="1"/>
  <c r="C614" i="2" s="1"/>
  <c r="C615" i="2" s="1"/>
  <c r="C616" i="2" s="1"/>
  <c r="C617" i="2" s="1"/>
  <c r="C618" i="2" s="1"/>
  <c r="C619" i="2" s="1"/>
  <c r="C620" i="2" s="1"/>
  <c r="C621" i="2" s="1"/>
  <c r="C622" i="2" s="1"/>
  <c r="C606" i="2"/>
  <c r="Z124" i="27" l="1"/>
  <c r="AA124" i="27" s="1"/>
  <c r="X125" i="27"/>
  <c r="AB124" i="27"/>
  <c r="AC124" i="27" s="1"/>
  <c r="X112" i="16"/>
  <c r="AB112" i="16" s="1"/>
  <c r="AC112" i="16" s="1"/>
  <c r="J624" i="2"/>
  <c r="B625" i="2"/>
  <c r="B626" i="2" s="1"/>
  <c r="C624" i="2"/>
  <c r="H624" i="2"/>
  <c r="AB125" i="27" l="1"/>
  <c r="AC125" i="27" s="1"/>
  <c r="Z125" i="27"/>
  <c r="AA125" i="27" s="1"/>
  <c r="X126" i="27"/>
  <c r="X113" i="16"/>
  <c r="AB113" i="16" s="1"/>
  <c r="AC113" i="16" s="1"/>
  <c r="C625" i="2"/>
  <c r="C626" i="2" s="1"/>
  <c r="E628" i="2"/>
  <c r="D624" i="2"/>
  <c r="B628" i="2"/>
  <c r="B627" i="2"/>
  <c r="X127" i="27" l="1"/>
  <c r="AB126" i="27"/>
  <c r="AC126" i="27" s="1"/>
  <c r="Z126" i="27"/>
  <c r="AA126" i="27" s="1"/>
  <c r="X114" i="16"/>
  <c r="AB114" i="16" s="1"/>
  <c r="AC114" i="16" s="1"/>
  <c r="B629" i="2"/>
  <c r="B630" i="2" s="1"/>
  <c r="B631" i="2" s="1"/>
  <c r="B632" i="2" s="1"/>
  <c r="B633" i="2" s="1"/>
  <c r="B634" i="2" s="1"/>
  <c r="B635" i="2" s="1"/>
  <c r="B636" i="2" s="1"/>
  <c r="B637" i="2" s="1"/>
  <c r="B638" i="2" s="1"/>
  <c r="B639" i="2" s="1"/>
  <c r="B640" i="2" s="1"/>
  <c r="B641" i="2" s="1"/>
  <c r="B642" i="2" s="1"/>
  <c r="B643" i="2" s="1"/>
  <c r="B645" i="2" s="1"/>
  <c r="M643" i="2"/>
  <c r="D625" i="2"/>
  <c r="D626" i="2" s="1"/>
  <c r="D627" i="2" s="1"/>
  <c r="D628" i="2" s="1"/>
  <c r="D629" i="2" s="1"/>
  <c r="D630" i="2" s="1"/>
  <c r="D631" i="2" s="1"/>
  <c r="D632" i="2" s="1"/>
  <c r="D633" i="2" s="1"/>
  <c r="D634" i="2" s="1"/>
  <c r="D635" i="2" s="1"/>
  <c r="D636" i="2" s="1"/>
  <c r="D637" i="2" s="1"/>
  <c r="D638" i="2" s="1"/>
  <c r="D639" i="2" s="1"/>
  <c r="D640" i="2" s="1"/>
  <c r="D641" i="2" s="1"/>
  <c r="D642" i="2" s="1"/>
  <c r="D643" i="2" s="1"/>
  <c r="E625" i="2"/>
  <c r="C627" i="2"/>
  <c r="C628" i="2"/>
  <c r="C629" i="2" s="1"/>
  <c r="C630" i="2" s="1"/>
  <c r="C631" i="2" s="1"/>
  <c r="C632" i="2" s="1"/>
  <c r="C633" i="2" s="1"/>
  <c r="C634" i="2" s="1"/>
  <c r="C635" i="2" s="1"/>
  <c r="C636" i="2" s="1"/>
  <c r="C637" i="2" s="1"/>
  <c r="C638" i="2" s="1"/>
  <c r="C639" i="2" s="1"/>
  <c r="C640" i="2" s="1"/>
  <c r="C641" i="2" s="1"/>
  <c r="C642" i="2" s="1"/>
  <c r="C643" i="2" s="1"/>
  <c r="Z127" i="27" l="1"/>
  <c r="AA127" i="27" s="1"/>
  <c r="X128" i="27"/>
  <c r="AB127" i="27"/>
  <c r="AC127" i="27" s="1"/>
  <c r="X115" i="16"/>
  <c r="AB115" i="16" s="1"/>
  <c r="AC115" i="16" s="1"/>
  <c r="H645" i="2"/>
  <c r="J645" i="2"/>
  <c r="B646" i="2"/>
  <c r="B647" i="2" s="1"/>
  <c r="C645" i="2"/>
  <c r="X129" i="27" l="1"/>
  <c r="AB128" i="27"/>
  <c r="AC128" i="27" s="1"/>
  <c r="Z128" i="27"/>
  <c r="AA128" i="27" s="1"/>
  <c r="X116" i="16"/>
  <c r="AB116" i="16" s="1"/>
  <c r="AC116" i="16" s="1"/>
  <c r="C646" i="2"/>
  <c r="C647" i="2" s="1"/>
  <c r="E649" i="2"/>
  <c r="D645" i="2"/>
  <c r="B648" i="2"/>
  <c r="B649" i="2"/>
  <c r="X130" i="27" l="1"/>
  <c r="AB129" i="27"/>
  <c r="AC129" i="27" s="1"/>
  <c r="Z129" i="27"/>
  <c r="AA129" i="27" s="1"/>
  <c r="X117" i="16"/>
  <c r="AB117" i="16" s="1"/>
  <c r="AC117" i="16" s="1"/>
  <c r="D646" i="2"/>
  <c r="D647" i="2" s="1"/>
  <c r="D648" i="2" s="1"/>
  <c r="D649" i="2" s="1"/>
  <c r="D650" i="2" s="1"/>
  <c r="D651" i="2" s="1"/>
  <c r="D652" i="2" s="1"/>
  <c r="D653" i="2" s="1"/>
  <c r="D654" i="2" s="1"/>
  <c r="D655" i="2" s="1"/>
  <c r="D656" i="2" s="1"/>
  <c r="D657" i="2" s="1"/>
  <c r="D658" i="2" s="1"/>
  <c r="D659" i="2" s="1"/>
  <c r="D660" i="2" s="1"/>
  <c r="D661" i="2" s="1"/>
  <c r="D662" i="2" s="1"/>
  <c r="D663" i="2" s="1"/>
  <c r="D664" i="2" s="1"/>
  <c r="E646" i="2"/>
  <c r="M648" i="2"/>
  <c r="B650" i="2"/>
  <c r="B651" i="2" s="1"/>
  <c r="B652" i="2" s="1"/>
  <c r="B653" i="2" s="1"/>
  <c r="B654" i="2" s="1"/>
  <c r="B655" i="2" s="1"/>
  <c r="B656" i="2" s="1"/>
  <c r="B657" i="2" s="1"/>
  <c r="B658" i="2" s="1"/>
  <c r="B659" i="2" s="1"/>
  <c r="B660" i="2" s="1"/>
  <c r="B661" i="2" s="1"/>
  <c r="B662" i="2" s="1"/>
  <c r="B663" i="2" s="1"/>
  <c r="B664" i="2" s="1"/>
  <c r="B666" i="2" s="1"/>
  <c r="M647" i="2"/>
  <c r="M664" i="2" s="1"/>
  <c r="C648" i="2"/>
  <c r="C649" i="2"/>
  <c r="C650" i="2" s="1"/>
  <c r="C651" i="2" s="1"/>
  <c r="C652" i="2" s="1"/>
  <c r="C653" i="2" s="1"/>
  <c r="C654" i="2" s="1"/>
  <c r="C655" i="2" s="1"/>
  <c r="C656" i="2" s="1"/>
  <c r="C657" i="2" s="1"/>
  <c r="C658" i="2" s="1"/>
  <c r="C659" i="2" s="1"/>
  <c r="C660" i="2" s="1"/>
  <c r="C661" i="2" s="1"/>
  <c r="C662" i="2" s="1"/>
  <c r="C663" i="2" s="1"/>
  <c r="C664" i="2" s="1"/>
  <c r="AB130" i="27" l="1"/>
  <c r="AC130" i="27" s="1"/>
  <c r="Z130" i="27"/>
  <c r="AA130" i="27" s="1"/>
  <c r="X131" i="27"/>
  <c r="X118" i="16"/>
  <c r="AB118" i="16" s="1"/>
  <c r="AC118" i="16" s="1"/>
  <c r="H666" i="2"/>
  <c r="J666" i="2"/>
  <c r="B667" i="2"/>
  <c r="B668" i="2" s="1"/>
  <c r="C666" i="2"/>
  <c r="H667" i="2"/>
  <c r="X132" i="27" l="1"/>
  <c r="AB131" i="27"/>
  <c r="AC131" i="27" s="1"/>
  <c r="Z131" i="27"/>
  <c r="AA131" i="27" s="1"/>
  <c r="X119" i="16"/>
  <c r="AB119" i="16" s="1"/>
  <c r="AC119" i="16" s="1"/>
  <c r="C667" i="2"/>
  <c r="C668" i="2" s="1"/>
  <c r="E670" i="2"/>
  <c r="D666" i="2"/>
  <c r="B669" i="2"/>
  <c r="B670" i="2"/>
  <c r="Z132" i="27" l="1"/>
  <c r="AA132" i="27" s="1"/>
  <c r="X133" i="27"/>
  <c r="AB132" i="27"/>
  <c r="AC132" i="27" s="1"/>
  <c r="X120" i="16"/>
  <c r="AB120" i="16" s="1"/>
  <c r="AC120" i="16" s="1"/>
  <c r="M669" i="2"/>
  <c r="B671" i="2"/>
  <c r="B672" i="2" s="1"/>
  <c r="B673" i="2" s="1"/>
  <c r="B674" i="2" s="1"/>
  <c r="B675" i="2" s="1"/>
  <c r="B676" i="2" s="1"/>
  <c r="B677" i="2" s="1"/>
  <c r="B678" i="2" s="1"/>
  <c r="B679" i="2" s="1"/>
  <c r="B680" i="2" s="1"/>
  <c r="B681" i="2" s="1"/>
  <c r="B682" i="2" s="1"/>
  <c r="B683" i="2" s="1"/>
  <c r="B684" i="2" s="1"/>
  <c r="B685" i="2" s="1"/>
  <c r="B687" i="2" s="1"/>
  <c r="M668" i="2"/>
  <c r="M685" i="2" s="1"/>
  <c r="C669" i="2"/>
  <c r="C670" i="2"/>
  <c r="C671" i="2" s="1"/>
  <c r="C672" i="2" s="1"/>
  <c r="C673" i="2" s="1"/>
  <c r="C674" i="2" s="1"/>
  <c r="C675" i="2" s="1"/>
  <c r="C676" i="2" s="1"/>
  <c r="C677" i="2" s="1"/>
  <c r="C678" i="2" s="1"/>
  <c r="C679" i="2" s="1"/>
  <c r="C680" i="2" s="1"/>
  <c r="C681" i="2" s="1"/>
  <c r="C682" i="2" s="1"/>
  <c r="C683" i="2" s="1"/>
  <c r="C684" i="2" s="1"/>
  <c r="C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AB133" i="27" l="1"/>
  <c r="AC133" i="27" s="1"/>
  <c r="Z133" i="27"/>
  <c r="AA133" i="27" s="1"/>
  <c r="X134" i="27"/>
  <c r="X121" i="16"/>
  <c r="AB121" i="16" s="1"/>
  <c r="AC121" i="16" s="1"/>
  <c r="H687" i="2"/>
  <c r="J687" i="2"/>
  <c r="B688" i="2"/>
  <c r="B689" i="2" s="1"/>
  <c r="H688" i="2"/>
  <c r="C687" i="2"/>
  <c r="X135" i="27" l="1"/>
  <c r="AB134" i="27"/>
  <c r="AC134" i="27" s="1"/>
  <c r="Z134" i="27"/>
  <c r="AA134" i="27" s="1"/>
  <c r="X122" i="16"/>
  <c r="AB122" i="16" s="1"/>
  <c r="AC122" i="16" s="1"/>
  <c r="D687" i="2"/>
  <c r="C688" i="2"/>
  <c r="C689" i="2" s="1"/>
  <c r="E691" i="2"/>
  <c r="B690" i="2"/>
  <c r="B691" i="2"/>
  <c r="Z135" i="27" l="1"/>
  <c r="AA135" i="27" s="1"/>
  <c r="X136" i="27"/>
  <c r="AB135" i="27"/>
  <c r="AC135" i="27" s="1"/>
  <c r="X123" i="16"/>
  <c r="AB123" i="16" s="1"/>
  <c r="AC123" i="16" s="1"/>
  <c r="M689" i="2"/>
  <c r="M706" i="2" s="1"/>
  <c r="M690" i="2"/>
  <c r="B692" i="2"/>
  <c r="B693" i="2" s="1"/>
  <c r="B694" i="2" s="1"/>
  <c r="B695" i="2" s="1"/>
  <c r="B696" i="2" s="1"/>
  <c r="B697" i="2" s="1"/>
  <c r="B698" i="2" s="1"/>
  <c r="B699" i="2" s="1"/>
  <c r="B700" i="2" s="1"/>
  <c r="B701" i="2" s="1"/>
  <c r="B702" i="2" s="1"/>
  <c r="B703" i="2" s="1"/>
  <c r="B704" i="2" s="1"/>
  <c r="B705" i="2" s="1"/>
  <c r="B706" i="2" s="1"/>
  <c r="B708" i="2" s="1"/>
  <c r="C690" i="2"/>
  <c r="C691" i="2"/>
  <c r="C692" i="2" s="1"/>
  <c r="C693" i="2" s="1"/>
  <c r="C694" i="2" s="1"/>
  <c r="C695" i="2" s="1"/>
  <c r="C696" i="2" s="1"/>
  <c r="C697" i="2" s="1"/>
  <c r="C698" i="2" s="1"/>
  <c r="C699" i="2" s="1"/>
  <c r="C700" i="2" s="1"/>
  <c r="C701" i="2" s="1"/>
  <c r="C702" i="2" s="1"/>
  <c r="C703" i="2" s="1"/>
  <c r="C704" i="2" s="1"/>
  <c r="C705" i="2" s="1"/>
  <c r="C706"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X137" i="27" l="1"/>
  <c r="AB136" i="27"/>
  <c r="AC136" i="27" s="1"/>
  <c r="Z136" i="27"/>
  <c r="AA136" i="27" s="1"/>
  <c r="X124" i="16"/>
  <c r="AB124" i="16" s="1"/>
  <c r="AC124" i="16" s="1"/>
  <c r="C708" i="2"/>
  <c r="H708" i="2"/>
  <c r="J708" i="2"/>
  <c r="B709" i="2"/>
  <c r="B710" i="2" s="1"/>
  <c r="H709" i="2"/>
  <c r="X138" i="27" l="1"/>
  <c r="AB137" i="27"/>
  <c r="AC137" i="27" s="1"/>
  <c r="Z137" i="27"/>
  <c r="AA137" i="27" s="1"/>
  <c r="X125" i="16"/>
  <c r="AB125" i="16" s="1"/>
  <c r="AC125" i="16" s="1"/>
  <c r="B711" i="2"/>
  <c r="B712" i="2"/>
  <c r="D708" i="2"/>
  <c r="E712" i="2"/>
  <c r="C709" i="2"/>
  <c r="C710" i="2" s="1"/>
  <c r="AB138" i="27" l="1"/>
  <c r="AC138" i="27" s="1"/>
  <c r="Z138" i="27"/>
  <c r="AA138" i="27" s="1"/>
  <c r="X139" i="27"/>
  <c r="X126" i="16"/>
  <c r="AB126" i="16" s="1"/>
  <c r="AC126" i="16" s="1"/>
  <c r="E709" i="2"/>
  <c r="D709" i="2"/>
  <c r="D710" i="2" s="1"/>
  <c r="D711" i="2" s="1"/>
  <c r="D712" i="2" s="1"/>
  <c r="D713" i="2" s="1"/>
  <c r="D714" i="2" s="1"/>
  <c r="D715" i="2" s="1"/>
  <c r="D716" i="2" s="1"/>
  <c r="D717" i="2" s="1"/>
  <c r="D718" i="2" s="1"/>
  <c r="D719" i="2" s="1"/>
  <c r="D720" i="2" s="1"/>
  <c r="D721" i="2" s="1"/>
  <c r="D722" i="2" s="1"/>
  <c r="D723" i="2" s="1"/>
  <c r="D724" i="2" s="1"/>
  <c r="D725" i="2" s="1"/>
  <c r="D726" i="2" s="1"/>
  <c r="D727" i="2" s="1"/>
  <c r="C711" i="2"/>
  <c r="C712" i="2"/>
  <c r="C713" i="2" s="1"/>
  <c r="C714" i="2" s="1"/>
  <c r="C715" i="2" s="1"/>
  <c r="C716" i="2" s="1"/>
  <c r="C717" i="2" s="1"/>
  <c r="C718" i="2" s="1"/>
  <c r="C719" i="2" s="1"/>
  <c r="C720" i="2" s="1"/>
  <c r="C721" i="2" s="1"/>
  <c r="C722" i="2" s="1"/>
  <c r="C723" i="2" s="1"/>
  <c r="C724" i="2" s="1"/>
  <c r="C725" i="2" s="1"/>
  <c r="C726" i="2" s="1"/>
  <c r="C727" i="2" s="1"/>
  <c r="M710" i="2"/>
  <c r="M727" i="2" s="1"/>
  <c r="M711" i="2"/>
  <c r="B713" i="2"/>
  <c r="B714" i="2" s="1"/>
  <c r="B715" i="2" s="1"/>
  <c r="B716" i="2" s="1"/>
  <c r="B717" i="2" s="1"/>
  <c r="B718" i="2" s="1"/>
  <c r="B719" i="2" s="1"/>
  <c r="B720" i="2" s="1"/>
  <c r="B721" i="2" s="1"/>
  <c r="B722" i="2" s="1"/>
  <c r="B723" i="2" s="1"/>
  <c r="B724" i="2" s="1"/>
  <c r="B725" i="2" s="1"/>
  <c r="B726" i="2" s="1"/>
  <c r="B727" i="2" s="1"/>
  <c r="B729" i="2" s="1"/>
  <c r="X140" i="27" l="1"/>
  <c r="AB139" i="27"/>
  <c r="AC139" i="27" s="1"/>
  <c r="Z139" i="27"/>
  <c r="AA139" i="27" s="1"/>
  <c r="X127" i="16"/>
  <c r="AB127" i="16" s="1"/>
  <c r="AC127" i="16" s="1"/>
  <c r="H729" i="2"/>
  <c r="J729" i="2"/>
  <c r="B730" i="2"/>
  <c r="B731" i="2" s="1"/>
  <c r="C729" i="2"/>
  <c r="H730" i="2"/>
  <c r="Z140" i="27" l="1"/>
  <c r="AA140" i="27" s="1"/>
  <c r="X141" i="27"/>
  <c r="AB140" i="27"/>
  <c r="AC140" i="27" s="1"/>
  <c r="X128" i="16"/>
  <c r="AB128" i="16" s="1"/>
  <c r="AC128" i="16" s="1"/>
  <c r="C730" i="2"/>
  <c r="C731" i="2" s="1"/>
  <c r="D729" i="2"/>
  <c r="E733" i="2"/>
  <c r="B732" i="2"/>
  <c r="B733" i="2"/>
  <c r="AB141" i="27" l="1"/>
  <c r="AC141" i="27" s="1"/>
  <c r="Z141" i="27"/>
  <c r="AA141" i="27" s="1"/>
  <c r="X142" i="27"/>
  <c r="X129" i="16"/>
  <c r="AB129" i="16" s="1"/>
  <c r="AC129" i="16" s="1"/>
  <c r="M732" i="2"/>
  <c r="B734" i="2"/>
  <c r="B735" i="2" s="1"/>
  <c r="B736" i="2" s="1"/>
  <c r="B737" i="2" s="1"/>
  <c r="B738" i="2" s="1"/>
  <c r="B739" i="2" s="1"/>
  <c r="B740" i="2" s="1"/>
  <c r="B741" i="2" s="1"/>
  <c r="B742" i="2" s="1"/>
  <c r="B743" i="2" s="1"/>
  <c r="B744" i="2" s="1"/>
  <c r="B745" i="2" s="1"/>
  <c r="B746" i="2" s="1"/>
  <c r="B747" i="2" s="1"/>
  <c r="B748" i="2" s="1"/>
  <c r="B750" i="2" s="1"/>
  <c r="M731" i="2"/>
  <c r="M748" i="2" s="1"/>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X143" i="27" l="1"/>
  <c r="AB142" i="27"/>
  <c r="AC142" i="27" s="1"/>
  <c r="Z142" i="27"/>
  <c r="AA142" i="27" s="1"/>
  <c r="X130" i="16"/>
  <c r="AB130" i="16" s="1"/>
  <c r="AC130" i="16" s="1"/>
  <c r="H750" i="2"/>
  <c r="J750" i="2"/>
  <c r="B751" i="2"/>
  <c r="B752" i="2" s="1"/>
  <c r="H751" i="2"/>
  <c r="C750" i="2"/>
  <c r="Z143" i="27" l="1"/>
  <c r="AA143" i="27" s="1"/>
  <c r="X144" i="27"/>
  <c r="AB143" i="27"/>
  <c r="AC143" i="27" s="1"/>
  <c r="X131" i="16"/>
  <c r="AB131" i="16" s="1"/>
  <c r="AC131" i="16" s="1"/>
  <c r="B753" i="2"/>
  <c r="B754" i="2"/>
  <c r="D750" i="2"/>
  <c r="C751" i="2"/>
  <c r="C752" i="2" s="1"/>
  <c r="E754" i="2"/>
  <c r="X145" i="27" l="1"/>
  <c r="AB144" i="27"/>
  <c r="AC144" i="27" s="1"/>
  <c r="Z144" i="27"/>
  <c r="AA144" i="27" s="1"/>
  <c r="X132" i="16"/>
  <c r="AB132" i="16" s="1"/>
  <c r="AC132" i="16" s="1"/>
  <c r="C753" i="2"/>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X146" i="27" l="1"/>
  <c r="AB145" i="27"/>
  <c r="AC145" i="27" s="1"/>
  <c r="Z145" i="27"/>
  <c r="AA145" i="27" s="1"/>
  <c r="X133" i="16"/>
  <c r="AB133" i="16" s="1"/>
  <c r="AC133" i="16" s="1"/>
  <c r="C771" i="2"/>
  <c r="H771" i="2"/>
  <c r="J771" i="2"/>
  <c r="B772" i="2"/>
  <c r="B773" i="2" s="1"/>
  <c r="H772" i="2"/>
  <c r="AB146" i="27" l="1"/>
  <c r="AC146" i="27" s="1"/>
  <c r="Z146" i="27"/>
  <c r="AA146" i="27" s="1"/>
  <c r="X147" i="27"/>
  <c r="X134" i="16"/>
  <c r="AB134" i="16" s="1"/>
  <c r="AC134" i="16" s="1"/>
  <c r="B774" i="2"/>
  <c r="B775" i="2"/>
  <c r="D771" i="2"/>
  <c r="C772" i="2"/>
  <c r="C773" i="2" s="1"/>
  <c r="E775" i="2"/>
  <c r="X148" i="27" l="1"/>
  <c r="AB147" i="27"/>
  <c r="AC147" i="27" s="1"/>
  <c r="Z147" i="27"/>
  <c r="AA147" i="27" s="1"/>
  <c r="X135" i="16"/>
  <c r="AB135" i="16" s="1"/>
  <c r="AC135" i="16" s="1"/>
  <c r="C774" i="2"/>
  <c r="C775" i="2"/>
  <c r="C776" i="2" s="1"/>
  <c r="C777" i="2" s="1"/>
  <c r="C778" i="2" s="1"/>
  <c r="C779" i="2" s="1"/>
  <c r="C780" i="2" s="1"/>
  <c r="C781" i="2" s="1"/>
  <c r="C782" i="2" s="1"/>
  <c r="C783" i="2" s="1"/>
  <c r="C784" i="2" s="1"/>
  <c r="C785" i="2" s="1"/>
  <c r="C786" i="2" s="1"/>
  <c r="C787" i="2" s="1"/>
  <c r="C788" i="2" s="1"/>
  <c r="C789" i="2" s="1"/>
  <c r="C790" i="2" s="1"/>
  <c r="D772" i="2"/>
  <c r="D773" i="2" s="1"/>
  <c r="D774" i="2" s="1"/>
  <c r="D775" i="2" s="1"/>
  <c r="D776" i="2" s="1"/>
  <c r="D777" i="2" s="1"/>
  <c r="D778" i="2" s="1"/>
  <c r="D779" i="2" s="1"/>
  <c r="D780" i="2" s="1"/>
  <c r="D781" i="2" s="1"/>
  <c r="D782" i="2" s="1"/>
  <c r="D783" i="2" s="1"/>
  <c r="D784" i="2" s="1"/>
  <c r="D785" i="2" s="1"/>
  <c r="D786" i="2" s="1"/>
  <c r="D787" i="2" s="1"/>
  <c r="D788" i="2" s="1"/>
  <c r="D789" i="2" s="1"/>
  <c r="D790" i="2" s="1"/>
  <c r="E772" i="2"/>
  <c r="M773" i="2"/>
  <c r="M790" i="2" s="1"/>
  <c r="M774" i="2"/>
  <c r="B776" i="2"/>
  <c r="B777" i="2" s="1"/>
  <c r="B778" i="2" s="1"/>
  <c r="B779" i="2" s="1"/>
  <c r="B780" i="2" s="1"/>
  <c r="B781" i="2" s="1"/>
  <c r="B782" i="2" s="1"/>
  <c r="B783" i="2" s="1"/>
  <c r="B784" i="2" s="1"/>
  <c r="B785" i="2" s="1"/>
  <c r="B786" i="2" s="1"/>
  <c r="B787" i="2" s="1"/>
  <c r="B788" i="2" s="1"/>
  <c r="B789" i="2" s="1"/>
  <c r="B790" i="2" s="1"/>
  <c r="B792" i="2" s="1"/>
  <c r="Z148" i="27" l="1"/>
  <c r="AA148" i="27" s="1"/>
  <c r="X149" i="27"/>
  <c r="AB148" i="27"/>
  <c r="AC148" i="27" s="1"/>
  <c r="X136" i="16"/>
  <c r="AB136" i="16" s="1"/>
  <c r="AC136" i="16" s="1"/>
  <c r="C792" i="2"/>
  <c r="H792" i="2"/>
  <c r="J792" i="2"/>
  <c r="B793" i="2"/>
  <c r="B794" i="2" s="1"/>
  <c r="H793" i="2"/>
  <c r="AB149" i="27" l="1"/>
  <c r="AC149" i="27" s="1"/>
  <c r="Z149" i="27"/>
  <c r="AA149" i="27" s="1"/>
  <c r="X150" i="27"/>
  <c r="X137" i="16"/>
  <c r="AB137" i="16" s="1"/>
  <c r="AC137" i="16" s="1"/>
  <c r="B795" i="2"/>
  <c r="B796" i="2"/>
  <c r="D792" i="2"/>
  <c r="C793" i="2"/>
  <c r="C794" i="2" s="1"/>
  <c r="E796" i="2"/>
  <c r="X151" i="27" l="1"/>
  <c r="AB150" i="27"/>
  <c r="AC150" i="27" s="1"/>
  <c r="Z150" i="27"/>
  <c r="AA150" i="27" s="1"/>
  <c r="X138" i="16"/>
  <c r="AB138" i="16" s="1"/>
  <c r="AC138" i="16" s="1"/>
  <c r="M795" i="2"/>
  <c r="B797" i="2"/>
  <c r="B798" i="2" s="1"/>
  <c r="B799" i="2" s="1"/>
  <c r="B800" i="2" s="1"/>
  <c r="B801" i="2" s="1"/>
  <c r="B802" i="2" s="1"/>
  <c r="B803" i="2" s="1"/>
  <c r="B804" i="2" s="1"/>
  <c r="B805" i="2" s="1"/>
  <c r="B806" i="2" s="1"/>
  <c r="B807" i="2" s="1"/>
  <c r="B808" i="2" s="1"/>
  <c r="B809" i="2" s="1"/>
  <c r="B810" i="2" s="1"/>
  <c r="B811" i="2" s="1"/>
  <c r="B813" i="2" s="1"/>
  <c r="M794" i="2"/>
  <c r="M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C795" i="2"/>
  <c r="C796" i="2"/>
  <c r="C797" i="2" s="1"/>
  <c r="C798" i="2" s="1"/>
  <c r="C799" i="2" s="1"/>
  <c r="C800" i="2" s="1"/>
  <c r="C801" i="2" s="1"/>
  <c r="C802" i="2" s="1"/>
  <c r="C803" i="2" s="1"/>
  <c r="C804" i="2" s="1"/>
  <c r="C805" i="2" s="1"/>
  <c r="C806" i="2" s="1"/>
  <c r="C807" i="2" s="1"/>
  <c r="C808" i="2" s="1"/>
  <c r="C809" i="2" s="1"/>
  <c r="C810" i="2" s="1"/>
  <c r="C811" i="2" s="1"/>
  <c r="Z151" i="27" l="1"/>
  <c r="AA151" i="27" s="1"/>
  <c r="X152" i="27"/>
  <c r="AB151" i="27"/>
  <c r="AC151" i="27" s="1"/>
  <c r="X139" i="16"/>
  <c r="AB139" i="16" s="1"/>
  <c r="AC139" i="16" s="1"/>
  <c r="H813" i="2"/>
  <c r="J813" i="2"/>
  <c r="H814" i="2"/>
  <c r="C813" i="2"/>
  <c r="B814" i="2"/>
  <c r="B815" i="2" s="1"/>
  <c r="X153" i="27" l="1"/>
  <c r="AB152" i="27"/>
  <c r="AC152" i="27" s="1"/>
  <c r="Z152" i="27"/>
  <c r="AA152" i="27" s="1"/>
  <c r="X140" i="16"/>
  <c r="AB140" i="16" s="1"/>
  <c r="AC140" i="16" s="1"/>
  <c r="B816" i="2"/>
  <c r="B817" i="2"/>
  <c r="C814" i="2"/>
  <c r="C815" i="2" s="1"/>
  <c r="D813" i="2"/>
  <c r="E817" i="2"/>
  <c r="X154" i="27" l="1"/>
  <c r="AB153" i="27"/>
  <c r="AC153" i="27" s="1"/>
  <c r="Z153" i="27"/>
  <c r="AA153" i="27" s="1"/>
  <c r="X141" i="16"/>
  <c r="AB141" i="16" s="1"/>
  <c r="AC141" i="16" s="1"/>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M815" i="2"/>
  <c r="M832" i="2" s="1"/>
  <c r="M816" i="2"/>
  <c r="B818" i="2"/>
  <c r="B819" i="2" s="1"/>
  <c r="B820" i="2" s="1"/>
  <c r="B821" i="2" s="1"/>
  <c r="B822" i="2" s="1"/>
  <c r="B823" i="2" s="1"/>
  <c r="B824" i="2" s="1"/>
  <c r="B825" i="2" s="1"/>
  <c r="B826" i="2" s="1"/>
  <c r="B827" i="2" s="1"/>
  <c r="B828" i="2" s="1"/>
  <c r="B829" i="2" s="1"/>
  <c r="B830" i="2" s="1"/>
  <c r="B831" i="2" s="1"/>
  <c r="B832" i="2" s="1"/>
  <c r="B834" i="2" s="1"/>
  <c r="AB154" i="27" l="1"/>
  <c r="AC154" i="27" s="1"/>
  <c r="Z154" i="27"/>
  <c r="AA154" i="27" s="1"/>
  <c r="X155" i="27"/>
  <c r="X142" i="16"/>
  <c r="AB142" i="16" s="1"/>
  <c r="AC142" i="16" s="1"/>
  <c r="H835" i="2"/>
  <c r="C834" i="2"/>
  <c r="B835" i="2"/>
  <c r="B836" i="2" s="1"/>
  <c r="H834" i="2"/>
  <c r="J834" i="2"/>
  <c r="X156" i="27" l="1"/>
  <c r="AB155" i="27"/>
  <c r="AC155" i="27" s="1"/>
  <c r="Z155" i="27"/>
  <c r="AA155" i="27" s="1"/>
  <c r="X143" i="16"/>
  <c r="AB143" i="16" s="1"/>
  <c r="AC143" i="16" s="1"/>
  <c r="B837" i="2"/>
  <c r="B838" i="2"/>
  <c r="E838" i="2"/>
  <c r="D834" i="2"/>
  <c r="C835" i="2"/>
  <c r="C836" i="2" s="1"/>
  <c r="Z156" i="27" l="1"/>
  <c r="AA156" i="27" s="1"/>
  <c r="X157" i="27"/>
  <c r="AB156" i="27"/>
  <c r="AC156" i="27" s="1"/>
  <c r="X144" i="16"/>
  <c r="AB144" i="16" s="1"/>
  <c r="AC144" i="16" s="1"/>
  <c r="C837" i="2"/>
  <c r="C838" i="2"/>
  <c r="C839" i="2" s="1"/>
  <c r="C840" i="2" s="1"/>
  <c r="C841" i="2" s="1"/>
  <c r="C842" i="2" s="1"/>
  <c r="C843" i="2" s="1"/>
  <c r="C844" i="2" s="1"/>
  <c r="C845" i="2" s="1"/>
  <c r="C846" i="2" s="1"/>
  <c r="C847" i="2" s="1"/>
  <c r="C848" i="2" s="1"/>
  <c r="C849" i="2" s="1"/>
  <c r="C850" i="2" s="1"/>
  <c r="C851" i="2" s="1"/>
  <c r="C852" i="2" s="1"/>
  <c r="C853" i="2" s="1"/>
  <c r="E835" i="2"/>
  <c r="D835" i="2"/>
  <c r="D836" i="2" s="1"/>
  <c r="D837" i="2" s="1"/>
  <c r="D838" i="2" s="1"/>
  <c r="D839" i="2" s="1"/>
  <c r="D840" i="2" s="1"/>
  <c r="D841" i="2" s="1"/>
  <c r="D842" i="2" s="1"/>
  <c r="D843" i="2" s="1"/>
  <c r="D844" i="2" s="1"/>
  <c r="D845" i="2" s="1"/>
  <c r="D846" i="2" s="1"/>
  <c r="D847" i="2" s="1"/>
  <c r="D848" i="2" s="1"/>
  <c r="D849" i="2" s="1"/>
  <c r="D850" i="2" s="1"/>
  <c r="D851" i="2" s="1"/>
  <c r="D852" i="2" s="1"/>
  <c r="D853" i="2" s="1"/>
  <c r="M836" i="2"/>
  <c r="M853" i="2" s="1"/>
  <c r="M837" i="2"/>
  <c r="B839" i="2"/>
  <c r="B840" i="2" s="1"/>
  <c r="B841" i="2" s="1"/>
  <c r="B842" i="2" s="1"/>
  <c r="B843" i="2" s="1"/>
  <c r="B844" i="2" s="1"/>
  <c r="B845" i="2" s="1"/>
  <c r="B846" i="2" s="1"/>
  <c r="B847" i="2" s="1"/>
  <c r="B848" i="2" s="1"/>
  <c r="B849" i="2" s="1"/>
  <c r="B850" i="2" s="1"/>
  <c r="B851" i="2" s="1"/>
  <c r="B852" i="2" s="1"/>
  <c r="B853" i="2" s="1"/>
  <c r="B855" i="2" s="1"/>
  <c r="AB157" i="27" l="1"/>
  <c r="AC157" i="27" s="1"/>
  <c r="Z157" i="27"/>
  <c r="AA157" i="27" s="1"/>
  <c r="X158" i="27"/>
  <c r="X145" i="16"/>
  <c r="AB145" i="16" s="1"/>
  <c r="AC145" i="16" s="1"/>
  <c r="C855" i="2"/>
  <c r="B856" i="2"/>
  <c r="B857" i="2" s="1"/>
  <c r="H856" i="2"/>
  <c r="H855" i="2"/>
  <c r="J855" i="2"/>
  <c r="X159" i="27" l="1"/>
  <c r="AB158" i="27"/>
  <c r="AC158" i="27" s="1"/>
  <c r="Z158" i="27"/>
  <c r="AA158" i="27" s="1"/>
  <c r="X146" i="16"/>
  <c r="AB146" i="16" s="1"/>
  <c r="AC146" i="16" s="1"/>
  <c r="B858" i="2"/>
  <c r="B859" i="2"/>
  <c r="C856" i="2"/>
  <c r="C857" i="2" s="1"/>
  <c r="D855" i="2"/>
  <c r="E859" i="2"/>
  <c r="Z159" i="27" l="1"/>
  <c r="AA159" i="27" s="1"/>
  <c r="X160" i="27"/>
  <c r="AB159" i="27"/>
  <c r="AC159" i="27" s="1"/>
  <c r="X147" i="16"/>
  <c r="AB147" i="16" s="1"/>
  <c r="AC147" i="16"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59" i="2"/>
  <c r="C860" i="2" s="1"/>
  <c r="C861" i="2" s="1"/>
  <c r="C862" i="2" s="1"/>
  <c r="C863" i="2" s="1"/>
  <c r="C864" i="2" s="1"/>
  <c r="C865" i="2" s="1"/>
  <c r="C866" i="2" s="1"/>
  <c r="C867" i="2" s="1"/>
  <c r="C868" i="2" s="1"/>
  <c r="C869" i="2" s="1"/>
  <c r="C870" i="2" s="1"/>
  <c r="C871" i="2" s="1"/>
  <c r="C872" i="2" s="1"/>
  <c r="C873" i="2" s="1"/>
  <c r="C874" i="2" s="1"/>
  <c r="C858" i="2"/>
  <c r="B860" i="2"/>
  <c r="B861" i="2" s="1"/>
  <c r="B862" i="2" s="1"/>
  <c r="B863" i="2" s="1"/>
  <c r="B864" i="2" s="1"/>
  <c r="B865" i="2" s="1"/>
  <c r="B866" i="2" s="1"/>
  <c r="B867" i="2" s="1"/>
  <c r="B868" i="2" s="1"/>
  <c r="B869" i="2" s="1"/>
  <c r="B870" i="2" s="1"/>
  <c r="B871" i="2" s="1"/>
  <c r="B872" i="2" s="1"/>
  <c r="B873" i="2" s="1"/>
  <c r="B874" i="2" s="1"/>
  <c r="B876" i="2" s="1"/>
  <c r="M857" i="2"/>
  <c r="M874" i="2" s="1"/>
  <c r="M858" i="2"/>
  <c r="X161" i="27" l="1"/>
  <c r="AB160" i="27"/>
  <c r="AC160" i="27" s="1"/>
  <c r="Z160" i="27"/>
  <c r="AA160" i="27" s="1"/>
  <c r="X148" i="16"/>
  <c r="AB148" i="16" s="1"/>
  <c r="AC148" i="16" s="1"/>
  <c r="H877" i="2"/>
  <c r="B877" i="2"/>
  <c r="B878" i="2" s="1"/>
  <c r="C876" i="2"/>
  <c r="H876" i="2"/>
  <c r="J876" i="2"/>
  <c r="X162" i="27" l="1"/>
  <c r="AB161" i="27"/>
  <c r="AC161" i="27" s="1"/>
  <c r="Z161" i="27"/>
  <c r="AA161" i="27" s="1"/>
  <c r="X149" i="16"/>
  <c r="AB149" i="16" s="1"/>
  <c r="AC149" i="16" s="1"/>
  <c r="C877" i="2"/>
  <c r="C878" i="2" s="1"/>
  <c r="E880" i="2"/>
  <c r="D876" i="2"/>
  <c r="B880" i="2"/>
  <c r="B879" i="2"/>
  <c r="AB162" i="27" l="1"/>
  <c r="AC162" i="27" s="1"/>
  <c r="Z162" i="27"/>
  <c r="AA162" i="27" s="1"/>
  <c r="X163" i="27"/>
  <c r="X150" i="16"/>
  <c r="AB150" i="16" s="1"/>
  <c r="AC150" i="16" s="1"/>
  <c r="B881" i="2"/>
  <c r="B882" i="2" s="1"/>
  <c r="B883" i="2" s="1"/>
  <c r="B884" i="2" s="1"/>
  <c r="B885" i="2" s="1"/>
  <c r="B886" i="2" s="1"/>
  <c r="B887" i="2" s="1"/>
  <c r="B888" i="2" s="1"/>
  <c r="B889" i="2" s="1"/>
  <c r="B890" i="2" s="1"/>
  <c r="B891" i="2" s="1"/>
  <c r="B892" i="2" s="1"/>
  <c r="B893" i="2" s="1"/>
  <c r="B894" i="2" s="1"/>
  <c r="B895" i="2" s="1"/>
  <c r="B897" i="2" s="1"/>
  <c r="M878" i="2"/>
  <c r="M895" i="2" s="1"/>
  <c r="M879" i="2"/>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X164" i="27" l="1"/>
  <c r="AB163" i="27"/>
  <c r="AC163" i="27" s="1"/>
  <c r="Z163" i="27"/>
  <c r="AA163" i="27" s="1"/>
  <c r="X151" i="16"/>
  <c r="AB151" i="16" s="1"/>
  <c r="AC151" i="16" s="1"/>
  <c r="B898" i="2"/>
  <c r="B899" i="2" s="1"/>
  <c r="H898" i="2"/>
  <c r="C897" i="2"/>
  <c r="H897" i="2"/>
  <c r="J897" i="2"/>
  <c r="Z164" i="27" l="1"/>
  <c r="AA164" i="27" s="1"/>
  <c r="X165" i="27"/>
  <c r="AB164" i="27"/>
  <c r="AC164" i="27" s="1"/>
  <c r="X152" i="16"/>
  <c r="AB152" i="16" s="1"/>
  <c r="AC152" i="16" s="1"/>
  <c r="E901" i="2"/>
  <c r="D897" i="2"/>
  <c r="C898" i="2"/>
  <c r="C899" i="2" s="1"/>
  <c r="B900" i="2"/>
  <c r="B901" i="2"/>
  <c r="AB165" i="27" l="1"/>
  <c r="AC165" i="27" s="1"/>
  <c r="Z165" i="27"/>
  <c r="AA165" i="27" s="1"/>
  <c r="X166" i="27"/>
  <c r="X153" i="16"/>
  <c r="AB153" i="16" s="1"/>
  <c r="AC153" i="16" s="1"/>
  <c r="C900" i="2"/>
  <c r="C901" i="2"/>
  <c r="C902" i="2" s="1"/>
  <c r="C903" i="2" s="1"/>
  <c r="C904" i="2" s="1"/>
  <c r="C905" i="2" s="1"/>
  <c r="C906" i="2" s="1"/>
  <c r="C907" i="2" s="1"/>
  <c r="C908" i="2" s="1"/>
  <c r="C909" i="2" s="1"/>
  <c r="C910" i="2" s="1"/>
  <c r="C911" i="2" s="1"/>
  <c r="C912" i="2" s="1"/>
  <c r="C913" i="2" s="1"/>
  <c r="C914" i="2" s="1"/>
  <c r="C915" i="2" s="1"/>
  <c r="C916" i="2" s="1"/>
  <c r="E898" i="2"/>
  <c r="D898" i="2"/>
  <c r="D899" i="2" s="1"/>
  <c r="D900" i="2" s="1"/>
  <c r="D901" i="2" s="1"/>
  <c r="D902" i="2" s="1"/>
  <c r="D903" i="2" s="1"/>
  <c r="D904" i="2" s="1"/>
  <c r="D905" i="2" s="1"/>
  <c r="D906" i="2" s="1"/>
  <c r="D907" i="2" s="1"/>
  <c r="D908" i="2" s="1"/>
  <c r="D909" i="2" s="1"/>
  <c r="D910" i="2" s="1"/>
  <c r="D911" i="2" s="1"/>
  <c r="D912" i="2" s="1"/>
  <c r="D913" i="2" s="1"/>
  <c r="D914" i="2" s="1"/>
  <c r="D915" i="2" s="1"/>
  <c r="D916" i="2" s="1"/>
  <c r="M900" i="2"/>
  <c r="B902" i="2"/>
  <c r="B903" i="2" s="1"/>
  <c r="B904" i="2" s="1"/>
  <c r="B905" i="2" s="1"/>
  <c r="B906" i="2" s="1"/>
  <c r="B907" i="2" s="1"/>
  <c r="B908" i="2" s="1"/>
  <c r="B909" i="2" s="1"/>
  <c r="B910" i="2" s="1"/>
  <c r="B911" i="2" s="1"/>
  <c r="B912" i="2" s="1"/>
  <c r="B913" i="2" s="1"/>
  <c r="B914" i="2" s="1"/>
  <c r="B915" i="2" s="1"/>
  <c r="B916" i="2" s="1"/>
  <c r="B918" i="2" s="1"/>
  <c r="M899" i="2"/>
  <c r="M916" i="2" s="1"/>
  <c r="X167" i="27" l="1"/>
  <c r="AB166" i="27"/>
  <c r="AC166" i="27" s="1"/>
  <c r="Z166" i="27"/>
  <c r="AA166" i="27" s="1"/>
  <c r="X154" i="16"/>
  <c r="AB154" i="16" s="1"/>
  <c r="AC154" i="16" s="1"/>
  <c r="C918" i="2"/>
  <c r="H918" i="2"/>
  <c r="B919" i="2"/>
  <c r="B920" i="2" s="1"/>
  <c r="H919" i="2"/>
  <c r="J918" i="2"/>
  <c r="Z167" i="27" l="1"/>
  <c r="AA167" i="27" s="1"/>
  <c r="X168" i="27"/>
  <c r="AB167" i="27"/>
  <c r="AC167" i="27" s="1"/>
  <c r="X155" i="16"/>
  <c r="AB155" i="16" s="1"/>
  <c r="AC155" i="16" s="1"/>
  <c r="B921" i="2"/>
  <c r="B922" i="2"/>
  <c r="D918" i="2"/>
  <c r="E922" i="2"/>
  <c r="C919" i="2"/>
  <c r="C920" i="2" s="1"/>
  <c r="X169" i="27" l="1"/>
  <c r="AB168" i="27"/>
  <c r="AC168" i="27" s="1"/>
  <c r="Z168" i="27"/>
  <c r="AA168" i="27" s="1"/>
  <c r="X156" i="16"/>
  <c r="AB156" i="16" s="1"/>
  <c r="AC156" i="16" s="1"/>
  <c r="D919" i="2"/>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X170" i="27" l="1"/>
  <c r="AB169" i="27"/>
  <c r="AC169" i="27" s="1"/>
  <c r="Z169" i="27"/>
  <c r="AA169" i="27" s="1"/>
  <c r="X157" i="16"/>
  <c r="AB157" i="16" s="1"/>
  <c r="AC157" i="16" s="1"/>
  <c r="C939" i="2"/>
  <c r="J939" i="2"/>
  <c r="H939" i="2"/>
  <c r="B940" i="2"/>
  <c r="B941" i="2" s="1"/>
  <c r="H940" i="2"/>
  <c r="AB170" i="27" l="1"/>
  <c r="AC170" i="27" s="1"/>
  <c r="Z170" i="27"/>
  <c r="AA170" i="27" s="1"/>
  <c r="X171" i="27"/>
  <c r="X158" i="16"/>
  <c r="AB158" i="16" s="1"/>
  <c r="AC158" i="16" s="1"/>
  <c r="D939" i="2"/>
  <c r="E943" i="2"/>
  <c r="C940" i="2"/>
  <c r="C941" i="2" s="1"/>
  <c r="B942" i="2"/>
  <c r="B943" i="2"/>
  <c r="X172" i="27" l="1"/>
  <c r="AB171" i="27"/>
  <c r="AC171" i="27" s="1"/>
  <c r="Z171" i="27"/>
  <c r="AA171" i="27" s="1"/>
  <c r="X159" i="16"/>
  <c r="AB159" i="16" s="1"/>
  <c r="AC159" i="16" s="1"/>
  <c r="C942" i="2"/>
  <c r="C943" i="2"/>
  <c r="C944" i="2" s="1"/>
  <c r="C945" i="2" s="1"/>
  <c r="C946" i="2" s="1"/>
  <c r="C947" i="2" s="1"/>
  <c r="C948" i="2" s="1"/>
  <c r="C949" i="2" s="1"/>
  <c r="C950" i="2" s="1"/>
  <c r="C951" i="2" s="1"/>
  <c r="C952" i="2" s="1"/>
  <c r="C953" i="2" s="1"/>
  <c r="C954" i="2" s="1"/>
  <c r="C955" i="2" s="1"/>
  <c r="C956" i="2" s="1"/>
  <c r="C957" i="2" s="1"/>
  <c r="C958" i="2" s="1"/>
  <c r="M941" i="2"/>
  <c r="M958" i="2" s="1"/>
  <c r="B944" i="2"/>
  <c r="B945" i="2" s="1"/>
  <c r="B946" i="2" s="1"/>
  <c r="B947" i="2" s="1"/>
  <c r="B948" i="2" s="1"/>
  <c r="B949" i="2" s="1"/>
  <c r="B950" i="2" s="1"/>
  <c r="B951" i="2" s="1"/>
  <c r="B952" i="2" s="1"/>
  <c r="B953" i="2" s="1"/>
  <c r="B954" i="2" s="1"/>
  <c r="B955" i="2" s="1"/>
  <c r="B956" i="2" s="1"/>
  <c r="B957" i="2" s="1"/>
  <c r="B958" i="2" s="1"/>
  <c r="B960" i="2" s="1"/>
  <c r="M942" i="2"/>
  <c r="D940" i="2"/>
  <c r="D941" i="2" s="1"/>
  <c r="D942" i="2" s="1"/>
  <c r="D943" i="2" s="1"/>
  <c r="D944" i="2" s="1"/>
  <c r="D945" i="2" s="1"/>
  <c r="D946" i="2" s="1"/>
  <c r="D947" i="2" s="1"/>
  <c r="D948" i="2" s="1"/>
  <c r="D949" i="2" s="1"/>
  <c r="D950" i="2" s="1"/>
  <c r="D951" i="2" s="1"/>
  <c r="D952" i="2" s="1"/>
  <c r="D953" i="2" s="1"/>
  <c r="D954" i="2" s="1"/>
  <c r="D955" i="2" s="1"/>
  <c r="D956" i="2" s="1"/>
  <c r="D957" i="2" s="1"/>
  <c r="D958" i="2" s="1"/>
  <c r="E940" i="2"/>
  <c r="Z172" i="27" l="1"/>
  <c r="AA172" i="27" s="1"/>
  <c r="X173" i="27"/>
  <c r="AB172" i="27"/>
  <c r="AC172" i="27" s="1"/>
  <c r="X160" i="16"/>
  <c r="AB160" i="16" s="1"/>
  <c r="AC160" i="16" s="1"/>
  <c r="C960" i="2"/>
  <c r="H960" i="2"/>
  <c r="J960" i="2"/>
  <c r="H961" i="2"/>
  <c r="B961" i="2"/>
  <c r="B962" i="2" s="1"/>
  <c r="AB173" i="27" l="1"/>
  <c r="AC173" i="27" s="1"/>
  <c r="Z173" i="27"/>
  <c r="AA173" i="27" s="1"/>
  <c r="X174" i="27"/>
  <c r="X161" i="16"/>
  <c r="AB161" i="16" s="1"/>
  <c r="AC161" i="16" s="1"/>
  <c r="B963" i="2"/>
  <c r="B964" i="2"/>
  <c r="C961" i="2"/>
  <c r="C962" i="2" s="1"/>
  <c r="E964" i="2"/>
  <c r="D960" i="2"/>
  <c r="X175" i="27" l="1"/>
  <c r="AB174" i="27"/>
  <c r="AC174" i="27" s="1"/>
  <c r="Z174" i="27"/>
  <c r="AA174" i="27" s="1"/>
  <c r="X162" i="16"/>
  <c r="AB162" i="16" s="1"/>
  <c r="AC162" i="16" s="1"/>
  <c r="D961" i="2"/>
  <c r="D962" i="2" s="1"/>
  <c r="D963" i="2" s="1"/>
  <c r="D964" i="2" s="1"/>
  <c r="D965" i="2" s="1"/>
  <c r="D966" i="2" s="1"/>
  <c r="D967" i="2" s="1"/>
  <c r="D968" i="2" s="1"/>
  <c r="D969" i="2" s="1"/>
  <c r="D970" i="2" s="1"/>
  <c r="D971" i="2" s="1"/>
  <c r="D972" i="2" s="1"/>
  <c r="D973" i="2" s="1"/>
  <c r="D974" i="2" s="1"/>
  <c r="D975" i="2" s="1"/>
  <c r="D976" i="2" s="1"/>
  <c r="D977" i="2" s="1"/>
  <c r="D978" i="2" s="1"/>
  <c r="D979" i="2" s="1"/>
  <c r="E961" i="2"/>
  <c r="C963" i="2"/>
  <c r="C964" i="2"/>
  <c r="C965" i="2" s="1"/>
  <c r="C966" i="2" s="1"/>
  <c r="C967" i="2" s="1"/>
  <c r="C968" i="2" s="1"/>
  <c r="C969" i="2" s="1"/>
  <c r="C970" i="2" s="1"/>
  <c r="C971" i="2" s="1"/>
  <c r="C972" i="2" s="1"/>
  <c r="C973" i="2" s="1"/>
  <c r="C974" i="2" s="1"/>
  <c r="C975" i="2" s="1"/>
  <c r="C976" i="2" s="1"/>
  <c r="C977" i="2" s="1"/>
  <c r="C978" i="2" s="1"/>
  <c r="C979" i="2" s="1"/>
  <c r="M962" i="2"/>
  <c r="M979" i="2" s="1"/>
  <c r="B965" i="2"/>
  <c r="B966" i="2" s="1"/>
  <c r="B967" i="2" s="1"/>
  <c r="B968" i="2" s="1"/>
  <c r="B969" i="2" s="1"/>
  <c r="B970" i="2" s="1"/>
  <c r="B971" i="2" s="1"/>
  <c r="B972" i="2" s="1"/>
  <c r="B973" i="2" s="1"/>
  <c r="B974" i="2" s="1"/>
  <c r="B975" i="2" s="1"/>
  <c r="B976" i="2" s="1"/>
  <c r="B977" i="2" s="1"/>
  <c r="B978" i="2" s="1"/>
  <c r="B979" i="2" s="1"/>
  <c r="B981" i="2" s="1"/>
  <c r="M963" i="2"/>
  <c r="Z175" i="27" l="1"/>
  <c r="AA175" i="27" s="1"/>
  <c r="X176" i="27"/>
  <c r="AB175" i="27"/>
  <c r="AC175" i="27" s="1"/>
  <c r="X163" i="16"/>
  <c r="AB163" i="16" s="1"/>
  <c r="AC163" i="16" s="1"/>
  <c r="H982" i="2"/>
  <c r="C981" i="2"/>
  <c r="H981" i="2"/>
  <c r="J981" i="2"/>
  <c r="B982" i="2"/>
  <c r="B983" i="2" s="1"/>
  <c r="X177" i="27" l="1"/>
  <c r="AB176" i="27"/>
  <c r="AC176" i="27" s="1"/>
  <c r="Z176" i="27"/>
  <c r="AA176" i="27" s="1"/>
  <c r="X164" i="16"/>
  <c r="AB164" i="16" s="1"/>
  <c r="AC164" i="16" s="1"/>
  <c r="B984" i="2"/>
  <c r="B985" i="2"/>
  <c r="E985" i="2"/>
  <c r="D981" i="2"/>
  <c r="C982" i="2"/>
  <c r="C983" i="2" s="1"/>
  <c r="X178" i="27" l="1"/>
  <c r="AB177" i="27"/>
  <c r="AC177" i="27" s="1"/>
  <c r="Z177" i="27"/>
  <c r="AA177" i="27" s="1"/>
  <c r="X165" i="16"/>
  <c r="AB165" i="16" s="1"/>
  <c r="AC165" i="16" s="1"/>
  <c r="C985" i="2"/>
  <c r="C986" i="2" s="1"/>
  <c r="C987" i="2" s="1"/>
  <c r="C988" i="2" s="1"/>
  <c r="C989" i="2" s="1"/>
  <c r="C990" i="2" s="1"/>
  <c r="C991" i="2" s="1"/>
  <c r="C992" i="2" s="1"/>
  <c r="C993" i="2" s="1"/>
  <c r="C994" i="2" s="1"/>
  <c r="C995" i="2" s="1"/>
  <c r="C996" i="2" s="1"/>
  <c r="C997" i="2" s="1"/>
  <c r="C998" i="2" s="1"/>
  <c r="C999" i="2" s="1"/>
  <c r="C1000" i="2" s="1"/>
  <c r="C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M983" i="2"/>
  <c r="M1000" i="2" s="1"/>
  <c r="B986" i="2"/>
  <c r="B987" i="2" s="1"/>
  <c r="B988" i="2" s="1"/>
  <c r="B989" i="2" s="1"/>
  <c r="B990" i="2" s="1"/>
  <c r="B991" i="2" s="1"/>
  <c r="B992" i="2" s="1"/>
  <c r="B993" i="2" s="1"/>
  <c r="B994" i="2" s="1"/>
  <c r="B995" i="2" s="1"/>
  <c r="B996" i="2" s="1"/>
  <c r="B997" i="2" s="1"/>
  <c r="B998" i="2" s="1"/>
  <c r="B999" i="2" s="1"/>
  <c r="B1000" i="2" s="1"/>
  <c r="B1002" i="2" s="1"/>
  <c r="M984" i="2"/>
  <c r="AB178" i="27" l="1"/>
  <c r="AC178" i="27" s="1"/>
  <c r="Z178" i="27"/>
  <c r="AA178" i="27" s="1"/>
  <c r="X179" i="27"/>
  <c r="X166" i="16"/>
  <c r="AB166" i="16" s="1"/>
  <c r="AC166" i="16" s="1"/>
  <c r="C1002" i="2"/>
  <c r="H1002" i="2"/>
  <c r="J1002" i="2"/>
  <c r="B1003" i="2"/>
  <c r="B1004" i="2" s="1"/>
  <c r="H1003" i="2"/>
  <c r="X180" i="27" l="1"/>
  <c r="AB179" i="27"/>
  <c r="AC179" i="27" s="1"/>
  <c r="Z179" i="27"/>
  <c r="AA179" i="27" s="1"/>
  <c r="X167" i="16"/>
  <c r="AB167" i="16" s="1"/>
  <c r="AC167" i="16" s="1"/>
  <c r="B1005" i="2"/>
  <c r="B1006" i="2"/>
  <c r="D1002" i="2"/>
  <c r="C1003" i="2"/>
  <c r="C1004" i="2" s="1"/>
  <c r="E1006" i="2"/>
  <c r="Z180" i="27" l="1"/>
  <c r="AA180" i="27" s="1"/>
  <c r="X181" i="27"/>
  <c r="AB180" i="27"/>
  <c r="AC180" i="27" s="1"/>
  <c r="X168" i="16"/>
  <c r="AB168" i="16" s="1"/>
  <c r="AC168" i="16" s="1"/>
  <c r="C1005" i="2"/>
  <c r="C1006" i="2"/>
  <c r="C1007" i="2" s="1"/>
  <c r="C1008" i="2" s="1"/>
  <c r="C1009" i="2" s="1"/>
  <c r="C1010" i="2" s="1"/>
  <c r="C1011" i="2" s="1"/>
  <c r="C1012" i="2" s="1"/>
  <c r="C1013" i="2" s="1"/>
  <c r="C1014" i="2" s="1"/>
  <c r="C1015" i="2" s="1"/>
  <c r="C1016" i="2" s="1"/>
  <c r="C1017" i="2" s="1"/>
  <c r="C1018" i="2" s="1"/>
  <c r="C1019" i="2" s="1"/>
  <c r="C1020" i="2" s="1"/>
  <c r="C1021" i="2" s="1"/>
  <c r="M1004" i="2"/>
  <c r="M1021" i="2" s="1"/>
  <c r="M1005" i="2"/>
  <c r="B1007" i="2"/>
  <c r="B1008" i="2" s="1"/>
  <c r="B1009" i="2" s="1"/>
  <c r="B1010" i="2" s="1"/>
  <c r="B1011" i="2" s="1"/>
  <c r="B1012" i="2" s="1"/>
  <c r="B1013" i="2" s="1"/>
  <c r="B1014" i="2" s="1"/>
  <c r="B1015" i="2" s="1"/>
  <c r="B1016" i="2" s="1"/>
  <c r="B1017" i="2" s="1"/>
  <c r="B1018" i="2" s="1"/>
  <c r="B1019" i="2" s="1"/>
  <c r="B1020" i="2" s="1"/>
  <c r="B1021" i="2" s="1"/>
  <c r="B1023" i="2" s="1"/>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AB181" i="27" l="1"/>
  <c r="AC181" i="27" s="1"/>
  <c r="Z181" i="27"/>
  <c r="AA181" i="27" s="1"/>
  <c r="X182" i="27"/>
  <c r="X169" i="16"/>
  <c r="AB169" i="16" s="1"/>
  <c r="AC169" i="16" s="1"/>
  <c r="J1023" i="2"/>
  <c r="B1024" i="2"/>
  <c r="B1025" i="2" s="1"/>
  <c r="H1024" i="2"/>
  <c r="C1023" i="2"/>
  <c r="H1023" i="2"/>
  <c r="X183" i="27" l="1"/>
  <c r="AB182" i="27"/>
  <c r="AC182" i="27" s="1"/>
  <c r="Z182" i="27"/>
  <c r="AA182" i="27" s="1"/>
  <c r="X170" i="16"/>
  <c r="AB170" i="16" s="1"/>
  <c r="AC170" i="16" s="1"/>
  <c r="C1024" i="2"/>
  <c r="C1025" i="2" s="1"/>
  <c r="E1027" i="2"/>
  <c r="D1023" i="2"/>
  <c r="B1027" i="2"/>
  <c r="B1026" i="2"/>
  <c r="Z183" i="27" l="1"/>
  <c r="AA183" i="27" s="1"/>
  <c r="X184" i="27"/>
  <c r="AB183" i="27"/>
  <c r="AC183" i="27" s="1"/>
  <c r="X171" i="16"/>
  <c r="AB171" i="16" s="1"/>
  <c r="AC171" i="16"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M1026" i="2"/>
  <c r="B1028" i="2"/>
  <c r="B1029" i="2" s="1"/>
  <c r="B1030" i="2" s="1"/>
  <c r="B1031" i="2" s="1"/>
  <c r="B1032" i="2" s="1"/>
  <c r="B1033" i="2" s="1"/>
  <c r="B1034" i="2" s="1"/>
  <c r="B1035" i="2" s="1"/>
  <c r="B1036" i="2" s="1"/>
  <c r="B1037" i="2" s="1"/>
  <c r="B1038" i="2" s="1"/>
  <c r="B1039" i="2" s="1"/>
  <c r="B1040" i="2" s="1"/>
  <c r="B1041" i="2" s="1"/>
  <c r="B1042" i="2" s="1"/>
  <c r="B1044" i="2" s="1"/>
  <c r="M1025" i="2"/>
  <c r="M1042" i="2" s="1"/>
  <c r="C1026" i="2"/>
  <c r="C1027" i="2"/>
  <c r="C1028" i="2" s="1"/>
  <c r="C1029" i="2" s="1"/>
  <c r="C1030" i="2" s="1"/>
  <c r="C1031" i="2" s="1"/>
  <c r="C1032" i="2" s="1"/>
  <c r="C1033" i="2" s="1"/>
  <c r="C1034" i="2" s="1"/>
  <c r="C1035" i="2" s="1"/>
  <c r="C1036" i="2" s="1"/>
  <c r="C1037" i="2" s="1"/>
  <c r="C1038" i="2" s="1"/>
  <c r="C1039" i="2" s="1"/>
  <c r="C1040" i="2" s="1"/>
  <c r="C1041" i="2" s="1"/>
  <c r="C1042" i="2" s="1"/>
  <c r="X185" i="27" l="1"/>
  <c r="AB184" i="27"/>
  <c r="AC184" i="27" s="1"/>
  <c r="Z184" i="27"/>
  <c r="AA184" i="27" s="1"/>
  <c r="X172" i="16"/>
  <c r="AB172" i="16" s="1"/>
  <c r="AC172" i="16" s="1"/>
  <c r="H1044" i="2"/>
  <c r="J1044" i="2"/>
  <c r="B1045" i="2"/>
  <c r="B1046" i="2" s="1"/>
  <c r="C1044" i="2"/>
  <c r="H1045" i="2"/>
  <c r="X186" i="27" l="1"/>
  <c r="AB185" i="27"/>
  <c r="AC185" i="27" s="1"/>
  <c r="Z185" i="27"/>
  <c r="AA185" i="27" s="1"/>
  <c r="X173" i="16"/>
  <c r="AB173" i="16" s="1"/>
  <c r="AC173" i="16" s="1"/>
  <c r="D1044" i="2"/>
  <c r="E1048" i="2"/>
  <c r="C1045" i="2"/>
  <c r="C1046" i="2" s="1"/>
  <c r="B1047" i="2"/>
  <c r="B1048" i="2"/>
  <c r="AB186" i="27" l="1"/>
  <c r="AC186" i="27" s="1"/>
  <c r="Z186" i="27"/>
  <c r="AA186" i="27" s="1"/>
  <c r="X187" i="27"/>
  <c r="X174" i="16"/>
  <c r="AB174" i="16" s="1"/>
  <c r="AC174" i="16" s="1"/>
  <c r="C1047" i="2"/>
  <c r="C1048" i="2"/>
  <c r="C1049" i="2" s="1"/>
  <c r="C1050" i="2" s="1"/>
  <c r="C1051" i="2" s="1"/>
  <c r="C1052" i="2" s="1"/>
  <c r="C1053" i="2" s="1"/>
  <c r="C1054" i="2" s="1"/>
  <c r="C1055" i="2" s="1"/>
  <c r="C1056" i="2" s="1"/>
  <c r="C1057" i="2" s="1"/>
  <c r="C1058" i="2" s="1"/>
  <c r="C1059" i="2" s="1"/>
  <c r="C1060" i="2" s="1"/>
  <c r="C1061" i="2" s="1"/>
  <c r="C1062" i="2" s="1"/>
  <c r="C1063" i="2" s="1"/>
  <c r="M1047" i="2"/>
  <c r="M1046" i="2"/>
  <c r="M1063" i="2" s="1"/>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X188" i="27" l="1"/>
  <c r="AB187" i="27"/>
  <c r="AC187" i="27" s="1"/>
  <c r="Z187" i="27"/>
  <c r="AA187" i="27" s="1"/>
  <c r="X175" i="16"/>
  <c r="AB175" i="16" s="1"/>
  <c r="AC175" i="16" s="1"/>
  <c r="H1065" i="2"/>
  <c r="J1065" i="2"/>
  <c r="H1066" i="2"/>
  <c r="C1065" i="2"/>
  <c r="B1066" i="2"/>
  <c r="B1067" i="2" s="1"/>
  <c r="Z188" i="27" l="1"/>
  <c r="AA188" i="27" s="1"/>
  <c r="X189" i="27"/>
  <c r="AB188" i="27"/>
  <c r="AC188" i="27" s="1"/>
  <c r="X176" i="16"/>
  <c r="AB176" i="16" s="1"/>
  <c r="AC176" i="16" s="1"/>
  <c r="B1068" i="2"/>
  <c r="B1069" i="2"/>
  <c r="C1066" i="2"/>
  <c r="C1067" i="2" s="1"/>
  <c r="E1069" i="2"/>
  <c r="D1065" i="2"/>
  <c r="AB189" i="27" l="1"/>
  <c r="AC189" i="27" s="1"/>
  <c r="Z189" i="27"/>
  <c r="AA189" i="27" s="1"/>
  <c r="X190" i="27"/>
  <c r="X177" i="16"/>
  <c r="AB177" i="16" s="1"/>
  <c r="AC177" i="16" s="1"/>
  <c r="E1066"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C1068" i="2"/>
  <c r="C1069" i="2"/>
  <c r="C1070" i="2" s="1"/>
  <c r="C1071" i="2" s="1"/>
  <c r="C1072" i="2" s="1"/>
  <c r="C1073" i="2" s="1"/>
  <c r="C1074" i="2" s="1"/>
  <c r="C1075" i="2" s="1"/>
  <c r="C1076" i="2" s="1"/>
  <c r="C1077" i="2" s="1"/>
  <c r="C1078" i="2" s="1"/>
  <c r="C1079" i="2" s="1"/>
  <c r="C1080" i="2" s="1"/>
  <c r="C1081" i="2" s="1"/>
  <c r="C1082" i="2" s="1"/>
  <c r="C1083" i="2" s="1"/>
  <c r="C1084" i="2" s="1"/>
  <c r="M1067" i="2"/>
  <c r="M1084" i="2" s="1"/>
  <c r="B1070" i="2"/>
  <c r="B1071" i="2" s="1"/>
  <c r="B1072" i="2" s="1"/>
  <c r="B1073" i="2" s="1"/>
  <c r="B1074" i="2" s="1"/>
  <c r="B1075" i="2" s="1"/>
  <c r="B1076" i="2" s="1"/>
  <c r="B1077" i="2" s="1"/>
  <c r="B1078" i="2" s="1"/>
  <c r="B1079" i="2" s="1"/>
  <c r="B1080" i="2" s="1"/>
  <c r="B1081" i="2" s="1"/>
  <c r="B1082" i="2" s="1"/>
  <c r="B1083" i="2" s="1"/>
  <c r="B1084" i="2" s="1"/>
  <c r="B1086" i="2" s="1"/>
  <c r="M1068" i="2"/>
  <c r="X191" i="27" l="1"/>
  <c r="AB190" i="27"/>
  <c r="AC190" i="27" s="1"/>
  <c r="Z190" i="27"/>
  <c r="AA190" i="27" s="1"/>
  <c r="X178" i="16"/>
  <c r="AB178" i="16" s="1"/>
  <c r="AC178" i="16" s="1"/>
  <c r="H1086" i="2"/>
  <c r="J1086" i="2"/>
  <c r="B1087" i="2"/>
  <c r="B1088" i="2" s="1"/>
  <c r="H1087" i="2"/>
  <c r="C1086" i="2"/>
  <c r="Z191" i="27" l="1"/>
  <c r="AA191" i="27" s="1"/>
  <c r="X192" i="27"/>
  <c r="AB191" i="27"/>
  <c r="AC191" i="27" s="1"/>
  <c r="X179" i="16"/>
  <c r="AB179" i="16" s="1"/>
  <c r="AC179" i="16" s="1"/>
  <c r="B1089" i="2"/>
  <c r="B1090" i="2"/>
  <c r="D1086" i="2"/>
  <c r="E1090" i="2"/>
  <c r="C1087" i="2"/>
  <c r="C1088" i="2" s="1"/>
  <c r="X193" i="27" l="1"/>
  <c r="AB192" i="27"/>
  <c r="AC192" i="27" s="1"/>
  <c r="Z192" i="27"/>
  <c r="AA192" i="27" s="1"/>
  <c r="X180" i="16"/>
  <c r="AB180" i="16" s="1"/>
  <c r="AC180" i="16" s="1"/>
  <c r="D1087" i="2"/>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8" i="2"/>
  <c r="M1105" i="2" s="1"/>
  <c r="M1089" i="2"/>
  <c r="B1091" i="2"/>
  <c r="B1092" i="2" s="1"/>
  <c r="B1093" i="2" s="1"/>
  <c r="B1094" i="2" s="1"/>
  <c r="B1095" i="2" s="1"/>
  <c r="B1096" i="2" s="1"/>
  <c r="B1097" i="2" s="1"/>
  <c r="B1098" i="2" s="1"/>
  <c r="B1099" i="2" s="1"/>
  <c r="B1100" i="2" s="1"/>
  <c r="B1101" i="2" s="1"/>
  <c r="B1102" i="2" s="1"/>
  <c r="B1103" i="2" s="1"/>
  <c r="B1104" i="2" s="1"/>
  <c r="B1105" i="2" s="1"/>
  <c r="B1107" i="2" s="1"/>
  <c r="C1089" i="2"/>
  <c r="C1090" i="2"/>
  <c r="C1091" i="2" s="1"/>
  <c r="C1092" i="2" s="1"/>
  <c r="C1093" i="2" s="1"/>
  <c r="C1094" i="2" s="1"/>
  <c r="C1095" i="2" s="1"/>
  <c r="C1096" i="2" s="1"/>
  <c r="C1097" i="2" s="1"/>
  <c r="C1098" i="2" s="1"/>
  <c r="C1099" i="2" s="1"/>
  <c r="C1100" i="2" s="1"/>
  <c r="C1101" i="2" s="1"/>
  <c r="C1102" i="2" s="1"/>
  <c r="C1103" i="2" s="1"/>
  <c r="C1104" i="2" s="1"/>
  <c r="C1105" i="2" s="1"/>
  <c r="X194" i="27" l="1"/>
  <c r="AB193" i="27"/>
  <c r="AC193" i="27" s="1"/>
  <c r="Z193" i="27"/>
  <c r="AA193" i="27" s="1"/>
  <c r="X181" i="16"/>
  <c r="AB181" i="16" s="1"/>
  <c r="AC181" i="16" s="1"/>
  <c r="H1107" i="2"/>
  <c r="B1108" i="2"/>
  <c r="B1109" i="2" s="1"/>
  <c r="C1107" i="2"/>
  <c r="J1107" i="2"/>
  <c r="H1108" i="2"/>
  <c r="AB194" i="27" l="1"/>
  <c r="AC194" i="27" s="1"/>
  <c r="Z194" i="27"/>
  <c r="AA194" i="27" s="1"/>
  <c r="X195" i="27"/>
  <c r="X182" i="16"/>
  <c r="AB182" i="16" s="1"/>
  <c r="AC182" i="16" s="1"/>
  <c r="C1108" i="2"/>
  <c r="C1109" i="2" s="1"/>
  <c r="E1111" i="2"/>
  <c r="D1107" i="2"/>
  <c r="B1110" i="2"/>
  <c r="B1111" i="2"/>
  <c r="X196" i="27" l="1"/>
  <c r="AB195" i="27"/>
  <c r="AC195" i="27" s="1"/>
  <c r="Z195" i="27"/>
  <c r="AA195" i="27" s="1"/>
  <c r="X183" i="16"/>
  <c r="AB183" i="16" s="1"/>
  <c r="AC183" i="16" s="1"/>
  <c r="C1111" i="2"/>
  <c r="C1112" i="2" s="1"/>
  <c r="C1113" i="2" s="1"/>
  <c r="C1114" i="2" s="1"/>
  <c r="C1115" i="2" s="1"/>
  <c r="C1116" i="2" s="1"/>
  <c r="C1117" i="2" s="1"/>
  <c r="C1118" i="2" s="1"/>
  <c r="C1119" i="2" s="1"/>
  <c r="C1120" i="2" s="1"/>
  <c r="C1121" i="2" s="1"/>
  <c r="C1122" i="2" s="1"/>
  <c r="C1123" i="2" s="1"/>
  <c r="C1124" i="2" s="1"/>
  <c r="C1125" i="2" s="1"/>
  <c r="C1126" i="2" s="1"/>
  <c r="C1110" i="2"/>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M1110" i="2"/>
  <c r="B1112" i="2"/>
  <c r="B1113" i="2" s="1"/>
  <c r="B1114" i="2" s="1"/>
  <c r="B1115" i="2" s="1"/>
  <c r="B1116" i="2" s="1"/>
  <c r="B1117" i="2" s="1"/>
  <c r="B1118" i="2" s="1"/>
  <c r="B1119" i="2" s="1"/>
  <c r="B1120" i="2" s="1"/>
  <c r="B1121" i="2" s="1"/>
  <c r="B1122" i="2" s="1"/>
  <c r="B1123" i="2" s="1"/>
  <c r="B1124" i="2" s="1"/>
  <c r="B1125" i="2" s="1"/>
  <c r="B1126" i="2" s="1"/>
  <c r="B1128" i="2" s="1"/>
  <c r="M1109" i="2"/>
  <c r="M1126" i="2" s="1"/>
  <c r="Z196" i="27" l="1"/>
  <c r="AA196" i="27" s="1"/>
  <c r="X197" i="27"/>
  <c r="AB196" i="27"/>
  <c r="AC196" i="27" s="1"/>
  <c r="X184" i="16"/>
  <c r="AB184" i="16" s="1"/>
  <c r="AC184" i="16" s="1"/>
  <c r="J1128" i="2"/>
  <c r="C1128" i="2"/>
  <c r="H1128" i="2"/>
  <c r="B1129" i="2"/>
  <c r="B1130" i="2" s="1"/>
  <c r="H1129" i="2"/>
  <c r="AB197" i="27" l="1"/>
  <c r="AC197" i="27" s="1"/>
  <c r="Z197" i="27"/>
  <c r="AA197" i="27" s="1"/>
  <c r="X198" i="27"/>
  <c r="X185" i="16"/>
  <c r="AB185" i="16" s="1"/>
  <c r="AC185" i="16" s="1"/>
  <c r="D1128" i="2"/>
  <c r="C1129" i="2"/>
  <c r="C1130" i="2" s="1"/>
  <c r="E1132" i="2"/>
  <c r="B1132" i="2"/>
  <c r="B1131" i="2"/>
  <c r="X199" i="27" l="1"/>
  <c r="AB198" i="27"/>
  <c r="AC198" i="27" s="1"/>
  <c r="Z198" i="27"/>
  <c r="AA198" i="27" s="1"/>
  <c r="X186" i="16"/>
  <c r="AB186" i="16" s="1"/>
  <c r="AC186" i="16" s="1"/>
  <c r="M1130" i="2"/>
  <c r="M1147" i="2" s="1"/>
  <c r="B1133" i="2"/>
  <c r="B1134" i="2" s="1"/>
  <c r="B1135" i="2" s="1"/>
  <c r="B1136" i="2" s="1"/>
  <c r="B1137" i="2" s="1"/>
  <c r="B1138" i="2" s="1"/>
  <c r="B1139" i="2" s="1"/>
  <c r="B1140" i="2" s="1"/>
  <c r="B1141" i="2" s="1"/>
  <c r="B1142" i="2" s="1"/>
  <c r="B1143" i="2" s="1"/>
  <c r="B1144" i="2" s="1"/>
  <c r="B1145" i="2" s="1"/>
  <c r="B1146" i="2" s="1"/>
  <c r="B1147" i="2" s="1"/>
  <c r="B1149" i="2" s="1"/>
  <c r="M1131" i="2"/>
  <c r="C1131" i="2"/>
  <c r="C1132" i="2"/>
  <c r="C1133" i="2" s="1"/>
  <c r="C1134" i="2" s="1"/>
  <c r="C1135" i="2" s="1"/>
  <c r="C1136" i="2" s="1"/>
  <c r="C1137" i="2" s="1"/>
  <c r="C1138" i="2" s="1"/>
  <c r="C1139" i="2" s="1"/>
  <c r="C1140" i="2" s="1"/>
  <c r="C1141" i="2" s="1"/>
  <c r="C1142" i="2" s="1"/>
  <c r="C1143" i="2" s="1"/>
  <c r="C1144" i="2" s="1"/>
  <c r="C1145" i="2" s="1"/>
  <c r="C1146" i="2" s="1"/>
  <c r="C1147" i="2" s="1"/>
  <c r="D1129" i="2"/>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Z199" i="27" l="1"/>
  <c r="AA199" i="27" s="1"/>
  <c r="X200" i="27"/>
  <c r="AB199" i="27"/>
  <c r="AC199" i="27" s="1"/>
  <c r="X187" i="16"/>
  <c r="AB187" i="16" s="1"/>
  <c r="AC187" i="16" s="1"/>
  <c r="C1149" i="2"/>
  <c r="H1149" i="2"/>
  <c r="J1149" i="2"/>
  <c r="B1150" i="2"/>
  <c r="B1151" i="2" s="1"/>
  <c r="H1150" i="2"/>
  <c r="X201" i="27" l="1"/>
  <c r="AB200" i="27"/>
  <c r="AC200" i="27" s="1"/>
  <c r="Z200" i="27"/>
  <c r="AA200" i="27" s="1"/>
  <c r="X188" i="16"/>
  <c r="AB188" i="16" s="1"/>
  <c r="AC188" i="16" s="1"/>
  <c r="D1149" i="2"/>
  <c r="E1153" i="2"/>
  <c r="C1150" i="2"/>
  <c r="C1151" i="2" s="1"/>
  <c r="B1152" i="2"/>
  <c r="B1153" i="2"/>
  <c r="X202" i="27" l="1"/>
  <c r="AB201" i="27"/>
  <c r="AC201" i="27" s="1"/>
  <c r="Z201" i="27"/>
  <c r="AA201" i="27" s="1"/>
  <c r="X189" i="16"/>
  <c r="AB189" i="16" s="1"/>
  <c r="AC189" i="16" s="1"/>
  <c r="C1152" i="2"/>
  <c r="C1153" i="2"/>
  <c r="C1154" i="2" s="1"/>
  <c r="C1155" i="2" s="1"/>
  <c r="C1156" i="2" s="1"/>
  <c r="C1157" i="2" s="1"/>
  <c r="C1158" i="2" s="1"/>
  <c r="C1159" i="2" s="1"/>
  <c r="C1160" i="2" s="1"/>
  <c r="C1161" i="2" s="1"/>
  <c r="C1162" i="2" s="1"/>
  <c r="C1163" i="2" s="1"/>
  <c r="C1164" i="2" s="1"/>
  <c r="C1165" i="2" s="1"/>
  <c r="C1166" i="2" s="1"/>
  <c r="C1167" i="2" s="1"/>
  <c r="C1168" i="2" s="1"/>
  <c r="M1152" i="2"/>
  <c r="B1154" i="2"/>
  <c r="B1155" i="2" s="1"/>
  <c r="B1156" i="2" s="1"/>
  <c r="B1157" i="2" s="1"/>
  <c r="B1158" i="2" s="1"/>
  <c r="B1159" i="2" s="1"/>
  <c r="B1160" i="2" s="1"/>
  <c r="B1161" i="2" s="1"/>
  <c r="B1162" i="2" s="1"/>
  <c r="B1163" i="2" s="1"/>
  <c r="B1164" i="2" s="1"/>
  <c r="B1165" i="2" s="1"/>
  <c r="B1166" i="2" s="1"/>
  <c r="B1167" i="2" s="1"/>
  <c r="B1168" i="2" s="1"/>
  <c r="B1170" i="2" s="1"/>
  <c r="M1151" i="2"/>
  <c r="M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AB202" i="27" l="1"/>
  <c r="AC202" i="27" s="1"/>
  <c r="Z202" i="27"/>
  <c r="AA202" i="27" s="1"/>
  <c r="X203" i="27"/>
  <c r="X190" i="16"/>
  <c r="AB190" i="16" s="1"/>
  <c r="AC190" i="16" s="1"/>
  <c r="H1171" i="2"/>
  <c r="C1170" i="2"/>
  <c r="J1170" i="2"/>
  <c r="H1170" i="2"/>
  <c r="B1171" i="2"/>
  <c r="B1172" i="2" s="1"/>
  <c r="X204" i="27" l="1"/>
  <c r="AB203" i="27"/>
  <c r="AC203" i="27" s="1"/>
  <c r="Z203" i="27"/>
  <c r="AA203" i="27" s="1"/>
  <c r="X191" i="16"/>
  <c r="AB191" i="16" s="1"/>
  <c r="AC191" i="16" s="1"/>
  <c r="B1173" i="2"/>
  <c r="B1174" i="2"/>
  <c r="E1174" i="2"/>
  <c r="D1170" i="2"/>
  <c r="C1171" i="2"/>
  <c r="C1172" i="2" s="1"/>
  <c r="Z204" i="27" l="1"/>
  <c r="AA204" i="27" s="1"/>
  <c r="X205" i="27"/>
  <c r="AB204" i="27"/>
  <c r="AC204" i="27" s="1"/>
  <c r="X192" i="16"/>
  <c r="AB192" i="16" s="1"/>
  <c r="AC192" i="16" s="1"/>
  <c r="C1174" i="2"/>
  <c r="C1175" i="2" s="1"/>
  <c r="C1176" i="2" s="1"/>
  <c r="C1177" i="2" s="1"/>
  <c r="C1178" i="2" s="1"/>
  <c r="C1179" i="2" s="1"/>
  <c r="C1180" i="2" s="1"/>
  <c r="C1181" i="2" s="1"/>
  <c r="C1182" i="2" s="1"/>
  <c r="C1183" i="2" s="1"/>
  <c r="C1184" i="2" s="1"/>
  <c r="C1185" i="2" s="1"/>
  <c r="C1186" i="2" s="1"/>
  <c r="C1187" i="2" s="1"/>
  <c r="C1188" i="2" s="1"/>
  <c r="C1189" i="2" s="1"/>
  <c r="C1173" i="2"/>
  <c r="B1175" i="2"/>
  <c r="B1176" i="2" s="1"/>
  <c r="B1177" i="2" s="1"/>
  <c r="B1178" i="2" s="1"/>
  <c r="B1179" i="2" s="1"/>
  <c r="B1180" i="2" s="1"/>
  <c r="B1181" i="2" s="1"/>
  <c r="B1182" i="2" s="1"/>
  <c r="B1183" i="2" s="1"/>
  <c r="B1184" i="2" s="1"/>
  <c r="B1185" i="2" s="1"/>
  <c r="B1186" i="2" s="1"/>
  <c r="B1187" i="2" s="1"/>
  <c r="B1188" i="2" s="1"/>
  <c r="B1189" i="2" s="1"/>
  <c r="B1191" i="2" s="1"/>
  <c r="M1172" i="2"/>
  <c r="M1189" i="2" s="1"/>
  <c r="M1173" i="2"/>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AB205" i="27" l="1"/>
  <c r="AC205" i="27" s="1"/>
  <c r="H9" i="26" s="1"/>
  <c r="I9" i="26" s="1"/>
  <c r="D8" i="27" s="1"/>
  <c r="Z205" i="27"/>
  <c r="AA205" i="27" s="1"/>
  <c r="X193" i="16"/>
  <c r="AB193" i="16" s="1"/>
  <c r="AC193" i="16" s="1"/>
  <c r="H1192" i="2"/>
  <c r="C1191" i="2"/>
  <c r="J1191" i="2"/>
  <c r="B1192" i="2"/>
  <c r="B1193" i="2" s="1"/>
  <c r="H1191" i="2"/>
  <c r="D28" i="27" l="1"/>
  <c r="E28" i="27" s="1"/>
  <c r="D26" i="27"/>
  <c r="D29" i="27"/>
  <c r="E29" i="27" s="1"/>
  <c r="D27" i="27"/>
  <c r="D31" i="27"/>
  <c r="D34" i="27"/>
  <c r="E34" i="27" s="1"/>
  <c r="F34" i="27" s="1"/>
  <c r="D32" i="27"/>
  <c r="D33" i="27"/>
  <c r="E33" i="27" s="1"/>
  <c r="F33" i="27" s="1"/>
  <c r="X194" i="16"/>
  <c r="AB194" i="16" s="1"/>
  <c r="AC194" i="16" s="1"/>
  <c r="B1195" i="2"/>
  <c r="B1194" i="2"/>
  <c r="C1192" i="2"/>
  <c r="C1193" i="2" s="1"/>
  <c r="E1195" i="2"/>
  <c r="D1191" i="2"/>
  <c r="H8" i="26" l="1"/>
  <c r="I8" i="26" s="1"/>
  <c r="H7" i="26"/>
  <c r="I7" i="26" s="1"/>
  <c r="D15" i="27" s="1"/>
  <c r="H5" i="26"/>
  <c r="I5" i="26" s="1"/>
  <c r="E32" i="27"/>
  <c r="F32" i="27" s="1"/>
  <c r="F35" i="27" s="1"/>
  <c r="D35" i="27"/>
  <c r="D30" i="27"/>
  <c r="D36" i="27" s="1"/>
  <c r="E27" i="27"/>
  <c r="D41" i="27"/>
  <c r="D42" i="27"/>
  <c r="X195" i="16"/>
  <c r="AB195" i="16" s="1"/>
  <c r="AC195" i="16" s="1"/>
  <c r="D1192" i="2"/>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5" i="2"/>
  <c r="C1196" i="2" s="1"/>
  <c r="C1197" i="2" s="1"/>
  <c r="C1198" i="2" s="1"/>
  <c r="C1199" i="2" s="1"/>
  <c r="C1200" i="2" s="1"/>
  <c r="C1201" i="2" s="1"/>
  <c r="C1202" i="2" s="1"/>
  <c r="C1203" i="2" s="1"/>
  <c r="C1204" i="2" s="1"/>
  <c r="C1205" i="2" s="1"/>
  <c r="C1206" i="2" s="1"/>
  <c r="C1207" i="2" s="1"/>
  <c r="C1208" i="2" s="1"/>
  <c r="C1209" i="2" s="1"/>
  <c r="C1210" i="2" s="1"/>
  <c r="C1194" i="2"/>
  <c r="B1196" i="2"/>
  <c r="B1197" i="2" s="1"/>
  <c r="B1198" i="2" s="1"/>
  <c r="B1199" i="2" s="1"/>
  <c r="B1200" i="2" s="1"/>
  <c r="B1201" i="2" s="1"/>
  <c r="B1202" i="2" s="1"/>
  <c r="B1203" i="2" s="1"/>
  <c r="B1204" i="2" s="1"/>
  <c r="B1205" i="2" s="1"/>
  <c r="B1206" i="2" s="1"/>
  <c r="B1207" i="2" s="1"/>
  <c r="B1208" i="2" s="1"/>
  <c r="B1209" i="2" s="1"/>
  <c r="B1210" i="2" s="1"/>
  <c r="B1212" i="2" s="1"/>
  <c r="M1193" i="2"/>
  <c r="M1210" i="2" s="1"/>
  <c r="M1194" i="2"/>
  <c r="D7" i="27" l="1"/>
  <c r="I10" i="26"/>
  <c r="D43" i="27"/>
  <c r="X196" i="16"/>
  <c r="AB196" i="16" s="1"/>
  <c r="AC196" i="16" s="1"/>
  <c r="B1213" i="2"/>
  <c r="B1214" i="2" s="1"/>
  <c r="H1213" i="2"/>
  <c r="H1212" i="2"/>
  <c r="C1212" i="2"/>
  <c r="J1212" i="2"/>
  <c r="X197" i="16" l="1"/>
  <c r="AB197" i="16" s="1"/>
  <c r="AC197" i="16" s="1"/>
  <c r="C1213" i="2"/>
  <c r="C1214" i="2" s="1"/>
  <c r="D1212" i="2"/>
  <c r="E1216" i="2"/>
  <c r="B1216" i="2"/>
  <c r="B1215" i="2"/>
  <c r="X198" i="16" l="1"/>
  <c r="AB198" i="16" s="1"/>
  <c r="AC198" i="16" s="1"/>
  <c r="D1213" i="2"/>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5" i="2"/>
  <c r="B1217" i="2"/>
  <c r="B1218" i="2" s="1"/>
  <c r="B1219" i="2" s="1"/>
  <c r="B1220" i="2" s="1"/>
  <c r="B1221" i="2" s="1"/>
  <c r="B1222" i="2" s="1"/>
  <c r="B1223" i="2" s="1"/>
  <c r="B1224" i="2" s="1"/>
  <c r="B1225" i="2" s="1"/>
  <c r="B1226" i="2" s="1"/>
  <c r="B1227" i="2" s="1"/>
  <c r="B1228" i="2" s="1"/>
  <c r="B1229" i="2" s="1"/>
  <c r="B1230" i="2" s="1"/>
  <c r="B1231" i="2" s="1"/>
  <c r="B1233" i="2" s="1"/>
  <c r="M1214" i="2"/>
  <c r="M1231" i="2" s="1"/>
  <c r="C1216" i="2"/>
  <c r="C1217" i="2" s="1"/>
  <c r="C1218" i="2" s="1"/>
  <c r="C1219" i="2" s="1"/>
  <c r="C1220" i="2" s="1"/>
  <c r="C1221" i="2" s="1"/>
  <c r="C1222" i="2" s="1"/>
  <c r="C1223" i="2" s="1"/>
  <c r="C1224" i="2" s="1"/>
  <c r="C1225" i="2" s="1"/>
  <c r="C1226" i="2" s="1"/>
  <c r="C1227" i="2" s="1"/>
  <c r="C1228" i="2" s="1"/>
  <c r="C1229" i="2" s="1"/>
  <c r="C1230" i="2" s="1"/>
  <c r="C1231" i="2" s="1"/>
  <c r="C1215" i="2"/>
  <c r="X199" i="16" l="1"/>
  <c r="AB199" i="16" s="1"/>
  <c r="AC199" i="16" s="1"/>
  <c r="B1234" i="2"/>
  <c r="B1235" i="2" s="1"/>
  <c r="H1234" i="2"/>
  <c r="J1233" i="2"/>
  <c r="C1233" i="2"/>
  <c r="H1233" i="2"/>
  <c r="X200" i="16" l="1"/>
  <c r="AB200" i="16" s="1"/>
  <c r="AC200" i="16" s="1"/>
  <c r="C1234" i="2"/>
  <c r="C1235" i="2" s="1"/>
  <c r="E1237" i="2"/>
  <c r="D1233" i="2"/>
  <c r="B1237" i="2"/>
  <c r="B1236" i="2"/>
  <c r="X201" i="16" l="1"/>
  <c r="AB201" i="16" s="1"/>
  <c r="AC201" i="16" s="1"/>
  <c r="M1236" i="2"/>
  <c r="B1238" i="2"/>
  <c r="B1239" i="2" s="1"/>
  <c r="B1240" i="2" s="1"/>
  <c r="B1241" i="2" s="1"/>
  <c r="B1242" i="2" s="1"/>
  <c r="B1243" i="2" s="1"/>
  <c r="B1244" i="2" s="1"/>
  <c r="B1245" i="2" s="1"/>
  <c r="B1246" i="2" s="1"/>
  <c r="B1247" i="2" s="1"/>
  <c r="B1248" i="2" s="1"/>
  <c r="B1249" i="2" s="1"/>
  <c r="B1250" i="2" s="1"/>
  <c r="B1251" i="2" s="1"/>
  <c r="B1252" i="2" s="1"/>
  <c r="B1254" i="2" s="1"/>
  <c r="M1235" i="2"/>
  <c r="M1252" i="2" s="1"/>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C1237" i="2"/>
  <c r="C1238" i="2" s="1"/>
  <c r="C1239" i="2" s="1"/>
  <c r="C1240" i="2" s="1"/>
  <c r="C1241" i="2" s="1"/>
  <c r="C1242" i="2" s="1"/>
  <c r="C1243" i="2" s="1"/>
  <c r="C1244" i="2" s="1"/>
  <c r="C1245" i="2" s="1"/>
  <c r="C1246" i="2" s="1"/>
  <c r="C1247" i="2" s="1"/>
  <c r="C1248" i="2" s="1"/>
  <c r="C1249" i="2" s="1"/>
  <c r="C1250" i="2" s="1"/>
  <c r="C1251" i="2" s="1"/>
  <c r="C1252" i="2" s="1"/>
  <c r="C1236" i="2"/>
  <c r="X202" i="16" l="1"/>
  <c r="AB202" i="16" s="1"/>
  <c r="AC202" i="16" s="1"/>
  <c r="J1254" i="2"/>
  <c r="B1255" i="2"/>
  <c r="B1256" i="2" s="1"/>
  <c r="C1254" i="2"/>
  <c r="H1254" i="2"/>
  <c r="H1255" i="2"/>
  <c r="X203" i="16" l="1"/>
  <c r="AB203" i="16" s="1"/>
  <c r="AC203" i="16" s="1"/>
  <c r="B1258" i="2"/>
  <c r="B1257" i="2"/>
  <c r="C1255" i="2"/>
  <c r="C1256" i="2" s="1"/>
  <c r="E1258" i="2"/>
  <c r="D1254" i="2"/>
  <c r="X204" i="16" l="1"/>
  <c r="AB204" i="16" s="1"/>
  <c r="AC204" i="16" s="1"/>
  <c r="C1257" i="2"/>
  <c r="C1258" i="2"/>
  <c r="C1259" i="2" s="1"/>
  <c r="C1260" i="2" s="1"/>
  <c r="C1261" i="2" s="1"/>
  <c r="C1262" i="2" s="1"/>
  <c r="C1263" i="2" s="1"/>
  <c r="C1264" i="2" s="1"/>
  <c r="C1265" i="2" s="1"/>
  <c r="C1266" i="2" s="1"/>
  <c r="C1267" i="2" s="1"/>
  <c r="C1268" i="2" s="1"/>
  <c r="C1269" i="2" s="1"/>
  <c r="C1270" i="2" s="1"/>
  <c r="C1271" i="2" s="1"/>
  <c r="C1272" i="2" s="1"/>
  <c r="C1273" i="2" s="1"/>
  <c r="E1255" i="2"/>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X205" i="16" l="1"/>
  <c r="AB205" i="16" s="1"/>
  <c r="AC205" i="16" s="1"/>
  <c r="H9" i="20" s="1"/>
  <c r="I9" i="20" s="1"/>
  <c r="H1275" i="2"/>
  <c r="J1275" i="2"/>
  <c r="B1276" i="2"/>
  <c r="B1277" i="2" s="1"/>
  <c r="H1276" i="2"/>
  <c r="C1275" i="2"/>
  <c r="D8" i="16" l="1"/>
  <c r="D31" i="16"/>
  <c r="D34" i="16"/>
  <c r="E34" i="16" s="1"/>
  <c r="D33" i="16"/>
  <c r="E33" i="16" s="1"/>
  <c r="D32" i="16"/>
  <c r="B1278" i="2"/>
  <c r="B1279" i="2"/>
  <c r="E1279" i="2"/>
  <c r="D1275" i="2"/>
  <c r="C1276" i="2"/>
  <c r="C1277" i="2" s="1"/>
  <c r="F34" i="16" l="1"/>
  <c r="F33" i="16"/>
  <c r="D35" i="16"/>
  <c r="E32" i="16"/>
  <c r="F32" i="16" s="1"/>
  <c r="F35" i="16" s="1"/>
  <c r="C1278" i="2"/>
  <c r="C1279" i="2"/>
  <c r="C1280" i="2" s="1"/>
  <c r="C1281" i="2" s="1"/>
  <c r="C1282" i="2" s="1"/>
  <c r="C1283" i="2" s="1"/>
  <c r="C1284" i="2" s="1"/>
  <c r="C1285" i="2" s="1"/>
  <c r="C1286" i="2" s="1"/>
  <c r="C1287" i="2" s="1"/>
  <c r="C1288" i="2" s="1"/>
  <c r="C1289" i="2" s="1"/>
  <c r="C1290" i="2" s="1"/>
  <c r="C1291" i="2" s="1"/>
  <c r="C1292" i="2" s="1"/>
  <c r="C1293" i="2" s="1"/>
  <c r="C1294" i="2" s="1"/>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H1296" i="2" l="1"/>
  <c r="J1296" i="2"/>
  <c r="C1296" i="2"/>
  <c r="H1297" i="2"/>
  <c r="B1297" i="2"/>
  <c r="B1298" i="2" s="1"/>
  <c r="B1299" i="2" l="1"/>
  <c r="B1300" i="2"/>
  <c r="D1296" i="2"/>
  <c r="C1297" i="2"/>
  <c r="C1298" i="2" s="1"/>
  <c r="E1300" i="2"/>
  <c r="C1299" i="2" l="1"/>
  <c r="C1300" i="2"/>
  <c r="C1301" i="2" s="1"/>
  <c r="C1302" i="2" s="1"/>
  <c r="C1303" i="2" s="1"/>
  <c r="C1304" i="2" s="1"/>
  <c r="C1305" i="2" s="1"/>
  <c r="C1306" i="2" s="1"/>
  <c r="C1307" i="2" s="1"/>
  <c r="C1308" i="2" s="1"/>
  <c r="C1309" i="2" s="1"/>
  <c r="C1310" i="2" s="1"/>
  <c r="C1311" i="2" s="1"/>
  <c r="C1312" i="2" s="1"/>
  <c r="C1313" i="2" s="1"/>
  <c r="C1314" i="2" s="1"/>
  <c r="C1315" i="2" s="1"/>
  <c r="E1297" i="2"/>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M1298" i="2"/>
  <c r="M1315" i="2" s="1"/>
  <c r="M1299" i="2"/>
  <c r="B1301" i="2"/>
  <c r="B1302" i="2" s="1"/>
  <c r="B1303" i="2" s="1"/>
  <c r="B1304" i="2" s="1"/>
  <c r="B1305" i="2" s="1"/>
  <c r="B1306" i="2" s="1"/>
  <c r="B1307" i="2" s="1"/>
  <c r="B1308" i="2" s="1"/>
  <c r="B1309" i="2" s="1"/>
  <c r="B1310" i="2" s="1"/>
  <c r="B1311" i="2" s="1"/>
  <c r="B1312" i="2" s="1"/>
  <c r="B1313" i="2" s="1"/>
  <c r="B1314" i="2" s="1"/>
  <c r="B1315" i="2" s="1"/>
  <c r="B1317" i="2" s="1"/>
  <c r="C1317" i="2" l="1"/>
  <c r="H1317" i="2"/>
  <c r="J1317" i="2"/>
  <c r="B1318" i="2"/>
  <c r="B1319" i="2" s="1"/>
  <c r="H1318" i="2"/>
  <c r="B1320" i="2" l="1"/>
  <c r="B1321" i="2"/>
  <c r="D1317" i="2"/>
  <c r="E1321" i="2"/>
  <c r="C1318" i="2"/>
  <c r="C1319" i="2" s="1"/>
  <c r="M1319" i="2" l="1"/>
  <c r="M1336" i="2" s="1"/>
  <c r="M1320" i="2"/>
  <c r="B1322" i="2"/>
  <c r="B1323" i="2" s="1"/>
  <c r="B1324" i="2" s="1"/>
  <c r="B1325" i="2" s="1"/>
  <c r="B1326" i="2" s="1"/>
  <c r="B1327" i="2" s="1"/>
  <c r="B1328" i="2" s="1"/>
  <c r="B1329" i="2" s="1"/>
  <c r="B1330" i="2" s="1"/>
  <c r="B1331" i="2" s="1"/>
  <c r="B1332" i="2" s="1"/>
  <c r="B1333" i="2" s="1"/>
  <c r="B1334" i="2" s="1"/>
  <c r="B1335" i="2" s="1"/>
  <c r="B1336" i="2" s="1"/>
  <c r="B1338" i="2" s="1"/>
  <c r="C1320" i="2"/>
  <c r="C1321" i="2"/>
  <c r="C1322" i="2" s="1"/>
  <c r="C1323" i="2" s="1"/>
  <c r="C1324" i="2" s="1"/>
  <c r="C1325" i="2" s="1"/>
  <c r="C1326" i="2" s="1"/>
  <c r="C1327" i="2" s="1"/>
  <c r="C1328" i="2" s="1"/>
  <c r="C1329" i="2" s="1"/>
  <c r="C1330" i="2" s="1"/>
  <c r="C1331" i="2" s="1"/>
  <c r="C1332" i="2" s="1"/>
  <c r="C1333" i="2" s="1"/>
  <c r="C1334" i="2" s="1"/>
  <c r="C1335" i="2" s="1"/>
  <c r="C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38" i="2" l="1"/>
  <c r="H1338" i="2"/>
  <c r="B1339" i="2"/>
  <c r="B1340" i="2" s="1"/>
  <c r="J1338" i="2"/>
  <c r="H1339" i="2"/>
  <c r="B1341" i="2" l="1"/>
  <c r="B1342" i="2"/>
  <c r="D1338" i="2"/>
  <c r="C1339" i="2"/>
  <c r="C1340" i="2" s="1"/>
  <c r="E1342" i="2"/>
  <c r="C1341" i="2" l="1"/>
  <c r="C1342" i="2"/>
  <c r="C1343" i="2" s="1"/>
  <c r="C1344" i="2" s="1"/>
  <c r="C1345" i="2" s="1"/>
  <c r="C1346" i="2" s="1"/>
  <c r="C1347" i="2" s="1"/>
  <c r="C1348" i="2" s="1"/>
  <c r="C1349" i="2" s="1"/>
  <c r="C1350" i="2" s="1"/>
  <c r="C1351" i="2" s="1"/>
  <c r="C1352" i="2" s="1"/>
  <c r="C1353" i="2" s="1"/>
  <c r="C1354" i="2" s="1"/>
  <c r="C1355" i="2" s="1"/>
  <c r="C1356" i="2" s="1"/>
  <c r="C1357" i="2" s="1"/>
  <c r="D1339" i="2"/>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M1340" i="2"/>
  <c r="M1357" i="2" s="1"/>
  <c r="B1343" i="2"/>
  <c r="B1344" i="2" s="1"/>
  <c r="B1345" i="2" s="1"/>
  <c r="B1346" i="2" s="1"/>
  <c r="B1347" i="2" s="1"/>
  <c r="B1348" i="2" s="1"/>
  <c r="B1349" i="2" s="1"/>
  <c r="B1350" i="2" s="1"/>
  <c r="B1351" i="2" s="1"/>
  <c r="B1352" i="2" s="1"/>
  <c r="B1353" i="2" s="1"/>
  <c r="B1354" i="2" s="1"/>
  <c r="B1355" i="2" s="1"/>
  <c r="B1356" i="2" s="1"/>
  <c r="B1357" i="2" s="1"/>
  <c r="B1359" i="2" s="1"/>
  <c r="M1341" i="2"/>
  <c r="C1359" i="2" l="1"/>
  <c r="J1359" i="2"/>
  <c r="H1360" i="2"/>
  <c r="B1360" i="2"/>
  <c r="B1361" i="2" s="1"/>
  <c r="H1359" i="2"/>
  <c r="B1362" i="2" l="1"/>
  <c r="B1363" i="2"/>
  <c r="D1359" i="2"/>
  <c r="E1363" i="2"/>
  <c r="C1360" i="2"/>
  <c r="C1361" i="2" s="1"/>
  <c r="C1362" i="2" l="1"/>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M1361" i="2"/>
  <c r="M1378" i="2" s="1"/>
  <c r="M1362" i="2"/>
  <c r="B1364" i="2"/>
  <c r="B1365" i="2" s="1"/>
  <c r="B1366" i="2" s="1"/>
  <c r="B1367" i="2" s="1"/>
  <c r="B1368" i="2" s="1"/>
  <c r="B1369" i="2" s="1"/>
  <c r="B1370" i="2" s="1"/>
  <c r="B1371" i="2" s="1"/>
  <c r="B1372" i="2" s="1"/>
  <c r="B1373" i="2" s="1"/>
  <c r="B1374" i="2" s="1"/>
  <c r="B1375" i="2" s="1"/>
  <c r="B1376" i="2" s="1"/>
  <c r="B1377" i="2" s="1"/>
  <c r="B1378" i="2" s="1"/>
  <c r="B1380" i="2" s="1"/>
  <c r="H1381" i="2" l="1"/>
  <c r="C1380" i="2"/>
  <c r="H1380" i="2"/>
  <c r="J1380" i="2"/>
  <c r="B1381" i="2"/>
  <c r="B1382" i="2" s="1"/>
  <c r="B1383" i="2" l="1"/>
  <c r="B1384" i="2"/>
  <c r="E1384" i="2"/>
  <c r="D1380" i="2"/>
  <c r="C1381" i="2"/>
  <c r="C1382" i="2" s="1"/>
  <c r="C1384" i="2" l="1"/>
  <c r="C1385" i="2" s="1"/>
  <c r="C1386" i="2" s="1"/>
  <c r="C1387" i="2" s="1"/>
  <c r="C1388" i="2" s="1"/>
  <c r="C1389" i="2" s="1"/>
  <c r="C1390" i="2" s="1"/>
  <c r="C1391" i="2" s="1"/>
  <c r="C1392" i="2" s="1"/>
  <c r="C1393" i="2" s="1"/>
  <c r="C1394" i="2" s="1"/>
  <c r="C1395" i="2" s="1"/>
  <c r="C1396" i="2" s="1"/>
  <c r="C1397" i="2" s="1"/>
  <c r="C1398" i="2" s="1"/>
  <c r="C1399" i="2" s="1"/>
  <c r="C1383" i="2"/>
  <c r="M1382" i="2"/>
  <c r="M1399" i="2" s="1"/>
  <c r="B1385" i="2"/>
  <c r="B1386" i="2" s="1"/>
  <c r="B1387" i="2" s="1"/>
  <c r="B1388" i="2" s="1"/>
  <c r="B1389" i="2" s="1"/>
  <c r="B1390" i="2" s="1"/>
  <c r="B1391" i="2" s="1"/>
  <c r="B1392" i="2" s="1"/>
  <c r="B1393" i="2" s="1"/>
  <c r="B1394" i="2" s="1"/>
  <c r="B1395" i="2" s="1"/>
  <c r="B1396" i="2" s="1"/>
  <c r="B1397" i="2" s="1"/>
  <c r="B1398" i="2" s="1"/>
  <c r="B1399" i="2" s="1"/>
  <c r="B1401" i="2" s="1"/>
  <c r="M1383" i="2"/>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401" i="2" l="1"/>
  <c r="H1401" i="2"/>
  <c r="J1401" i="2"/>
  <c r="B1402" i="2"/>
  <c r="B1403" i="2" s="1"/>
  <c r="H1402" i="2"/>
  <c r="B1405" i="2" l="1"/>
  <c r="B1404" i="2"/>
  <c r="D1401" i="2"/>
  <c r="E1405" i="2"/>
  <c r="C1402" i="2"/>
  <c r="C1403" i="2" s="1"/>
  <c r="E1402" i="2" l="1"/>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5" i="2"/>
  <c r="C1406" i="2" s="1"/>
  <c r="C1407" i="2" s="1"/>
  <c r="C1408" i="2" s="1"/>
  <c r="C1409" i="2" s="1"/>
  <c r="C1410" i="2" s="1"/>
  <c r="C1411" i="2" s="1"/>
  <c r="C1412" i="2" s="1"/>
  <c r="C1413" i="2" s="1"/>
  <c r="C1414" i="2" s="1"/>
  <c r="C1415" i="2" s="1"/>
  <c r="C1416" i="2" s="1"/>
  <c r="C1417" i="2" s="1"/>
  <c r="C1418" i="2" s="1"/>
  <c r="C1419" i="2" s="1"/>
  <c r="C1420" i="2" s="1"/>
  <c r="C1404"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H1423" i="2" l="1"/>
  <c r="C1422" i="2"/>
  <c r="H1422" i="2"/>
  <c r="J1422" i="2"/>
  <c r="B1423" i="2"/>
  <c r="B1424" i="2" s="1"/>
  <c r="B1426" i="2" l="1"/>
  <c r="B1425" i="2"/>
  <c r="C1423" i="2"/>
  <c r="C1424" i="2" s="1"/>
  <c r="E1426" i="2"/>
  <c r="D1422" i="2"/>
  <c r="D1423" i="2" l="1"/>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C1426" i="2"/>
  <c r="C1427" i="2" s="1"/>
  <c r="C1428" i="2" s="1"/>
  <c r="C1429" i="2" s="1"/>
  <c r="C1430" i="2" s="1"/>
  <c r="C1431" i="2" s="1"/>
  <c r="C1432" i="2" s="1"/>
  <c r="C1433" i="2" s="1"/>
  <c r="C1434" i="2" s="1"/>
  <c r="C1435" i="2" s="1"/>
  <c r="C1436" i="2" s="1"/>
  <c r="C1437" i="2" s="1"/>
  <c r="C1438" i="2" s="1"/>
  <c r="C1439" i="2" s="1"/>
  <c r="C1440" i="2" s="1"/>
  <c r="C1441" i="2" s="1"/>
  <c r="C1425" i="2"/>
  <c r="B1427" i="2"/>
  <c r="B1428" i="2" s="1"/>
  <c r="B1429" i="2" s="1"/>
  <c r="B1430" i="2" s="1"/>
  <c r="B1431" i="2" s="1"/>
  <c r="B1432" i="2" s="1"/>
  <c r="B1433" i="2" s="1"/>
  <c r="B1434" i="2" s="1"/>
  <c r="B1435" i="2" s="1"/>
  <c r="B1436" i="2" s="1"/>
  <c r="B1437" i="2" s="1"/>
  <c r="B1438" i="2" s="1"/>
  <c r="B1439" i="2" s="1"/>
  <c r="B1440" i="2" s="1"/>
  <c r="B1441" i="2" s="1"/>
  <c r="B1443" i="2" s="1"/>
  <c r="M1424" i="2"/>
  <c r="M1441" i="2" s="1"/>
  <c r="M1425" i="2"/>
  <c r="B1444" i="2" l="1"/>
  <c r="B1445" i="2" s="1"/>
  <c r="H1444" i="2"/>
  <c r="C1443" i="2"/>
  <c r="H1443" i="2"/>
  <c r="J1443" i="2"/>
  <c r="C1444" i="2" l="1"/>
  <c r="C1445" i="2" s="1"/>
  <c r="E1447" i="2"/>
  <c r="D1443" i="2"/>
  <c r="B1447" i="2"/>
  <c r="B1446" i="2"/>
  <c r="M1446" i="2" l="1"/>
  <c r="B1448" i="2"/>
  <c r="B1449" i="2" s="1"/>
  <c r="B1450" i="2" s="1"/>
  <c r="B1451" i="2" s="1"/>
  <c r="B1452" i="2" s="1"/>
  <c r="B1453" i="2" s="1"/>
  <c r="B1454" i="2" s="1"/>
  <c r="B1455" i="2" s="1"/>
  <c r="B1456" i="2" s="1"/>
  <c r="B1457" i="2" s="1"/>
  <c r="B1458" i="2" s="1"/>
  <c r="B1459" i="2" s="1"/>
  <c r="B1460" i="2" s="1"/>
  <c r="B1461" i="2" s="1"/>
  <c r="B1462" i="2" s="1"/>
  <c r="B1464" i="2" s="1"/>
  <c r="M1445" i="2"/>
  <c r="M1462" i="2" s="1"/>
  <c r="C1447" i="2"/>
  <c r="C1448" i="2" s="1"/>
  <c r="C1449" i="2" s="1"/>
  <c r="C1450" i="2" s="1"/>
  <c r="C1451" i="2" s="1"/>
  <c r="C1452" i="2" s="1"/>
  <c r="C1453" i="2" s="1"/>
  <c r="C1454" i="2" s="1"/>
  <c r="C1455" i="2" s="1"/>
  <c r="C1456" i="2" s="1"/>
  <c r="C1457" i="2" s="1"/>
  <c r="C1458" i="2" s="1"/>
  <c r="C1459" i="2" s="1"/>
  <c r="C1460" i="2" s="1"/>
  <c r="C1461" i="2" s="1"/>
  <c r="C1462" i="2" s="1"/>
  <c r="C1446" i="2"/>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B1465" i="2" l="1"/>
  <c r="B1466" i="2" s="1"/>
  <c r="H1465" i="2"/>
  <c r="C1464" i="2"/>
  <c r="H1464" i="2"/>
  <c r="J1464" i="2"/>
  <c r="E1468" i="2" l="1"/>
  <c r="C1465" i="2"/>
  <c r="C1466" i="2" s="1"/>
  <c r="D1464" i="2"/>
  <c r="B1467" i="2"/>
  <c r="B1468" i="2"/>
  <c r="D1465" i="2" l="1"/>
  <c r="D1466" i="2" s="1"/>
  <c r="D1467" i="2" s="1"/>
  <c r="D1468" i="2" s="1"/>
  <c r="D1469" i="2" s="1"/>
  <c r="D1470" i="2" s="1"/>
  <c r="D1471" i="2" s="1"/>
  <c r="D1472" i="2" s="1"/>
  <c r="D1473" i="2" s="1"/>
  <c r="D1474" i="2" s="1"/>
  <c r="D1475" i="2" s="1"/>
  <c r="D1476" i="2" s="1"/>
  <c r="D1477" i="2" s="1"/>
  <c r="D1478" i="2" s="1"/>
  <c r="D1479" i="2" s="1"/>
  <c r="D1480" i="2" s="1"/>
  <c r="D1481" i="2" s="1"/>
  <c r="D1482" i="2" s="1"/>
  <c r="D1483" i="2" s="1"/>
  <c r="E1465" i="2"/>
  <c r="C1468" i="2"/>
  <c r="C1469" i="2" s="1"/>
  <c r="C1470" i="2" s="1"/>
  <c r="C1471" i="2" s="1"/>
  <c r="C1472" i="2" s="1"/>
  <c r="C1473" i="2" s="1"/>
  <c r="C1474" i="2" s="1"/>
  <c r="C1475" i="2" s="1"/>
  <c r="C1476" i="2" s="1"/>
  <c r="C1477" i="2" s="1"/>
  <c r="C1478" i="2" s="1"/>
  <c r="C1479" i="2" s="1"/>
  <c r="C1480" i="2" s="1"/>
  <c r="C1481" i="2" s="1"/>
  <c r="C1482" i="2" s="1"/>
  <c r="C1483" i="2" s="1"/>
  <c r="C1467" i="2"/>
  <c r="M1467" i="2"/>
  <c r="B1469" i="2"/>
  <c r="B1470" i="2" s="1"/>
  <c r="B1471" i="2" s="1"/>
  <c r="B1472" i="2" s="1"/>
  <c r="B1473" i="2" s="1"/>
  <c r="B1474" i="2" s="1"/>
  <c r="B1475" i="2" s="1"/>
  <c r="B1476" i="2" s="1"/>
  <c r="B1477" i="2" s="1"/>
  <c r="B1478" i="2" s="1"/>
  <c r="B1479" i="2" s="1"/>
  <c r="B1480" i="2" s="1"/>
  <c r="B1481" i="2" s="1"/>
  <c r="B1482" i="2" s="1"/>
  <c r="B1483" i="2" s="1"/>
  <c r="B1485" i="2" s="1"/>
  <c r="M1466" i="2"/>
  <c r="M1483" i="2" s="1"/>
  <c r="J1485" i="2" l="1"/>
  <c r="H1486" i="2"/>
  <c r="C1485" i="2"/>
  <c r="H1485" i="2"/>
  <c r="B1486" i="2"/>
  <c r="B1487" i="2" s="1"/>
  <c r="B1489" i="2" l="1"/>
  <c r="B1488" i="2"/>
  <c r="C1486" i="2"/>
  <c r="C1487" i="2" s="1"/>
  <c r="D1485" i="2"/>
  <c r="E1489" i="2"/>
  <c r="C1488" i="2" l="1"/>
  <c r="C1489" i="2"/>
  <c r="C1490" i="2" s="1"/>
  <c r="C1491" i="2" s="1"/>
  <c r="C1492" i="2" s="1"/>
  <c r="C1493" i="2" s="1"/>
  <c r="C1494" i="2" s="1"/>
  <c r="C1495" i="2" s="1"/>
  <c r="C1496" i="2" s="1"/>
  <c r="C1497" i="2" s="1"/>
  <c r="C1498" i="2" s="1"/>
  <c r="C1499" i="2" s="1"/>
  <c r="C1500" i="2" s="1"/>
  <c r="C1501" i="2" s="1"/>
  <c r="C1502" i="2" s="1"/>
  <c r="C1503" i="2" s="1"/>
  <c r="C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B1490" i="2"/>
  <c r="B1491" i="2" s="1"/>
  <c r="B1492" i="2" s="1"/>
  <c r="B1493" i="2" s="1"/>
  <c r="B1494" i="2" s="1"/>
  <c r="B1495" i="2" s="1"/>
  <c r="B1496" i="2" s="1"/>
  <c r="B1497" i="2" s="1"/>
  <c r="B1498" i="2" s="1"/>
  <c r="B1499" i="2" s="1"/>
  <c r="B1500" i="2" s="1"/>
  <c r="B1501" i="2" s="1"/>
  <c r="B1502" i="2" s="1"/>
  <c r="B1503" i="2" s="1"/>
  <c r="B1504" i="2" s="1"/>
  <c r="B1506" i="2" s="1"/>
  <c r="M1487" i="2"/>
  <c r="M1504" i="2" s="1"/>
  <c r="M1488" i="2"/>
  <c r="H1507" i="2" l="1"/>
  <c r="C1506" i="2"/>
  <c r="H1506" i="2"/>
  <c r="J1506" i="2"/>
  <c r="B1507" i="2"/>
  <c r="B1508" i="2" s="1"/>
  <c r="B1510" i="2" l="1"/>
  <c r="B1509" i="2"/>
  <c r="C1507" i="2"/>
  <c r="C1508" i="2" s="1"/>
  <c r="E1510" i="2"/>
  <c r="D1506" i="2"/>
  <c r="E1507" i="2" l="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M1508" i="2"/>
  <c r="M1525" i="2" s="1"/>
  <c r="M1509" i="2"/>
  <c r="B1511" i="2"/>
  <c r="B1512" i="2" s="1"/>
  <c r="B1513" i="2" s="1"/>
  <c r="B1514" i="2" s="1"/>
  <c r="B1515" i="2" s="1"/>
  <c r="B1516" i="2" s="1"/>
  <c r="B1517" i="2" s="1"/>
  <c r="B1518" i="2" s="1"/>
  <c r="B1519" i="2" s="1"/>
  <c r="B1520" i="2" s="1"/>
  <c r="B1521" i="2" s="1"/>
  <c r="B1522" i="2" s="1"/>
  <c r="B1523" i="2" s="1"/>
  <c r="B1524" i="2" s="1"/>
  <c r="B1525" i="2" s="1"/>
  <c r="B1527" i="2" s="1"/>
  <c r="C1509" i="2"/>
  <c r="C1510" i="2"/>
  <c r="C1511" i="2" s="1"/>
  <c r="C1512" i="2" s="1"/>
  <c r="C1513" i="2" s="1"/>
  <c r="C1514" i="2" s="1"/>
  <c r="C1515" i="2" s="1"/>
  <c r="C1516" i="2" s="1"/>
  <c r="C1517" i="2" s="1"/>
  <c r="C1518" i="2" s="1"/>
  <c r="C1519" i="2" s="1"/>
  <c r="C1520" i="2" s="1"/>
  <c r="C1521" i="2" s="1"/>
  <c r="C1522" i="2" s="1"/>
  <c r="C1523" i="2" s="1"/>
  <c r="C1524" i="2" s="1"/>
  <c r="C1525" i="2" s="1"/>
  <c r="C1527" i="2" l="1"/>
  <c r="H1527" i="2"/>
  <c r="J1527" i="2"/>
  <c r="B1528" i="2"/>
  <c r="H1528" i="2"/>
  <c r="B1529" i="2" l="1"/>
  <c r="D1527" i="2"/>
  <c r="C1528" i="2"/>
  <c r="C1529" i="2" s="1"/>
  <c r="E1531" i="2"/>
  <c r="C1530" i="2" l="1"/>
  <c r="C1531" i="2"/>
  <c r="C1532" i="2" s="1"/>
  <c r="C1533" i="2" s="1"/>
  <c r="C1534" i="2" s="1"/>
  <c r="C1535" i="2" s="1"/>
  <c r="C1536" i="2" s="1"/>
  <c r="C1537" i="2" s="1"/>
  <c r="C1538" i="2" s="1"/>
  <c r="C1539" i="2" s="1"/>
  <c r="C1540" i="2" s="1"/>
  <c r="C1541" i="2" s="1"/>
  <c r="C1542" i="2" s="1"/>
  <c r="C1543" i="2" s="1"/>
  <c r="C1544" i="2" s="1"/>
  <c r="C1545" i="2" s="1"/>
  <c r="C1546" i="2" s="1"/>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B1530" i="2"/>
  <c r="B1531" i="2"/>
  <c r="M1529" i="2" l="1"/>
  <c r="M1546" i="2" s="1"/>
  <c r="M1530" i="2"/>
  <c r="B1532" i="2"/>
  <c r="B1533" i="2" l="1"/>
  <c r="B1534" i="2" l="1"/>
  <c r="B1535" i="2" l="1"/>
  <c r="B1536" i="2" l="1"/>
  <c r="B1537" i="2" l="1"/>
  <c r="B1538" i="2" l="1"/>
  <c r="B1539" i="2" l="1"/>
  <c r="B1540" i="2" s="1"/>
  <c r="B1541" i="2" s="1"/>
  <c r="B1542" i="2" s="1"/>
  <c r="B1543" i="2" s="1"/>
  <c r="B1544" i="2" s="1"/>
  <c r="B1545" i="2" s="1"/>
  <c r="B1546" i="2" s="1"/>
  <c r="B1548" i="2" s="1"/>
  <c r="C1548" i="2" l="1"/>
  <c r="H1548" i="2"/>
  <c r="J1548" i="2"/>
  <c r="B1549" i="2"/>
  <c r="B1550" i="2" s="1"/>
  <c r="H1549" i="2"/>
  <c r="B1551" i="2" l="1"/>
  <c r="B1552" i="2"/>
  <c r="D1548" i="2"/>
  <c r="C1549" i="2"/>
  <c r="C1550" i="2" s="1"/>
  <c r="E1552" i="2"/>
  <c r="D1549" i="2" l="1"/>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1" i="2"/>
  <c r="C1552" i="2"/>
  <c r="C1553" i="2" s="1"/>
  <c r="C1554" i="2" s="1"/>
  <c r="C1555" i="2" s="1"/>
  <c r="C1556" i="2" s="1"/>
  <c r="C1557" i="2" s="1"/>
  <c r="C1558" i="2" s="1"/>
  <c r="C1559" i="2" s="1"/>
  <c r="C1560" i="2" s="1"/>
  <c r="C1561" i="2" s="1"/>
  <c r="C1562" i="2" s="1"/>
  <c r="C1563" i="2" s="1"/>
  <c r="C1564" i="2" s="1"/>
  <c r="C1565" i="2" s="1"/>
  <c r="C1566" i="2" s="1"/>
  <c r="C1567" i="2" s="1"/>
  <c r="M1550" i="2"/>
  <c r="M1567" i="2" s="1"/>
  <c r="M1551" i="2"/>
  <c r="B1553" i="2"/>
  <c r="B1554" i="2" s="1"/>
  <c r="B1555" i="2" s="1"/>
  <c r="B1556" i="2" s="1"/>
  <c r="B1557" i="2" s="1"/>
  <c r="B1558" i="2" s="1"/>
  <c r="B1559" i="2" s="1"/>
  <c r="B1560" i="2" s="1"/>
  <c r="B1561" i="2" s="1"/>
  <c r="B1562" i="2" s="1"/>
  <c r="B1563" i="2" s="1"/>
  <c r="B1564" i="2" s="1"/>
  <c r="B1565" i="2" s="1"/>
  <c r="B1566" i="2" s="1"/>
  <c r="B1567" i="2" s="1"/>
  <c r="B1569" i="2" s="1"/>
  <c r="C1569" i="2" l="1"/>
  <c r="H1569" i="2"/>
  <c r="J1569" i="2"/>
  <c r="B1570" i="2"/>
  <c r="B1571" i="2" s="1"/>
  <c r="H1570" i="2"/>
  <c r="B1572" i="2" l="1"/>
  <c r="B1573" i="2"/>
  <c r="D1569" i="2"/>
  <c r="C1570" i="2"/>
  <c r="C1571" i="2" s="1"/>
  <c r="E1573" i="2"/>
  <c r="C1572" i="2" l="1"/>
  <c r="C1573" i="2"/>
  <c r="C1574" i="2" s="1"/>
  <c r="C1575" i="2" s="1"/>
  <c r="C1576" i="2" s="1"/>
  <c r="C1577" i="2" s="1"/>
  <c r="C1578" i="2" s="1"/>
  <c r="C1579" i="2" s="1"/>
  <c r="C1580" i="2" s="1"/>
  <c r="C1581" i="2" s="1"/>
  <c r="C1582" i="2" s="1"/>
  <c r="C1583" i="2" s="1"/>
  <c r="C1584" i="2" s="1"/>
  <c r="C1585" i="2" s="1"/>
  <c r="C1586" i="2" s="1"/>
  <c r="C1587" i="2" s="1"/>
  <c r="C1588" i="2" s="1"/>
  <c r="M1571" i="2"/>
  <c r="M1588" i="2" s="1"/>
  <c r="M1572" i="2"/>
  <c r="B1574" i="2"/>
  <c r="B1575" i="2" s="1"/>
  <c r="B1576" i="2" s="1"/>
  <c r="B1577" i="2" s="1"/>
  <c r="B1578" i="2" s="1"/>
  <c r="B1579" i="2" s="1"/>
  <c r="B1580" i="2" s="1"/>
  <c r="B1581" i="2" s="1"/>
  <c r="B1582" i="2" s="1"/>
  <c r="B1583" i="2" s="1"/>
  <c r="B1584" i="2" s="1"/>
  <c r="B1585" i="2" s="1"/>
  <c r="B1586" i="2" s="1"/>
  <c r="B1587" i="2" s="1"/>
  <c r="B1588" i="2" s="1"/>
  <c r="B1590" i="2" s="1"/>
  <c r="D1570" i="2"/>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90" i="2" l="1"/>
  <c r="H1590" i="2"/>
  <c r="J1590" i="2"/>
  <c r="B1591" i="2"/>
  <c r="B1592" i="2" s="1"/>
  <c r="H1591" i="2"/>
  <c r="B1593" i="2" l="1"/>
  <c r="B1594" i="2"/>
  <c r="D1590" i="2"/>
  <c r="E1594" i="2"/>
  <c r="C1591" i="2"/>
  <c r="C1592" i="2" s="1"/>
  <c r="C1593" i="2" l="1"/>
  <c r="C1594" i="2"/>
  <c r="C1595" i="2" s="1"/>
  <c r="C1596" i="2" s="1"/>
  <c r="C1597" i="2" s="1"/>
  <c r="C1598" i="2" s="1"/>
  <c r="C1599" i="2" s="1"/>
  <c r="C1600" i="2" s="1"/>
  <c r="C1601" i="2" s="1"/>
  <c r="C1602" i="2" s="1"/>
  <c r="C1603" i="2" s="1"/>
  <c r="C1604" i="2" s="1"/>
  <c r="C1605" i="2" s="1"/>
  <c r="C1606" i="2" s="1"/>
  <c r="C1607" i="2" s="1"/>
  <c r="C1608" i="2" s="1"/>
  <c r="C1609" i="2" s="1"/>
  <c r="E1591" i="2"/>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2" i="2"/>
  <c r="M1609" i="2" s="1"/>
  <c r="M1593" i="2"/>
  <c r="B1595" i="2"/>
  <c r="B1596" i="2" s="1"/>
  <c r="B1597" i="2" s="1"/>
  <c r="B1598" i="2" s="1"/>
  <c r="B1599" i="2" s="1"/>
  <c r="B1600" i="2" s="1"/>
  <c r="B1601" i="2" s="1"/>
  <c r="B1602" i="2" s="1"/>
  <c r="B1603" i="2" s="1"/>
  <c r="B1604" i="2" s="1"/>
  <c r="B1605" i="2" s="1"/>
  <c r="B1606" i="2" s="1"/>
  <c r="B1607" i="2" s="1"/>
  <c r="B1608" i="2" s="1"/>
  <c r="B1609" i="2" s="1"/>
  <c r="B1611" i="2" s="1"/>
  <c r="H1612" i="2" l="1"/>
  <c r="C1611" i="2"/>
  <c r="H1611" i="2"/>
  <c r="J1611" i="2"/>
  <c r="B1612" i="2"/>
  <c r="B1613" i="2" s="1"/>
  <c r="B1614" i="2" l="1"/>
  <c r="B1615" i="2"/>
  <c r="E1615" i="2"/>
  <c r="D1611" i="2"/>
  <c r="C1612" i="2"/>
  <c r="C1613" i="2" s="1"/>
  <c r="E1612" i="2" l="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H1633" i="2" l="1"/>
  <c r="C1632" i="2"/>
  <c r="H1632" i="2"/>
  <c r="J1632" i="2"/>
  <c r="B1633" i="2"/>
  <c r="B1634" i="2" s="1"/>
  <c r="E1636" i="2" l="1"/>
  <c r="D1632" i="2"/>
  <c r="C1633" i="2"/>
  <c r="C1634" i="2" s="1"/>
  <c r="B1635" i="2"/>
  <c r="B1636" i="2"/>
  <c r="C1635" i="2" l="1"/>
  <c r="C1636" i="2"/>
  <c r="C1637" i="2" s="1"/>
  <c r="C1638" i="2" s="1"/>
  <c r="C1639" i="2" s="1"/>
  <c r="C1640" i="2" s="1"/>
  <c r="C1641" i="2" s="1"/>
  <c r="C1642" i="2" s="1"/>
  <c r="C1643" i="2" s="1"/>
  <c r="C1644" i="2" s="1"/>
  <c r="C1645" i="2" s="1"/>
  <c r="C1646" i="2" s="1"/>
  <c r="C1647" i="2" s="1"/>
  <c r="C1648" i="2" s="1"/>
  <c r="C1649" i="2" s="1"/>
  <c r="C1650" i="2" s="1"/>
  <c r="C1651" i="2" s="1"/>
  <c r="M1634" i="2"/>
  <c r="M1651" i="2" s="1"/>
  <c r="B1637" i="2"/>
  <c r="B1638" i="2" s="1"/>
  <c r="B1639" i="2" s="1"/>
  <c r="B1640" i="2" s="1"/>
  <c r="B1641" i="2" s="1"/>
  <c r="B1642" i="2" s="1"/>
  <c r="B1643" i="2" s="1"/>
  <c r="B1644" i="2" s="1"/>
  <c r="B1645" i="2" s="1"/>
  <c r="B1646" i="2" s="1"/>
  <c r="B1647" i="2" s="1"/>
  <c r="B1648" i="2" s="1"/>
  <c r="B1649" i="2" s="1"/>
  <c r="B1650" i="2" s="1"/>
  <c r="B1651" i="2" s="1"/>
  <c r="B1653" i="2" s="1"/>
  <c r="M1635" i="2"/>
  <c r="E1633" i="2"/>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H1654" i="2" l="1"/>
  <c r="C1653" i="2"/>
  <c r="H1653" i="2"/>
  <c r="B1654" i="2"/>
  <c r="B1655" i="2" s="1"/>
  <c r="J1653" i="2"/>
  <c r="E1657" i="2" l="1"/>
  <c r="D1653" i="2"/>
  <c r="C1654" i="2"/>
  <c r="C1655" i="2" s="1"/>
  <c r="B1656" i="2"/>
  <c r="B1657" i="2"/>
  <c r="B1658" i="2" l="1"/>
  <c r="B1659" i="2" s="1"/>
  <c r="B1660" i="2" s="1"/>
  <c r="B1661" i="2" s="1"/>
  <c r="B1662" i="2" s="1"/>
  <c r="B1663" i="2" s="1"/>
  <c r="B1664" i="2" s="1"/>
  <c r="B1665" i="2" s="1"/>
  <c r="B1666" i="2" s="1"/>
  <c r="B1667" i="2" s="1"/>
  <c r="B1668" i="2" s="1"/>
  <c r="B1669" i="2" s="1"/>
  <c r="B1670" i="2" s="1"/>
  <c r="B1671" i="2" s="1"/>
  <c r="B1672" i="2" s="1"/>
  <c r="B1674" i="2" s="1"/>
  <c r="M1655" i="2"/>
  <c r="M1672" i="2" s="1"/>
  <c r="M1656" i="2"/>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57" i="2"/>
  <c r="C1658" i="2" s="1"/>
  <c r="C1659" i="2" s="1"/>
  <c r="C1660" i="2" s="1"/>
  <c r="C1661" i="2" s="1"/>
  <c r="C1662" i="2" s="1"/>
  <c r="C1663" i="2" s="1"/>
  <c r="C1664" i="2" s="1"/>
  <c r="C1665" i="2" s="1"/>
  <c r="C1666" i="2" s="1"/>
  <c r="C1667" i="2" s="1"/>
  <c r="C1668" i="2" s="1"/>
  <c r="C1669" i="2" s="1"/>
  <c r="C1670" i="2" s="1"/>
  <c r="C1671" i="2" s="1"/>
  <c r="C1672" i="2" s="1"/>
  <c r="C1656" i="2"/>
  <c r="H1675" i="2" l="1"/>
  <c r="C1674" i="2"/>
  <c r="B1675" i="2"/>
  <c r="B1676" i="2" s="1"/>
  <c r="H1674" i="2"/>
  <c r="J1674" i="2"/>
  <c r="B1678" i="2" l="1"/>
  <c r="B1677" i="2"/>
  <c r="C1675" i="2"/>
  <c r="C1676" i="2" s="1"/>
  <c r="E1678" i="2"/>
  <c r="D1674" i="2"/>
  <c r="D1675" i="2" l="1"/>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C1678" i="2"/>
  <c r="C1679" i="2" s="1"/>
  <c r="C1680" i="2" s="1"/>
  <c r="C1681" i="2" s="1"/>
  <c r="C1682" i="2" s="1"/>
  <c r="C1683" i="2" s="1"/>
  <c r="C1684" i="2" s="1"/>
  <c r="C1685" i="2" s="1"/>
  <c r="C1686" i="2" s="1"/>
  <c r="C1687" i="2" s="1"/>
  <c r="C1688" i="2" s="1"/>
  <c r="C1689" i="2" s="1"/>
  <c r="C1690" i="2" s="1"/>
  <c r="C1691" i="2" s="1"/>
  <c r="C1692" i="2" s="1"/>
  <c r="C1693" i="2" s="1"/>
  <c r="C1677" i="2"/>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C1695" i="2"/>
  <c r="J1695" i="2"/>
  <c r="H1695" i="2"/>
  <c r="C1696" i="2" l="1"/>
  <c r="C1697" i="2" s="1"/>
  <c r="E1699" i="2"/>
  <c r="D1695" i="2"/>
  <c r="B1699" i="2"/>
  <c r="B1698" i="2"/>
  <c r="M1698" i="2" l="1"/>
  <c r="B1700" i="2"/>
  <c r="B1701" i="2" s="1"/>
  <c r="B1702" i="2" s="1"/>
  <c r="B1703" i="2" s="1"/>
  <c r="B1704" i="2" s="1"/>
  <c r="B1705" i="2" s="1"/>
  <c r="B1706" i="2" s="1"/>
  <c r="B1707" i="2" s="1"/>
  <c r="B1708" i="2" s="1"/>
  <c r="B1709" i="2" s="1"/>
  <c r="B1710" i="2" s="1"/>
  <c r="B1711" i="2" s="1"/>
  <c r="B1712" i="2" s="1"/>
  <c r="B1713" i="2" s="1"/>
  <c r="B1714" i="2" s="1"/>
  <c r="B1716" i="2" s="1"/>
  <c r="M1697" i="2"/>
  <c r="M1714" i="2" s="1"/>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C1699" i="2"/>
  <c r="C1700" i="2" s="1"/>
  <c r="C1701" i="2" s="1"/>
  <c r="C1702" i="2" s="1"/>
  <c r="C1703" i="2" s="1"/>
  <c r="C1704" i="2" s="1"/>
  <c r="C1705" i="2" s="1"/>
  <c r="C1706" i="2" s="1"/>
  <c r="C1707" i="2" s="1"/>
  <c r="C1708" i="2" s="1"/>
  <c r="C1709" i="2" s="1"/>
  <c r="C1710" i="2" s="1"/>
  <c r="C1711" i="2" s="1"/>
  <c r="C1712" i="2" s="1"/>
  <c r="C1713" i="2" s="1"/>
  <c r="C1714" i="2" s="1"/>
  <c r="C1698" i="2"/>
  <c r="B1717" i="2" l="1"/>
  <c r="B1718" i="2" s="1"/>
  <c r="H1717" i="2"/>
  <c r="H1716" i="2"/>
  <c r="J1716" i="2"/>
  <c r="C1716" i="2"/>
  <c r="C1717" i="2" l="1"/>
  <c r="C1718" i="2" s="1"/>
  <c r="E1720" i="2"/>
  <c r="D1716" i="2"/>
  <c r="B1720" i="2"/>
  <c r="B1719"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20" i="2"/>
  <c r="C1721" i="2" s="1"/>
  <c r="C1722" i="2" s="1"/>
  <c r="C1723" i="2" s="1"/>
  <c r="C1724" i="2" s="1"/>
  <c r="C1725" i="2" s="1"/>
  <c r="C1726" i="2" s="1"/>
  <c r="C1727" i="2" s="1"/>
  <c r="C1728" i="2" s="1"/>
  <c r="C1729" i="2" s="1"/>
  <c r="C1730" i="2" s="1"/>
  <c r="C1731" i="2" s="1"/>
  <c r="C1732" i="2" s="1"/>
  <c r="C1733" i="2" s="1"/>
  <c r="C1734" i="2" s="1"/>
  <c r="C1735" i="2" s="1"/>
  <c r="C1719" i="2"/>
  <c r="J1737" i="2" l="1"/>
  <c r="B1738" i="2"/>
  <c r="B1739" i="2" s="1"/>
  <c r="H1738" i="2"/>
  <c r="H1737" i="2"/>
  <c r="C1737" i="2"/>
  <c r="B1741" i="2" l="1"/>
  <c r="B1740" i="2"/>
  <c r="C1738" i="2"/>
  <c r="C1739" i="2" s="1"/>
  <c r="E1741" i="2"/>
  <c r="D1737" i="2"/>
  <c r="D1738" i="2" l="1"/>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40" i="2"/>
  <c r="C1741" i="2"/>
  <c r="C1742" i="2" s="1"/>
  <c r="C1743" i="2" s="1"/>
  <c r="C1744" i="2" s="1"/>
  <c r="C1745" i="2" s="1"/>
  <c r="C1746" i="2" s="1"/>
  <c r="C1747" i="2" s="1"/>
  <c r="C1748" i="2" s="1"/>
  <c r="C1749" i="2" s="1"/>
  <c r="C1750" i="2" s="1"/>
  <c r="C1751" i="2" s="1"/>
  <c r="C1752" i="2" s="1"/>
  <c r="C1753" i="2" s="1"/>
  <c r="C1754" i="2" s="1"/>
  <c r="C1755" i="2" s="1"/>
  <c r="C1756" i="2" s="1"/>
  <c r="M1740" i="2"/>
  <c r="B1742" i="2"/>
  <c r="B1743" i="2" s="1"/>
  <c r="B1744" i="2" s="1"/>
  <c r="B1745" i="2" s="1"/>
  <c r="B1746" i="2" s="1"/>
  <c r="B1747" i="2" s="1"/>
  <c r="B1748" i="2" s="1"/>
  <c r="B1749" i="2" s="1"/>
  <c r="B1750" i="2" s="1"/>
  <c r="B1751" i="2" s="1"/>
  <c r="B1752" i="2" s="1"/>
  <c r="B1753" i="2" s="1"/>
  <c r="B1754" i="2" s="1"/>
  <c r="B1755" i="2" s="1"/>
  <c r="B1756" i="2" s="1"/>
  <c r="B1758" i="2" s="1"/>
  <c r="M1739" i="2"/>
  <c r="M1756" i="2" s="1"/>
  <c r="H1758" i="2" l="1"/>
  <c r="J1758" i="2"/>
  <c r="B1759" i="2"/>
  <c r="B1760" i="2" s="1"/>
  <c r="H1759" i="2"/>
  <c r="C1758" i="2"/>
  <c r="C1759" i="2" l="1"/>
  <c r="C1760" i="2" s="1"/>
  <c r="E1762" i="2"/>
  <c r="D1758" i="2"/>
  <c r="B1761" i="2"/>
  <c r="B1762" i="2"/>
  <c r="M1761" i="2" l="1"/>
  <c r="B1763" i="2"/>
  <c r="B1764" i="2" s="1"/>
  <c r="B1765" i="2" s="1"/>
  <c r="B1766" i="2" s="1"/>
  <c r="B1767" i="2" s="1"/>
  <c r="B1768" i="2" s="1"/>
  <c r="B1769" i="2" s="1"/>
  <c r="B1770" i="2" s="1"/>
  <c r="B1771" i="2" s="1"/>
  <c r="B1772" i="2" s="1"/>
  <c r="B1773" i="2" s="1"/>
  <c r="B1774" i="2" s="1"/>
  <c r="B1775" i="2" s="1"/>
  <c r="B1776" i="2" s="1"/>
  <c r="B1777" i="2" s="1"/>
  <c r="B1779" i="2" s="1"/>
  <c r="M1760" i="2"/>
  <c r="M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61" i="2"/>
  <c r="C1762" i="2"/>
  <c r="C1763" i="2" s="1"/>
  <c r="C1764" i="2" s="1"/>
  <c r="C1765" i="2" s="1"/>
  <c r="C1766" i="2" s="1"/>
  <c r="C1767" i="2" s="1"/>
  <c r="C1768" i="2" s="1"/>
  <c r="C1769" i="2" s="1"/>
  <c r="C1770" i="2" s="1"/>
  <c r="C1771" i="2" s="1"/>
  <c r="C1772" i="2" s="1"/>
  <c r="C1773" i="2" s="1"/>
  <c r="C1774" i="2" s="1"/>
  <c r="C1775" i="2" s="1"/>
  <c r="C1776" i="2" s="1"/>
  <c r="C1777" i="2" s="1"/>
  <c r="B1780" i="2" l="1"/>
  <c r="B1781" i="2" s="1"/>
  <c r="H1780" i="2"/>
  <c r="C1779" i="2"/>
  <c r="J1779" i="2"/>
  <c r="H1779" i="2"/>
  <c r="C1780" i="2" l="1"/>
  <c r="C1781" i="2" s="1"/>
  <c r="E1783" i="2"/>
  <c r="D1779" i="2"/>
  <c r="B1783" i="2"/>
  <c r="B1782" i="2"/>
  <c r="M1782" i="2" l="1"/>
  <c r="B1784" i="2"/>
  <c r="B1785" i="2" s="1"/>
  <c r="B1786" i="2" s="1"/>
  <c r="B1787" i="2" s="1"/>
  <c r="B1788" i="2" s="1"/>
  <c r="B1789" i="2" s="1"/>
  <c r="B1790" i="2" s="1"/>
  <c r="B1791" i="2" s="1"/>
  <c r="B1792" i="2" s="1"/>
  <c r="B1793" i="2" s="1"/>
  <c r="B1794" i="2" s="1"/>
  <c r="B1795" i="2" s="1"/>
  <c r="B1796" i="2" s="1"/>
  <c r="B1797" i="2" s="1"/>
  <c r="B1798" i="2" s="1"/>
  <c r="B1800" i="2" s="1"/>
  <c r="M1781" i="2"/>
  <c r="M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3" i="2"/>
  <c r="C1784" i="2" s="1"/>
  <c r="C1785" i="2" s="1"/>
  <c r="C1786" i="2" s="1"/>
  <c r="C1787" i="2" s="1"/>
  <c r="C1788" i="2" s="1"/>
  <c r="C1789" i="2" s="1"/>
  <c r="C1790" i="2" s="1"/>
  <c r="C1791" i="2" s="1"/>
  <c r="C1792" i="2" s="1"/>
  <c r="C1793" i="2" s="1"/>
  <c r="C1794" i="2" s="1"/>
  <c r="C1795" i="2" s="1"/>
  <c r="C1796" i="2" s="1"/>
  <c r="C1797" i="2" s="1"/>
  <c r="C1798" i="2" s="1"/>
  <c r="C1782" i="2"/>
  <c r="J1800" i="2" l="1"/>
  <c r="B1801" i="2"/>
  <c r="B1802" i="2" s="1"/>
  <c r="H1801" i="2"/>
  <c r="H1800" i="2"/>
  <c r="C1800" i="2"/>
  <c r="B1804" i="2" l="1"/>
  <c r="B1803" i="2"/>
  <c r="C1801" i="2"/>
  <c r="C1802" i="2" s="1"/>
  <c r="E1804" i="2"/>
  <c r="D1800" i="2"/>
  <c r="D1801" i="2" l="1"/>
  <c r="D1802" i="2" s="1"/>
  <c r="D1803" i="2" s="1"/>
  <c r="D1804" i="2" s="1"/>
  <c r="D1805" i="2" s="1"/>
  <c r="D1806" i="2" s="1"/>
  <c r="D1807" i="2" s="1"/>
  <c r="D1808" i="2" s="1"/>
  <c r="D1809" i="2" s="1"/>
  <c r="D1810" i="2" s="1"/>
  <c r="D1811" i="2" s="1"/>
  <c r="D1812" i="2" s="1"/>
  <c r="D1813" i="2" s="1"/>
  <c r="D1814" i="2" s="1"/>
  <c r="D1815" i="2" s="1"/>
  <c r="D1816" i="2" s="1"/>
  <c r="D1817" i="2" s="1"/>
  <c r="D1818" i="2" s="1"/>
  <c r="D1819" i="2" s="1"/>
  <c r="E1801" i="2"/>
  <c r="C1803" i="2"/>
  <c r="C1804" i="2"/>
  <c r="C1805" i="2" s="1"/>
  <c r="C1806" i="2" s="1"/>
  <c r="C1807" i="2" s="1"/>
  <c r="C1808" i="2" s="1"/>
  <c r="C1809" i="2" s="1"/>
  <c r="C1810" i="2" s="1"/>
  <c r="C1811" i="2" s="1"/>
  <c r="C1812" i="2" s="1"/>
  <c r="C1813" i="2" s="1"/>
  <c r="C1814" i="2" s="1"/>
  <c r="C1815" i="2" s="1"/>
  <c r="C1816" i="2" s="1"/>
  <c r="C1817" i="2" s="1"/>
  <c r="C1818" i="2" s="1"/>
  <c r="C1819" i="2" s="1"/>
  <c r="M1803" i="2"/>
  <c r="B1805" i="2"/>
  <c r="B1806" i="2" s="1"/>
  <c r="B1807" i="2" s="1"/>
  <c r="B1808" i="2" s="1"/>
  <c r="B1809" i="2" s="1"/>
  <c r="B1810" i="2" s="1"/>
  <c r="B1811" i="2" s="1"/>
  <c r="B1812" i="2" s="1"/>
  <c r="B1813" i="2" s="1"/>
  <c r="B1814" i="2" s="1"/>
  <c r="B1815" i="2" s="1"/>
  <c r="B1816" i="2" s="1"/>
  <c r="B1817" i="2" s="1"/>
  <c r="B1818" i="2" s="1"/>
  <c r="B1819" i="2" s="1"/>
  <c r="B1821" i="2" s="1"/>
  <c r="M1802" i="2"/>
  <c r="M1819" i="2" s="1"/>
  <c r="H1821" i="2" l="1"/>
  <c r="J1821" i="2"/>
  <c r="B1822" i="2"/>
  <c r="B1823" i="2" s="1"/>
  <c r="H1822" i="2"/>
  <c r="C1821" i="2"/>
  <c r="B1824" i="2" l="1"/>
  <c r="B1825" i="2"/>
  <c r="C1822" i="2"/>
  <c r="C1823" i="2" s="1"/>
  <c r="E1825" i="2"/>
  <c r="D1821" i="2"/>
  <c r="D1822" i="2" l="1"/>
  <c r="D1823" i="2" s="1"/>
  <c r="D1824" i="2" s="1"/>
  <c r="D1825" i="2" s="1"/>
  <c r="D1826" i="2" s="1"/>
  <c r="D1827" i="2" s="1"/>
  <c r="D1828" i="2" s="1"/>
  <c r="D1829" i="2" s="1"/>
  <c r="D1830" i="2" s="1"/>
  <c r="D1831" i="2" s="1"/>
  <c r="D1832" i="2" s="1"/>
  <c r="D1833" i="2" s="1"/>
  <c r="D1834" i="2" s="1"/>
  <c r="D1835" i="2" s="1"/>
  <c r="D1836" i="2" s="1"/>
  <c r="D1837" i="2" s="1"/>
  <c r="D1838" i="2" s="1"/>
  <c r="D1839" i="2" s="1"/>
  <c r="D1840" i="2" s="1"/>
  <c r="E1822" i="2"/>
  <c r="C1824" i="2"/>
  <c r="C1825" i="2"/>
  <c r="C1826" i="2" s="1"/>
  <c r="C1827" i="2" s="1"/>
  <c r="C1828" i="2" s="1"/>
  <c r="C1829" i="2" s="1"/>
  <c r="C1830" i="2" s="1"/>
  <c r="C1831" i="2" s="1"/>
  <c r="C1832" i="2" s="1"/>
  <c r="C1833" i="2" s="1"/>
  <c r="C1834" i="2" s="1"/>
  <c r="C1835" i="2" s="1"/>
  <c r="C1836" i="2" s="1"/>
  <c r="C1837" i="2" s="1"/>
  <c r="C1838" i="2" s="1"/>
  <c r="C1839" i="2" s="1"/>
  <c r="C1840" i="2" s="1"/>
  <c r="M1824" i="2"/>
  <c r="B1826" i="2"/>
  <c r="B1827" i="2" s="1"/>
  <c r="B1828" i="2" s="1"/>
  <c r="B1829" i="2" s="1"/>
  <c r="B1830" i="2" s="1"/>
  <c r="B1831" i="2" s="1"/>
  <c r="B1832" i="2" s="1"/>
  <c r="B1833" i="2" s="1"/>
  <c r="B1834" i="2" s="1"/>
  <c r="B1835" i="2" s="1"/>
  <c r="B1836" i="2" s="1"/>
  <c r="B1837" i="2" s="1"/>
  <c r="B1838" i="2" s="1"/>
  <c r="B1839" i="2" s="1"/>
  <c r="B1840" i="2" s="1"/>
  <c r="B1842" i="2" s="1"/>
  <c r="M1823" i="2"/>
  <c r="M1840" i="2" s="1"/>
  <c r="H1842" i="2" l="1"/>
  <c r="J1842" i="2"/>
  <c r="B1843" i="2"/>
  <c r="B1844" i="2" s="1"/>
  <c r="H1843" i="2"/>
  <c r="C1842" i="2"/>
  <c r="D1842" i="2" l="1"/>
  <c r="C1843" i="2"/>
  <c r="C1844" i="2" s="1"/>
  <c r="E1846" i="2"/>
  <c r="B1845" i="2"/>
  <c r="B1846" i="2"/>
  <c r="M1844" i="2" l="1"/>
  <c r="M1861" i="2" s="1"/>
  <c r="M1845" i="2"/>
  <c r="B1847" i="2"/>
  <c r="B1848" i="2" s="1"/>
  <c r="B1849" i="2" s="1"/>
  <c r="B1850" i="2" s="1"/>
  <c r="B1851" i="2" s="1"/>
  <c r="B1852" i="2" s="1"/>
  <c r="B1853" i="2" s="1"/>
  <c r="B1854" i="2" s="1"/>
  <c r="B1855" i="2" s="1"/>
  <c r="B1856" i="2" s="1"/>
  <c r="B1857" i="2" s="1"/>
  <c r="B1858" i="2" s="1"/>
  <c r="B1859" i="2" s="1"/>
  <c r="B1860" i="2" s="1"/>
  <c r="B1861" i="2" s="1"/>
  <c r="B1863" i="2" s="1"/>
  <c r="C1845" i="2"/>
  <c r="C1846" i="2"/>
  <c r="C1847" i="2" s="1"/>
  <c r="C1848" i="2" s="1"/>
  <c r="C1849" i="2" s="1"/>
  <c r="C1850" i="2" s="1"/>
  <c r="C1851" i="2" s="1"/>
  <c r="C1852" i="2" s="1"/>
  <c r="C1853" i="2" s="1"/>
  <c r="C1854" i="2" s="1"/>
  <c r="C1855" i="2" s="1"/>
  <c r="C1856" i="2" s="1"/>
  <c r="C1857" i="2" s="1"/>
  <c r="C1858" i="2" s="1"/>
  <c r="C1859" i="2" s="1"/>
  <c r="C1860" i="2" s="1"/>
  <c r="C1861" i="2" s="1"/>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D1885" i="2" l="1"/>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C1887" i="2"/>
  <c r="C1888" i="2"/>
  <c r="C1889" i="2" s="1"/>
  <c r="C1890" i="2" s="1"/>
  <c r="C1891" i="2" s="1"/>
  <c r="C1892" i="2" s="1"/>
  <c r="C1893" i="2" s="1"/>
  <c r="C1894" i="2" s="1"/>
  <c r="C1895" i="2" s="1"/>
  <c r="C1896" i="2" s="1"/>
  <c r="C1897" i="2" s="1"/>
  <c r="C1898" i="2" s="1"/>
  <c r="C1899" i="2" s="1"/>
  <c r="C1900" i="2" s="1"/>
  <c r="C1901" i="2" s="1"/>
  <c r="C1902" i="2" s="1"/>
  <c r="C1903" i="2" s="1"/>
  <c r="M1886" i="2"/>
  <c r="M1903" i="2" s="1"/>
  <c r="M1887" i="2"/>
  <c r="B1889" i="2"/>
  <c r="B1890" i="2" s="1"/>
  <c r="B1891" i="2" s="1"/>
  <c r="B1892" i="2" s="1"/>
  <c r="B1893" i="2" s="1"/>
  <c r="B1894" i="2" s="1"/>
  <c r="B1895" i="2" s="1"/>
  <c r="B1896" i="2" s="1"/>
  <c r="B1897" i="2" s="1"/>
  <c r="B1898" i="2" s="1"/>
  <c r="B1899" i="2" s="1"/>
  <c r="B1900" i="2" s="1"/>
  <c r="B1901" i="2" s="1"/>
  <c r="B1902" i="2" s="1"/>
  <c r="B1903" i="2" s="1"/>
  <c r="B1905" i="2" s="1"/>
  <c r="C1905" i="2" l="1"/>
  <c r="H1905" i="2"/>
  <c r="J1905" i="2"/>
  <c r="B1906" i="2"/>
  <c r="B1907" i="2" s="1"/>
  <c r="H1906" i="2"/>
  <c r="B1908" i="2" l="1"/>
  <c r="B1909" i="2"/>
  <c r="D1905" i="2"/>
  <c r="C1906" i="2"/>
  <c r="C1907" i="2" s="1"/>
  <c r="E1909"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E1930" i="2" l="1"/>
  <c r="D1926" i="2"/>
  <c r="C1927" i="2"/>
  <c r="C1928" i="2" s="1"/>
  <c r="B1929" i="2"/>
  <c r="B1930" i="2"/>
  <c r="C1929" i="2" l="1"/>
  <c r="C1930" i="2"/>
  <c r="C1931" i="2" s="1"/>
  <c r="C1932" i="2" s="1"/>
  <c r="C1933" i="2" s="1"/>
  <c r="C1934" i="2" s="1"/>
  <c r="C1935" i="2" s="1"/>
  <c r="C1936" i="2" s="1"/>
  <c r="C1937" i="2" s="1"/>
  <c r="C1938" i="2" s="1"/>
  <c r="C1939" i="2" s="1"/>
  <c r="C1940" i="2" s="1"/>
  <c r="C1941" i="2" s="1"/>
  <c r="C1942" i="2" s="1"/>
  <c r="C1943" i="2" s="1"/>
  <c r="C1944" i="2" s="1"/>
  <c r="C1945" i="2" s="1"/>
  <c r="M1928" i="2"/>
  <c r="M1945" i="2" s="1"/>
  <c r="M1929" i="2"/>
  <c r="B1931" i="2"/>
  <c r="B1932" i="2" s="1"/>
  <c r="B1933" i="2" s="1"/>
  <c r="B1934" i="2" s="1"/>
  <c r="B1935" i="2" s="1"/>
  <c r="B1936" i="2" s="1"/>
  <c r="B1937" i="2" s="1"/>
  <c r="B1938" i="2" s="1"/>
  <c r="B1939" i="2" s="1"/>
  <c r="B1940" i="2" s="1"/>
  <c r="B1941" i="2" s="1"/>
  <c r="B1942" i="2" s="1"/>
  <c r="B1943" i="2" s="1"/>
  <c r="B1944" i="2" s="1"/>
  <c r="B1945" i="2" s="1"/>
  <c r="B1947" i="2" s="1"/>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E1927" i="2"/>
  <c r="C1947" i="2" l="1"/>
  <c r="H1947" i="2"/>
  <c r="J1947" i="2"/>
  <c r="H1948" i="2"/>
  <c r="B1948" i="2"/>
  <c r="B1949" i="2" s="1"/>
  <c r="B1950" i="2" l="1"/>
  <c r="B1951" i="2"/>
  <c r="D1947" i="2"/>
  <c r="E1951" i="2"/>
  <c r="C1948" i="2"/>
  <c r="C1949" i="2" s="1"/>
  <c r="M1949" i="2" l="1"/>
  <c r="M1966" i="2" s="1"/>
  <c r="M1950" i="2"/>
  <c r="B1952" i="2"/>
  <c r="B1953" i="2" s="1"/>
  <c r="B1954" i="2" s="1"/>
  <c r="B1955" i="2" s="1"/>
  <c r="B1956" i="2" s="1"/>
  <c r="B1957" i="2" s="1"/>
  <c r="B1958" i="2" s="1"/>
  <c r="B1959" i="2" s="1"/>
  <c r="B1960" i="2" s="1"/>
  <c r="B1961" i="2" s="1"/>
  <c r="B1962" i="2" s="1"/>
  <c r="B1963" i="2" s="1"/>
  <c r="B1964" i="2" s="1"/>
  <c r="B1965" i="2" s="1"/>
  <c r="B1966" i="2" s="1"/>
  <c r="B1968" i="2" s="1"/>
  <c r="C1950" i="2"/>
  <c r="C1951" i="2"/>
  <c r="C1952" i="2" s="1"/>
  <c r="C1953" i="2" s="1"/>
  <c r="C1954" i="2" s="1"/>
  <c r="C1955" i="2" s="1"/>
  <c r="C1956" i="2" s="1"/>
  <c r="C1957" i="2" s="1"/>
  <c r="C1958" i="2" s="1"/>
  <c r="C1959" i="2" s="1"/>
  <c r="C1960" i="2" s="1"/>
  <c r="C1961" i="2" s="1"/>
  <c r="C1962" i="2" s="1"/>
  <c r="C1963" i="2" s="1"/>
  <c r="C1964" i="2" s="1"/>
  <c r="C1965" i="2" s="1"/>
  <c r="C1966" i="2" s="1"/>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C1968" i="2" l="1"/>
  <c r="J1968" i="2"/>
  <c r="H1969" i="2"/>
  <c r="H1968" i="2"/>
  <c r="B1969" i="2"/>
  <c r="B1970" i="2" s="1"/>
  <c r="B1972" i="2" l="1"/>
  <c r="B1971" i="2"/>
  <c r="C1969" i="2"/>
  <c r="C1970" i="2" s="1"/>
  <c r="E1972" i="2"/>
  <c r="D1968" i="2"/>
  <c r="D1969" i="2" l="1"/>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73" i="2"/>
  <c r="B1974" i="2" s="1"/>
  <c r="B1975" i="2" s="1"/>
  <c r="B1976" i="2" s="1"/>
  <c r="B1977" i="2" s="1"/>
  <c r="B1978" i="2" s="1"/>
  <c r="B1979" i="2" s="1"/>
  <c r="B1980" i="2" s="1"/>
  <c r="B1981" i="2" s="1"/>
  <c r="B1982" i="2" s="1"/>
  <c r="B1983" i="2" s="1"/>
  <c r="B1984" i="2" s="1"/>
  <c r="B1985" i="2" s="1"/>
  <c r="B1986" i="2" s="1"/>
  <c r="B1987" i="2" s="1"/>
  <c r="B1989" i="2" s="1"/>
  <c r="M1970" i="2"/>
  <c r="M1987" i="2" s="1"/>
  <c r="M1971" i="2"/>
  <c r="H1990" i="2" l="1"/>
  <c r="C1989" i="2"/>
  <c r="J1989" i="2"/>
  <c r="H1989" i="2"/>
  <c r="B1990" i="2"/>
  <c r="B1991" i="2" s="1"/>
  <c r="E1993" i="2" l="1"/>
  <c r="C1990" i="2"/>
  <c r="C1991" i="2" s="1"/>
  <c r="D1989" i="2"/>
  <c r="B1993" i="2"/>
  <c r="B1992" i="2"/>
  <c r="B1994" i="2" l="1"/>
  <c r="B1995" i="2" s="1"/>
  <c r="B1996" i="2" s="1"/>
  <c r="B1997" i="2" s="1"/>
  <c r="B1998" i="2" s="1"/>
  <c r="B1999" i="2" s="1"/>
  <c r="B2000" i="2" s="1"/>
  <c r="B2001" i="2" s="1"/>
  <c r="B2002" i="2" s="1"/>
  <c r="B2003" i="2" s="1"/>
  <c r="B2004" i="2" s="1"/>
  <c r="B2005" i="2" s="1"/>
  <c r="B2006" i="2" s="1"/>
  <c r="B2007" i="2" s="1"/>
  <c r="B2008" i="2" s="1"/>
  <c r="B2010" i="2" s="1"/>
  <c r="M1991" i="2"/>
  <c r="M2008" i="2" s="1"/>
  <c r="M1992" i="2"/>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H2011" i="2" l="1"/>
  <c r="H2010" i="2"/>
  <c r="J2010" i="2"/>
  <c r="C2010" i="2"/>
  <c r="B2011" i="2"/>
  <c r="B2012" i="2" s="1"/>
  <c r="C2011" i="2" l="1"/>
  <c r="C2012" i="2" s="1"/>
  <c r="E2014" i="2"/>
  <c r="D2010" i="2"/>
  <c r="B2014" i="2"/>
  <c r="B2013" i="2"/>
  <c r="B2015" i="2" l="1"/>
  <c r="B2016" i="2" s="1"/>
  <c r="B2017" i="2" s="1"/>
  <c r="B2018" i="2" s="1"/>
  <c r="B2019" i="2" s="1"/>
  <c r="B2020" i="2" s="1"/>
  <c r="B2021" i="2" s="1"/>
  <c r="B2022" i="2" s="1"/>
  <c r="B2023" i="2" s="1"/>
  <c r="B2024" i="2" s="1"/>
  <c r="B2025" i="2" s="1"/>
  <c r="B2026" i="2" s="1"/>
  <c r="B2027" i="2" s="1"/>
  <c r="B2028" i="2" s="1"/>
  <c r="B2029" i="2" s="1"/>
  <c r="B2031" i="2" s="1"/>
  <c r="M2013" i="2"/>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B2032" i="2" l="1"/>
  <c r="B2033" i="2" s="1"/>
  <c r="H2032" i="2"/>
  <c r="C2031" i="2"/>
  <c r="H2031" i="2"/>
  <c r="J2031" i="2"/>
  <c r="C2032" i="2" l="1"/>
  <c r="C2033" i="2" s="1"/>
  <c r="E2035" i="2"/>
  <c r="D2031" i="2"/>
  <c r="B2035" i="2"/>
  <c r="B2034" i="2"/>
  <c r="M2034" i="2" l="1"/>
  <c r="B2036" i="2"/>
  <c r="B2037" i="2" s="1"/>
  <c r="B2038" i="2" s="1"/>
  <c r="B2039" i="2" s="1"/>
  <c r="B2040" i="2" s="1"/>
  <c r="B2041" i="2" s="1"/>
  <c r="B2042" i="2" s="1"/>
  <c r="B2043" i="2" s="1"/>
  <c r="B2044" i="2" s="1"/>
  <c r="B2045" i="2" s="1"/>
  <c r="B2046" i="2" s="1"/>
  <c r="B2047" i="2" s="1"/>
  <c r="B2048" i="2" s="1"/>
  <c r="M2033" i="2"/>
  <c r="M2050" i="2" s="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49" i="2" l="1"/>
  <c r="B2050" i="2" s="1"/>
  <c r="B2052" i="2" s="1"/>
  <c r="B2053" i="2" l="1"/>
  <c r="C2052" i="2"/>
  <c r="H2053" i="2"/>
  <c r="H2052" i="2"/>
  <c r="J2052" i="2"/>
  <c r="B2054" i="2" l="1"/>
  <c r="C2053" i="2"/>
  <c r="C2054" i="2" s="1"/>
  <c r="D2052" i="2"/>
  <c r="E2056" i="2"/>
  <c r="B2056" i="2"/>
  <c r="B2055" i="2"/>
  <c r="M2055" i="2" l="1"/>
  <c r="B2057" i="2"/>
  <c r="M2054" i="2"/>
  <c r="M2071" i="2" s="1"/>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6" i="2"/>
  <c r="C2057" i="2" s="1"/>
  <c r="C2058" i="2" s="1"/>
  <c r="C2059" i="2" s="1"/>
  <c r="C2060" i="2" s="1"/>
  <c r="C2061" i="2" s="1"/>
  <c r="C2062" i="2" s="1"/>
  <c r="C2063" i="2" s="1"/>
  <c r="C2064" i="2" s="1"/>
  <c r="C2065" i="2" s="1"/>
  <c r="C2066" i="2" s="1"/>
  <c r="C2067" i="2" s="1"/>
  <c r="C2068" i="2" s="1"/>
  <c r="C2069" i="2" s="1"/>
  <c r="C2070" i="2" s="1"/>
  <c r="C2071" i="2" s="1"/>
  <c r="C2055" i="2"/>
  <c r="B2058" i="2" l="1"/>
  <c r="B2059" i="2" s="1"/>
  <c r="B2060" i="2" s="1"/>
  <c r="B2061" i="2" s="1"/>
  <c r="B2062" i="2" s="1"/>
  <c r="B2063" i="2" s="1"/>
  <c r="B2064" i="2" s="1"/>
  <c r="B2065" i="2" s="1"/>
  <c r="B2066" i="2" s="1"/>
  <c r="B2067" i="2" s="1"/>
  <c r="B2068" i="2" s="1"/>
  <c r="B2069" i="2" s="1"/>
  <c r="B2070" i="2" s="1"/>
  <c r="B2071" i="2" s="1"/>
  <c r="B2073" i="2" s="1"/>
  <c r="J2073" i="2" s="1"/>
  <c r="H2074" i="2" l="1"/>
  <c r="H2073" i="2"/>
  <c r="C2073" i="2"/>
  <c r="C2074" i="2" s="1"/>
  <c r="C2075" i="2" s="1"/>
  <c r="B2074" i="2"/>
  <c r="B2075" i="2" s="1"/>
  <c r="B2076" i="2" s="1"/>
  <c r="D2073" i="2" l="1"/>
  <c r="E2077" i="2"/>
  <c r="B2077" i="2"/>
  <c r="M2076"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C2076" i="2"/>
  <c r="C2077" i="2"/>
  <c r="C2078" i="2" s="1"/>
  <c r="C2079" i="2" s="1"/>
  <c r="C2080" i="2" s="1"/>
  <c r="C2081" i="2" s="1"/>
  <c r="C2082" i="2" s="1"/>
  <c r="C2083" i="2" s="1"/>
  <c r="C2084" i="2" s="1"/>
  <c r="C2085" i="2" s="1"/>
  <c r="C2086" i="2" s="1"/>
  <c r="C2087" i="2" s="1"/>
  <c r="C2088" i="2" s="1"/>
  <c r="C2089" i="2" s="1"/>
  <c r="C2090" i="2" s="1"/>
  <c r="C2091" i="2" s="1"/>
  <c r="C2092" i="2" s="1"/>
  <c r="B2078" i="2" l="1"/>
  <c r="B2079" i="2" s="1"/>
  <c r="B2080" i="2" s="1"/>
  <c r="B2081" i="2" s="1"/>
  <c r="B2082" i="2" s="1"/>
  <c r="B2083" i="2" s="1"/>
  <c r="B2084" i="2" s="1"/>
  <c r="B2085" i="2" s="1"/>
  <c r="B2086" i="2" s="1"/>
  <c r="B2087" i="2" s="1"/>
  <c r="B2088" i="2" s="1"/>
  <c r="B2089" i="2" s="1"/>
  <c r="B2090" i="2" s="1"/>
  <c r="B2091" i="2" s="1"/>
  <c r="B2092" i="2" s="1"/>
  <c r="B2094" i="2" s="1"/>
  <c r="H2094" i="2" s="1"/>
  <c r="M2075" i="2"/>
  <c r="M2092" i="2" s="1"/>
  <c r="H2095" i="2" l="1"/>
  <c r="B2095" i="2"/>
  <c r="B2096" i="2" s="1"/>
  <c r="B2098" i="2" s="1"/>
  <c r="J2094" i="2"/>
  <c r="C2094" i="2"/>
  <c r="C2095" i="2" s="1"/>
  <c r="C2096" i="2" s="1"/>
  <c r="D2094" i="2"/>
  <c r="E2098" i="2"/>
  <c r="B2097" i="2"/>
  <c r="M2097" i="2" l="1"/>
  <c r="M2096" i="2"/>
  <c r="M2113" i="2" s="1"/>
  <c r="H9" i="2" s="1"/>
  <c r="B2099" i="2"/>
  <c r="B2100" i="2" s="1"/>
  <c r="B2101" i="2" s="1"/>
  <c r="B2102" i="2" s="1"/>
  <c r="B2103" i="2" s="1"/>
  <c r="B2104" i="2" s="1"/>
  <c r="B2105" i="2" s="1"/>
  <c r="B2106" i="2" s="1"/>
  <c r="B2107" i="2" s="1"/>
  <c r="B2108" i="2" s="1"/>
  <c r="B2109" i="2" s="1"/>
  <c r="B2110" i="2" s="1"/>
  <c r="B2111" i="2" s="1"/>
  <c r="B2112" i="2" s="1"/>
  <c r="B2113"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7" i="2"/>
  <c r="C2098" i="2"/>
  <c r="C2099" i="2" s="1"/>
  <c r="C2100" i="2" s="1"/>
  <c r="C2101" i="2" s="1"/>
  <c r="C2102" i="2" s="1"/>
  <c r="C2103" i="2" s="1"/>
  <c r="C2104" i="2" s="1"/>
  <c r="C2105" i="2" s="1"/>
  <c r="C2106" i="2" s="1"/>
  <c r="C2107" i="2" s="1"/>
  <c r="C2108" i="2" s="1"/>
  <c r="C2109" i="2" s="1"/>
  <c r="C2110" i="2" s="1"/>
  <c r="C2111" i="2" s="1"/>
  <c r="C2112" i="2" s="1"/>
  <c r="C2113" i="2" s="1"/>
  <c r="C9" i="12" l="1"/>
  <c r="D9" i="11"/>
  <c r="D9" i="12"/>
  <c r="C9" i="11"/>
  <c r="F8" i="11"/>
  <c r="F8" i="12"/>
  <c r="H8" i="11"/>
  <c r="H8" i="12"/>
  <c r="I8" i="11"/>
  <c r="I8" i="12"/>
  <c r="J8" i="12"/>
  <c r="N8" i="12" s="1"/>
  <c r="X8" i="12" l="1"/>
  <c r="AJ8" i="12"/>
  <c r="J9" i="12"/>
  <c r="K8" i="12"/>
  <c r="R8" i="12"/>
  <c r="AD8" i="12"/>
  <c r="P8" i="12"/>
  <c r="AB8" i="12"/>
  <c r="AF8" i="12"/>
  <c r="AH8" i="12"/>
  <c r="Z8" i="12"/>
  <c r="V8" i="12"/>
  <c r="T8" i="12"/>
  <c r="B10" i="11"/>
  <c r="L9" i="11"/>
  <c r="G9" i="11"/>
  <c r="F9" i="11"/>
  <c r="H9" i="11"/>
  <c r="I9" i="11"/>
  <c r="G9" i="12"/>
  <c r="B10" i="12"/>
  <c r="I9" i="12"/>
  <c r="F9" i="12"/>
  <c r="H9" i="12"/>
  <c r="AA8" i="12" l="1"/>
  <c r="S8" i="12"/>
  <c r="U8" i="12"/>
  <c r="AK8" i="12"/>
  <c r="AI8" i="12"/>
  <c r="O8" i="12"/>
  <c r="AG8" i="12"/>
  <c r="AC8" i="12"/>
  <c r="Q8" i="12"/>
  <c r="Y8" i="12"/>
  <c r="W8" i="12"/>
  <c r="AE8" i="12"/>
  <c r="K9" i="12"/>
  <c r="D10" i="12"/>
  <c r="C10" i="12"/>
  <c r="J10" i="12" s="1"/>
  <c r="C10" i="11"/>
  <c r="D10" i="11"/>
  <c r="G10" i="11" l="1"/>
  <c r="L10" i="11"/>
  <c r="I10" i="11"/>
  <c r="F10" i="11"/>
  <c r="H10" i="11"/>
  <c r="G10" i="12"/>
  <c r="F10" i="12"/>
  <c r="I10" i="12"/>
  <c r="K10" i="12" s="1"/>
  <c r="V9" i="12" s="1"/>
  <c r="W9" i="12" s="1"/>
  <c r="H10" i="12"/>
  <c r="B11" i="11"/>
  <c r="B11" i="12"/>
  <c r="R9" i="12" l="1"/>
  <c r="S9" i="12" s="1"/>
  <c r="AJ9" i="12"/>
  <c r="AK9" i="12" s="1"/>
  <c r="AH9" i="12"/>
  <c r="AI9" i="12" s="1"/>
  <c r="AB9" i="12"/>
  <c r="AC9" i="12" s="1"/>
  <c r="Z9" i="12"/>
  <c r="AA9" i="12" s="1"/>
  <c r="AD9" i="12"/>
  <c r="AE9" i="12" s="1"/>
  <c r="N9" i="12"/>
  <c r="O9" i="12" s="1"/>
  <c r="X9" i="12"/>
  <c r="Y9" i="12" s="1"/>
  <c r="AF9" i="12"/>
  <c r="AG9" i="12" s="1"/>
  <c r="P9" i="12"/>
  <c r="Q9" i="12" s="1"/>
  <c r="T9" i="12"/>
  <c r="U9" i="12" s="1"/>
  <c r="C11" i="12"/>
  <c r="D11" i="12"/>
  <c r="D11" i="11"/>
  <c r="C11" i="11"/>
  <c r="L11" i="11" l="1"/>
  <c r="I11" i="11"/>
  <c r="F11" i="11"/>
  <c r="G11" i="11"/>
  <c r="H11" i="11"/>
  <c r="H11" i="12"/>
  <c r="I11" i="12"/>
  <c r="G11" i="12"/>
  <c r="F11" i="12"/>
  <c r="J11" i="12"/>
  <c r="B12" i="11"/>
  <c r="B12" i="12"/>
  <c r="K11" i="12" l="1"/>
  <c r="C12" i="11"/>
  <c r="D12" i="11"/>
  <c r="D12" i="12"/>
  <c r="C12" i="12"/>
  <c r="I12" i="11" l="1"/>
  <c r="H12" i="11"/>
  <c r="F12" i="11"/>
  <c r="L12" i="11"/>
  <c r="G12" i="11"/>
  <c r="G12" i="12"/>
  <c r="F12" i="12"/>
  <c r="H12" i="12"/>
  <c r="I12" i="12"/>
  <c r="J12" i="12"/>
  <c r="B13" i="11"/>
  <c r="B13" i="12"/>
  <c r="K12" i="12" l="1"/>
  <c r="C13" i="12"/>
  <c r="D13" i="12"/>
  <c r="C13" i="11"/>
  <c r="D13" i="11"/>
  <c r="E13" i="11" l="1"/>
  <c r="I13" i="12"/>
  <c r="H13" i="12"/>
  <c r="G13" i="12"/>
  <c r="F13" i="12"/>
  <c r="E13" i="12"/>
  <c r="L13" i="11"/>
  <c r="H13" i="11"/>
  <c r="G13" i="11"/>
  <c r="F13" i="11"/>
  <c r="I13" i="11"/>
  <c r="J13" i="12"/>
  <c r="B14" i="12"/>
  <c r="B14" i="11"/>
  <c r="K13" i="12" l="1"/>
  <c r="C14" i="11"/>
  <c r="D14" i="11"/>
  <c r="D14" i="12"/>
  <c r="C14" i="12"/>
  <c r="L14" i="11" l="1"/>
  <c r="G14" i="11"/>
  <c r="I14" i="11"/>
  <c r="F14" i="11"/>
  <c r="H14" i="11"/>
  <c r="G14" i="12"/>
  <c r="F14" i="12"/>
  <c r="H14" i="12"/>
  <c r="I14" i="12"/>
  <c r="J14" i="12"/>
  <c r="B15" i="11"/>
  <c r="D15" i="11" s="1"/>
  <c r="B15" i="12"/>
  <c r="C15" i="12" s="1"/>
  <c r="K14" i="12" l="1"/>
  <c r="J15" i="12"/>
  <c r="H15" i="12"/>
  <c r="G15" i="12"/>
  <c r="I15" i="12"/>
  <c r="F15" i="12"/>
  <c r="C15" i="11"/>
  <c r="D15" i="12"/>
  <c r="B16" i="12"/>
  <c r="D16" i="12" s="1"/>
  <c r="K15" i="12" l="1"/>
  <c r="B16" i="11"/>
  <c r="G15" i="11"/>
  <c r="I15" i="11"/>
  <c r="L15" i="11"/>
  <c r="H15" i="11"/>
  <c r="F15" i="11"/>
  <c r="C16" i="12"/>
  <c r="B17" i="12" l="1"/>
  <c r="C17" i="12" s="1"/>
  <c r="F16" i="12"/>
  <c r="H16" i="12"/>
  <c r="G16" i="12"/>
  <c r="I16" i="12"/>
  <c r="E16" i="12"/>
  <c r="D16" i="11"/>
  <c r="J16" i="12"/>
  <c r="C16" i="11"/>
  <c r="D17" i="12" l="1"/>
  <c r="E17" i="12" s="1"/>
  <c r="B18" i="12"/>
  <c r="F17" i="12"/>
  <c r="H17" i="12"/>
  <c r="I17" i="12"/>
  <c r="N16" i="12"/>
  <c r="V16" i="12"/>
  <c r="J17" i="12"/>
  <c r="AB16" i="12"/>
  <c r="K16" i="12"/>
  <c r="P16" i="12"/>
  <c r="R16" i="12"/>
  <c r="X16" i="12"/>
  <c r="AD16" i="12"/>
  <c r="AF16" i="12"/>
  <c r="AJ16" i="12"/>
  <c r="AH16" i="12"/>
  <c r="T16" i="12"/>
  <c r="Z16" i="12"/>
  <c r="B17" i="11"/>
  <c r="E16" i="11"/>
  <c r="I16" i="11"/>
  <c r="F16" i="11"/>
  <c r="L16" i="11"/>
  <c r="G16" i="11"/>
  <c r="H16" i="11"/>
  <c r="D18" i="12"/>
  <c r="C18" i="12"/>
  <c r="I18" i="12" s="1"/>
  <c r="AC16" i="12" l="1"/>
  <c r="S16" i="12"/>
  <c r="AE16" i="12"/>
  <c r="AI16" i="12"/>
  <c r="AG16" i="12"/>
  <c r="Y16" i="12"/>
  <c r="AA16" i="12"/>
  <c r="U16" i="12"/>
  <c r="W16" i="12"/>
  <c r="O16" i="12"/>
  <c r="AK16" i="12"/>
  <c r="C17" i="11"/>
  <c r="D17" i="11"/>
  <c r="B19" i="12"/>
  <c r="F18" i="12"/>
  <c r="H18" i="12"/>
  <c r="G17" i="12"/>
  <c r="T17" i="12"/>
  <c r="AB17" i="12"/>
  <c r="AH17" i="12"/>
  <c r="V17" i="12"/>
  <c r="Z17" i="12"/>
  <c r="K17" i="12"/>
  <c r="AA17" i="12" s="1"/>
  <c r="X17" i="12"/>
  <c r="N17" i="12"/>
  <c r="P17" i="12"/>
  <c r="AD17" i="12"/>
  <c r="AJ17" i="12"/>
  <c r="R17" i="12"/>
  <c r="AF17" i="12"/>
  <c r="J18" i="12"/>
  <c r="Q16" i="12"/>
  <c r="D19" i="12" l="1"/>
  <c r="C19" i="12"/>
  <c r="AG17" i="12"/>
  <c r="AC17" i="12"/>
  <c r="O17" i="12"/>
  <c r="U17" i="12"/>
  <c r="Q17" i="12"/>
  <c r="S17" i="12"/>
  <c r="AK17" i="12"/>
  <c r="AI17" i="12"/>
  <c r="AE17" i="12"/>
  <c r="B18" i="11"/>
  <c r="G18" i="12" s="1"/>
  <c r="F17" i="11"/>
  <c r="L17" i="11"/>
  <c r="H17" i="11"/>
  <c r="E17" i="11"/>
  <c r="G17" i="11"/>
  <c r="I17" i="11"/>
  <c r="Y17" i="12"/>
  <c r="K18" i="12"/>
  <c r="W17" i="12"/>
  <c r="B20" i="12" l="1"/>
  <c r="D20" i="12" s="1"/>
  <c r="I19" i="12"/>
  <c r="F19" i="12"/>
  <c r="H19" i="12"/>
  <c r="J19" i="12"/>
  <c r="E19" i="12"/>
  <c r="C20" i="12"/>
  <c r="C18" i="11"/>
  <c r="D18" i="11"/>
  <c r="J20" i="12" l="1"/>
  <c r="K19" i="12"/>
  <c r="B21" i="12"/>
  <c r="C21" i="12" s="1"/>
  <c r="H20" i="12"/>
  <c r="I20" i="12"/>
  <c r="F20" i="12"/>
  <c r="E20" i="12"/>
  <c r="B19" i="11"/>
  <c r="G19" i="12" s="1"/>
  <c r="G18" i="11"/>
  <c r="F18" i="11"/>
  <c r="H18" i="11"/>
  <c r="L18" i="11"/>
  <c r="I18" i="11"/>
  <c r="AB20" i="12" l="1"/>
  <c r="X20" i="12"/>
  <c r="P20" i="12"/>
  <c r="N20" i="12"/>
  <c r="V20" i="12"/>
  <c r="K20" i="12"/>
  <c r="AH20" i="12"/>
  <c r="AI20" i="12" s="1"/>
  <c r="R20" i="12"/>
  <c r="J21" i="12"/>
  <c r="AJ20" i="12"/>
  <c r="Z20" i="12"/>
  <c r="AD20" i="12"/>
  <c r="AF20" i="12"/>
  <c r="T20" i="12"/>
  <c r="B22" i="12"/>
  <c r="I21" i="12"/>
  <c r="H21" i="12"/>
  <c r="F21" i="12"/>
  <c r="D21" i="12"/>
  <c r="E21" i="12" s="1"/>
  <c r="D19" i="11"/>
  <c r="C19" i="11"/>
  <c r="AE20" i="12" l="1"/>
  <c r="S20" i="12"/>
  <c r="AA20" i="12"/>
  <c r="U20" i="12"/>
  <c r="O20" i="12"/>
  <c r="AG20" i="12"/>
  <c r="AK20" i="12"/>
  <c r="Q20" i="12"/>
  <c r="Y20" i="12"/>
  <c r="W20" i="12"/>
  <c r="AC20" i="12"/>
  <c r="Z21" i="12"/>
  <c r="AA21" i="12" s="1"/>
  <c r="X21" i="12"/>
  <c r="N21" i="12"/>
  <c r="P21" i="12"/>
  <c r="Q21" i="12" s="1"/>
  <c r="AD21" i="12"/>
  <c r="AE21" i="12" s="1"/>
  <c r="K21" i="12"/>
  <c r="AH21" i="12"/>
  <c r="V21" i="12"/>
  <c r="T21" i="12"/>
  <c r="U21" i="12" s="1"/>
  <c r="R21" i="12"/>
  <c r="AJ21" i="12"/>
  <c r="AK21" i="12" s="1"/>
  <c r="AF21" i="12"/>
  <c r="AB21" i="12"/>
  <c r="AC21" i="12" s="1"/>
  <c r="D22" i="12"/>
  <c r="C22" i="12"/>
  <c r="E19" i="11"/>
  <c r="I19" i="11"/>
  <c r="H19" i="11"/>
  <c r="G19" i="11"/>
  <c r="F19" i="11"/>
  <c r="L19" i="11"/>
  <c r="B20" i="11"/>
  <c r="G20" i="12" s="1"/>
  <c r="O21" i="12" l="1"/>
  <c r="S21" i="12"/>
  <c r="AG21" i="12"/>
  <c r="Y21" i="12"/>
  <c r="AI21" i="12"/>
  <c r="W21" i="12"/>
  <c r="B23" i="12"/>
  <c r="E22" i="12"/>
  <c r="F22" i="12"/>
  <c r="H22" i="12"/>
  <c r="I22" i="12"/>
  <c r="J22" i="12"/>
  <c r="C20" i="11"/>
  <c r="D20" i="11"/>
  <c r="F20" i="11" l="1"/>
  <c r="E20" i="11"/>
  <c r="L20" i="11"/>
  <c r="G20" i="11"/>
  <c r="I20" i="11"/>
  <c r="H20" i="11"/>
  <c r="T22" i="12"/>
  <c r="N22" i="12"/>
  <c r="V22" i="12"/>
  <c r="AJ22" i="12"/>
  <c r="AD22" i="12"/>
  <c r="P22" i="12"/>
  <c r="X22" i="12"/>
  <c r="AF22" i="12"/>
  <c r="K22" i="12"/>
  <c r="R22" i="12"/>
  <c r="AB22" i="12"/>
  <c r="Z22" i="12"/>
  <c r="AH22" i="12"/>
  <c r="D23" i="12"/>
  <c r="C23" i="12"/>
  <c r="B21" i="11"/>
  <c r="G21" i="12" s="1"/>
  <c r="U22" i="12" l="1"/>
  <c r="AC22" i="12"/>
  <c r="AG22" i="12"/>
  <c r="AI22" i="12"/>
  <c r="AA22" i="12"/>
  <c r="AE22" i="12"/>
  <c r="Q22" i="12"/>
  <c r="S22" i="12"/>
  <c r="AK22" i="12"/>
  <c r="Y22" i="12"/>
  <c r="W22" i="12"/>
  <c r="O22" i="12"/>
  <c r="B24" i="12"/>
  <c r="E23" i="12"/>
  <c r="I23" i="12"/>
  <c r="F23" i="12"/>
  <c r="H23" i="12"/>
  <c r="J23" i="12"/>
  <c r="C21" i="11"/>
  <c r="D21" i="11"/>
  <c r="K23" i="12" l="1"/>
  <c r="AJ23" i="12"/>
  <c r="T23" i="12"/>
  <c r="N23" i="12"/>
  <c r="AH23" i="12"/>
  <c r="P23" i="12"/>
  <c r="AB23" i="12"/>
  <c r="Z23" i="12"/>
  <c r="R23" i="12"/>
  <c r="S23" i="12" s="1"/>
  <c r="AD23" i="12"/>
  <c r="AF23" i="12"/>
  <c r="V23" i="12"/>
  <c r="X23" i="12"/>
  <c r="G21" i="11"/>
  <c r="E21" i="11"/>
  <c r="L21" i="11"/>
  <c r="F21" i="11"/>
  <c r="H21" i="11"/>
  <c r="I21" i="11"/>
  <c r="C24" i="12"/>
  <c r="J24" i="12" s="1"/>
  <c r="D24" i="12"/>
  <c r="B22" i="11"/>
  <c r="G22" i="12" s="1"/>
  <c r="AA23" i="12" l="1"/>
  <c r="AC23" i="12"/>
  <c r="Y23" i="12"/>
  <c r="Q23" i="12"/>
  <c r="AI23" i="12"/>
  <c r="W23" i="12"/>
  <c r="O23" i="12"/>
  <c r="AG23" i="12"/>
  <c r="U23" i="12"/>
  <c r="AE23" i="12"/>
  <c r="AK23" i="12"/>
  <c r="AD24" i="12"/>
  <c r="X24" i="12"/>
  <c r="Z24" i="12"/>
  <c r="V24" i="12"/>
  <c r="N24" i="12"/>
  <c r="P24" i="12"/>
  <c r="AF24" i="12"/>
  <c r="T24" i="12"/>
  <c r="R24" i="12"/>
  <c r="AH24" i="12"/>
  <c r="AJ24" i="12"/>
  <c r="AB24" i="12"/>
  <c r="B25" i="12"/>
  <c r="E24" i="12"/>
  <c r="F24" i="12"/>
  <c r="H24" i="12"/>
  <c r="I24" i="12"/>
  <c r="K24" i="12" s="1"/>
  <c r="C22" i="11"/>
  <c r="D22" i="11"/>
  <c r="O24" i="12" l="1"/>
  <c r="AA24" i="12"/>
  <c r="AI24" i="12"/>
  <c r="Y24" i="12"/>
  <c r="AC24" i="12"/>
  <c r="S24" i="12"/>
  <c r="W24" i="12"/>
  <c r="AG24" i="12"/>
  <c r="AE24" i="12"/>
  <c r="Q24" i="12"/>
  <c r="U24" i="12"/>
  <c r="AK24" i="12"/>
  <c r="B23" i="11"/>
  <c r="G23" i="12" s="1"/>
  <c r="H22" i="11"/>
  <c r="L22" i="11"/>
  <c r="G22" i="11"/>
  <c r="I22" i="11"/>
  <c r="E22" i="11"/>
  <c r="F22" i="11"/>
  <c r="C25" i="12"/>
  <c r="D25" i="12"/>
  <c r="C23" i="11"/>
  <c r="D23" i="11"/>
  <c r="B24" i="11" l="1"/>
  <c r="G24" i="12" s="1"/>
  <c r="F23" i="11"/>
  <c r="H23" i="11"/>
  <c r="E23" i="11"/>
  <c r="L23" i="11"/>
  <c r="G23" i="11"/>
  <c r="I23" i="11"/>
  <c r="B26" i="12"/>
  <c r="E25" i="12"/>
  <c r="I25" i="12"/>
  <c r="F25" i="12"/>
  <c r="H25" i="12"/>
  <c r="J25" i="12"/>
  <c r="D24" i="11"/>
  <c r="C24" i="11"/>
  <c r="D26" i="12" l="1"/>
  <c r="C26" i="12"/>
  <c r="J26" i="12" s="1"/>
  <c r="B25" i="11"/>
  <c r="G25" i="12" s="1"/>
  <c r="L24" i="11"/>
  <c r="F24" i="11"/>
  <c r="I24" i="11"/>
  <c r="G24" i="11"/>
  <c r="H24" i="11"/>
  <c r="E24" i="11"/>
  <c r="X25" i="12"/>
  <c r="V25" i="12"/>
  <c r="R25" i="12"/>
  <c r="K25" i="12"/>
  <c r="AH25" i="12"/>
  <c r="Z25" i="12"/>
  <c r="AF25" i="12"/>
  <c r="T25" i="12"/>
  <c r="AB25" i="12"/>
  <c r="P25" i="12"/>
  <c r="N25" i="12"/>
  <c r="AJ25" i="12"/>
  <c r="AK25" i="12" s="1"/>
  <c r="AD25" i="12"/>
  <c r="U25" i="12" l="1"/>
  <c r="Y25" i="12"/>
  <c r="O25" i="12"/>
  <c r="AC25" i="12"/>
  <c r="W25" i="12"/>
  <c r="D25" i="11"/>
  <c r="AE25" i="12"/>
  <c r="AI25" i="12"/>
  <c r="AG25" i="12"/>
  <c r="AA25" i="12"/>
  <c r="S25" i="12"/>
  <c r="Q25" i="12"/>
  <c r="C25" i="11"/>
  <c r="B27" i="12"/>
  <c r="H26" i="12"/>
  <c r="I26" i="12"/>
  <c r="K26" i="12" s="1"/>
  <c r="F26" i="12"/>
  <c r="C27" i="12" l="1"/>
  <c r="D27" i="12"/>
  <c r="B26" i="11"/>
  <c r="G26" i="12" s="1"/>
  <c r="F25" i="11"/>
  <c r="H25" i="11"/>
  <c r="G25" i="11"/>
  <c r="E25" i="11"/>
  <c r="L25" i="11"/>
  <c r="I25" i="11"/>
  <c r="E27" i="12" l="1"/>
  <c r="F27" i="12"/>
  <c r="H27" i="12"/>
  <c r="I27" i="12"/>
  <c r="J27" i="12"/>
  <c r="C26" i="11"/>
  <c r="D26" i="11"/>
  <c r="B28" i="12"/>
  <c r="K27" i="12" l="1"/>
  <c r="B27" i="11"/>
  <c r="G27" i="12" s="1"/>
  <c r="I26" i="11"/>
  <c r="L26" i="11"/>
  <c r="H26" i="11"/>
  <c r="F26" i="11"/>
  <c r="G26" i="11"/>
  <c r="C28" i="12"/>
  <c r="D28" i="12"/>
  <c r="E28" i="12" l="1"/>
  <c r="I28" i="12"/>
  <c r="F28" i="12"/>
  <c r="H28" i="12"/>
  <c r="J28" i="12"/>
  <c r="B29" i="12"/>
  <c r="D27" i="11"/>
  <c r="C27" i="11"/>
  <c r="E27" i="11" l="1"/>
  <c r="AJ28" i="12"/>
  <c r="R28" i="12"/>
  <c r="AH28" i="12"/>
  <c r="AF28" i="12"/>
  <c r="P28" i="12"/>
  <c r="Q28" i="12" s="1"/>
  <c r="AD28" i="12"/>
  <c r="AE28" i="12" s="1"/>
  <c r="AB28" i="12"/>
  <c r="AC28" i="12" s="1"/>
  <c r="N28" i="12"/>
  <c r="X28" i="12"/>
  <c r="T28" i="12"/>
  <c r="K28" i="12"/>
  <c r="Z28" i="12"/>
  <c r="AA28" i="12" s="1"/>
  <c r="V28" i="12"/>
  <c r="I27" i="11"/>
  <c r="F27" i="11"/>
  <c r="G27" i="11"/>
  <c r="L27" i="11"/>
  <c r="H27" i="11"/>
  <c r="B28" i="11"/>
  <c r="G28" i="12" s="1"/>
  <c r="C29" i="12"/>
  <c r="J29" i="12" s="1"/>
  <c r="D29" i="12"/>
  <c r="AI28" i="12" l="1"/>
  <c r="U28" i="12"/>
  <c r="AG28" i="12"/>
  <c r="S28" i="12"/>
  <c r="Y28" i="12"/>
  <c r="W28" i="12"/>
  <c r="O28" i="12"/>
  <c r="AK28" i="12"/>
  <c r="H29" i="12"/>
  <c r="I29" i="12"/>
  <c r="K29" i="12" s="1"/>
  <c r="F29" i="12"/>
  <c r="B30" i="12"/>
  <c r="D28" i="11"/>
  <c r="C28" i="11"/>
  <c r="E28" i="11" l="1"/>
  <c r="L28" i="11"/>
  <c r="I28" i="11"/>
  <c r="H28" i="11"/>
  <c r="F28" i="11"/>
  <c r="G28" i="11"/>
  <c r="B29" i="11"/>
  <c r="G29" i="12" s="1"/>
  <c r="C30" i="12"/>
  <c r="D30" i="12"/>
  <c r="E30" i="12" l="1"/>
  <c r="F30" i="12"/>
  <c r="H30" i="12"/>
  <c r="I30" i="12"/>
  <c r="J30" i="12"/>
  <c r="B31" i="12"/>
  <c r="D29" i="11"/>
  <c r="C29" i="11"/>
  <c r="K30" i="12" l="1"/>
  <c r="H29" i="11"/>
  <c r="F29" i="11"/>
  <c r="L29" i="11"/>
  <c r="I29" i="11"/>
  <c r="G29" i="11"/>
  <c r="B30" i="11"/>
  <c r="G30" i="12" s="1"/>
  <c r="D31" i="12"/>
  <c r="C31" i="12"/>
  <c r="H31" i="12" l="1"/>
  <c r="I31" i="12"/>
  <c r="F31" i="12"/>
  <c r="E31" i="12"/>
  <c r="J31" i="12"/>
  <c r="B32" i="12"/>
  <c r="D32" i="12" s="1"/>
  <c r="C30" i="11"/>
  <c r="D30" i="11"/>
  <c r="C32" i="12" l="1"/>
  <c r="H32" i="12" s="1"/>
  <c r="E30" i="11"/>
  <c r="F30" i="11"/>
  <c r="L30" i="11"/>
  <c r="G30" i="11"/>
  <c r="H30" i="11"/>
  <c r="I30" i="11"/>
  <c r="AF31" i="12"/>
  <c r="AG31" i="12" s="1"/>
  <c r="AJ31" i="12"/>
  <c r="N31" i="12"/>
  <c r="P31" i="12"/>
  <c r="K31" i="12"/>
  <c r="T31" i="12"/>
  <c r="U31" i="12" s="1"/>
  <c r="V31" i="12"/>
  <c r="W31" i="12" s="1"/>
  <c r="Z31" i="12"/>
  <c r="AA31" i="12" s="1"/>
  <c r="X31" i="12"/>
  <c r="Y31" i="12" s="1"/>
  <c r="R31" i="12"/>
  <c r="AH31" i="12"/>
  <c r="AD31" i="12"/>
  <c r="AB31" i="12"/>
  <c r="AC31" i="12" s="1"/>
  <c r="B31" i="11"/>
  <c r="G31" i="12" s="1"/>
  <c r="I32" i="12" l="1"/>
  <c r="AE31" i="12"/>
  <c r="Q31" i="12"/>
  <c r="F32" i="12"/>
  <c r="B33" i="12"/>
  <c r="D33" i="12" s="1"/>
  <c r="J32" i="12"/>
  <c r="K32" i="12" s="1"/>
  <c r="AI31" i="12"/>
  <c r="AK31" i="12"/>
  <c r="S31" i="12"/>
  <c r="O31" i="12"/>
  <c r="D31" i="11"/>
  <c r="C31" i="11"/>
  <c r="C33" i="12" l="1"/>
  <c r="F33" i="12" s="1"/>
  <c r="G31" i="11"/>
  <c r="I31" i="11"/>
  <c r="L31" i="11"/>
  <c r="F31" i="11"/>
  <c r="H31" i="11"/>
  <c r="E31" i="11"/>
  <c r="B32" i="11"/>
  <c r="C32" i="11" s="1"/>
  <c r="B34" i="12" l="1"/>
  <c r="I33" i="12"/>
  <c r="J33" i="12"/>
  <c r="H33" i="12"/>
  <c r="C34" i="12"/>
  <c r="D34" i="12"/>
  <c r="G32" i="12"/>
  <c r="D32" i="11"/>
  <c r="B33" i="11"/>
  <c r="I32" i="11"/>
  <c r="H32" i="11"/>
  <c r="L32" i="11"/>
  <c r="F32" i="11"/>
  <c r="G32" i="11"/>
  <c r="K33" i="12" l="1"/>
  <c r="D33" i="11"/>
  <c r="G33" i="12"/>
  <c r="B35" i="12"/>
  <c r="H34" i="12"/>
  <c r="F34" i="12"/>
  <c r="I34" i="12"/>
  <c r="J34" i="12"/>
  <c r="C33" i="11"/>
  <c r="D35" i="12" l="1"/>
  <c r="C35" i="12"/>
  <c r="J35" i="12" s="1"/>
  <c r="K34" i="12"/>
  <c r="B34" i="11"/>
  <c r="D34" i="11" s="1"/>
  <c r="I33" i="11"/>
  <c r="L33" i="11"/>
  <c r="F33" i="11"/>
  <c r="G33" i="11"/>
  <c r="H33" i="11"/>
  <c r="C34" i="11"/>
  <c r="H35" i="12" l="1"/>
  <c r="I35" i="12"/>
  <c r="K35" i="12" s="1"/>
  <c r="F35" i="12"/>
  <c r="G34" i="12"/>
  <c r="B36" i="12"/>
  <c r="B35" i="11"/>
  <c r="C35" i="11" s="1"/>
  <c r="H35" i="11" s="1"/>
  <c r="G34" i="11"/>
  <c r="F34" i="11"/>
  <c r="L34" i="11"/>
  <c r="H34" i="11"/>
  <c r="I34" i="11"/>
  <c r="D35" i="11"/>
  <c r="G35" i="12" l="1"/>
  <c r="B36" i="11"/>
  <c r="C36" i="11" s="1"/>
  <c r="F35" i="11"/>
  <c r="G35" i="11"/>
  <c r="L35" i="11"/>
  <c r="I35" i="11"/>
  <c r="D36" i="11"/>
  <c r="C36" i="12"/>
  <c r="D36" i="12"/>
  <c r="B37" i="11" l="1"/>
  <c r="H36" i="11"/>
  <c r="L36" i="11"/>
  <c r="G36" i="11"/>
  <c r="I36" i="11"/>
  <c r="H36" i="12"/>
  <c r="I36" i="12"/>
  <c r="G36" i="12"/>
  <c r="F36" i="12"/>
  <c r="J36" i="12"/>
  <c r="F36" i="11"/>
  <c r="D37" i="11"/>
  <c r="C37" i="11"/>
  <c r="H37" i="11" s="1"/>
  <c r="B37" i="12"/>
  <c r="G37" i="11" l="1"/>
  <c r="F37" i="11"/>
  <c r="I37" i="11"/>
  <c r="B38" i="11"/>
  <c r="D38" i="11" s="1"/>
  <c r="L37" i="11"/>
  <c r="K36" i="12"/>
  <c r="D37" i="12"/>
  <c r="C37" i="12"/>
  <c r="J37" i="12" s="1"/>
  <c r="F37" i="12" l="1"/>
  <c r="I37" i="12"/>
  <c r="K37" i="12" s="1"/>
  <c r="G37" i="12"/>
  <c r="H37" i="12"/>
  <c r="C38" i="11"/>
  <c r="B38" i="12"/>
  <c r="I38" i="11" l="1"/>
  <c r="G38" i="11"/>
  <c r="H38" i="11"/>
  <c r="L38" i="11"/>
  <c r="F38" i="11"/>
  <c r="B39" i="11"/>
  <c r="D38" i="12"/>
  <c r="C38" i="12"/>
  <c r="F38" i="12" l="1"/>
  <c r="G38" i="12"/>
  <c r="H38" i="12"/>
  <c r="I38" i="12"/>
  <c r="J38" i="12"/>
  <c r="H40" i="11"/>
  <c r="D39" i="11"/>
  <c r="C39" i="11"/>
  <c r="G40" i="11"/>
  <c r="I40" i="11"/>
  <c r="F40" i="11"/>
  <c r="L40" i="11"/>
  <c r="B39" i="12"/>
  <c r="G39" i="11" l="1"/>
  <c r="H39" i="11"/>
  <c r="F39" i="11"/>
  <c r="I39" i="11"/>
  <c r="L39" i="11"/>
  <c r="K38" i="12"/>
  <c r="B40" i="11"/>
  <c r="G40" i="12"/>
  <c r="H40" i="12"/>
  <c r="D39" i="12"/>
  <c r="F40" i="12"/>
  <c r="I40" i="12"/>
  <c r="C39" i="12"/>
  <c r="H39" i="12" l="1"/>
  <c r="G39" i="12"/>
  <c r="F39" i="12"/>
  <c r="I39" i="12"/>
  <c r="J39" i="12"/>
  <c r="J40" i="12" s="1"/>
  <c r="B40" i="12"/>
  <c r="H41" i="12" s="1"/>
  <c r="H41" i="11"/>
  <c r="F41" i="11"/>
  <c r="G41" i="11"/>
  <c r="E41" i="11"/>
  <c r="D40" i="11"/>
  <c r="E40" i="11" s="1"/>
  <c r="C40" i="11"/>
  <c r="L41" i="11"/>
  <c r="I41" i="11"/>
  <c r="I41" i="12"/>
  <c r="C40" i="12"/>
  <c r="B41" i="12" s="1"/>
  <c r="G41" i="12" l="1"/>
  <c r="K39" i="12"/>
  <c r="F41" i="12"/>
  <c r="D40" i="12"/>
  <c r="E40" i="12" s="1"/>
  <c r="K40" i="12"/>
  <c r="J41" i="12"/>
  <c r="W41" i="12" s="1"/>
  <c r="B41" i="11"/>
  <c r="C41" i="12"/>
  <c r="B42" i="12" s="1"/>
  <c r="D41" i="12"/>
  <c r="E41" i="12" s="1"/>
  <c r="F42" i="12"/>
  <c r="I42" i="12"/>
  <c r="G42" i="12"/>
  <c r="H42" i="12"/>
  <c r="AH41" i="12" l="1"/>
  <c r="V41" i="12"/>
  <c r="AD41" i="12"/>
  <c r="AK41" i="12"/>
  <c r="Q41" i="12"/>
  <c r="J42" i="12"/>
  <c r="N42" i="12" s="1"/>
  <c r="Z41" i="12"/>
  <c r="AA41" i="12" s="1"/>
  <c r="R41" i="12"/>
  <c r="S41" i="12" s="1"/>
  <c r="AC41" i="12"/>
  <c r="X41" i="12"/>
  <c r="Y41" i="12"/>
  <c r="L41" i="12"/>
  <c r="N41" i="12"/>
  <c r="O41" i="12" s="1"/>
  <c r="AF41" i="12"/>
  <c r="AG41" i="12" s="1"/>
  <c r="K41" i="12"/>
  <c r="AI41" i="12" s="1"/>
  <c r="AE41" i="12"/>
  <c r="P41" i="12"/>
  <c r="T41" i="12"/>
  <c r="U41" i="12" s="1"/>
  <c r="AB41" i="12"/>
  <c r="AJ41" i="12"/>
  <c r="L42" i="11"/>
  <c r="C41" i="11"/>
  <c r="H42" i="11"/>
  <c r="F42" i="11"/>
  <c r="D41" i="11"/>
  <c r="I42" i="11"/>
  <c r="G42" i="11"/>
  <c r="AJ42" i="12"/>
  <c r="AK42" i="12" s="1"/>
  <c r="AH42" i="12"/>
  <c r="AE42" i="12"/>
  <c r="AD42" i="12"/>
  <c r="U42" i="12"/>
  <c r="W42" i="12"/>
  <c r="I43" i="12"/>
  <c r="F43" i="12"/>
  <c r="C42" i="12"/>
  <c r="B43" i="12" s="1"/>
  <c r="D42" i="12"/>
  <c r="E42" i="12" s="1"/>
  <c r="H43" i="12"/>
  <c r="G43" i="12"/>
  <c r="Y42" i="12" l="1"/>
  <c r="S42" i="12"/>
  <c r="Z42" i="12"/>
  <c r="AF42" i="12"/>
  <c r="V42" i="12"/>
  <c r="X42" i="12"/>
  <c r="P42" i="12"/>
  <c r="AB42" i="12"/>
  <c r="AG42" i="12"/>
  <c r="Q42" i="12"/>
  <c r="J43" i="12"/>
  <c r="AG43" i="12" s="1"/>
  <c r="AI42" i="12"/>
  <c r="AC42" i="12"/>
  <c r="O42" i="12"/>
  <c r="L42" i="12"/>
  <c r="K42" i="12"/>
  <c r="AA42" i="12"/>
  <c r="T42" i="12"/>
  <c r="R42" i="12"/>
  <c r="B42" i="11"/>
  <c r="H44" i="12"/>
  <c r="I44" i="12"/>
  <c r="C43" i="12"/>
  <c r="B44" i="12" s="1"/>
  <c r="D43" i="12"/>
  <c r="E43" i="12" s="1"/>
  <c r="G44" i="12"/>
  <c r="F44" i="12"/>
  <c r="L43" i="12"/>
  <c r="Z43" i="12"/>
  <c r="AD43" i="12"/>
  <c r="AK43" i="12"/>
  <c r="J44" i="12"/>
  <c r="AJ43" i="12"/>
  <c r="X43" i="12"/>
  <c r="Y43" i="12" s="1"/>
  <c r="AC43" i="12"/>
  <c r="R43" i="12"/>
  <c r="S43" i="12" s="1"/>
  <c r="K43" i="12"/>
  <c r="Q43" i="12"/>
  <c r="AH43" i="12"/>
  <c r="AI43" i="12"/>
  <c r="N43" i="12"/>
  <c r="AE43" i="12"/>
  <c r="O43" i="12"/>
  <c r="AA43" i="12"/>
  <c r="AB43" i="12"/>
  <c r="U43" i="12"/>
  <c r="V43" i="12"/>
  <c r="T43" i="12"/>
  <c r="P43" i="12" l="1"/>
  <c r="AF43" i="12"/>
  <c r="W43" i="12"/>
  <c r="H43" i="11"/>
  <c r="I43" i="11"/>
  <c r="C42" i="11"/>
  <c r="B43" i="11" s="1"/>
  <c r="G43" i="11"/>
  <c r="F43" i="11"/>
  <c r="D42" i="11"/>
  <c r="E42" i="11" s="1"/>
  <c r="L43" i="11"/>
  <c r="F45" i="12"/>
  <c r="I45" i="12"/>
  <c r="D44" i="12"/>
  <c r="E44" i="12" s="1"/>
  <c r="H45" i="12"/>
  <c r="C44" i="12"/>
  <c r="B45" i="12" s="1"/>
  <c r="G45" i="12"/>
  <c r="V44" i="12"/>
  <c r="W44" i="12" s="1"/>
  <c r="AD44" i="12"/>
  <c r="AE44" i="12" s="1"/>
  <c r="AH44" i="12"/>
  <c r="AI44" i="12" s="1"/>
  <c r="Q44" i="12"/>
  <c r="AJ44" i="12"/>
  <c r="AK44" i="12" s="1"/>
  <c r="P44" i="12"/>
  <c r="R44" i="12"/>
  <c r="K44" i="12"/>
  <c r="AF44" i="12"/>
  <c r="AG44" i="12" s="1"/>
  <c r="L44" i="12"/>
  <c r="J45" i="12"/>
  <c r="O44" i="12"/>
  <c r="AA44" i="12"/>
  <c r="Z44" i="12"/>
  <c r="AB44" i="12"/>
  <c r="AC44" i="12" s="1"/>
  <c r="S44" i="12"/>
  <c r="X44" i="12"/>
  <c r="Y44" i="12" s="1"/>
  <c r="N44" i="12"/>
  <c r="T44" i="12"/>
  <c r="U44" i="12" s="1"/>
  <c r="I44" i="11" l="1"/>
  <c r="D43" i="11"/>
  <c r="E43" i="11" s="1"/>
  <c r="H44" i="11"/>
  <c r="C43" i="11"/>
  <c r="B44" i="11" s="1"/>
  <c r="G44" i="11"/>
  <c r="L44" i="11"/>
  <c r="F44" i="11"/>
  <c r="C45" i="12"/>
  <c r="B46" i="12" s="1"/>
  <c r="G46" i="12"/>
  <c r="H46" i="12"/>
  <c r="D45" i="12"/>
  <c r="E45" i="12" s="1"/>
  <c r="I46" i="12"/>
  <c r="F46" i="12"/>
  <c r="AD45" i="12"/>
  <c r="N45" i="12"/>
  <c r="AB45" i="12"/>
  <c r="Z45" i="12"/>
  <c r="V45" i="12"/>
  <c r="T45" i="12"/>
  <c r="AJ45" i="12"/>
  <c r="AF45" i="12"/>
  <c r="AG45" i="12"/>
  <c r="AH45" i="12"/>
  <c r="U45" i="12"/>
  <c r="O45" i="12"/>
  <c r="J46" i="12"/>
  <c r="S45" i="12"/>
  <c r="K45" i="12"/>
  <c r="AC45" i="12"/>
  <c r="AA45" i="12"/>
  <c r="AE45" i="12"/>
  <c r="Q45" i="12"/>
  <c r="AI45" i="12"/>
  <c r="L45" i="12"/>
  <c r="X45" i="12"/>
  <c r="W45" i="12"/>
  <c r="AK45" i="12"/>
  <c r="Y45" i="12"/>
  <c r="P45" i="12"/>
  <c r="R45" i="12"/>
  <c r="H45" i="11" l="1"/>
  <c r="L45" i="11"/>
  <c r="F45" i="11"/>
  <c r="D44" i="11"/>
  <c r="E44" i="11" s="1"/>
  <c r="G45" i="11"/>
  <c r="I45" i="11"/>
  <c r="C44" i="11"/>
  <c r="B45" i="11" s="1"/>
  <c r="X46" i="12"/>
  <c r="Z46" i="12"/>
  <c r="J47" i="12"/>
  <c r="AB46" i="12"/>
  <c r="AC46" i="12" s="1"/>
  <c r="Q46" i="12"/>
  <c r="T46" i="12"/>
  <c r="U46" i="12" s="1"/>
  <c r="AI46" i="12"/>
  <c r="AJ46" i="12"/>
  <c r="AK46" i="12" s="1"/>
  <c r="R46" i="12"/>
  <c r="S46" i="12" s="1"/>
  <c r="AA46" i="12"/>
  <c r="AH46" i="12"/>
  <c r="AG46" i="12"/>
  <c r="AF46" i="12"/>
  <c r="N46" i="12"/>
  <c r="O46" i="12" s="1"/>
  <c r="P46" i="12"/>
  <c r="V46" i="12"/>
  <c r="K46" i="12"/>
  <c r="W46" i="12"/>
  <c r="Y46" i="12"/>
  <c r="L46" i="12"/>
  <c r="AE46" i="12"/>
  <c r="AD46" i="12"/>
  <c r="F47" i="12"/>
  <c r="H47" i="12"/>
  <c r="D46" i="12"/>
  <c r="E46" i="12" s="1"/>
  <c r="C46" i="12"/>
  <c r="B47" i="12" s="1"/>
  <c r="G47" i="12"/>
  <c r="I47" i="12"/>
  <c r="L46" i="11" l="1"/>
  <c r="F46" i="11"/>
  <c r="D45" i="11"/>
  <c r="E45" i="11" s="1"/>
  <c r="C45" i="11"/>
  <c r="B46" i="11" s="1"/>
  <c r="G46" i="11"/>
  <c r="I46" i="11"/>
  <c r="H46" i="11"/>
  <c r="AJ47" i="12"/>
  <c r="AK47" i="12" s="1"/>
  <c r="N47" i="12"/>
  <c r="AD47" i="12"/>
  <c r="AE47" i="12" s="1"/>
  <c r="T47" i="12"/>
  <c r="O47" i="12"/>
  <c r="P47" i="12"/>
  <c r="AA47" i="12"/>
  <c r="AH47" i="12"/>
  <c r="AI47" i="12" s="1"/>
  <c r="K47" i="12"/>
  <c r="Z47" i="12"/>
  <c r="AC47" i="12"/>
  <c r="U47" i="12"/>
  <c r="L47" i="12"/>
  <c r="X47" i="12"/>
  <c r="Y47" i="12" s="1"/>
  <c r="J48" i="12"/>
  <c r="AF47" i="12"/>
  <c r="AG47" i="12" s="1"/>
  <c r="Q47" i="12"/>
  <c r="AB47" i="12"/>
  <c r="V47" i="12"/>
  <c r="W47" i="12" s="1"/>
  <c r="R47" i="12"/>
  <c r="S47" i="12" s="1"/>
  <c r="F48" i="12"/>
  <c r="H48" i="12"/>
  <c r="I48" i="12"/>
  <c r="C47" i="12"/>
  <c r="B48" i="12" s="1"/>
  <c r="D47" i="12"/>
  <c r="E47" i="12" s="1"/>
  <c r="G48" i="12"/>
  <c r="F47" i="11" l="1"/>
  <c r="H47" i="11"/>
  <c r="G47" i="11"/>
  <c r="I47" i="11"/>
  <c r="L47" i="11"/>
  <c r="C46" i="11"/>
  <c r="B47" i="11" s="1"/>
  <c r="D46" i="11"/>
  <c r="E46" i="11" s="1"/>
  <c r="AI48" i="12"/>
  <c r="AH48" i="12"/>
  <c r="J49" i="12"/>
  <c r="Y48" i="12"/>
  <c r="AG48" i="12"/>
  <c r="AJ48" i="12"/>
  <c r="T48" i="12"/>
  <c r="X48" i="12"/>
  <c r="Z48" i="12"/>
  <c r="AA48" i="12" s="1"/>
  <c r="N48" i="12"/>
  <c r="R48" i="12"/>
  <c r="S48" i="12" s="1"/>
  <c r="AD48" i="12"/>
  <c r="AE48" i="12"/>
  <c r="U48" i="12"/>
  <c r="W48" i="12"/>
  <c r="Q48" i="12"/>
  <c r="L48" i="12"/>
  <c r="AF48" i="12"/>
  <c r="AB48" i="12"/>
  <c r="V48" i="12"/>
  <c r="K48" i="12"/>
  <c r="P48" i="12"/>
  <c r="AC48" i="12"/>
  <c r="O48" i="12"/>
  <c r="AK48" i="12"/>
  <c r="H49" i="12"/>
  <c r="D48" i="12"/>
  <c r="E48" i="12" s="1"/>
  <c r="G49" i="12"/>
  <c r="C48" i="12"/>
  <c r="B49" i="12" s="1"/>
  <c r="F49" i="12"/>
  <c r="I49" i="12"/>
  <c r="D47" i="11" l="1"/>
  <c r="E47" i="11" s="1"/>
  <c r="I48" i="11"/>
  <c r="F48" i="11"/>
  <c r="G48" i="11"/>
  <c r="C47" i="11"/>
  <c r="B48" i="11" s="1"/>
  <c r="H48" i="11"/>
  <c r="L48" i="11"/>
  <c r="I50" i="12"/>
  <c r="F50" i="12"/>
  <c r="H50" i="12"/>
  <c r="C49" i="12"/>
  <c r="B50" i="12" s="1"/>
  <c r="D49" i="12"/>
  <c r="E49" i="12" s="1"/>
  <c r="G50" i="12"/>
  <c r="K49" i="12"/>
  <c r="AD49" i="12"/>
  <c r="AE49" i="12" s="1"/>
  <c r="N49" i="12"/>
  <c r="O49" i="12" s="1"/>
  <c r="AF49" i="12"/>
  <c r="AH49" i="12"/>
  <c r="X49" i="12"/>
  <c r="Y49" i="12" s="1"/>
  <c r="AG49" i="12"/>
  <c r="AI49" i="12"/>
  <c r="P49" i="12"/>
  <c r="Q49" i="12" s="1"/>
  <c r="R49" i="12"/>
  <c r="U49" i="12"/>
  <c r="AJ49" i="12"/>
  <c r="AA49" i="12"/>
  <c r="AK49" i="12"/>
  <c r="L49" i="12"/>
  <c r="T49" i="12"/>
  <c r="J50" i="12"/>
  <c r="Z49" i="12"/>
  <c r="V49" i="12"/>
  <c r="S49" i="12"/>
  <c r="W49" i="12"/>
  <c r="AB49" i="12"/>
  <c r="AC49" i="12" s="1"/>
  <c r="G49" i="11" l="1"/>
  <c r="D48" i="11"/>
  <c r="E48" i="11" s="1"/>
  <c r="I49" i="11"/>
  <c r="L49" i="11"/>
  <c r="H49" i="11"/>
  <c r="F49" i="11"/>
  <c r="C48" i="11"/>
  <c r="B49" i="11" s="1"/>
  <c r="AB50" i="12"/>
  <c r="AK50" i="12"/>
  <c r="AD50" i="12"/>
  <c r="K50" i="12"/>
  <c r="X50" i="12"/>
  <c r="U50" i="12"/>
  <c r="J51" i="12"/>
  <c r="L50" i="12"/>
  <c r="AG50" i="12"/>
  <c r="AA50" i="12"/>
  <c r="W50" i="12"/>
  <c r="O50" i="12"/>
  <c r="T50" i="12"/>
  <c r="AC50" i="12"/>
  <c r="AJ50" i="12"/>
  <c r="AF50" i="12"/>
  <c r="V50" i="12"/>
  <c r="S50" i="12"/>
  <c r="N50" i="12"/>
  <c r="Z50" i="12"/>
  <c r="R50" i="12"/>
  <c r="AH50" i="12"/>
  <c r="P50" i="12"/>
  <c r="Y50" i="12"/>
  <c r="AE50" i="12"/>
  <c r="Q50" i="12"/>
  <c r="AI50" i="12"/>
  <c r="H51" i="12"/>
  <c r="E51" i="12"/>
  <c r="G51" i="12"/>
  <c r="F51" i="12"/>
  <c r="I51" i="12"/>
  <c r="D50" i="12"/>
  <c r="E50" i="12" s="1"/>
  <c r="C50" i="12"/>
  <c r="B51" i="12" s="1"/>
  <c r="E14" i="12"/>
  <c r="E15" i="12"/>
  <c r="E18" i="12"/>
  <c r="N11" i="12"/>
  <c r="O11" i="12" s="1"/>
  <c r="E11" i="12"/>
  <c r="E12" i="12"/>
  <c r="E9" i="12"/>
  <c r="E10" i="12"/>
  <c r="D49" i="11" l="1"/>
  <c r="E49" i="11" s="1"/>
  <c r="H50" i="11"/>
  <c r="G50" i="11"/>
  <c r="L50" i="11"/>
  <c r="F50" i="11"/>
  <c r="C49" i="11"/>
  <c r="B50" i="11" s="1"/>
  <c r="I50" i="11"/>
  <c r="Q51" i="12"/>
  <c r="AG51" i="12"/>
  <c r="T51" i="12"/>
  <c r="AK51" i="12"/>
  <c r="L51" i="12"/>
  <c r="Z51" i="12"/>
  <c r="N51" i="12"/>
  <c r="AH51" i="12"/>
  <c r="AJ51" i="12"/>
  <c r="O51" i="12"/>
  <c r="P51" i="12"/>
  <c r="K51" i="12"/>
  <c r="W51" i="12" s="1"/>
  <c r="AB51" i="12"/>
  <c r="V51" i="12"/>
  <c r="AA51" i="12"/>
  <c r="AD51" i="12"/>
  <c r="J52" i="12"/>
  <c r="AC51" i="12"/>
  <c r="AE51" i="12"/>
  <c r="X51" i="12"/>
  <c r="S51" i="12"/>
  <c r="Y51" i="12"/>
  <c r="U51" i="12"/>
  <c r="AF51" i="12"/>
  <c r="R51" i="12"/>
  <c r="AI51" i="12"/>
  <c r="D51" i="12"/>
  <c r="H52" i="12"/>
  <c r="I52" i="12"/>
  <c r="F52" i="12"/>
  <c r="C51" i="12"/>
  <c r="B52" i="12" s="1"/>
  <c r="G52" i="12"/>
  <c r="P11" i="12"/>
  <c r="Q11" i="12" s="1"/>
  <c r="G51" i="11" l="1"/>
  <c r="D50" i="11"/>
  <c r="E50" i="11" s="1"/>
  <c r="H51" i="11"/>
  <c r="I51" i="11"/>
  <c r="F51" i="11"/>
  <c r="C50" i="11"/>
  <c r="B51" i="11" s="1"/>
  <c r="L51" i="11"/>
  <c r="I53" i="12"/>
  <c r="F53" i="12"/>
  <c r="H53" i="12"/>
  <c r="C52" i="12"/>
  <c r="B53" i="12" s="1"/>
  <c r="G53" i="12"/>
  <c r="D52" i="12"/>
  <c r="E52" i="12" s="1"/>
  <c r="U52" i="12"/>
  <c r="AA52" i="12"/>
  <c r="O52" i="12"/>
  <c r="S52" i="12"/>
  <c r="N52" i="12"/>
  <c r="V52" i="12"/>
  <c r="AJ52" i="12"/>
  <c r="W52" i="12"/>
  <c r="AK52" i="12"/>
  <c r="AG52" i="12"/>
  <c r="L52" i="12"/>
  <c r="J53" i="12"/>
  <c r="Y52" i="12"/>
  <c r="AH52" i="12"/>
  <c r="T52" i="12"/>
  <c r="Q52" i="12"/>
  <c r="AI52" i="12"/>
  <c r="AF52" i="12"/>
  <c r="P52" i="12"/>
  <c r="K52" i="12"/>
  <c r="AE52" i="12" s="1"/>
  <c r="AD52" i="12"/>
  <c r="Z52" i="12"/>
  <c r="R52" i="12"/>
  <c r="AC52" i="12"/>
  <c r="X52" i="12"/>
  <c r="AB52" i="12"/>
  <c r="R11" i="12"/>
  <c r="S11" i="12" s="1"/>
  <c r="G52" i="11" l="1"/>
  <c r="H52" i="11"/>
  <c r="I52" i="11"/>
  <c r="D51" i="11"/>
  <c r="E51" i="11" s="1"/>
  <c r="L52" i="11"/>
  <c r="F52" i="11"/>
  <c r="C51" i="11"/>
  <c r="B52" i="11" s="1"/>
  <c r="H54" i="12"/>
  <c r="D53" i="12"/>
  <c r="E53" i="12" s="1"/>
  <c r="I54" i="12"/>
  <c r="F54" i="12"/>
  <c r="C53" i="12"/>
  <c r="B54" i="12" s="1"/>
  <c r="G54" i="12"/>
  <c r="V53" i="12"/>
  <c r="U53" i="12"/>
  <c r="AC53" i="12"/>
  <c r="Y53" i="12"/>
  <c r="Z53" i="12"/>
  <c r="AF53" i="12"/>
  <c r="AI53" i="12"/>
  <c r="AE53" i="12"/>
  <c r="AK53" i="12"/>
  <c r="AJ53" i="12"/>
  <c r="J54" i="12"/>
  <c r="P53" i="12"/>
  <c r="AH53" i="12"/>
  <c r="L53" i="12"/>
  <c r="AG53" i="12"/>
  <c r="S53" i="12"/>
  <c r="X53" i="12"/>
  <c r="R53" i="12"/>
  <c r="Q53" i="12"/>
  <c r="W53" i="12"/>
  <c r="AD53" i="12"/>
  <c r="N53" i="12"/>
  <c r="O53" i="12" s="1"/>
  <c r="T53" i="12"/>
  <c r="K53" i="12"/>
  <c r="AA53" i="12" s="1"/>
  <c r="AB53" i="12"/>
  <c r="P10" i="12"/>
  <c r="R10" i="12" s="1"/>
  <c r="T10" i="12" s="1"/>
  <c r="V10" i="12" s="1"/>
  <c r="N14" i="12"/>
  <c r="N15" i="12" s="1"/>
  <c r="O15" i="12" s="1"/>
  <c r="T11" i="12"/>
  <c r="U11" i="12" s="1"/>
  <c r="H53" i="11" l="1"/>
  <c r="G53" i="11"/>
  <c r="D52" i="11"/>
  <c r="E52" i="11" s="1"/>
  <c r="F53" i="11"/>
  <c r="L53" i="11"/>
  <c r="I53" i="11"/>
  <c r="C52" i="11"/>
  <c r="B53" i="11" s="1"/>
  <c r="H55" i="12"/>
  <c r="G55" i="12"/>
  <c r="C54" i="12"/>
  <c r="B55" i="12" s="1"/>
  <c r="D54" i="12"/>
  <c r="E54" i="12" s="1"/>
  <c r="F55" i="12"/>
  <c r="I55" i="12"/>
  <c r="R54" i="12"/>
  <c r="AI54" i="12"/>
  <c r="Z54" i="12"/>
  <c r="AB54" i="12"/>
  <c r="V54" i="12"/>
  <c r="O54" i="12"/>
  <c r="AE54" i="12"/>
  <c r="Y54" i="12"/>
  <c r="AA54" i="12"/>
  <c r="AJ54" i="12"/>
  <c r="N54" i="12"/>
  <c r="J55" i="12"/>
  <c r="P54" i="12"/>
  <c r="AH54" i="12"/>
  <c r="AK54" i="12"/>
  <c r="S54" i="12"/>
  <c r="K54" i="12"/>
  <c r="T54" i="12"/>
  <c r="Q54" i="12"/>
  <c r="AC54" i="12"/>
  <c r="X54" i="12"/>
  <c r="U54" i="12"/>
  <c r="AF54" i="12"/>
  <c r="L54" i="12"/>
  <c r="AG54" i="12"/>
  <c r="AD54" i="12"/>
  <c r="W54" i="12"/>
  <c r="O14" i="12"/>
  <c r="N12" i="12"/>
  <c r="Q10" i="12"/>
  <c r="N18" i="12"/>
  <c r="N19" i="12" s="1"/>
  <c r="O19" i="12" s="1"/>
  <c r="X10" i="12"/>
  <c r="V11" i="12"/>
  <c r="W11" i="12" s="1"/>
  <c r="P14" i="12"/>
  <c r="P15" i="12" s="1"/>
  <c r="Q15" i="12" s="1"/>
  <c r="R14" i="12"/>
  <c r="S14" i="12" s="1"/>
  <c r="W10" i="12"/>
  <c r="I54" i="11" l="1"/>
  <c r="D53" i="11"/>
  <c r="E53" i="11" s="1"/>
  <c r="G54" i="11"/>
  <c r="F54" i="11"/>
  <c r="H54" i="11"/>
  <c r="C53" i="11"/>
  <c r="B54" i="11" s="1"/>
  <c r="L54" i="11"/>
  <c r="H56" i="12"/>
  <c r="F56" i="12"/>
  <c r="I56" i="12"/>
  <c r="D55" i="12"/>
  <c r="E55" i="12" s="1"/>
  <c r="G56" i="12"/>
  <c r="C55" i="12"/>
  <c r="B56" i="12" s="1"/>
  <c r="AA55" i="12"/>
  <c r="AF55" i="12"/>
  <c r="K55" i="12"/>
  <c r="S55" i="12" s="1"/>
  <c r="W55" i="12"/>
  <c r="T55" i="12"/>
  <c r="U55" i="12" s="1"/>
  <c r="AH55" i="12"/>
  <c r="AI55" i="12" s="1"/>
  <c r="AJ55" i="12"/>
  <c r="AK55" i="12" s="1"/>
  <c r="AB55" i="12"/>
  <c r="AC55" i="12" s="1"/>
  <c r="Y55" i="12"/>
  <c r="R55" i="12"/>
  <c r="P55" i="12"/>
  <c r="AG55" i="12"/>
  <c r="AE55" i="12"/>
  <c r="Z55" i="12"/>
  <c r="Q55" i="12"/>
  <c r="J56" i="12"/>
  <c r="AD55" i="12"/>
  <c r="L55" i="12"/>
  <c r="X55" i="12"/>
  <c r="N55" i="12"/>
  <c r="O55" i="12" s="1"/>
  <c r="V55" i="12"/>
  <c r="O18" i="12"/>
  <c r="Q14" i="12"/>
  <c r="N13" i="12"/>
  <c r="O13" i="12" s="1"/>
  <c r="O12" i="12"/>
  <c r="S10" i="12"/>
  <c r="P12" i="12"/>
  <c r="P13" i="12" s="1"/>
  <c r="Q13" i="12" s="1"/>
  <c r="R15" i="12"/>
  <c r="S15" i="12" s="1"/>
  <c r="P18" i="12"/>
  <c r="P19" i="12" s="1"/>
  <c r="Q19" i="12" s="1"/>
  <c r="Z10" i="12"/>
  <c r="X11" i="12"/>
  <c r="Y11" i="12" s="1"/>
  <c r="Y10" i="12"/>
  <c r="V12" i="12"/>
  <c r="G55" i="11" l="1"/>
  <c r="C54" i="11"/>
  <c r="B55" i="11" s="1"/>
  <c r="F55" i="11"/>
  <c r="D54" i="11"/>
  <c r="E54" i="11" s="1"/>
  <c r="H55" i="11"/>
  <c r="I55" i="11"/>
  <c r="L55" i="11"/>
  <c r="D56" i="12"/>
  <c r="E56" i="12" s="1"/>
  <c r="G57" i="12"/>
  <c r="F57" i="12"/>
  <c r="I57" i="12"/>
  <c r="H57" i="12"/>
  <c r="C56" i="12"/>
  <c r="B57" i="12" s="1"/>
  <c r="AI56" i="12"/>
  <c r="Y56" i="12"/>
  <c r="U56" i="12"/>
  <c r="Z56" i="12"/>
  <c r="AD56" i="12"/>
  <c r="J57" i="12"/>
  <c r="AC56" i="12"/>
  <c r="K56" i="12"/>
  <c r="S56" i="12"/>
  <c r="AH56" i="12"/>
  <c r="AE56" i="12"/>
  <c r="X56" i="12"/>
  <c r="T56" i="12"/>
  <c r="AF56" i="12"/>
  <c r="V56" i="12"/>
  <c r="W56" i="12" s="1"/>
  <c r="N56" i="12"/>
  <c r="AB56" i="12"/>
  <c r="AK56" i="12"/>
  <c r="AJ56" i="12"/>
  <c r="P56" i="12"/>
  <c r="Q56" i="12"/>
  <c r="O56" i="12"/>
  <c r="R56" i="12"/>
  <c r="L56" i="12"/>
  <c r="AG56" i="12"/>
  <c r="AA56" i="12"/>
  <c r="Q18" i="12"/>
  <c r="Q12" i="12"/>
  <c r="U10" i="12"/>
  <c r="R12" i="12"/>
  <c r="R13" i="12" s="1"/>
  <c r="S13" i="12" s="1"/>
  <c r="W12" i="12"/>
  <c r="R18" i="12"/>
  <c r="R19" i="12" s="1"/>
  <c r="S19" i="12" s="1"/>
  <c r="T14" i="12"/>
  <c r="T15" i="12" s="1"/>
  <c r="U15" i="12" s="1"/>
  <c r="T18" i="12" s="1"/>
  <c r="T19" i="12" s="1"/>
  <c r="V14" i="12"/>
  <c r="AB10" i="12"/>
  <c r="Z11" i="12"/>
  <c r="AA11" i="12" s="1"/>
  <c r="AA10" i="12"/>
  <c r="X12" i="12"/>
  <c r="I56" i="11" l="1"/>
  <c r="G56" i="11"/>
  <c r="D55" i="11"/>
  <c r="E55" i="11" s="1"/>
  <c r="H56" i="11"/>
  <c r="C55" i="11"/>
  <c r="B56" i="11" s="1"/>
  <c r="L56" i="11"/>
  <c r="F56" i="11"/>
  <c r="C57" i="12"/>
  <c r="B58" i="12" s="1"/>
  <c r="H58" i="12"/>
  <c r="G58" i="12"/>
  <c r="I58" i="12"/>
  <c r="F58" i="12"/>
  <c r="D57" i="12"/>
  <c r="E57" i="12" s="1"/>
  <c r="W57" i="12"/>
  <c r="AJ57" i="12"/>
  <c r="AI57" i="12"/>
  <c r="AG57" i="12"/>
  <c r="L57" i="12"/>
  <c r="AD57" i="12"/>
  <c r="AC57" i="12"/>
  <c r="AA57" i="12"/>
  <c r="AB57" i="12"/>
  <c r="Z57" i="12"/>
  <c r="P57" i="12"/>
  <c r="K57" i="12"/>
  <c r="AE57" i="12"/>
  <c r="AF57" i="12"/>
  <c r="V57" i="12"/>
  <c r="AH57" i="12"/>
  <c r="AK57" i="12"/>
  <c r="S57" i="12"/>
  <c r="R57" i="12"/>
  <c r="N57" i="12"/>
  <c r="Q57" i="12"/>
  <c r="O57" i="12"/>
  <c r="J58" i="12"/>
  <c r="X57" i="12"/>
  <c r="Y57" i="12" s="1"/>
  <c r="T57" i="12"/>
  <c r="U57" i="12" s="1"/>
  <c r="P26" i="12"/>
  <c r="Q26" i="12" s="1"/>
  <c r="W14" i="12"/>
  <c r="U18" i="12"/>
  <c r="S18" i="12"/>
  <c r="U14" i="12"/>
  <c r="S12" i="12"/>
  <c r="T12" i="12"/>
  <c r="T13" i="12" s="1"/>
  <c r="U13" i="12" s="1"/>
  <c r="V15" i="12"/>
  <c r="W15" i="12" s="1"/>
  <c r="U19" i="12"/>
  <c r="V18" i="12"/>
  <c r="V19" i="12" s="1"/>
  <c r="AD10" i="12"/>
  <c r="AB11" i="12"/>
  <c r="AC11" i="12" s="1"/>
  <c r="Y12" i="12"/>
  <c r="AC10" i="12"/>
  <c r="Z12" i="12"/>
  <c r="AA12" i="12" s="1"/>
  <c r="G57" i="11" l="1"/>
  <c r="C56" i="11"/>
  <c r="B57" i="11" s="1"/>
  <c r="D56" i="11"/>
  <c r="E56" i="11" s="1"/>
  <c r="L57" i="11"/>
  <c r="H57" i="11"/>
  <c r="I57" i="11"/>
  <c r="F57" i="11"/>
  <c r="X58" i="12"/>
  <c r="Y58" i="12" s="1"/>
  <c r="R58" i="12"/>
  <c r="AB58" i="12"/>
  <c r="AC58" i="12" s="1"/>
  <c r="T58" i="12"/>
  <c r="L58" i="12"/>
  <c r="AH58" i="12"/>
  <c r="O58" i="12"/>
  <c r="J59" i="12"/>
  <c r="P58" i="12"/>
  <c r="V58" i="12"/>
  <c r="W58" i="12" s="1"/>
  <c r="AK58" i="12"/>
  <c r="U58" i="12"/>
  <c r="Q58" i="12"/>
  <c r="AF58" i="12"/>
  <c r="AG58" i="12" s="1"/>
  <c r="AA58" i="12"/>
  <c r="S58" i="12"/>
  <c r="AI58" i="12"/>
  <c r="K58" i="12"/>
  <c r="N58" i="12"/>
  <c r="AJ58" i="12"/>
  <c r="AD58" i="12"/>
  <c r="AE58" i="12" s="1"/>
  <c r="Z58" i="12"/>
  <c r="G59" i="12"/>
  <c r="I59" i="12"/>
  <c r="D58" i="12"/>
  <c r="E58" i="12" s="1"/>
  <c r="C58" i="12"/>
  <c r="B59" i="12" s="1"/>
  <c r="H59" i="12"/>
  <c r="F59" i="12"/>
  <c r="W19" i="12"/>
  <c r="R26" i="12"/>
  <c r="W18" i="12"/>
  <c r="U12" i="12"/>
  <c r="V13" i="12"/>
  <c r="W13" i="12" s="1"/>
  <c r="X14" i="12"/>
  <c r="X15" i="12" s="1"/>
  <c r="Y15" i="12" s="1"/>
  <c r="X18" i="12" s="1"/>
  <c r="X19" i="12" s="1"/>
  <c r="Y19" i="12" s="1"/>
  <c r="AF10" i="12"/>
  <c r="AD11" i="12"/>
  <c r="AE11" i="12" s="1"/>
  <c r="Z14" i="12"/>
  <c r="AA14" i="12" s="1"/>
  <c r="AE10" i="12"/>
  <c r="AB12" i="12"/>
  <c r="D57" i="11" l="1"/>
  <c r="E57" i="11" s="1"/>
  <c r="F58" i="11"/>
  <c r="C57" i="11"/>
  <c r="B58" i="11" s="1"/>
  <c r="I58" i="11"/>
  <c r="H58" i="11"/>
  <c r="G58" i="11"/>
  <c r="L58" i="11"/>
  <c r="K59" i="12"/>
  <c r="V59" i="12"/>
  <c r="AE59" i="12"/>
  <c r="Z59" i="12"/>
  <c r="S59" i="12"/>
  <c r="Y59" i="12"/>
  <c r="J60" i="12"/>
  <c r="Q59" i="12"/>
  <c r="AI59" i="12"/>
  <c r="AD59" i="12"/>
  <c r="AC59" i="12"/>
  <c r="T59" i="12"/>
  <c r="P59" i="12"/>
  <c r="AJ59" i="12"/>
  <c r="AK59" i="12"/>
  <c r="AG59" i="12"/>
  <c r="L59" i="12"/>
  <c r="U59" i="12"/>
  <c r="R59" i="12"/>
  <c r="X59" i="12"/>
  <c r="AH59" i="12"/>
  <c r="AA59" i="12"/>
  <c r="AB59" i="12"/>
  <c r="W59" i="12"/>
  <c r="AF59" i="12"/>
  <c r="N59" i="12"/>
  <c r="O59" i="12"/>
  <c r="G60" i="12"/>
  <c r="I60" i="12"/>
  <c r="C59" i="12"/>
  <c r="B60" i="12" s="1"/>
  <c r="D59" i="12"/>
  <c r="E59" i="12" s="1"/>
  <c r="H60" i="12"/>
  <c r="F60" i="12"/>
  <c r="T26" i="12"/>
  <c r="U26" i="12" s="1"/>
  <c r="S26" i="12"/>
  <c r="V26" i="12"/>
  <c r="W26" i="12" s="1"/>
  <c r="Y14" i="12"/>
  <c r="X13" i="12"/>
  <c r="Y13" i="12" s="1"/>
  <c r="Z15" i="12"/>
  <c r="AA15" i="12" s="1"/>
  <c r="Z18" i="12" s="1"/>
  <c r="Z19" i="12" s="1"/>
  <c r="AA19" i="12" s="1"/>
  <c r="Y18" i="12"/>
  <c r="AC12" i="12"/>
  <c r="AH10" i="12"/>
  <c r="AF11" i="12"/>
  <c r="AG11" i="12" s="1"/>
  <c r="AG10" i="12"/>
  <c r="AD12" i="12"/>
  <c r="L59" i="11" l="1"/>
  <c r="D58" i="11"/>
  <c r="E58" i="11" s="1"/>
  <c r="F59" i="11"/>
  <c r="G59" i="11"/>
  <c r="H59" i="11"/>
  <c r="C58" i="11"/>
  <c r="B59" i="11" s="1"/>
  <c r="I59" i="11"/>
  <c r="AE60" i="12"/>
  <c r="AH60" i="12"/>
  <c r="S60" i="12"/>
  <c r="L60" i="12"/>
  <c r="U60" i="12"/>
  <c r="AD60" i="12"/>
  <c r="W60" i="12"/>
  <c r="V60" i="12"/>
  <c r="AJ60" i="12"/>
  <c r="AG60" i="12"/>
  <c r="Y60" i="12"/>
  <c r="AA60" i="12" s="1"/>
  <c r="T60" i="12"/>
  <c r="AI60" i="12"/>
  <c r="N60" i="12"/>
  <c r="AC60" i="12"/>
  <c r="O60" i="12"/>
  <c r="AF60" i="12"/>
  <c r="R60" i="12"/>
  <c r="K60" i="12"/>
  <c r="Q60" i="12"/>
  <c r="P60" i="12"/>
  <c r="AB60" i="12"/>
  <c r="X60" i="12"/>
  <c r="J61" i="12"/>
  <c r="Z60" i="12"/>
  <c r="AK60" i="12"/>
  <c r="C60" i="12"/>
  <c r="B61" i="12" s="1"/>
  <c r="D60" i="12"/>
  <c r="E60" i="12" s="1"/>
  <c r="G61" i="12"/>
  <c r="I61" i="12"/>
  <c r="H61" i="12"/>
  <c r="F61" i="12"/>
  <c r="AB14" i="12"/>
  <c r="AB15" i="12" s="1"/>
  <c r="AC15" i="12" s="1"/>
  <c r="X26" i="12"/>
  <c r="Y26" i="12" s="1"/>
  <c r="AA18" i="12"/>
  <c r="Z13" i="12"/>
  <c r="AA13" i="12" s="1"/>
  <c r="AB13" i="12"/>
  <c r="AC13" i="12" s="1"/>
  <c r="AE12" i="12"/>
  <c r="AD14" i="12"/>
  <c r="AD15" i="12" s="1"/>
  <c r="AE15" i="12" s="1"/>
  <c r="AB18" i="12"/>
  <c r="AB19" i="12" s="1"/>
  <c r="AC19" i="12" s="1"/>
  <c r="AJ10" i="12"/>
  <c r="AH11" i="12"/>
  <c r="AI11" i="12" s="1"/>
  <c r="AI10" i="12"/>
  <c r="AF12" i="12"/>
  <c r="L60" i="11" l="1"/>
  <c r="F60" i="11"/>
  <c r="I60" i="11"/>
  <c r="D59" i="11"/>
  <c r="E59" i="11" s="1"/>
  <c r="G60" i="11"/>
  <c r="H60" i="11"/>
  <c r="C59" i="11"/>
  <c r="B60" i="11" s="1"/>
  <c r="AK61" i="12"/>
  <c r="O61" i="12"/>
  <c r="AJ61" i="12"/>
  <c r="N61" i="12"/>
  <c r="AA61" i="12"/>
  <c r="AI61" i="12"/>
  <c r="AE61" i="12"/>
  <c r="Y61" i="12"/>
  <c r="P61" i="12"/>
  <c r="R61" i="12" s="1"/>
  <c r="Q61" i="12"/>
  <c r="AC61" i="12"/>
  <c r="J62" i="12"/>
  <c r="T61" i="12"/>
  <c r="AD61" i="12"/>
  <c r="AG61" i="12"/>
  <c r="W61" i="12"/>
  <c r="X61" i="12"/>
  <c r="K61" i="12"/>
  <c r="L61" i="12"/>
  <c r="U61" i="12"/>
  <c r="S61" i="12"/>
  <c r="AF61" i="12"/>
  <c r="AH61" i="12" s="1"/>
  <c r="Z61" i="12"/>
  <c r="V61" i="12"/>
  <c r="AB61" i="12"/>
  <c r="H62" i="12"/>
  <c r="G62" i="12"/>
  <c r="D61" i="12"/>
  <c r="E61" i="12" s="1"/>
  <c r="C61" i="12"/>
  <c r="B62" i="12" s="1"/>
  <c r="I62" i="12"/>
  <c r="F62" i="12"/>
  <c r="AC14" i="12"/>
  <c r="Z26" i="12"/>
  <c r="AA26" i="12" s="1"/>
  <c r="AE14" i="12"/>
  <c r="AC18" i="12"/>
  <c r="AB26" i="12" s="1"/>
  <c r="AD13" i="12"/>
  <c r="AE13" i="12" s="1"/>
  <c r="AJ11" i="12"/>
  <c r="AK11" i="12" s="1"/>
  <c r="AD18" i="12"/>
  <c r="AD19" i="12" s="1"/>
  <c r="AE19" i="12" s="1"/>
  <c r="AG12" i="12"/>
  <c r="AK10" i="12"/>
  <c r="AH12" i="12"/>
  <c r="L61" i="11" l="1"/>
  <c r="G61" i="11"/>
  <c r="C60" i="11"/>
  <c r="B61" i="11" s="1"/>
  <c r="D60" i="11"/>
  <c r="E60" i="11" s="1"/>
  <c r="I61" i="11"/>
  <c r="H61" i="11"/>
  <c r="F61" i="11"/>
  <c r="H63" i="12"/>
  <c r="D62" i="12"/>
  <c r="E62" i="12" s="1"/>
  <c r="I63" i="12"/>
  <c r="G63" i="12"/>
  <c r="C62" i="12"/>
  <c r="B63" i="12" s="1"/>
  <c r="F63" i="12"/>
  <c r="O62" i="12"/>
  <c r="AK62" i="12"/>
  <c r="AG62" i="12"/>
  <c r="AD62" i="12"/>
  <c r="K62" i="12"/>
  <c r="AE62" i="12" s="1"/>
  <c r="AH62" i="12"/>
  <c r="Z62" i="12"/>
  <c r="V62" i="12"/>
  <c r="W62" i="12" s="1"/>
  <c r="X62" i="12"/>
  <c r="Y62" i="12" s="1"/>
  <c r="L62" i="12"/>
  <c r="Q62" i="12"/>
  <c r="U62" i="12"/>
  <c r="AB62" i="12"/>
  <c r="J63" i="12"/>
  <c r="AF62" i="12"/>
  <c r="R62" i="12"/>
  <c r="AJ62" i="12"/>
  <c r="AI62" i="12"/>
  <c r="N62" i="12"/>
  <c r="AA62" i="12"/>
  <c r="P62" i="12"/>
  <c r="S62" i="12"/>
  <c r="AC62" i="12"/>
  <c r="T62" i="12"/>
  <c r="E32" i="12"/>
  <c r="E33" i="12"/>
  <c r="E26" i="12"/>
  <c r="E29" i="12"/>
  <c r="AC26" i="12"/>
  <c r="AE18" i="12"/>
  <c r="AD26" i="12" s="1"/>
  <c r="AF13" i="12"/>
  <c r="AG13" i="12" s="1"/>
  <c r="AI12" i="12"/>
  <c r="AF14" i="12"/>
  <c r="AJ12" i="12"/>
  <c r="AK12" i="12" s="1"/>
  <c r="H62" i="11" l="1"/>
  <c r="I62" i="11"/>
  <c r="F62" i="11"/>
  <c r="G62" i="11"/>
  <c r="L62" i="11"/>
  <c r="C61" i="11"/>
  <c r="B62" i="11" s="1"/>
  <c r="D61" i="11"/>
  <c r="E61" i="11" s="1"/>
  <c r="F64" i="12"/>
  <c r="C63" i="12"/>
  <c r="B64" i="12" s="1"/>
  <c r="D63" i="12"/>
  <c r="E63" i="12" s="1"/>
  <c r="G64" i="12"/>
  <c r="I64" i="12"/>
  <c r="H64" i="12"/>
  <c r="N63" i="12"/>
  <c r="V63" i="12"/>
  <c r="W63" i="12" s="1"/>
  <c r="AE63" i="12"/>
  <c r="AD63" i="12"/>
  <c r="AH63" i="12"/>
  <c r="AI63" i="12" s="1"/>
  <c r="AF63" i="12"/>
  <c r="S63" i="12"/>
  <c r="AB63" i="12"/>
  <c r="AC63" i="12" s="1"/>
  <c r="L63" i="12"/>
  <c r="T63" i="12"/>
  <c r="X63" i="12"/>
  <c r="Y63" i="12" s="1"/>
  <c r="Q63" i="12"/>
  <c r="AG63" i="12"/>
  <c r="U63" i="12"/>
  <c r="AA63" i="12"/>
  <c r="O63" i="12"/>
  <c r="J64" i="12"/>
  <c r="R63" i="12"/>
  <c r="AJ63" i="12"/>
  <c r="AK63" i="12" s="1"/>
  <c r="P63" i="12"/>
  <c r="K63" i="12"/>
  <c r="Z63" i="12"/>
  <c r="N26" i="12"/>
  <c r="N27" i="12" s="1"/>
  <c r="P27" i="12" s="1"/>
  <c r="R27" i="12" s="1"/>
  <c r="T27" i="12" s="1"/>
  <c r="V27" i="12" s="1"/>
  <c r="X27" i="12" s="1"/>
  <c r="Z27" i="12" s="1"/>
  <c r="AB27" i="12" s="1"/>
  <c r="AD27" i="12" s="1"/>
  <c r="AE26" i="12"/>
  <c r="AH13" i="12"/>
  <c r="AI13" i="12" s="1"/>
  <c r="AJ14" i="12"/>
  <c r="AH14" i="12"/>
  <c r="AG14" i="12"/>
  <c r="AF15" i="12"/>
  <c r="AG15" i="12" s="1"/>
  <c r="F63" i="11" l="1"/>
  <c r="G63" i="11"/>
  <c r="H63" i="11"/>
  <c r="C62" i="11"/>
  <c r="B63" i="11" s="1"/>
  <c r="D62" i="11"/>
  <c r="E62" i="11" s="1"/>
  <c r="L63" i="11"/>
  <c r="I63" i="11"/>
  <c r="U64" i="12"/>
  <c r="AF64" i="12"/>
  <c r="AG64" i="12" s="1"/>
  <c r="X64" i="12"/>
  <c r="Y64" i="12" s="1"/>
  <c r="V64" i="12"/>
  <c r="W64" i="12" s="1"/>
  <c r="T64" i="12"/>
  <c r="AB64" i="12"/>
  <c r="AC64" i="12" s="1"/>
  <c r="J65" i="12"/>
  <c r="Z64" i="12"/>
  <c r="AA64" i="12" s="1"/>
  <c r="AD64" i="12"/>
  <c r="P64" i="12"/>
  <c r="Q64" i="12" s="1"/>
  <c r="AE64" i="12"/>
  <c r="AH64" i="12"/>
  <c r="L64" i="12"/>
  <c r="AJ64" i="12"/>
  <c r="AK64" i="12"/>
  <c r="K64" i="12"/>
  <c r="N64" i="12"/>
  <c r="O64" i="12" s="1"/>
  <c r="AI64" i="12"/>
  <c r="R64" i="12"/>
  <c r="S64" i="12" s="1"/>
  <c r="I65" i="12"/>
  <c r="F65" i="12"/>
  <c r="H65" i="12"/>
  <c r="D64" i="12"/>
  <c r="E64" i="12" s="1"/>
  <c r="C64" i="12"/>
  <c r="B65" i="12" s="1"/>
  <c r="G65" i="12"/>
  <c r="O27" i="12"/>
  <c r="Q27" i="12" s="1"/>
  <c r="O26" i="12"/>
  <c r="AJ13" i="12"/>
  <c r="AK13" i="12" s="1"/>
  <c r="AK14" i="12"/>
  <c r="AF18" i="12"/>
  <c r="AF19" i="12" s="1"/>
  <c r="AG19" i="12" s="1"/>
  <c r="AI14" i="12"/>
  <c r="AH15" i="12"/>
  <c r="AI15" i="12" s="1"/>
  <c r="H64" i="11" l="1"/>
  <c r="I64" i="11"/>
  <c r="D63" i="11"/>
  <c r="E63" i="11" s="1"/>
  <c r="G64" i="11"/>
  <c r="C63" i="11"/>
  <c r="B64" i="11" s="1"/>
  <c r="L64" i="11"/>
  <c r="F64" i="11"/>
  <c r="V65" i="12"/>
  <c r="W65" i="12" s="1"/>
  <c r="P65" i="12"/>
  <c r="AJ65" i="12"/>
  <c r="S65" i="12"/>
  <c r="X65" i="12"/>
  <c r="Y65" i="12" s="1"/>
  <c r="Q65" i="12"/>
  <c r="N65" i="12"/>
  <c r="O65" i="12" s="1"/>
  <c r="R65" i="12"/>
  <c r="Z65" i="12"/>
  <c r="AF65" i="12"/>
  <c r="AD65" i="12"/>
  <c r="AH65" i="12"/>
  <c r="AI65" i="12" s="1"/>
  <c r="AE65" i="12"/>
  <c r="AB65" i="12"/>
  <c r="AC65" i="12" s="1"/>
  <c r="K65" i="12"/>
  <c r="AA65" i="12" s="1"/>
  <c r="AG65" i="12"/>
  <c r="AK65" i="12"/>
  <c r="J66" i="12"/>
  <c r="L65" i="12"/>
  <c r="T65" i="12"/>
  <c r="U65" i="12" s="1"/>
  <c r="I66" i="12"/>
  <c r="H66" i="12"/>
  <c r="D65" i="12"/>
  <c r="E65" i="12" s="1"/>
  <c r="E66" i="12"/>
  <c r="G66" i="12"/>
  <c r="C65" i="12"/>
  <c r="B66" i="12" s="1"/>
  <c r="F66" i="12"/>
  <c r="N29" i="12"/>
  <c r="S27" i="12"/>
  <c r="P29" i="12"/>
  <c r="Q29" i="12" s="1"/>
  <c r="AG18" i="12"/>
  <c r="AF26" i="12"/>
  <c r="AF27" i="12" s="1"/>
  <c r="AG27" i="12" s="1"/>
  <c r="AJ15" i="12"/>
  <c r="AK15" i="12" s="1"/>
  <c r="AH18" i="12"/>
  <c r="AH19" i="12" s="1"/>
  <c r="AI19" i="12" s="1"/>
  <c r="AJ18" i="12"/>
  <c r="AK18" i="12" s="1"/>
  <c r="L65" i="11" l="1"/>
  <c r="G65" i="11"/>
  <c r="C64" i="11"/>
  <c r="B65" i="11" s="1"/>
  <c r="F65" i="11"/>
  <c r="H65" i="11"/>
  <c r="D64" i="11"/>
  <c r="E64" i="11" s="1"/>
  <c r="I65" i="11"/>
  <c r="D66" i="12"/>
  <c r="G67" i="12"/>
  <c r="H67" i="12"/>
  <c r="F67" i="12"/>
  <c r="I67" i="12"/>
  <c r="C66" i="12"/>
  <c r="B67" i="12" s="1"/>
  <c r="AI66" i="12"/>
  <c r="O66" i="12"/>
  <c r="AC66" i="12"/>
  <c r="AE66" i="12"/>
  <c r="T66" i="12"/>
  <c r="AB66" i="12"/>
  <c r="W66" i="12"/>
  <c r="P66" i="12"/>
  <c r="AA66" i="12"/>
  <c r="Z66" i="12"/>
  <c r="AH66" i="12"/>
  <c r="AD66" i="12"/>
  <c r="AJ66" i="12"/>
  <c r="J67" i="12"/>
  <c r="V66" i="12"/>
  <c r="K66" i="12"/>
  <c r="L66" i="12"/>
  <c r="N66" i="12"/>
  <c r="U66" i="12"/>
  <c r="R66" i="12"/>
  <c r="S66" i="12" s="1"/>
  <c r="AK66" i="12"/>
  <c r="Q66" i="12"/>
  <c r="AF66" i="12"/>
  <c r="AG66" i="12" s="1"/>
  <c r="X66" i="12"/>
  <c r="Y66" i="12" s="1"/>
  <c r="U27" i="12"/>
  <c r="R29" i="12"/>
  <c r="S29" i="12" s="1"/>
  <c r="AF29" i="12"/>
  <c r="O29" i="12"/>
  <c r="N30" i="12"/>
  <c r="AG26" i="12"/>
  <c r="AI18" i="12"/>
  <c r="AJ19" i="12"/>
  <c r="AK19" i="12" s="1"/>
  <c r="AJ26" i="12" s="1"/>
  <c r="AJ27" i="12" s="1"/>
  <c r="H66" i="11" l="1"/>
  <c r="I66" i="11"/>
  <c r="G66" i="11"/>
  <c r="F66" i="11"/>
  <c r="L66" i="11"/>
  <c r="C65" i="11"/>
  <c r="B66" i="11" s="1"/>
  <c r="D65" i="11"/>
  <c r="E65" i="11" s="1"/>
  <c r="C67" i="12"/>
  <c r="B68" i="12" s="1"/>
  <c r="G68" i="12" a="1"/>
  <c r="G68" i="12" s="1"/>
  <c r="I68" i="12"/>
  <c r="D67" i="12"/>
  <c r="E67" i="12" s="1"/>
  <c r="F68" i="12"/>
  <c r="H68" i="12"/>
  <c r="AG67" i="12"/>
  <c r="AD67" i="12"/>
  <c r="AE67" i="12"/>
  <c r="V67" i="12"/>
  <c r="R67" i="12"/>
  <c r="AB67" i="12"/>
  <c r="N67" i="12"/>
  <c r="O67" i="12" s="1"/>
  <c r="Z67" i="12"/>
  <c r="W67" i="12"/>
  <c r="Y67" i="12"/>
  <c r="AF67" i="12"/>
  <c r="L67" i="12"/>
  <c r="AJ67" i="12"/>
  <c r="AC67" i="12"/>
  <c r="X67" i="12"/>
  <c r="Q67" i="12"/>
  <c r="AH67" i="12"/>
  <c r="K67" i="12"/>
  <c r="AA67" i="12" s="1"/>
  <c r="S67" i="12"/>
  <c r="P67" i="12"/>
  <c r="U67" i="12"/>
  <c r="T67" i="12"/>
  <c r="J68" i="12"/>
  <c r="L33" i="12" s="1"/>
  <c r="L34" i="12" s="1"/>
  <c r="AK67" i="12"/>
  <c r="AI67" i="12"/>
  <c r="L15" i="12"/>
  <c r="L25" i="12"/>
  <c r="AG29" i="12"/>
  <c r="P30" i="12"/>
  <c r="Q30" i="12" s="1"/>
  <c r="O30" i="12"/>
  <c r="R30" i="12"/>
  <c r="S30" i="12" s="1"/>
  <c r="W27" i="12"/>
  <c r="T29" i="12"/>
  <c r="T30" i="12" s="1"/>
  <c r="U30" i="12" s="1"/>
  <c r="AH26" i="12"/>
  <c r="AH27" i="12" s="1"/>
  <c r="AI27" i="12" s="1"/>
  <c r="AK27" i="12"/>
  <c r="AK26" i="12"/>
  <c r="L67" i="11" l="1"/>
  <c r="C66" i="11"/>
  <c r="B67" i="11" s="1"/>
  <c r="F67" i="11"/>
  <c r="H67" i="11"/>
  <c r="D66" i="11"/>
  <c r="E66" i="11" s="1"/>
  <c r="G67" i="11"/>
  <c r="I67" i="11"/>
  <c r="L21" i="12"/>
  <c r="L14" i="12"/>
  <c r="L9" i="12"/>
  <c r="L23" i="12"/>
  <c r="L28" i="12"/>
  <c r="L13" i="12"/>
  <c r="L16" i="12"/>
  <c r="L22" i="12"/>
  <c r="L17" i="12"/>
  <c r="L20" i="12"/>
  <c r="L8" i="12"/>
  <c r="L24" i="12"/>
  <c r="L30" i="12"/>
  <c r="L26" i="12"/>
  <c r="L32" i="12"/>
  <c r="K68" i="12"/>
  <c r="L12" i="12" s="1"/>
  <c r="T68" i="12"/>
  <c r="L68" i="12"/>
  <c r="X68" i="12"/>
  <c r="AB68" i="12"/>
  <c r="AC68" i="12" s="1"/>
  <c r="AA68" i="12"/>
  <c r="AJ68" i="12"/>
  <c r="AK68" i="12" s="1"/>
  <c r="Y68" i="12"/>
  <c r="R68" i="12"/>
  <c r="S68" i="12" s="1"/>
  <c r="AF68" i="12"/>
  <c r="N68" i="12"/>
  <c r="O68" i="12" s="1"/>
  <c r="V68" i="12"/>
  <c r="W68" i="12" s="1"/>
  <c r="Z68" i="12"/>
  <c r="AG68" i="12"/>
  <c r="AE68" i="12"/>
  <c r="U68" i="12"/>
  <c r="P68" i="12"/>
  <c r="Q68" i="12" s="1"/>
  <c r="AH68" i="12"/>
  <c r="AI68" i="12" s="1"/>
  <c r="AD68" i="12"/>
  <c r="L29" i="12"/>
  <c r="L19" i="12"/>
  <c r="L31" i="12"/>
  <c r="L11" i="12"/>
  <c r="L27" i="12"/>
  <c r="L10" i="12"/>
  <c r="N10" i="12" s="1"/>
  <c r="O10" i="12" s="1"/>
  <c r="L18" i="12"/>
  <c r="C68" i="12"/>
  <c r="D68" i="12"/>
  <c r="E68" i="12" s="1"/>
  <c r="N32" i="12"/>
  <c r="O32" i="12" s="1"/>
  <c r="P32" i="12"/>
  <c r="Q32" i="12" s="1"/>
  <c r="R32" i="12"/>
  <c r="S32" i="12" s="1"/>
  <c r="U29" i="12"/>
  <c r="AI26" i="12"/>
  <c r="AH29" i="12" s="1"/>
  <c r="AI29" i="12" s="1"/>
  <c r="Y27" i="12"/>
  <c r="V29" i="12"/>
  <c r="AJ29" i="12"/>
  <c r="AK29" i="12" s="1"/>
  <c r="E38" i="12" l="1"/>
  <c r="E39" i="12"/>
  <c r="L68" i="11"/>
  <c r="F68" i="11"/>
  <c r="G68" i="11"/>
  <c r="C67" i="11"/>
  <c r="B68" i="11" s="1"/>
  <c r="D67" i="11"/>
  <c r="E67" i="11" s="1"/>
  <c r="I68" i="11"/>
  <c r="H68" i="11"/>
  <c r="E36" i="12"/>
  <c r="E37" i="12"/>
  <c r="E34" i="12"/>
  <c r="E35" i="12"/>
  <c r="L35" i="12"/>
  <c r="L36" i="12" s="1"/>
  <c r="N33" i="12"/>
  <c r="O33" i="12" s="1"/>
  <c r="P33" i="12"/>
  <c r="Q33" i="12" s="1"/>
  <c r="T32" i="12"/>
  <c r="U32" i="12" s="1"/>
  <c r="W29" i="12"/>
  <c r="V30" i="12"/>
  <c r="W30" i="12" s="1"/>
  <c r="AA27" i="12"/>
  <c r="X29" i="12"/>
  <c r="X30" i="12" s="1"/>
  <c r="Y30" i="12" s="1"/>
  <c r="C68" i="11" l="1"/>
  <c r="B69" i="11" s="1"/>
  <c r="I69" i="11"/>
  <c r="L69" i="11"/>
  <c r="F69" i="11"/>
  <c r="G69" i="11"/>
  <c r="D68" i="11"/>
  <c r="E68" i="11" s="1"/>
  <c r="H69" i="11"/>
  <c r="L37" i="12"/>
  <c r="L38" i="12" s="1"/>
  <c r="N34" i="12"/>
  <c r="O34" i="12" s="1"/>
  <c r="R33" i="12"/>
  <c r="P34" i="12"/>
  <c r="Q34" i="12" s="1"/>
  <c r="T33" i="12"/>
  <c r="V32" i="12"/>
  <c r="W32" i="12" s="1"/>
  <c r="Y29" i="12"/>
  <c r="X32" i="12" s="1"/>
  <c r="AC27" i="12"/>
  <c r="Z29" i="12"/>
  <c r="Z30" i="12" s="1"/>
  <c r="AA30" i="12" s="1"/>
  <c r="L39" i="12" l="1"/>
  <c r="L40" i="12" s="1"/>
  <c r="F70" i="11"/>
  <c r="I70" i="11"/>
  <c r="L70" i="11"/>
  <c r="G70" i="11"/>
  <c r="C69" i="11"/>
  <c r="B70" i="11" s="1"/>
  <c r="D69" i="11"/>
  <c r="E69" i="11" s="1"/>
  <c r="H70" i="11"/>
  <c r="N35" i="12"/>
  <c r="P35" i="12"/>
  <c r="S33" i="12"/>
  <c r="V33" i="12"/>
  <c r="W33" i="12" s="1"/>
  <c r="Y32" i="12"/>
  <c r="AA29" i="12"/>
  <c r="AE27" i="12"/>
  <c r="AB29" i="12"/>
  <c r="H71" i="11" l="1"/>
  <c r="G71" i="11"/>
  <c r="I71" i="11"/>
  <c r="C70" i="11"/>
  <c r="B71" i="11" s="1"/>
  <c r="F71" i="11"/>
  <c r="D70" i="11"/>
  <c r="E70" i="11" s="1"/>
  <c r="L71" i="11"/>
  <c r="Q35" i="12"/>
  <c r="O35" i="12"/>
  <c r="U33" i="12"/>
  <c r="R34" i="12"/>
  <c r="S34" i="12" s="1"/>
  <c r="X33" i="12"/>
  <c r="V34" i="12"/>
  <c r="W34" i="12" s="1"/>
  <c r="Z32" i="12"/>
  <c r="AC29" i="12"/>
  <c r="AB30" i="12"/>
  <c r="AC30" i="12" s="1"/>
  <c r="AD29" i="12"/>
  <c r="AD30" i="12" s="1"/>
  <c r="AF30" i="12" s="1"/>
  <c r="AH30" i="12" s="1"/>
  <c r="AJ30" i="12" s="1"/>
  <c r="H72" i="11" l="1"/>
  <c r="F72" i="11"/>
  <c r="C71" i="11"/>
  <c r="B72" i="11" s="1"/>
  <c r="L72" i="11"/>
  <c r="D71" i="11"/>
  <c r="E71" i="11" s="1"/>
  <c r="I72" i="11"/>
  <c r="G72" i="11"/>
  <c r="N36" i="12"/>
  <c r="P36" i="12"/>
  <c r="T34" i="12"/>
  <c r="R35" i="12"/>
  <c r="AA32" i="12"/>
  <c r="Y33" i="12"/>
  <c r="X34" i="12"/>
  <c r="AB32" i="12"/>
  <c r="AE30" i="12"/>
  <c r="AE29" i="12"/>
  <c r="O36" i="12" l="1"/>
  <c r="G73" i="11"/>
  <c r="F73" i="11"/>
  <c r="I73" i="11"/>
  <c r="D72" i="11"/>
  <c r="E72" i="11" s="1"/>
  <c r="C72" i="11"/>
  <c r="B73" i="11" s="1"/>
  <c r="H73" i="11"/>
  <c r="L73" i="11"/>
  <c r="S35" i="12"/>
  <c r="R36" i="12" s="1"/>
  <c r="U34" i="12"/>
  <c r="Y34" i="12"/>
  <c r="AC32" i="12"/>
  <c r="Z33" i="12"/>
  <c r="AG30" i="12"/>
  <c r="AD32" i="12"/>
  <c r="Q36" i="12" l="1"/>
  <c r="P37" i="12" s="1"/>
  <c r="N37" i="12"/>
  <c r="F74" i="11"/>
  <c r="D73" i="11"/>
  <c r="E73" i="11" s="1"/>
  <c r="L74" i="11"/>
  <c r="H74" i="11"/>
  <c r="I74" i="11"/>
  <c r="C73" i="11"/>
  <c r="B74" i="11" s="1"/>
  <c r="G74" i="11"/>
  <c r="S36" i="12"/>
  <c r="R37" i="12"/>
  <c r="X35" i="12"/>
  <c r="Y35" i="12" s="1"/>
  <c r="T35" i="12"/>
  <c r="U35" i="12" s="1"/>
  <c r="AA33" i="12"/>
  <c r="AB33" i="12"/>
  <c r="AE32" i="12"/>
  <c r="AD33" i="12"/>
  <c r="AI30" i="12"/>
  <c r="AF32" i="12"/>
  <c r="O37" i="12" l="1"/>
  <c r="S37" i="12"/>
  <c r="C74" i="11"/>
  <c r="B75" i="11" s="1"/>
  <c r="D74" i="11"/>
  <c r="E74" i="11" s="1"/>
  <c r="G75" i="11"/>
  <c r="L75" i="11"/>
  <c r="H75" i="11"/>
  <c r="F75" i="11"/>
  <c r="I75" i="11"/>
  <c r="V35" i="12"/>
  <c r="W35" i="12" s="1"/>
  <c r="T36" i="12"/>
  <c r="AC33" i="12"/>
  <c r="Z34" i="12"/>
  <c r="AA34" i="12" s="1"/>
  <c r="AE33" i="12"/>
  <c r="AG32" i="12"/>
  <c r="AK30" i="12"/>
  <c r="AH32" i="12"/>
  <c r="Q37" i="12" l="1"/>
  <c r="N38" i="12"/>
  <c r="R38" i="12"/>
  <c r="L76" i="11"/>
  <c r="D75" i="11"/>
  <c r="E75" i="11" s="1"/>
  <c r="F76" i="11"/>
  <c r="H76" i="11"/>
  <c r="I76" i="11"/>
  <c r="G76" i="11"/>
  <c r="C75" i="11"/>
  <c r="B76" i="11" s="1"/>
  <c r="U36" i="12"/>
  <c r="T37" i="12" s="1"/>
  <c r="V36" i="12"/>
  <c r="Z35" i="12"/>
  <c r="AD34" i="12"/>
  <c r="AE34" i="12" s="1"/>
  <c r="AB34" i="12"/>
  <c r="AF33" i="12"/>
  <c r="AG33" i="12" s="1"/>
  <c r="AI32" i="12"/>
  <c r="AJ32" i="12"/>
  <c r="N39" i="12" l="1"/>
  <c r="O38" i="12"/>
  <c r="O40" i="12" s="1"/>
  <c r="P38" i="12"/>
  <c r="W36" i="12"/>
  <c r="U37" i="12"/>
  <c r="T38" i="12" s="1"/>
  <c r="C76" i="11"/>
  <c r="B77" i="11" s="1"/>
  <c r="D76" i="11"/>
  <c r="E76" i="11" s="1"/>
  <c r="H77" i="11"/>
  <c r="F77" i="11"/>
  <c r="I77" i="11"/>
  <c r="G77" i="11"/>
  <c r="L77" i="11"/>
  <c r="AA35" i="12"/>
  <c r="X36" i="12"/>
  <c r="V37" i="12"/>
  <c r="AC34" i="12"/>
  <c r="AD35" i="12"/>
  <c r="AF34" i="12"/>
  <c r="AH33" i="12"/>
  <c r="AI33" i="12" s="1"/>
  <c r="AH34" i="12"/>
  <c r="AK32" i="12"/>
  <c r="AJ33" i="12"/>
  <c r="O39" i="12" l="1"/>
  <c r="N40" i="12"/>
  <c r="Q38" i="12"/>
  <c r="P39" i="12"/>
  <c r="U38" i="12"/>
  <c r="Y36" i="12"/>
  <c r="W37" i="12"/>
  <c r="V38" i="12" s="1"/>
  <c r="L78" i="11"/>
  <c r="D77" i="11"/>
  <c r="E77" i="11" s="1"/>
  <c r="F78" i="11"/>
  <c r="I78" i="11"/>
  <c r="H78" i="11"/>
  <c r="G78" i="11"/>
  <c r="C77" i="11"/>
  <c r="B78" i="11" s="1"/>
  <c r="X37" i="12"/>
  <c r="Z36" i="12"/>
  <c r="AG34" i="12"/>
  <c r="AB35" i="12"/>
  <c r="AI34" i="12"/>
  <c r="AK33" i="12"/>
  <c r="P40" i="12" l="1"/>
  <c r="S38" i="12"/>
  <c r="Q40" i="12"/>
  <c r="Q39" i="12"/>
  <c r="W38" i="12"/>
  <c r="Y37" i="12"/>
  <c r="X38" i="12" s="1"/>
  <c r="Y38" i="12" s="1"/>
  <c r="AA36" i="12"/>
  <c r="I79" i="11"/>
  <c r="L79" i="11"/>
  <c r="H79" i="11"/>
  <c r="G79" i="11"/>
  <c r="C78" i="11"/>
  <c r="B79" i="11" s="1"/>
  <c r="D78" i="11"/>
  <c r="E78" i="11" s="1"/>
  <c r="F79" i="11"/>
  <c r="AC35" i="12"/>
  <c r="AE35" i="12" s="1"/>
  <c r="AD36" i="12" s="1"/>
  <c r="AH35" i="12"/>
  <c r="AI35" i="12" s="1"/>
  <c r="AF35" i="12"/>
  <c r="AJ34" i="12"/>
  <c r="AK34" i="12" s="1"/>
  <c r="S40" i="12" l="1"/>
  <c r="U40" i="12" s="1"/>
  <c r="W40" i="12"/>
  <c r="Y40" i="12" s="1"/>
  <c r="R39" i="12"/>
  <c r="T39" i="12" s="1"/>
  <c r="V39" i="12" s="1"/>
  <c r="X39" i="12" s="1"/>
  <c r="Z37" i="12"/>
  <c r="AA37" i="12" s="1"/>
  <c r="L80" i="11"/>
  <c r="F80" i="11"/>
  <c r="C79" i="11"/>
  <c r="B80" i="11" s="1"/>
  <c r="D79" i="11"/>
  <c r="E79" i="11" s="1"/>
  <c r="I80" i="11"/>
  <c r="G80" i="11"/>
  <c r="H80" i="11"/>
  <c r="AG35" i="12"/>
  <c r="AB36" i="12"/>
  <c r="AH36" i="12"/>
  <c r="AJ35" i="12"/>
  <c r="AK35" i="12" s="1"/>
  <c r="S39" i="12" l="1"/>
  <c r="U39" i="12" s="1"/>
  <c r="W39" i="12" s="1"/>
  <c r="Y39" i="12" s="1"/>
  <c r="R40" i="12"/>
  <c r="T40" i="12" s="1"/>
  <c r="V40" i="12" s="1"/>
  <c r="X40" i="12" s="1"/>
  <c r="Z38" i="12"/>
  <c r="AA38" i="12" s="1"/>
  <c r="L81" i="11"/>
  <c r="D80" i="11"/>
  <c r="E80" i="11" s="1"/>
  <c r="C80" i="11"/>
  <c r="B81" i="11" s="1"/>
  <c r="F81" i="11"/>
  <c r="I81" i="11"/>
  <c r="E81" i="11"/>
  <c r="G81" i="11"/>
  <c r="H81" i="11"/>
  <c r="AF36" i="12"/>
  <c r="AG36" i="12" s="1"/>
  <c r="AC36" i="12"/>
  <c r="AB37" i="12"/>
  <c r="AJ36" i="12"/>
  <c r="AK36" i="12" s="1"/>
  <c r="AA40" i="12" l="1"/>
  <c r="AA39" i="12"/>
  <c r="Z39" i="12"/>
  <c r="Z40" i="12" s="1"/>
  <c r="AI36" i="12"/>
  <c r="AE36" i="12"/>
  <c r="D81" i="11"/>
  <c r="G82" i="11"/>
  <c r="L82" i="11"/>
  <c r="F82" i="11"/>
  <c r="I82" i="11"/>
  <c r="C81" i="11"/>
  <c r="B82" i="11" s="1"/>
  <c r="H82" i="11"/>
  <c r="E82" i="11"/>
  <c r="AC37" i="12"/>
  <c r="AD37" i="12"/>
  <c r="AE37" i="12" l="1"/>
  <c r="AB38" i="12"/>
  <c r="AF37" i="12"/>
  <c r="AD38" i="12"/>
  <c r="AE38" i="12" s="1"/>
  <c r="I83" i="11"/>
  <c r="G83" i="11"/>
  <c r="L83" i="11"/>
  <c r="H83" i="11"/>
  <c r="C82" i="11"/>
  <c r="B83" i="11" s="1"/>
  <c r="E83" i="11"/>
  <c r="F83" i="11"/>
  <c r="D82" i="11"/>
  <c r="AG37" i="12"/>
  <c r="AH37" i="12"/>
  <c r="AC38" i="12" l="1"/>
  <c r="AI37" i="12"/>
  <c r="AF38" i="12"/>
  <c r="AJ37" i="12"/>
  <c r="AH38" i="12"/>
  <c r="I84" i="11"/>
  <c r="L84" i="11"/>
  <c r="E84" i="11"/>
  <c r="D83" i="11"/>
  <c r="C83" i="11"/>
  <c r="B84" i="11" s="1"/>
  <c r="F84" i="11"/>
  <c r="H84" i="11"/>
  <c r="G84" i="11"/>
  <c r="AC40" i="12" l="1"/>
  <c r="AE40" i="12" s="1"/>
  <c r="AC39" i="12"/>
  <c r="AE39" i="12" s="1"/>
  <c r="AG38" i="12"/>
  <c r="AG39" i="12" s="1"/>
  <c r="AB39" i="12"/>
  <c r="AK37" i="12"/>
  <c r="AJ38" i="12"/>
  <c r="E85" i="11"/>
  <c r="H85" i="11"/>
  <c r="G85" i="11"/>
  <c r="C84" i="11"/>
  <c r="B85" i="11" s="1"/>
  <c r="L85" i="11"/>
  <c r="I85" i="11"/>
  <c r="F85" i="11"/>
  <c r="D84" i="11"/>
  <c r="AB40" i="12" l="1"/>
  <c r="AD40" i="12" s="1"/>
  <c r="AD39" i="12"/>
  <c r="AI38" i="12"/>
  <c r="AG40" i="12"/>
  <c r="AF39" i="12"/>
  <c r="AF40" i="12" s="1"/>
  <c r="AK38" i="12"/>
  <c r="L86" i="11"/>
  <c r="F86" i="11"/>
  <c r="E86" i="11"/>
  <c r="C85" i="11"/>
  <c r="B86" i="11" s="1"/>
  <c r="D85" i="11"/>
  <c r="I86" i="11"/>
  <c r="G86" i="11"/>
  <c r="H86" i="11"/>
  <c r="AI40" i="12" l="1"/>
  <c r="AK40" i="12" s="1"/>
  <c r="AH39" i="12"/>
  <c r="AJ39" i="12" s="1"/>
  <c r="G87" i="11"/>
  <c r="C86" i="11"/>
  <c r="B87" i="11" s="1"/>
  <c r="F87" i="11"/>
  <c r="D86" i="11"/>
  <c r="L87" i="11"/>
  <c r="E87" i="11"/>
  <c r="I87" i="11"/>
  <c r="H87" i="11"/>
  <c r="AI39" i="12" l="1"/>
  <c r="AK39" i="12" s="1"/>
  <c r="AH40" i="12"/>
  <c r="AJ40" i="12" s="1"/>
  <c r="E88" i="11"/>
  <c r="F88" i="11"/>
  <c r="G88" i="11"/>
  <c r="D87" i="11"/>
  <c r="L88" i="11"/>
  <c r="I88" i="11"/>
  <c r="H88" i="11"/>
  <c r="C87" i="11"/>
  <c r="B88" i="11" s="1"/>
  <c r="C88" i="11" l="1"/>
  <c r="B89" i="11" s="1"/>
  <c r="L89" i="11"/>
  <c r="D88" i="11"/>
  <c r="F89" i="11"/>
  <c r="G89" i="11"/>
  <c r="E89" i="11"/>
  <c r="H89" i="11"/>
  <c r="I89" i="11"/>
  <c r="I90" i="11" l="1"/>
  <c r="D89" i="11"/>
  <c r="F90" i="11"/>
  <c r="L90" i="11"/>
  <c r="H90" i="11"/>
  <c r="G90" i="11"/>
  <c r="C89" i="11"/>
  <c r="B90" i="11" s="1"/>
  <c r="E90" i="11"/>
  <c r="H91" i="11" l="1"/>
  <c r="D90" i="11"/>
  <c r="I91" i="11"/>
  <c r="F91" i="11"/>
  <c r="E91" i="11"/>
  <c r="G91" i="11"/>
  <c r="L91" i="11"/>
  <c r="C90" i="11"/>
  <c r="B91" i="11" s="1"/>
  <c r="I92" i="11" l="1"/>
  <c r="D91" i="11"/>
  <c r="L92" i="11"/>
  <c r="C91" i="11"/>
  <c r="B92" i="11" s="1"/>
  <c r="G92" i="11"/>
  <c r="H92" i="11"/>
  <c r="E92" i="11"/>
  <c r="F92" i="11"/>
  <c r="G93" i="11" l="1"/>
  <c r="H93" i="11"/>
  <c r="F93" i="11"/>
  <c r="E93" i="11"/>
  <c r="C92" i="11"/>
  <c r="B93" i="11" s="1"/>
  <c r="D92" i="11"/>
  <c r="I93" i="11"/>
  <c r="L93" i="11"/>
  <c r="E94" i="11" l="1"/>
  <c r="F94" i="11"/>
  <c r="H94" i="11"/>
  <c r="G94" i="11"/>
  <c r="C93" i="11"/>
  <c r="B94" i="11" s="1"/>
  <c r="I94" i="11"/>
  <c r="D93" i="11"/>
  <c r="L94" i="11"/>
  <c r="H95" i="11" l="1"/>
  <c r="G95" i="11"/>
  <c r="I95" i="11"/>
  <c r="C94" i="11"/>
  <c r="B95" i="11" s="1"/>
  <c r="F95" i="11"/>
  <c r="L95" i="11"/>
  <c r="D94" i="11"/>
  <c r="E95" i="11"/>
  <c r="G96" i="11" l="1"/>
  <c r="F96" i="11"/>
  <c r="C95" i="11"/>
  <c r="B96" i="11" s="1"/>
  <c r="E96" i="11"/>
  <c r="D95" i="11"/>
  <c r="L96" i="11"/>
  <c r="H96" i="11"/>
  <c r="I96" i="11"/>
  <c r="E97" i="11" l="1"/>
  <c r="F97" i="11"/>
  <c r="L97" i="11"/>
  <c r="G97" i="11"/>
  <c r="C96" i="11"/>
  <c r="B97" i="11" s="1"/>
  <c r="D96" i="11"/>
  <c r="I97" i="11"/>
  <c r="H97" i="11"/>
  <c r="F98" i="11" l="1"/>
  <c r="G98" i="11"/>
  <c r="E98" i="11"/>
  <c r="I98" i="11"/>
  <c r="D97" i="11"/>
  <c r="C97" i="11"/>
  <c r="B98" i="11" s="1"/>
  <c r="H98" i="11"/>
  <c r="L98" i="11"/>
  <c r="E11" i="11"/>
  <c r="E10" i="11"/>
  <c r="E12" i="11"/>
  <c r="E14" i="11"/>
  <c r="E15" i="11"/>
  <c r="E18" i="11"/>
  <c r="H99" i="11" l="1"/>
  <c r="L99" i="11"/>
  <c r="E99" i="11"/>
  <c r="D98" i="11"/>
  <c r="C98" i="11"/>
  <c r="B99" i="11" s="1"/>
  <c r="F99" i="11"/>
  <c r="I99" i="11"/>
  <c r="G99" i="11"/>
  <c r="H100" i="11" l="1"/>
  <c r="E100" i="11"/>
  <c r="G100" i="11"/>
  <c r="F100" i="11"/>
  <c r="C99" i="11"/>
  <c r="B100" i="11" s="1"/>
  <c r="L100" i="11"/>
  <c r="I100" i="11"/>
  <c r="D99" i="11"/>
  <c r="F101" i="11" l="1"/>
  <c r="G101" i="11"/>
  <c r="D100" i="11"/>
  <c r="E101" i="11"/>
  <c r="C100" i="11"/>
  <c r="B101" i="11" s="1"/>
  <c r="L101" i="11"/>
  <c r="H101" i="11"/>
  <c r="I101" i="11"/>
  <c r="F102" i="11" l="1"/>
  <c r="I102" i="11"/>
  <c r="C101" i="11"/>
  <c r="B102" i="11" s="1"/>
  <c r="G102" i="11"/>
  <c r="E102" i="11"/>
  <c r="H102" i="11"/>
  <c r="L102" i="11"/>
  <c r="D101" i="11"/>
  <c r="I103" i="11" l="1"/>
  <c r="H103" i="11"/>
  <c r="F103" i="11"/>
  <c r="C102" i="11"/>
  <c r="B103" i="11" s="1"/>
  <c r="E103" i="11"/>
  <c r="D102" i="11"/>
  <c r="G103" i="11"/>
  <c r="L103" i="11"/>
  <c r="G104" i="11" l="1"/>
  <c r="C103" i="11"/>
  <c r="B104" i="11" s="1"/>
  <c r="H104" i="11"/>
  <c r="E104" i="11"/>
  <c r="I104" i="11"/>
  <c r="F104" i="11"/>
  <c r="D103" i="11"/>
  <c r="L104" i="11"/>
  <c r="L105" i="11" l="1"/>
  <c r="E105" i="11"/>
  <c r="I105" i="11"/>
  <c r="C104" i="11"/>
  <c r="B105" i="11" s="1"/>
  <c r="D104" i="11"/>
  <c r="H105" i="11"/>
  <c r="F105" i="11"/>
  <c r="G105" i="11"/>
  <c r="E34" i="11"/>
  <c r="E35" i="11"/>
  <c r="E32" i="11"/>
  <c r="E33" i="11"/>
  <c r="E29" i="11"/>
  <c r="E9" i="11"/>
  <c r="E26" i="11"/>
  <c r="G106" i="11" l="1"/>
  <c r="C105" i="11"/>
  <c r="B106" i="11" s="1"/>
  <c r="H106" i="11"/>
  <c r="F106" i="11"/>
  <c r="I106" i="11"/>
  <c r="L106" i="11"/>
  <c r="E106" i="11"/>
  <c r="D105" i="11"/>
  <c r="I107" i="11" l="1"/>
  <c r="F107" i="11"/>
  <c r="D106" i="11"/>
  <c r="C106" i="11"/>
  <c r="B107" i="11" s="1"/>
  <c r="L107" i="11"/>
  <c r="H107" i="11"/>
  <c r="E107" i="11"/>
  <c r="G107" i="11"/>
  <c r="C107" i="11" l="1"/>
  <c r="E39" i="11" s="1"/>
  <c r="D107" i="11"/>
  <c r="J80" i="11" l="1"/>
  <c r="K80" i="11" s="1"/>
  <c r="E38" i="11"/>
  <c r="J53" i="11"/>
  <c r="K53" i="11" s="1"/>
  <c r="J7" i="11"/>
  <c r="J61" i="11"/>
  <c r="K61" i="11" s="1"/>
  <c r="J71" i="11"/>
  <c r="K71" i="11" s="1"/>
  <c r="J96" i="11"/>
  <c r="K96" i="11" s="1"/>
  <c r="J102" i="11"/>
  <c r="K102" i="11" s="1"/>
  <c r="J13" i="11"/>
  <c r="K13" i="11" s="1"/>
  <c r="J106" i="11"/>
  <c r="K106" i="11" s="1"/>
  <c r="J63" i="11"/>
  <c r="J64" i="11" s="1"/>
  <c r="K64" i="11" s="1"/>
  <c r="J72" i="11"/>
  <c r="K72" i="11" s="1"/>
  <c r="J22" i="11"/>
  <c r="K22" i="11" s="1"/>
  <c r="J85" i="11"/>
  <c r="K85" i="11" s="1"/>
  <c r="J101" i="11"/>
  <c r="K101" i="11" s="1"/>
  <c r="J46" i="11"/>
  <c r="K46" i="11" s="1"/>
  <c r="J28" i="11"/>
  <c r="K28" i="11" s="1"/>
  <c r="J100" i="11"/>
  <c r="K100" i="11" s="1"/>
  <c r="J79" i="11"/>
  <c r="K79" i="11" s="1"/>
  <c r="J48" i="11"/>
  <c r="K48" i="11" s="1"/>
  <c r="E36" i="11"/>
  <c r="E37" i="11"/>
  <c r="J52" i="11"/>
  <c r="K52" i="11" s="1"/>
  <c r="E5" i="11"/>
  <c r="J55" i="11"/>
  <c r="K55" i="11" s="1"/>
  <c r="J16" i="11"/>
  <c r="K16" i="11" s="1"/>
  <c r="J9" i="11"/>
  <c r="J10" i="11" s="1"/>
  <c r="K10" i="11" s="1"/>
  <c r="J97" i="11"/>
  <c r="K97" i="11" s="1"/>
  <c r="J8" i="11"/>
  <c r="K8" i="11" s="1"/>
  <c r="J107" i="11"/>
  <c r="K107" i="11" s="1"/>
  <c r="J91" i="11"/>
  <c r="K91" i="11" s="1"/>
  <c r="J92" i="11"/>
  <c r="K92" i="11" s="1"/>
  <c r="J94" i="11"/>
  <c r="K94" i="11" s="1"/>
  <c r="J81" i="11"/>
  <c r="K81" i="11" s="1"/>
  <c r="K63" i="11"/>
  <c r="J14" i="11"/>
  <c r="K14" i="11" s="1"/>
  <c r="J12" i="11"/>
  <c r="K12" i="11" s="1"/>
  <c r="J30" i="11"/>
  <c r="K30" i="11" s="1"/>
  <c r="J43" i="11"/>
  <c r="K43" i="11" s="1"/>
  <c r="J50" i="11"/>
  <c r="K50" i="11" s="1"/>
  <c r="J32" i="11"/>
  <c r="J33" i="11" s="1"/>
  <c r="J34" i="11" s="1"/>
  <c r="J35" i="11" s="1"/>
  <c r="J36" i="11" s="1"/>
  <c r="J37" i="11" s="1"/>
  <c r="J38" i="11" s="1"/>
  <c r="J39" i="11" s="1"/>
  <c r="J19" i="11"/>
  <c r="K19" i="11" s="1"/>
  <c r="J15" i="11"/>
  <c r="K15" i="11" s="1"/>
  <c r="J51" i="11"/>
  <c r="K51" i="11" s="1"/>
  <c r="J40" i="11"/>
  <c r="K40" i="11" s="1"/>
  <c r="J84" i="11"/>
  <c r="K84" i="11" s="1"/>
  <c r="K7" i="11"/>
  <c r="J76" i="11"/>
  <c r="K76" i="11" s="1"/>
  <c r="K6" i="11"/>
  <c r="J95" i="11"/>
  <c r="K95" i="11" s="1"/>
  <c r="J88" i="11"/>
  <c r="K88" i="11" s="1"/>
  <c r="J75" i="11"/>
  <c r="K75" i="11" s="1"/>
  <c r="J90" i="11"/>
  <c r="K90" i="11" s="1"/>
  <c r="J25" i="11"/>
  <c r="K25" i="11" s="1"/>
  <c r="J17" i="11"/>
  <c r="K17" i="11" s="1"/>
  <c r="J68" i="11"/>
  <c r="K68" i="11" s="1"/>
  <c r="J104" i="11"/>
  <c r="K104" i="11" s="1"/>
  <c r="J77" i="11"/>
  <c r="K77" i="11" s="1"/>
  <c r="J41" i="11"/>
  <c r="K41" i="11" s="1"/>
  <c r="J54" i="11"/>
  <c r="K54" i="11" s="1"/>
  <c r="J47" i="11"/>
  <c r="K47" i="11" s="1"/>
  <c r="J83" i="11"/>
  <c r="K83" i="11" s="1"/>
  <c r="J23" i="11"/>
  <c r="K23" i="11" s="1"/>
  <c r="J18" i="11"/>
  <c r="K18" i="11" s="1"/>
  <c r="J44" i="11"/>
  <c r="K44" i="11" s="1"/>
  <c r="J103" i="11"/>
  <c r="K103" i="11" s="1"/>
  <c r="J26" i="11"/>
  <c r="K26" i="11" s="1"/>
  <c r="J58" i="11"/>
  <c r="K58" i="11" s="1"/>
  <c r="J27" i="11"/>
  <c r="K27" i="11" s="1"/>
  <c r="J99" i="11"/>
  <c r="K99" i="11" s="1"/>
  <c r="J60" i="11"/>
  <c r="K60" i="11" s="1"/>
  <c r="J11" i="11"/>
  <c r="K11" i="11" s="1"/>
  <c r="J62" i="11"/>
  <c r="K62" i="11" s="1"/>
  <c r="J78" i="11"/>
  <c r="K78" i="11" s="1"/>
  <c r="J56" i="11"/>
  <c r="K56" i="11" s="1"/>
  <c r="J86" i="11"/>
  <c r="K86" i="11" s="1"/>
  <c r="J31" i="11"/>
  <c r="K31" i="11" s="1"/>
  <c r="J67" i="11"/>
  <c r="K67" i="11" s="1"/>
  <c r="J105" i="11"/>
  <c r="K105" i="11" s="1"/>
  <c r="J59" i="11"/>
  <c r="K59" i="11" s="1"/>
  <c r="J82" i="11"/>
  <c r="K82" i="11" s="1"/>
  <c r="J69" i="11"/>
  <c r="K69" i="11" s="1"/>
  <c r="J89" i="11"/>
  <c r="K89" i="11" s="1"/>
  <c r="J93" i="11"/>
  <c r="K93" i="11" s="1"/>
  <c r="J66" i="11"/>
  <c r="K66" i="11" s="1"/>
  <c r="J73" i="11"/>
  <c r="K73" i="11" s="1"/>
  <c r="J70" i="11"/>
  <c r="K70" i="11" s="1"/>
  <c r="J20" i="11"/>
  <c r="J21" i="11" s="1"/>
  <c r="K21" i="11" s="1"/>
  <c r="E6" i="11"/>
  <c r="J45" i="11"/>
  <c r="K45" i="11" s="1"/>
  <c r="J57" i="11"/>
  <c r="K57" i="11" s="1"/>
  <c r="J98" i="11"/>
  <c r="K98" i="11" s="1"/>
  <c r="J74" i="11"/>
  <c r="K74" i="11" s="1"/>
  <c r="J87" i="11"/>
  <c r="K87" i="11" s="1"/>
  <c r="J42" i="11"/>
  <c r="K42" i="11" s="1"/>
  <c r="J49" i="11"/>
  <c r="K49" i="11" s="1"/>
  <c r="J65" i="11"/>
  <c r="K65" i="11" s="1"/>
  <c r="J29" i="11"/>
  <c r="K29" i="11" s="1"/>
  <c r="J6" i="11"/>
  <c r="J24" i="11"/>
  <c r="K24" i="11" s="1"/>
  <c r="K39" i="11" l="1"/>
  <c r="K36" i="11"/>
  <c r="K33" i="11"/>
  <c r="K32" i="11"/>
  <c r="C100" i="10"/>
  <c r="C95" i="10"/>
  <c r="C63" i="10"/>
  <c r="C101" i="10"/>
  <c r="C52" i="10"/>
  <c r="C91" i="10"/>
  <c r="C66" i="10"/>
  <c r="C83" i="10"/>
  <c r="C85" i="10"/>
  <c r="C55" i="10"/>
  <c r="C24" i="10"/>
  <c r="C59" i="10"/>
  <c r="C39" i="10"/>
  <c r="C10" i="10"/>
  <c r="C28" i="10"/>
  <c r="C38" i="10"/>
  <c r="C82" i="10"/>
  <c r="C17" i="10"/>
  <c r="C49" i="10"/>
  <c r="C56" i="10"/>
  <c r="C97" i="10"/>
  <c r="C80" i="10"/>
  <c r="C42" i="10"/>
  <c r="C19" i="10"/>
  <c r="C33" i="10"/>
  <c r="C104" i="10"/>
  <c r="C65" i="10"/>
  <c r="C73" i="10"/>
  <c r="C45" i="10"/>
  <c r="C99" i="10"/>
  <c r="C64" i="10"/>
  <c r="C87" i="10"/>
  <c r="C105" i="10"/>
  <c r="C61" i="10"/>
  <c r="C60" i="10"/>
  <c r="C31" i="10"/>
  <c r="C54" i="10"/>
  <c r="C47" i="10"/>
  <c r="C48" i="10"/>
  <c r="C36" i="10"/>
  <c r="C84" i="10"/>
  <c r="C51" i="10"/>
  <c r="C34" i="10"/>
  <c r="C12" i="10"/>
  <c r="C20" i="10"/>
  <c r="C30" i="10"/>
  <c r="C50" i="10"/>
  <c r="C37" i="10"/>
  <c r="C57" i="10"/>
  <c r="C92" i="10"/>
  <c r="C103" i="10"/>
  <c r="C53" i="10"/>
  <c r="C8" i="10"/>
  <c r="C6" i="10"/>
  <c r="D6" i="10" s="1"/>
  <c r="C67" i="10"/>
  <c r="C74" i="10"/>
  <c r="C72" i="10"/>
  <c r="C77" i="10"/>
  <c r="C75" i="10"/>
  <c r="C76" i="10"/>
  <c r="C22" i="10"/>
  <c r="C27" i="10"/>
  <c r="C69" i="10"/>
  <c r="C11" i="10"/>
  <c r="C89" i="10"/>
  <c r="C32" i="10"/>
  <c r="C23" i="10"/>
  <c r="C7" i="10"/>
  <c r="D7" i="10" s="1"/>
  <c r="D8" i="10" s="1"/>
  <c r="C41" i="10"/>
  <c r="C43" i="10"/>
  <c r="C98" i="10"/>
  <c r="C96" i="10"/>
  <c r="C18" i="10"/>
  <c r="C90" i="10"/>
  <c r="C70" i="10"/>
  <c r="C26" i="10"/>
  <c r="C40" i="10"/>
  <c r="C14" i="10"/>
  <c r="C79" i="10"/>
  <c r="C9" i="10"/>
  <c r="C25" i="10"/>
  <c r="C62" i="10"/>
  <c r="C78" i="10"/>
  <c r="C46" i="10"/>
  <c r="C71" i="10"/>
  <c r="C68" i="10"/>
  <c r="C81" i="10"/>
  <c r="C35" i="10"/>
  <c r="C86" i="10"/>
  <c r="C94" i="10"/>
  <c r="C93" i="10"/>
  <c r="C16" i="10"/>
  <c r="C58" i="10"/>
  <c r="C102" i="10"/>
  <c r="C21" i="10"/>
  <c r="C44" i="10"/>
  <c r="C29" i="10"/>
  <c r="C13" i="10"/>
  <c r="C15" i="10"/>
  <c r="C88" i="10"/>
  <c r="K34" i="11"/>
  <c r="K9" i="11"/>
  <c r="K35" i="11"/>
  <c r="K20" i="11"/>
  <c r="K37" i="11" l="1"/>
  <c r="K38" i="11" s="1"/>
  <c r="D9" i="10"/>
  <c r="D10" i="10" l="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E19" i="10" l="1"/>
  <c r="E23" i="10"/>
  <c r="E56" i="10"/>
  <c r="E44" i="10"/>
  <c r="E45" i="10"/>
  <c r="E100" i="10"/>
  <c r="E70" i="10"/>
  <c r="E94" i="10"/>
  <c r="E17" i="10"/>
  <c r="E33" i="10"/>
  <c r="E63" i="10"/>
  <c r="E13" i="10"/>
  <c r="E96" i="10"/>
  <c r="E31" i="10"/>
  <c r="E8" i="10"/>
  <c r="E28" i="10"/>
  <c r="E12" i="10"/>
  <c r="E88" i="10"/>
  <c r="E46" i="10"/>
  <c r="E50" i="10"/>
  <c r="E60" i="10"/>
  <c r="M60" i="10" s="1"/>
  <c r="E89" i="10"/>
  <c r="E15" i="10"/>
  <c r="E78" i="10"/>
  <c r="E30" i="10"/>
  <c r="E9" i="10"/>
  <c r="E53" i="10"/>
  <c r="E18" i="10"/>
  <c r="E87" i="10"/>
  <c r="E21" i="10"/>
  <c r="E98" i="10"/>
  <c r="E11" i="10"/>
  <c r="E83" i="10"/>
  <c r="E74" i="10"/>
  <c r="E38" i="10"/>
  <c r="E10" i="10"/>
  <c r="E105" i="10"/>
  <c r="E77" i="10"/>
  <c r="E48" i="10"/>
  <c r="E62" i="10"/>
  <c r="E80" i="10"/>
  <c r="E16" i="10"/>
  <c r="E91" i="10"/>
  <c r="E67" i="10"/>
  <c r="E41" i="10"/>
  <c r="E72" i="10"/>
  <c r="E34" i="10"/>
  <c r="E86" i="10"/>
  <c r="E65" i="10"/>
  <c r="E71" i="10"/>
  <c r="E93" i="10"/>
  <c r="E102" i="10"/>
  <c r="E57" i="10"/>
  <c r="E82" i="10"/>
  <c r="E7" i="10"/>
  <c r="E61" i="10"/>
  <c r="E101" i="10"/>
  <c r="E6" i="10"/>
  <c r="E79" i="10"/>
  <c r="E52" i="10"/>
  <c r="E47" i="10"/>
  <c r="E66" i="10"/>
  <c r="E40" i="10"/>
  <c r="E42" i="10"/>
  <c r="E97" i="10"/>
  <c r="E54" i="10"/>
  <c r="E90" i="10"/>
  <c r="E36" i="10"/>
  <c r="E58" i="10"/>
  <c r="E64" i="10"/>
  <c r="E81" i="10"/>
  <c r="E24" i="10"/>
  <c r="E49" i="10"/>
  <c r="E55" i="10"/>
  <c r="E43" i="10"/>
  <c r="E32" i="10"/>
  <c r="E22" i="10"/>
  <c r="E39" i="10"/>
  <c r="E27" i="10"/>
  <c r="E99" i="10"/>
  <c r="E85" i="10"/>
  <c r="E68" i="10"/>
  <c r="E25" i="10"/>
  <c r="E35" i="10"/>
  <c r="E76" i="10"/>
  <c r="E14" i="10"/>
  <c r="E51" i="10"/>
  <c r="E26" i="10"/>
  <c r="E20" i="10"/>
  <c r="E104" i="10"/>
  <c r="E69" i="10"/>
  <c r="E103" i="10"/>
  <c r="E95" i="10"/>
  <c r="E37" i="10"/>
  <c r="E29" i="10"/>
  <c r="E73" i="10"/>
  <c r="E84" i="10"/>
  <c r="E92" i="10"/>
  <c r="E75" i="10"/>
  <c r="F59" i="10"/>
  <c r="K59" i="10" a="1"/>
  <c r="K59" i="10" s="1"/>
  <c r="G59" i="10"/>
  <c r="I59" i="10"/>
  <c r="N59" i="10"/>
  <c r="J59" i="10"/>
  <c r="H59" i="10" a="1"/>
  <c r="H59" i="10" s="1"/>
  <c r="L60" i="10" l="1" a="1"/>
  <c r="L60" i="10" s="1"/>
  <c r="M9" i="10"/>
  <c r="M10" i="10" s="1"/>
  <c r="L74" i="10" a="1"/>
  <c r="L74" i="10" s="1"/>
  <c r="N73" i="10"/>
  <c r="M74" i="10"/>
  <c r="I73" i="10"/>
  <c r="H73" i="10" a="1"/>
  <c r="H73" i="10" s="1"/>
  <c r="K73" i="10" a="1"/>
  <c r="K73" i="10" s="1"/>
  <c r="G73" i="10"/>
  <c r="J73" i="10"/>
  <c r="F73" i="10"/>
  <c r="H26" i="10" a="1"/>
  <c r="H26" i="10" s="1"/>
  <c r="I26" i="10"/>
  <c r="G26" i="10"/>
  <c r="L27" i="10" a="1"/>
  <c r="L27" i="10" s="1"/>
  <c r="K26" i="10" a="1"/>
  <c r="K26" i="10" s="1"/>
  <c r="M27" i="10"/>
  <c r="N26" i="10"/>
  <c r="J26" i="10"/>
  <c r="F26" i="10"/>
  <c r="H99" i="10" a="1"/>
  <c r="H99" i="10" s="1"/>
  <c r="N99" i="10"/>
  <c r="I99" i="10"/>
  <c r="J99" i="10"/>
  <c r="F99" i="10"/>
  <c r="L100" i="10" a="1"/>
  <c r="L100" i="10" s="1"/>
  <c r="K99" i="10" a="1"/>
  <c r="K99" i="10" s="1"/>
  <c r="M100" i="10"/>
  <c r="G99" i="10"/>
  <c r="J24" i="10"/>
  <c r="F24" i="10"/>
  <c r="N24" i="10"/>
  <c r="K24" i="10" a="1"/>
  <c r="K24" i="10" s="1"/>
  <c r="L25" i="10" a="1"/>
  <c r="L25" i="10" s="1"/>
  <c r="M25" i="10"/>
  <c r="I24" i="10"/>
  <c r="G24" i="10"/>
  <c r="H24" i="10" a="1"/>
  <c r="H24" i="10" s="1"/>
  <c r="J42" i="10"/>
  <c r="K42" i="10" a="1"/>
  <c r="K42" i="10" s="1"/>
  <c r="G42" i="10"/>
  <c r="M43" i="10"/>
  <c r="N42" i="10"/>
  <c r="I42" i="10"/>
  <c r="H42" i="10" a="1"/>
  <c r="H42" i="10" s="1"/>
  <c r="L43" i="10" a="1"/>
  <c r="L43" i="10" s="1"/>
  <c r="F42" i="10"/>
  <c r="K61" i="10" a="1"/>
  <c r="K61" i="10" s="1"/>
  <c r="J61" i="10"/>
  <c r="N61" i="10"/>
  <c r="M62" i="10"/>
  <c r="G61" i="10"/>
  <c r="L62" i="10" a="1"/>
  <c r="L62" i="10" s="1"/>
  <c r="F61" i="10"/>
  <c r="I61" i="10"/>
  <c r="H61" i="10" a="1"/>
  <c r="H61" i="10" s="1"/>
  <c r="H86" i="10" a="1"/>
  <c r="H86" i="10" s="1"/>
  <c r="L87" i="10" a="1"/>
  <c r="L87" i="10" s="1"/>
  <c r="N86" i="10"/>
  <c r="F86" i="10"/>
  <c r="J86" i="10"/>
  <c r="K86" i="10" a="1"/>
  <c r="K86" i="10" s="1"/>
  <c r="I86" i="10"/>
  <c r="M87" i="10"/>
  <c r="G86" i="10"/>
  <c r="N62" i="10"/>
  <c r="H62" i="10" a="1"/>
  <c r="H62" i="10" s="1"/>
  <c r="L63" i="10" a="1"/>
  <c r="L63" i="10" s="1"/>
  <c r="I62" i="10"/>
  <c r="G62" i="10"/>
  <c r="M63" i="10"/>
  <c r="F62" i="10"/>
  <c r="K62" i="10" a="1"/>
  <c r="K62" i="10" s="1"/>
  <c r="J62" i="10"/>
  <c r="K11" i="10" a="1"/>
  <c r="K11" i="10" s="1"/>
  <c r="L12" i="10" a="1"/>
  <c r="L12" i="10" s="1"/>
  <c r="H11" i="10" a="1"/>
  <c r="H11" i="10" s="1"/>
  <c r="N11" i="10"/>
  <c r="J11" i="10"/>
  <c r="G11" i="10"/>
  <c r="F11" i="10"/>
  <c r="I11" i="10"/>
  <c r="I78" i="10"/>
  <c r="H78" i="10" a="1"/>
  <c r="H78" i="10" s="1"/>
  <c r="M79" i="10"/>
  <c r="G78" i="10"/>
  <c r="K78" i="10" a="1"/>
  <c r="K78" i="10" s="1"/>
  <c r="J78" i="10"/>
  <c r="N78" i="10"/>
  <c r="L79" i="10" a="1"/>
  <c r="L79" i="10" s="1"/>
  <c r="F78" i="10"/>
  <c r="L29" i="10" a="1"/>
  <c r="L29" i="10" s="1"/>
  <c r="G28" i="10"/>
  <c r="N28" i="10"/>
  <c r="M29" i="10"/>
  <c r="K28" i="10" a="1"/>
  <c r="K28" i="10" s="1"/>
  <c r="J28" i="10"/>
  <c r="I28" i="10"/>
  <c r="F28" i="10"/>
  <c r="H28" i="10" a="1"/>
  <c r="H28" i="10" s="1"/>
  <c r="N94" i="10"/>
  <c r="M95" i="10"/>
  <c r="L95" i="10" a="1"/>
  <c r="L95" i="10" s="1"/>
  <c r="J94" i="10"/>
  <c r="G94" i="10"/>
  <c r="F94" i="10"/>
  <c r="K94" i="10" a="1"/>
  <c r="K94" i="10" s="1"/>
  <c r="H94" i="10" a="1"/>
  <c r="H94" i="10" s="1"/>
  <c r="I94" i="10"/>
  <c r="M52" i="10"/>
  <c r="K51" i="10" a="1"/>
  <c r="K51" i="10" s="1"/>
  <c r="J51" i="10"/>
  <c r="I51" i="10"/>
  <c r="G51" i="10"/>
  <c r="F51" i="10"/>
  <c r="L52" i="10" a="1"/>
  <c r="L52" i="10" s="1"/>
  <c r="N51" i="10"/>
  <c r="H51" i="10" a="1"/>
  <c r="H51" i="10" s="1"/>
  <c r="M28" i="10"/>
  <c r="N27" i="10"/>
  <c r="L28" i="10" a="1"/>
  <c r="L28" i="10" s="1"/>
  <c r="K27" i="10" a="1"/>
  <c r="K27" i="10" s="1"/>
  <c r="F27" i="10"/>
  <c r="H27" i="10" a="1"/>
  <c r="H27" i="10" s="1"/>
  <c r="J27" i="10"/>
  <c r="I27" i="10"/>
  <c r="G27" i="10"/>
  <c r="I81" i="10"/>
  <c r="F81" i="10"/>
  <c r="J81" i="10"/>
  <c r="G81" i="10"/>
  <c r="K81" i="10" a="1"/>
  <c r="K81" i="10" s="1"/>
  <c r="H81" i="10" a="1"/>
  <c r="H81" i="10" s="1"/>
  <c r="N81" i="10"/>
  <c r="M82" i="10"/>
  <c r="M41" i="10"/>
  <c r="L41" i="10" a="1"/>
  <c r="L41" i="10" s="1"/>
  <c r="F40" i="10"/>
  <c r="J40" i="10"/>
  <c r="I40" i="10"/>
  <c r="N40" i="10"/>
  <c r="G40" i="10"/>
  <c r="H40" i="10" a="1"/>
  <c r="H40" i="10" s="1"/>
  <c r="K40" i="10" a="1"/>
  <c r="K40" i="10" s="1"/>
  <c r="L8" i="10" a="1"/>
  <c r="L8" i="10" s="1"/>
  <c r="J7" i="10"/>
  <c r="K7" i="10" a="1"/>
  <c r="K7" i="10" s="1"/>
  <c r="F7" i="10"/>
  <c r="G7" i="10"/>
  <c r="H7" i="10" a="1"/>
  <c r="H7" i="10" s="1"/>
  <c r="N7" i="10"/>
  <c r="I7" i="10"/>
  <c r="M8" i="10"/>
  <c r="G34" i="10"/>
  <c r="M35" i="10"/>
  <c r="I34" i="10"/>
  <c r="L35" i="10" a="1"/>
  <c r="L35" i="10" s="1"/>
  <c r="F34" i="10"/>
  <c r="H34" i="10" a="1"/>
  <c r="H34" i="10" s="1"/>
  <c r="J34" i="10"/>
  <c r="K34" i="10" a="1"/>
  <c r="K34" i="10" s="1"/>
  <c r="N34" i="10"/>
  <c r="K48" i="10" a="1"/>
  <c r="K48" i="10" s="1"/>
  <c r="H48" i="10" a="1"/>
  <c r="H48" i="10" s="1"/>
  <c r="I48" i="10"/>
  <c r="G48" i="10"/>
  <c r="N48" i="10"/>
  <c r="J48" i="10"/>
  <c r="F48" i="10"/>
  <c r="L49" i="10" a="1"/>
  <c r="L49" i="10" s="1"/>
  <c r="F98" i="10"/>
  <c r="J98" i="10"/>
  <c r="G98" i="10"/>
  <c r="K98" i="10" a="1"/>
  <c r="K98" i="10" s="1"/>
  <c r="I98" i="10"/>
  <c r="L99" i="10" a="1"/>
  <c r="L99" i="10" s="1"/>
  <c r="M99" i="10"/>
  <c r="N98" i="10"/>
  <c r="H98" i="10" a="1"/>
  <c r="H98" i="10" s="1"/>
  <c r="G15" i="10"/>
  <c r="K15" i="10" a="1"/>
  <c r="K15" i="10" s="1"/>
  <c r="H15" i="10" a="1"/>
  <c r="H15" i="10" s="1"/>
  <c r="J15" i="10"/>
  <c r="L16" i="10" a="1"/>
  <c r="L16" i="10" s="1"/>
  <c r="I15" i="10"/>
  <c r="N15" i="10"/>
  <c r="F15" i="10"/>
  <c r="N8" i="10"/>
  <c r="J8" i="10"/>
  <c r="H8" i="10" a="1"/>
  <c r="H8" i="10" s="1"/>
  <c r="K8" i="10" a="1"/>
  <c r="K8" i="10" s="1"/>
  <c r="G8" i="10"/>
  <c r="F8" i="10"/>
  <c r="I8" i="10"/>
  <c r="L9" i="10" a="1"/>
  <c r="L9" i="10" s="1"/>
  <c r="L71" i="10" a="1"/>
  <c r="L71" i="10" s="1"/>
  <c r="J70" i="10"/>
  <c r="M71" i="10"/>
  <c r="H70" i="10" a="1"/>
  <c r="H70" i="10" s="1"/>
  <c r="G70" i="10"/>
  <c r="N70" i="10"/>
  <c r="F70" i="10"/>
  <c r="K70" i="10" a="1"/>
  <c r="K70" i="10" s="1"/>
  <c r="I70" i="10"/>
  <c r="N37" i="10"/>
  <c r="G37" i="10"/>
  <c r="L38" i="10" a="1"/>
  <c r="L38" i="10" s="1"/>
  <c r="F37" i="10"/>
  <c r="H37" i="10" a="1"/>
  <c r="H37" i="10" s="1"/>
  <c r="I37" i="10"/>
  <c r="K37" i="10" a="1"/>
  <c r="K37" i="10" s="1"/>
  <c r="J37" i="10"/>
  <c r="M38" i="10"/>
  <c r="F14" i="10"/>
  <c r="J14" i="10"/>
  <c r="H14" i="10" a="1"/>
  <c r="H14" i="10" s="1"/>
  <c r="N14" i="10"/>
  <c r="G14" i="10"/>
  <c r="K14" i="10" a="1"/>
  <c r="K14" i="10" s="1"/>
  <c r="I14" i="10"/>
  <c r="L15" i="10" a="1"/>
  <c r="L15" i="10" s="1"/>
  <c r="L40" i="10" a="1"/>
  <c r="L40" i="10" s="1"/>
  <c r="J39" i="10"/>
  <c r="G39" i="10"/>
  <c r="I39" i="10"/>
  <c r="F39" i="10"/>
  <c r="K39" i="10" a="1"/>
  <c r="K39" i="10" s="1"/>
  <c r="N39" i="10"/>
  <c r="M40" i="10"/>
  <c r="H39" i="10" a="1"/>
  <c r="H39" i="10" s="1"/>
  <c r="M64" i="10"/>
  <c r="F64" i="10"/>
  <c r="L65" i="10" a="1"/>
  <c r="L65" i="10" s="1"/>
  <c r="G64" i="10"/>
  <c r="H64" i="10" a="1"/>
  <c r="H64" i="10" s="1"/>
  <c r="M65" i="10"/>
  <c r="I64" i="10"/>
  <c r="J64" i="10"/>
  <c r="N64" i="10"/>
  <c r="K64" i="10" a="1"/>
  <c r="K64" i="10" s="1"/>
  <c r="L67" i="10" a="1"/>
  <c r="L67" i="10" s="1"/>
  <c r="M67" i="10"/>
  <c r="N66" i="10"/>
  <c r="J66" i="10"/>
  <c r="I66" i="10"/>
  <c r="H66" i="10" a="1"/>
  <c r="H66" i="10" s="1"/>
  <c r="F66" i="10"/>
  <c r="G66" i="10"/>
  <c r="K66" i="10" a="1"/>
  <c r="K66" i="10" s="1"/>
  <c r="L82" i="10" a="1"/>
  <c r="L82" i="10" s="1"/>
  <c r="J82" i="10"/>
  <c r="L83" i="10" a="1"/>
  <c r="L83" i="10" s="1"/>
  <c r="F82" i="10"/>
  <c r="M83" i="10"/>
  <c r="K82" i="10" a="1"/>
  <c r="K82" i="10" s="1"/>
  <c r="N82" i="10"/>
  <c r="I82" i="10"/>
  <c r="H82" i="10" a="1"/>
  <c r="H82" i="10" s="1"/>
  <c r="G82" i="10"/>
  <c r="J72" i="10"/>
  <c r="K72" i="10" a="1"/>
  <c r="K72" i="10" s="1"/>
  <c r="F72" i="10"/>
  <c r="G72" i="10"/>
  <c r="H72" i="10" a="1"/>
  <c r="H72" i="10" s="1"/>
  <c r="I72" i="10"/>
  <c r="N72" i="10"/>
  <c r="L73" i="10" a="1"/>
  <c r="L73" i="10" s="1"/>
  <c r="M73" i="10"/>
  <c r="F77" i="10"/>
  <c r="N77" i="10"/>
  <c r="L78" i="10" a="1"/>
  <c r="L78" i="10" s="1"/>
  <c r="I77" i="10"/>
  <c r="M78" i="10"/>
  <c r="J77" i="10"/>
  <c r="K77" i="10" a="1"/>
  <c r="K77" i="10" s="1"/>
  <c r="H77" i="10" a="1"/>
  <c r="H77" i="10" s="1"/>
  <c r="G77" i="10"/>
  <c r="G21" i="10"/>
  <c r="I21" i="10"/>
  <c r="N21" i="10"/>
  <c r="F21" i="10"/>
  <c r="J21" i="10"/>
  <c r="K21" i="10" a="1"/>
  <c r="K21" i="10" s="1"/>
  <c r="M22" i="10"/>
  <c r="L22" i="10" a="1"/>
  <c r="L22" i="10" s="1"/>
  <c r="H21" i="10" a="1"/>
  <c r="H21" i="10" s="1"/>
  <c r="N89" i="10"/>
  <c r="M90" i="10"/>
  <c r="F89" i="10"/>
  <c r="G89" i="10"/>
  <c r="K89" i="10" a="1"/>
  <c r="K89" i="10" s="1"/>
  <c r="H89" i="10" a="1"/>
  <c r="H89" i="10" s="1"/>
  <c r="J89" i="10"/>
  <c r="L90" i="10" a="1"/>
  <c r="L90" i="10" s="1"/>
  <c r="I89" i="10"/>
  <c r="G31" i="10"/>
  <c r="M32" i="10"/>
  <c r="K31" i="10" a="1"/>
  <c r="K31" i="10" s="1"/>
  <c r="N31" i="10"/>
  <c r="H31" i="10" a="1"/>
  <c r="H31" i="10" s="1"/>
  <c r="J31" i="10"/>
  <c r="F31" i="10"/>
  <c r="I31" i="10"/>
  <c r="L32" i="10" a="1"/>
  <c r="L32" i="10" s="1"/>
  <c r="F100" i="10"/>
  <c r="K100" i="10" a="1"/>
  <c r="K100" i="10" s="1"/>
  <c r="N100" i="10"/>
  <c r="H100" i="10" a="1"/>
  <c r="H100" i="10" s="1"/>
  <c r="J100" i="10"/>
  <c r="M101" i="10"/>
  <c r="I100" i="10"/>
  <c r="L101" i="10" a="1"/>
  <c r="L101" i="10" s="1"/>
  <c r="G100" i="10"/>
  <c r="G95" i="10"/>
  <c r="J95" i="10"/>
  <c r="M96" i="10"/>
  <c r="K95" i="10" a="1"/>
  <c r="K95" i="10" s="1"/>
  <c r="L96" i="10" a="1"/>
  <c r="L96" i="10" s="1"/>
  <c r="I95" i="10"/>
  <c r="H95" i="10" a="1"/>
  <c r="H95" i="10" s="1"/>
  <c r="N95" i="10"/>
  <c r="F95" i="10"/>
  <c r="I76" i="10"/>
  <c r="G76" i="10"/>
  <c r="L77" i="10" a="1"/>
  <c r="L77" i="10" s="1"/>
  <c r="J76" i="10"/>
  <c r="K76" i="10" a="1"/>
  <c r="K76" i="10" s="1"/>
  <c r="F76" i="10"/>
  <c r="H76" i="10" a="1"/>
  <c r="H76" i="10" s="1"/>
  <c r="M77" i="10"/>
  <c r="N76" i="10"/>
  <c r="F22" i="10"/>
  <c r="H22" i="10" a="1"/>
  <c r="H22" i="10" s="1"/>
  <c r="J22" i="10"/>
  <c r="I22" i="10"/>
  <c r="M23" i="10"/>
  <c r="K22" i="10" a="1"/>
  <c r="K22" i="10" s="1"/>
  <c r="N22" i="10"/>
  <c r="L23" i="10" a="1"/>
  <c r="L23" i="10" s="1"/>
  <c r="G22" i="10"/>
  <c r="J58" i="10"/>
  <c r="H58" i="10" a="1"/>
  <c r="H58" i="10" s="1"/>
  <c r="L59" i="10" a="1"/>
  <c r="L59" i="10" s="1"/>
  <c r="K58" i="10" a="1"/>
  <c r="K58" i="10" s="1"/>
  <c r="N58" i="10"/>
  <c r="I58" i="10"/>
  <c r="F58" i="10"/>
  <c r="M59" i="10"/>
  <c r="G58" i="10"/>
  <c r="N47" i="10"/>
  <c r="L48" i="10" a="1"/>
  <c r="L48" i="10" s="1"/>
  <c r="K47" i="10" a="1"/>
  <c r="K47" i="10" s="1"/>
  <c r="M48" i="10"/>
  <c r="H47" i="10" a="1"/>
  <c r="H47" i="10" s="1"/>
  <c r="I47" i="10"/>
  <c r="F47" i="10"/>
  <c r="G47" i="10"/>
  <c r="J47" i="10"/>
  <c r="H57" i="10" a="1"/>
  <c r="H57" i="10" s="1"/>
  <c r="K57" i="10" a="1"/>
  <c r="K57" i="10" s="1"/>
  <c r="N57" i="10"/>
  <c r="F57" i="10"/>
  <c r="M58" i="10"/>
  <c r="L58" i="10" a="1"/>
  <c r="L58" i="10" s="1"/>
  <c r="G57" i="10"/>
  <c r="J57" i="10"/>
  <c r="I57" i="10"/>
  <c r="N41" i="10"/>
  <c r="F41" i="10"/>
  <c r="M42" i="10"/>
  <c r="L42" i="10" a="1"/>
  <c r="L42" i="10" s="1"/>
  <c r="H41" i="10" a="1"/>
  <c r="H41" i="10" s="1"/>
  <c r="G41" i="10"/>
  <c r="I41" i="10"/>
  <c r="K41" i="10" a="1"/>
  <c r="K41" i="10" s="1"/>
  <c r="J41" i="10"/>
  <c r="I105" i="10"/>
  <c r="F105" i="10"/>
  <c r="K105" i="10" a="1"/>
  <c r="K105" i="10" s="1"/>
  <c r="G105" i="10"/>
  <c r="J105" i="10"/>
  <c r="H105" i="10" a="1"/>
  <c r="H105" i="10" s="1"/>
  <c r="N105" i="10"/>
  <c r="G87" i="10"/>
  <c r="I87" i="10"/>
  <c r="L88" i="10" a="1"/>
  <c r="L88" i="10" s="1"/>
  <c r="J87" i="10"/>
  <c r="H87" i="10" a="1"/>
  <c r="H87" i="10" s="1"/>
  <c r="K87" i="10" a="1"/>
  <c r="K87" i="10" s="1"/>
  <c r="N87" i="10"/>
  <c r="M88" i="10"/>
  <c r="F87" i="10"/>
  <c r="H60" i="10" a="1"/>
  <c r="H60" i="10" s="1"/>
  <c r="N60" i="10"/>
  <c r="I60" i="10"/>
  <c r="J60" i="10"/>
  <c r="L61" i="10" a="1"/>
  <c r="L61" i="10" s="1"/>
  <c r="F60" i="10"/>
  <c r="K60" i="10" a="1"/>
  <c r="K60" i="10" s="1"/>
  <c r="G60" i="10"/>
  <c r="M61" i="10"/>
  <c r="H96" i="10" a="1"/>
  <c r="H96" i="10" s="1"/>
  <c r="L97" i="10" a="1"/>
  <c r="L97" i="10" s="1"/>
  <c r="F96" i="10"/>
  <c r="M97" i="10"/>
  <c r="N96" i="10"/>
  <c r="I96" i="10"/>
  <c r="G96" i="10"/>
  <c r="K96" i="10" a="1"/>
  <c r="K96" i="10" s="1"/>
  <c r="J96" i="10"/>
  <c r="H45" i="10" a="1"/>
  <c r="H45" i="10" s="1"/>
  <c r="L46" i="10" a="1"/>
  <c r="L46" i="10" s="1"/>
  <c r="K45" i="10" a="1"/>
  <c r="K45" i="10" s="1"/>
  <c r="J45" i="10"/>
  <c r="I45" i="10"/>
  <c r="F45" i="10"/>
  <c r="G45" i="10"/>
  <c r="N45" i="10"/>
  <c r="M46" i="10"/>
  <c r="M104" i="10"/>
  <c r="H103" i="10" a="1"/>
  <c r="H103" i="10" s="1"/>
  <c r="J103" i="10"/>
  <c r="K103" i="10" a="1"/>
  <c r="K103" i="10" s="1"/>
  <c r="N103" i="10"/>
  <c r="G103" i="10"/>
  <c r="L104" i="10" a="1"/>
  <c r="L104" i="10" s="1"/>
  <c r="F103" i="10"/>
  <c r="I103" i="10"/>
  <c r="K35" i="10" a="1"/>
  <c r="K35" i="10" s="1"/>
  <c r="L36" i="10" a="1"/>
  <c r="L36" i="10" s="1"/>
  <c r="I35" i="10"/>
  <c r="G35" i="10"/>
  <c r="F35" i="10"/>
  <c r="H35" i="10" a="1"/>
  <c r="H35" i="10" s="1"/>
  <c r="M36" i="10"/>
  <c r="N35" i="10"/>
  <c r="J35" i="10"/>
  <c r="H32" i="10" a="1"/>
  <c r="H32" i="10" s="1"/>
  <c r="M33" i="10"/>
  <c r="F32" i="10"/>
  <c r="J32" i="10"/>
  <c r="L33" i="10" a="1"/>
  <c r="L33" i="10" s="1"/>
  <c r="N32" i="10"/>
  <c r="G32" i="10"/>
  <c r="K32" i="10" a="1"/>
  <c r="K32" i="10" s="1"/>
  <c r="I32" i="10"/>
  <c r="K36" i="10" a="1"/>
  <c r="K36" i="10" s="1"/>
  <c r="L37" i="10" a="1"/>
  <c r="L37" i="10" s="1"/>
  <c r="F36" i="10"/>
  <c r="N36" i="10"/>
  <c r="G36" i="10"/>
  <c r="M37" i="10"/>
  <c r="I36" i="10"/>
  <c r="H36" i="10" a="1"/>
  <c r="H36" i="10" s="1"/>
  <c r="J36" i="10"/>
  <c r="L53" i="10" a="1"/>
  <c r="L53" i="10" s="1"/>
  <c r="H52" i="10" a="1"/>
  <c r="H52" i="10" s="1"/>
  <c r="G52" i="10"/>
  <c r="N52" i="10"/>
  <c r="I52" i="10"/>
  <c r="J52" i="10"/>
  <c r="K52" i="10" a="1"/>
  <c r="K52" i="10" s="1"/>
  <c r="F52" i="10"/>
  <c r="M53" i="10"/>
  <c r="K102" i="10" a="1"/>
  <c r="K102" i="10" s="1"/>
  <c r="J102" i="10"/>
  <c r="G102" i="10"/>
  <c r="F102" i="10"/>
  <c r="H102" i="10" a="1"/>
  <c r="H102" i="10" s="1"/>
  <c r="M103" i="10"/>
  <c r="N102" i="10"/>
  <c r="L103" i="10" a="1"/>
  <c r="L103" i="10" s="1"/>
  <c r="I102" i="10"/>
  <c r="L68" i="10" a="1"/>
  <c r="L68" i="10" s="1"/>
  <c r="J67" i="10"/>
  <c r="N67" i="10"/>
  <c r="H67" i="10" a="1"/>
  <c r="H67" i="10" s="1"/>
  <c r="M68" i="10"/>
  <c r="K67" i="10" a="1"/>
  <c r="K67" i="10" s="1"/>
  <c r="I67" i="10"/>
  <c r="F67" i="10"/>
  <c r="G67" i="10"/>
  <c r="N10" i="10"/>
  <c r="H10" i="10" a="1"/>
  <c r="H10" i="10" s="1"/>
  <c r="F10" i="10"/>
  <c r="I10" i="10"/>
  <c r="G10" i="10"/>
  <c r="K10" i="10" a="1"/>
  <c r="K10" i="10" s="1"/>
  <c r="L11" i="10" a="1"/>
  <c r="L11" i="10" s="1"/>
  <c r="J10" i="10"/>
  <c r="H18" i="10" a="1"/>
  <c r="H18" i="10" s="1"/>
  <c r="M19" i="10"/>
  <c r="F18" i="10"/>
  <c r="I18" i="10"/>
  <c r="K18" i="10" a="1"/>
  <c r="K18" i="10" s="1"/>
  <c r="N18" i="10"/>
  <c r="G18" i="10"/>
  <c r="J18" i="10"/>
  <c r="L19" i="10" a="1"/>
  <c r="L19" i="10" s="1"/>
  <c r="G50" i="10"/>
  <c r="N50" i="10"/>
  <c r="M51" i="10"/>
  <c r="L51" i="10" a="1"/>
  <c r="L51" i="10" s="1"/>
  <c r="J50" i="10"/>
  <c r="H50" i="10" a="1"/>
  <c r="H50" i="10" s="1"/>
  <c r="F50" i="10"/>
  <c r="K50" i="10" a="1"/>
  <c r="K50" i="10" s="1"/>
  <c r="I50" i="10"/>
  <c r="J13" i="10"/>
  <c r="I13" i="10"/>
  <c r="G13" i="10"/>
  <c r="L14" i="10" a="1"/>
  <c r="L14" i="10" s="1"/>
  <c r="F13" i="10"/>
  <c r="N13" i="10"/>
  <c r="H13" i="10" a="1"/>
  <c r="H13" i="10" s="1"/>
  <c r="K13" i="10" a="1"/>
  <c r="K13" i="10" s="1"/>
  <c r="H44" i="10" a="1"/>
  <c r="H44" i="10" s="1"/>
  <c r="G44" i="10"/>
  <c r="F44" i="10"/>
  <c r="K44" i="10" a="1"/>
  <c r="K44" i="10" s="1"/>
  <c r="I44" i="10"/>
  <c r="M45" i="10"/>
  <c r="N44" i="10"/>
  <c r="L45" i="10" a="1"/>
  <c r="L45" i="10" s="1"/>
  <c r="J44" i="10"/>
  <c r="G75" i="10"/>
  <c r="K75" i="10" a="1"/>
  <c r="K75" i="10" s="1"/>
  <c r="M76" i="10"/>
  <c r="J75" i="10"/>
  <c r="H75" i="10" a="1"/>
  <c r="H75" i="10" s="1"/>
  <c r="N75" i="10"/>
  <c r="F75" i="10"/>
  <c r="I75" i="10"/>
  <c r="L76" i="10" a="1"/>
  <c r="L76" i="10" s="1"/>
  <c r="J69" i="10"/>
  <c r="M70" i="10"/>
  <c r="N69" i="10"/>
  <c r="I69" i="10"/>
  <c r="H69" i="10" a="1"/>
  <c r="H69" i="10" s="1"/>
  <c r="K69" i="10" a="1"/>
  <c r="K69" i="10" s="1"/>
  <c r="G69" i="10"/>
  <c r="F69" i="10"/>
  <c r="L70" i="10" a="1"/>
  <c r="L70" i="10" s="1"/>
  <c r="K25" i="10" a="1"/>
  <c r="K25" i="10" s="1"/>
  <c r="F25" i="10"/>
  <c r="L26" i="10" a="1"/>
  <c r="L26" i="10" s="1"/>
  <c r="G25" i="10"/>
  <c r="M26" i="10"/>
  <c r="H25" i="10" a="1"/>
  <c r="H25" i="10" s="1"/>
  <c r="I25" i="10"/>
  <c r="N25" i="10"/>
  <c r="J25" i="10"/>
  <c r="M44" i="10"/>
  <c r="H43" i="10" a="1"/>
  <c r="H43" i="10" s="1"/>
  <c r="K43" i="10" a="1"/>
  <c r="K43" i="10" s="1"/>
  <c r="G43" i="10"/>
  <c r="F43" i="10"/>
  <c r="N43" i="10"/>
  <c r="I43" i="10"/>
  <c r="J43" i="10"/>
  <c r="L44" i="10" a="1"/>
  <c r="L44" i="10" s="1"/>
  <c r="H90" i="10" a="1"/>
  <c r="H90" i="10" s="1"/>
  <c r="L91" i="10" a="1"/>
  <c r="L91" i="10" s="1"/>
  <c r="K90" i="10" a="1"/>
  <c r="K90" i="10" s="1"/>
  <c r="J90" i="10"/>
  <c r="G90" i="10"/>
  <c r="M91" i="10"/>
  <c r="N90" i="10"/>
  <c r="F90" i="10"/>
  <c r="I90" i="10"/>
  <c r="I79" i="10"/>
  <c r="F79" i="10"/>
  <c r="K79" i="10" a="1"/>
  <c r="K79" i="10" s="1"/>
  <c r="L80" i="10" a="1"/>
  <c r="L80" i="10" s="1"/>
  <c r="G79" i="10"/>
  <c r="J79" i="10"/>
  <c r="H79" i="10" a="1"/>
  <c r="H79" i="10" s="1"/>
  <c r="M80" i="10"/>
  <c r="N79" i="10"/>
  <c r="K93" i="10" a="1"/>
  <c r="K93" i="10" s="1"/>
  <c r="H93" i="10" a="1"/>
  <c r="H93" i="10" s="1"/>
  <c r="G93" i="10"/>
  <c r="N93" i="10"/>
  <c r="I93" i="10"/>
  <c r="M94" i="10"/>
  <c r="L94" i="10" a="1"/>
  <c r="L94" i="10" s="1"/>
  <c r="J93" i="10"/>
  <c r="F93" i="10"/>
  <c r="I91" i="10"/>
  <c r="L92" i="10" a="1"/>
  <c r="L92" i="10" s="1"/>
  <c r="M92" i="10"/>
  <c r="H91" i="10" a="1"/>
  <c r="H91" i="10" s="1"/>
  <c r="G91" i="10"/>
  <c r="J91" i="10"/>
  <c r="N91" i="10"/>
  <c r="F91" i="10"/>
  <c r="K91" i="10" a="1"/>
  <c r="K91" i="10" s="1"/>
  <c r="I38" i="10"/>
  <c r="J38" i="10"/>
  <c r="F38" i="10"/>
  <c r="M39" i="10"/>
  <c r="N38" i="10"/>
  <c r="K38" i="10" a="1"/>
  <c r="K38" i="10" s="1"/>
  <c r="L39" i="10" a="1"/>
  <c r="L39" i="10" s="1"/>
  <c r="H38" i="10" a="1"/>
  <c r="H38" i="10" s="1"/>
  <c r="G38" i="10"/>
  <c r="I53" i="10"/>
  <c r="L54" i="10" a="1"/>
  <c r="L54" i="10" s="1"/>
  <c r="N53" i="10"/>
  <c r="M54" i="10"/>
  <c r="H53" i="10" a="1"/>
  <c r="H53" i="10" s="1"/>
  <c r="J53" i="10"/>
  <c r="F53" i="10"/>
  <c r="G53" i="10"/>
  <c r="K53" i="10" a="1"/>
  <c r="K53" i="10" s="1"/>
  <c r="I46" i="10"/>
  <c r="N46" i="10"/>
  <c r="K46" i="10" a="1"/>
  <c r="K46" i="10" s="1"/>
  <c r="M47" i="10"/>
  <c r="H46" i="10" a="1"/>
  <c r="H46" i="10" s="1"/>
  <c r="F46" i="10"/>
  <c r="L47" i="10" a="1"/>
  <c r="L47" i="10" s="1"/>
  <c r="J46" i="10"/>
  <c r="G46" i="10"/>
  <c r="F63" i="10"/>
  <c r="H63" i="10" a="1"/>
  <c r="H63" i="10" s="1"/>
  <c r="I63" i="10"/>
  <c r="L64" i="10" a="1"/>
  <c r="L64" i="10" s="1"/>
  <c r="G63" i="10"/>
  <c r="K63" i="10" a="1"/>
  <c r="K63" i="10" s="1"/>
  <c r="J63" i="10"/>
  <c r="N63" i="10"/>
  <c r="K56" i="10" a="1"/>
  <c r="K56" i="10" s="1"/>
  <c r="L57" i="10" a="1"/>
  <c r="L57" i="10" s="1"/>
  <c r="I56" i="10"/>
  <c r="N56" i="10"/>
  <c r="H56" i="10" a="1"/>
  <c r="H56" i="10" s="1"/>
  <c r="G56" i="10"/>
  <c r="M57" i="10"/>
  <c r="F56" i="10"/>
  <c r="J56" i="10"/>
  <c r="J92" i="10"/>
  <c r="M93" i="10"/>
  <c r="K92" i="10" a="1"/>
  <c r="K92" i="10" s="1"/>
  <c r="H92" i="10" a="1"/>
  <c r="H92" i="10" s="1"/>
  <c r="G92" i="10"/>
  <c r="L93" i="10" a="1"/>
  <c r="L93" i="10" s="1"/>
  <c r="N92" i="10"/>
  <c r="I92" i="10"/>
  <c r="F92" i="10"/>
  <c r="H68" i="10" a="1"/>
  <c r="H68" i="10" s="1"/>
  <c r="G68" i="10"/>
  <c r="N68" i="10"/>
  <c r="L69" i="10" a="1"/>
  <c r="L69" i="10" s="1"/>
  <c r="K68" i="10" a="1"/>
  <c r="K68" i="10" s="1"/>
  <c r="I68" i="10"/>
  <c r="M69" i="10"/>
  <c r="J68" i="10"/>
  <c r="F68" i="10"/>
  <c r="I55" i="10"/>
  <c r="G55" i="10"/>
  <c r="N55" i="10"/>
  <c r="F55" i="10"/>
  <c r="M56" i="10"/>
  <c r="K55" i="10" a="1"/>
  <c r="K55" i="10" s="1"/>
  <c r="L56" i="10" a="1"/>
  <c r="L56" i="10" s="1"/>
  <c r="J55" i="10"/>
  <c r="H55" i="10" a="1"/>
  <c r="H55" i="10" s="1"/>
  <c r="L55" i="10" a="1"/>
  <c r="L55" i="10" s="1"/>
  <c r="G54" i="10"/>
  <c r="K54" i="10" a="1"/>
  <c r="K54" i="10" s="1"/>
  <c r="N54" i="10"/>
  <c r="M55" i="10"/>
  <c r="F54" i="10"/>
  <c r="J54" i="10"/>
  <c r="I54" i="10"/>
  <c r="H54" i="10" a="1"/>
  <c r="H54" i="10" s="1"/>
  <c r="N6" i="10"/>
  <c r="O6" i="10" s="1"/>
  <c r="P6" i="10" s="1"/>
  <c r="H6" i="10" a="1"/>
  <c r="H6" i="10" s="1"/>
  <c r="L7" i="10" a="1"/>
  <c r="L7" i="10" s="1"/>
  <c r="J6" i="10"/>
  <c r="M6" i="10"/>
  <c r="M7" i="10" s="1"/>
  <c r="K6" i="10" a="1"/>
  <c r="K6" i="10" s="1"/>
  <c r="I6" i="10"/>
  <c r="L6" i="10" a="1"/>
  <c r="L6" i="10" s="1"/>
  <c r="G6" i="10"/>
  <c r="F6" i="10"/>
  <c r="L72" i="10" a="1"/>
  <c r="L72" i="10" s="1"/>
  <c r="G71" i="10"/>
  <c r="N71" i="10"/>
  <c r="J71" i="10"/>
  <c r="K71" i="10" a="1"/>
  <c r="K71" i="10" s="1"/>
  <c r="M72" i="10"/>
  <c r="H71" i="10" a="1"/>
  <c r="H71" i="10" s="1"/>
  <c r="I71" i="10"/>
  <c r="F71" i="10"/>
  <c r="G16" i="10"/>
  <c r="K16" i="10" a="1"/>
  <c r="K16" i="10" s="1"/>
  <c r="I16" i="10"/>
  <c r="L17" i="10" a="1"/>
  <c r="L17" i="10" s="1"/>
  <c r="H16" i="10" a="1"/>
  <c r="H16" i="10" s="1"/>
  <c r="J16" i="10"/>
  <c r="N16" i="10"/>
  <c r="F16" i="10"/>
  <c r="K74" i="10" a="1"/>
  <c r="K74" i="10" s="1"/>
  <c r="I74" i="10"/>
  <c r="H74" i="10" a="1"/>
  <c r="H74" i="10" s="1"/>
  <c r="N74" i="10"/>
  <c r="G74" i="10"/>
  <c r="L75" i="10" a="1"/>
  <c r="L75" i="10" s="1"/>
  <c r="F74" i="10"/>
  <c r="J74" i="10"/>
  <c r="M75" i="10"/>
  <c r="I9" i="10"/>
  <c r="L10" i="10" a="1"/>
  <c r="L10" i="10" s="1"/>
  <c r="J9" i="10"/>
  <c r="K9" i="10" a="1"/>
  <c r="K9" i="10" s="1"/>
  <c r="N9" i="10"/>
  <c r="H9" i="10" a="1"/>
  <c r="H9" i="10" s="1"/>
  <c r="F9" i="10"/>
  <c r="G9" i="10"/>
  <c r="H88" i="10" a="1"/>
  <c r="H88" i="10" s="1"/>
  <c r="L89" i="10" a="1"/>
  <c r="L89" i="10" s="1"/>
  <c r="I88" i="10"/>
  <c r="F88" i="10"/>
  <c r="G88" i="10"/>
  <c r="N88" i="10"/>
  <c r="J88" i="10"/>
  <c r="K88" i="10" a="1"/>
  <c r="K88" i="10" s="1"/>
  <c r="M89" i="10"/>
  <c r="K33" i="10" a="1"/>
  <c r="K33" i="10" s="1"/>
  <c r="G33" i="10"/>
  <c r="M34" i="10"/>
  <c r="H33" i="10" a="1"/>
  <c r="H33" i="10" s="1"/>
  <c r="L34" i="10" a="1"/>
  <c r="L34" i="10" s="1"/>
  <c r="J33" i="10"/>
  <c r="F33" i="10"/>
  <c r="N33" i="10"/>
  <c r="I33" i="10"/>
  <c r="L24" i="10" a="1"/>
  <c r="L24" i="10" s="1"/>
  <c r="G23" i="10"/>
  <c r="K23" i="10" a="1"/>
  <c r="K23" i="10" s="1"/>
  <c r="H23" i="10" a="1"/>
  <c r="H23" i="10" s="1"/>
  <c r="J23" i="10"/>
  <c r="M24" i="10"/>
  <c r="N23" i="10"/>
  <c r="I23" i="10"/>
  <c r="F23" i="10"/>
  <c r="F29" i="10"/>
  <c r="K29" i="10" a="1"/>
  <c r="K29" i="10" s="1"/>
  <c r="N29" i="10"/>
  <c r="G29" i="10"/>
  <c r="L30" i="10" a="1"/>
  <c r="L30" i="10" s="1"/>
  <c r="I29" i="10"/>
  <c r="H29" i="10" a="1"/>
  <c r="H29" i="10" s="1"/>
  <c r="M30" i="10"/>
  <c r="J29" i="10"/>
  <c r="N104" i="10"/>
  <c r="J104" i="10"/>
  <c r="G104" i="10"/>
  <c r="M105" i="10"/>
  <c r="L105" i="10" a="1"/>
  <c r="L105" i="10" s="1"/>
  <c r="I104" i="10"/>
  <c r="F104" i="10"/>
  <c r="H104" i="10" a="1"/>
  <c r="H104" i="10" s="1"/>
  <c r="K104" i="10" a="1"/>
  <c r="K104" i="10" s="1"/>
  <c r="G84" i="10"/>
  <c r="K84" i="10" a="1"/>
  <c r="K84" i="10" s="1"/>
  <c r="H84" i="10" a="1"/>
  <c r="H84" i="10" s="1"/>
  <c r="I84" i="10"/>
  <c r="F84" i="10"/>
  <c r="M85" i="10"/>
  <c r="N84" i="10"/>
  <c r="L85" i="10" a="1"/>
  <c r="L85" i="10" s="1"/>
  <c r="J84" i="10"/>
  <c r="K20" i="10" a="1"/>
  <c r="K20" i="10" s="1"/>
  <c r="I20" i="10"/>
  <c r="L21" i="10" a="1"/>
  <c r="L21" i="10" s="1"/>
  <c r="J20" i="10"/>
  <c r="H20" i="10" a="1"/>
  <c r="H20" i="10" s="1"/>
  <c r="M21" i="10"/>
  <c r="F20" i="10"/>
  <c r="N20" i="10"/>
  <c r="G20" i="10"/>
  <c r="G85" i="10"/>
  <c r="K85" i="10" a="1"/>
  <c r="K85" i="10" s="1"/>
  <c r="I85" i="10"/>
  <c r="M86" i="10"/>
  <c r="F85" i="10"/>
  <c r="J85" i="10"/>
  <c r="H85" i="10" a="1"/>
  <c r="H85" i="10" s="1"/>
  <c r="L86" i="10" a="1"/>
  <c r="L86" i="10" s="1"/>
  <c r="N85" i="10"/>
  <c r="M49" i="10"/>
  <c r="F49" i="10"/>
  <c r="G49" i="10"/>
  <c r="K49" i="10" a="1"/>
  <c r="K49" i="10" s="1"/>
  <c r="L50" i="10" a="1"/>
  <c r="L50" i="10" s="1"/>
  <c r="I49" i="10"/>
  <c r="M50" i="10"/>
  <c r="H49" i="10" a="1"/>
  <c r="H49" i="10" s="1"/>
  <c r="J49" i="10"/>
  <c r="N49" i="10"/>
  <c r="F97" i="10"/>
  <c r="G97" i="10"/>
  <c r="H97" i="10" a="1"/>
  <c r="H97" i="10" s="1"/>
  <c r="L98" i="10" a="1"/>
  <c r="L98" i="10" s="1"/>
  <c r="K97" i="10" a="1"/>
  <c r="K97" i="10" s="1"/>
  <c r="J97" i="10"/>
  <c r="I97" i="10"/>
  <c r="N97" i="10"/>
  <c r="M98" i="10"/>
  <c r="F101" i="10"/>
  <c r="I101" i="10"/>
  <c r="K101" i="10" a="1"/>
  <c r="K101" i="10" s="1"/>
  <c r="J101" i="10"/>
  <c r="M102" i="10"/>
  <c r="N101" i="10"/>
  <c r="L102" i="10" a="1"/>
  <c r="L102" i="10" s="1"/>
  <c r="H101" i="10" a="1"/>
  <c r="H101" i="10" s="1"/>
  <c r="G101" i="10"/>
  <c r="K65" i="10" a="1"/>
  <c r="K65" i="10" s="1"/>
  <c r="I65" i="10"/>
  <c r="N65" i="10"/>
  <c r="F65" i="10"/>
  <c r="J65" i="10"/>
  <c r="H65" i="10" a="1"/>
  <c r="H65" i="10" s="1"/>
  <c r="G65" i="10"/>
  <c r="L66" i="10" a="1"/>
  <c r="L66" i="10" s="1"/>
  <c r="M66" i="10"/>
  <c r="J80" i="10"/>
  <c r="N80" i="10"/>
  <c r="G80" i="10"/>
  <c r="H80" i="10" a="1"/>
  <c r="H80" i="10" s="1"/>
  <c r="L81" i="10" a="1"/>
  <c r="L81" i="10" s="1"/>
  <c r="F80" i="10"/>
  <c r="K80" i="10" a="1"/>
  <c r="K80" i="10" s="1"/>
  <c r="M81" i="10"/>
  <c r="I80" i="10"/>
  <c r="I83" i="10"/>
  <c r="G83" i="10"/>
  <c r="H83" i="10" a="1"/>
  <c r="H83" i="10" s="1"/>
  <c r="N83" i="10"/>
  <c r="J83" i="10"/>
  <c r="F83" i="10"/>
  <c r="M84" i="10"/>
  <c r="L84" i="10" a="1"/>
  <c r="L84" i="10" s="1"/>
  <c r="K83" i="10" a="1"/>
  <c r="K83" i="10" s="1"/>
  <c r="L31" i="10" a="1"/>
  <c r="L31" i="10" s="1"/>
  <c r="J30" i="10"/>
  <c r="F30" i="10"/>
  <c r="M31" i="10"/>
  <c r="N30" i="10"/>
  <c r="H30" i="10" a="1"/>
  <c r="H30" i="10" s="1"/>
  <c r="K30" i="10" a="1"/>
  <c r="K30" i="10" s="1"/>
  <c r="I30" i="10"/>
  <c r="G30" i="10"/>
  <c r="N12" i="10"/>
  <c r="K12" i="10" a="1"/>
  <c r="K12" i="10" s="1"/>
  <c r="L13" i="10" a="1"/>
  <c r="L13" i="10" s="1"/>
  <c r="H12" i="10" a="1"/>
  <c r="H12" i="10" s="1"/>
  <c r="J12" i="10"/>
  <c r="G12" i="10"/>
  <c r="I12" i="10"/>
  <c r="F12" i="10"/>
  <c r="L18" i="10" a="1"/>
  <c r="L18" i="10" s="1"/>
  <c r="N17" i="10"/>
  <c r="F17" i="10"/>
  <c r="K17" i="10" a="1"/>
  <c r="K17" i="10" s="1"/>
  <c r="J17" i="10"/>
  <c r="H17" i="10" a="1"/>
  <c r="H17" i="10" s="1"/>
  <c r="G17" i="10"/>
  <c r="I17" i="10"/>
  <c r="H19" i="10" a="1"/>
  <c r="H19" i="10" s="1"/>
  <c r="K19" i="10" a="1"/>
  <c r="K19" i="10" s="1"/>
  <c r="F19" i="10"/>
  <c r="I19" i="10"/>
  <c r="N19" i="10"/>
  <c r="J19" i="10"/>
  <c r="G19" i="10"/>
  <c r="L20" i="10" a="1"/>
  <c r="L20" i="10" s="1"/>
  <c r="M20" i="10"/>
  <c r="M11" i="10"/>
  <c r="M12" i="10" s="1"/>
  <c r="O7" i="10" l="1"/>
  <c r="P7" i="10" s="1"/>
  <c r="M13" i="10"/>
  <c r="M14" i="10" s="1"/>
  <c r="M15" i="10" s="1"/>
  <c r="M16" i="10" s="1"/>
  <c r="O8" i="10" l="1"/>
  <c r="O9" i="10" s="1"/>
  <c r="M17" i="10"/>
  <c r="M18" i="10" s="1"/>
  <c r="P8" i="10"/>
  <c r="P9" i="10" l="1"/>
  <c r="O10" i="10"/>
  <c r="P10" i="10" l="1"/>
  <c r="O11" i="10"/>
  <c r="P11" i="10" l="1"/>
  <c r="O12" i="10"/>
  <c r="P12" i="10" l="1"/>
  <c r="O13" i="10"/>
  <c r="O14" i="10" l="1"/>
  <c r="P13" i="10"/>
  <c r="O15" i="10" l="1"/>
  <c r="P14" i="10"/>
  <c r="P15" i="10" l="1"/>
  <c r="O16" i="10"/>
  <c r="P16" i="10" l="1"/>
  <c r="O17" i="10"/>
  <c r="P17" i="10" l="1"/>
  <c r="O18" i="10"/>
  <c r="P18" i="10" l="1"/>
  <c r="O19" i="10"/>
  <c r="O20" i="10" l="1"/>
  <c r="P19" i="10"/>
  <c r="P20" i="10" l="1"/>
  <c r="O21" i="10"/>
  <c r="O22" i="10" l="1"/>
  <c r="P21" i="10"/>
  <c r="O23" i="10" l="1"/>
  <c r="P22" i="10"/>
  <c r="P23" i="10" l="1"/>
  <c r="O24" i="10"/>
  <c r="P24" i="10" l="1"/>
  <c r="O25" i="10"/>
  <c r="P25" i="10" l="1"/>
  <c r="O26" i="10"/>
  <c r="P26" i="10" l="1"/>
  <c r="O27" i="10"/>
  <c r="O28" i="10" l="1"/>
  <c r="P27" i="10"/>
  <c r="O29" i="10" l="1"/>
  <c r="P28" i="10"/>
  <c r="P29" i="10" l="1"/>
  <c r="O30" i="10"/>
  <c r="P30" i="10" l="1"/>
  <c r="O31" i="10"/>
  <c r="O32" i="10" l="1"/>
  <c r="P31" i="10"/>
  <c r="O33" i="10" l="1"/>
  <c r="P32" i="10"/>
  <c r="P33" i="10" l="1"/>
  <c r="O34" i="10"/>
  <c r="O35" i="10" l="1"/>
  <c r="P34" i="10"/>
  <c r="P35" i="10" l="1"/>
  <c r="O36" i="10"/>
  <c r="O37" i="10" l="1"/>
  <c r="P36" i="10"/>
  <c r="P37" i="10" l="1"/>
  <c r="O38" i="10"/>
  <c r="O39" i="10" l="1"/>
  <c r="P38" i="10"/>
  <c r="O40" i="10" l="1"/>
  <c r="P39" i="10"/>
  <c r="P40" i="10" l="1"/>
  <c r="O41" i="10"/>
  <c r="O42" i="10" l="1"/>
  <c r="P41" i="10"/>
  <c r="P42" i="10" l="1"/>
  <c r="O43" i="10"/>
  <c r="O44" i="10" l="1"/>
  <c r="P43" i="10"/>
  <c r="O45" i="10" l="1"/>
  <c r="P44" i="10"/>
  <c r="P45" i="10" l="1"/>
  <c r="O46" i="10"/>
  <c r="O47" i="10" l="1"/>
  <c r="P46" i="10"/>
  <c r="O48" i="10" l="1"/>
  <c r="P47" i="10"/>
  <c r="P48" i="10" l="1"/>
  <c r="O49" i="10"/>
  <c r="P49" i="10" l="1"/>
  <c r="O50" i="10"/>
  <c r="O51" i="10" l="1"/>
  <c r="P50" i="10"/>
  <c r="O52" i="10" l="1"/>
  <c r="P51" i="10"/>
  <c r="O53" i="10" l="1"/>
  <c r="P52" i="10"/>
  <c r="P53" i="10" l="1"/>
  <c r="O54" i="10"/>
  <c r="P54" i="10" l="1"/>
  <c r="O55" i="10"/>
  <c r="O56" i="10" l="1"/>
  <c r="P55" i="10"/>
  <c r="O57" i="10" l="1"/>
  <c r="P56" i="10"/>
  <c r="O58" i="10" l="1"/>
  <c r="P57" i="10"/>
  <c r="O59" i="10" l="1"/>
  <c r="P58" i="10"/>
  <c r="P59" i="10" l="1"/>
  <c r="O60" i="10"/>
  <c r="O61" i="10" l="1"/>
  <c r="P60" i="10"/>
  <c r="P61" i="10" l="1"/>
  <c r="O62" i="10"/>
  <c r="O63" i="10" l="1"/>
  <c r="P62" i="10"/>
  <c r="P63" i="10" l="1"/>
  <c r="O64" i="10"/>
  <c r="P64" i="10" l="1"/>
  <c r="O65" i="10"/>
  <c r="P65" i="10" l="1"/>
  <c r="O66" i="10"/>
  <c r="P66" i="10" l="1"/>
  <c r="O67" i="10"/>
  <c r="O68" i="10" l="1"/>
  <c r="P67" i="10"/>
  <c r="O69" i="10" l="1"/>
  <c r="P68" i="10"/>
  <c r="P69" i="10" l="1"/>
  <c r="O70" i="10"/>
  <c r="P70" i="10" l="1"/>
  <c r="O71" i="10"/>
  <c r="O72" i="10" l="1"/>
  <c r="P71" i="10"/>
  <c r="O73" i="10" l="1"/>
  <c r="P72" i="10"/>
  <c r="O74" i="10" l="1"/>
  <c r="P73" i="10"/>
  <c r="O75" i="10" l="1"/>
  <c r="P74" i="10"/>
  <c r="P75" i="10" l="1"/>
  <c r="O76" i="10"/>
  <c r="O77" i="10" l="1"/>
  <c r="P76" i="10"/>
  <c r="P77" i="10" l="1"/>
  <c r="O78" i="10"/>
  <c r="P78" i="10" l="1"/>
  <c r="O79" i="10"/>
  <c r="P79" i="10" l="1"/>
  <c r="O80" i="10"/>
  <c r="P80" i="10" l="1"/>
  <c r="O81" i="10"/>
  <c r="P81" i="10" l="1"/>
  <c r="O82" i="10"/>
  <c r="O83" i="10" l="1"/>
  <c r="P82" i="10"/>
  <c r="P83" i="10" l="1"/>
  <c r="O84" i="10"/>
  <c r="O85" i="10" l="1"/>
  <c r="P84" i="10"/>
  <c r="O86" i="10" l="1"/>
  <c r="P85" i="10"/>
  <c r="P86" i="10" l="1"/>
  <c r="O87" i="10"/>
  <c r="P87" i="10" l="1"/>
  <c r="O88" i="10"/>
  <c r="P88" i="10" l="1"/>
  <c r="O89" i="10"/>
  <c r="P89" i="10" l="1"/>
  <c r="O90" i="10"/>
  <c r="P90" i="10" l="1"/>
  <c r="O91" i="10"/>
  <c r="O92" i="10" l="1"/>
  <c r="P91"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U6" i="10"/>
  <c r="U8" i="10"/>
  <c r="T7" i="10" l="1"/>
  <c r="T6" i="10"/>
  <c r="T8" i="10"/>
  <c r="U7" i="10"/>
  <c r="C8" i="14" l="1"/>
  <c r="C31" i="17"/>
  <c r="C33" i="17" s="1"/>
  <c r="C35" i="17" s="1"/>
  <c r="G25" i="19" l="1"/>
  <c r="G27" i="19" s="1"/>
  <c r="G28" i="19" s="1"/>
  <c r="G31" i="19" s="1"/>
  <c r="G35" i="19" s="1"/>
  <c r="G36" i="19" s="1"/>
  <c r="C34" i="19" s="1"/>
  <c r="C15" i="19"/>
  <c r="C17" i="19" s="1"/>
  <c r="C37" i="17"/>
  <c r="C39" i="17" s="1"/>
  <c r="C41" i="17" s="1"/>
  <c r="C42" i="17" s="1"/>
  <c r="D192" i="14" s="1"/>
  <c r="E193" i="14" s="1"/>
  <c r="F193" i="14" s="1"/>
  <c r="C43" i="17"/>
  <c r="C45" i="17" s="1"/>
  <c r="C47" i="17" s="1"/>
  <c r="C49" i="17" s="1"/>
  <c r="C51" i="17" s="1"/>
  <c r="D196" i="14" s="1"/>
  <c r="F196" i="14" s="1"/>
  <c r="D29" i="14"/>
  <c r="F29" i="14" s="1"/>
  <c r="G30" i="14" s="1"/>
  <c r="G59" i="14" s="1"/>
  <c r="C19" i="19" l="1"/>
  <c r="C21" i="19" l="1"/>
  <c r="C22" i="19" s="1"/>
  <c r="D17" i="15" s="1"/>
  <c r="C13" i="14" s="1"/>
  <c r="D65" i="14" s="1"/>
  <c r="F65" i="14" l="1"/>
  <c r="D77" i="14"/>
  <c r="F77" i="14" s="1"/>
  <c r="E78" i="14" s="1"/>
  <c r="F78" i="14" s="1"/>
  <c r="E79" i="14" s="1"/>
  <c r="F79" i="14" s="1"/>
  <c r="G80" i="14" s="1"/>
  <c r="D12" i="15"/>
  <c r="H13" i="14"/>
  <c r="C13" i="19" l="1"/>
  <c r="C18" i="19" s="1"/>
  <c r="D16" i="16" s="1"/>
  <c r="D13" i="15"/>
  <c r="E66" i="14"/>
  <c r="F66" i="14" s="1"/>
  <c r="F67" i="14" s="1"/>
  <c r="G68" i="14" s="1"/>
  <c r="D10" i="15" l="1"/>
  <c r="C55" i="17" s="1"/>
  <c r="C56" i="17" s="1"/>
  <c r="C58" i="17" s="1"/>
  <c r="D186" i="14" s="1"/>
  <c r="F186" i="14" s="1"/>
  <c r="F71" i="14"/>
  <c r="F72" i="14" s="1"/>
  <c r="E73" i="14" s="1"/>
  <c r="F73" i="14" s="1"/>
  <c r="G74" i="14" s="1"/>
  <c r="G82" i="14" s="1"/>
  <c r="C26" i="17"/>
  <c r="C27" i="17" s="1"/>
  <c r="C28" i="17" s="1"/>
  <c r="D194" i="14" s="1"/>
  <c r="E195" i="14" s="1"/>
  <c r="F195" i="14" s="1"/>
  <c r="H14" i="14"/>
  <c r="C32" i="19" l="1"/>
  <c r="C35" i="19" s="1"/>
  <c r="D17" i="16" s="1"/>
  <c r="D87" i="14"/>
  <c r="D99" i="14" l="1"/>
  <c r="F99" i="14" s="1"/>
  <c r="E100" i="14" s="1"/>
  <c r="F100" i="14" s="1"/>
  <c r="E101" i="14" s="1"/>
  <c r="F101" i="14" s="1"/>
  <c r="G102" i="14" s="1"/>
  <c r="F87" i="14"/>
  <c r="E88" i="14" l="1"/>
  <c r="F88" i="14" s="1"/>
  <c r="F89" i="14" s="1"/>
  <c r="G90" i="14" s="1"/>
  <c r="F93" i="14" l="1"/>
  <c r="F94" i="14" s="1"/>
  <c r="E95" i="14" s="1"/>
  <c r="F95" i="14" s="1"/>
  <c r="G96" i="14" s="1"/>
  <c r="G104" i="14" s="1"/>
  <c r="G172" i="14" s="1"/>
  <c r="E21" i="16"/>
  <c r="V28" i="16" s="1"/>
  <c r="Z103" i="16" l="1"/>
  <c r="AA103" i="16" s="1"/>
  <c r="Z11" i="16"/>
  <c r="AA11" i="16" s="1"/>
  <c r="Z201" i="16"/>
  <c r="AA201" i="16" s="1"/>
  <c r="Z152" i="16"/>
  <c r="AA152" i="16" s="1"/>
  <c r="Z50" i="16"/>
  <c r="AA50" i="16" s="1"/>
  <c r="Z163" i="16"/>
  <c r="AA163" i="16" s="1"/>
  <c r="Z166" i="16"/>
  <c r="AA166" i="16" s="1"/>
  <c r="Z185" i="16"/>
  <c r="AA185" i="16" s="1"/>
  <c r="Z22" i="16"/>
  <c r="AA22" i="16" s="1"/>
  <c r="Z24" i="16"/>
  <c r="AA24" i="16" s="1"/>
  <c r="Z14" i="16"/>
  <c r="AA14" i="16" s="1"/>
  <c r="Z197" i="16"/>
  <c r="AA197" i="16" s="1"/>
  <c r="Z125" i="16"/>
  <c r="AA125" i="16" s="1"/>
  <c r="Z98" i="16"/>
  <c r="AA98" i="16" s="1"/>
  <c r="Z83" i="16"/>
  <c r="AA83" i="16" s="1"/>
  <c r="Z27" i="16"/>
  <c r="AA27" i="16" s="1"/>
  <c r="Z186" i="16"/>
  <c r="AA186" i="16" s="1"/>
  <c r="Z89" i="16"/>
  <c r="AA89" i="16" s="1"/>
  <c r="Z94" i="16"/>
  <c r="AA94" i="16" s="1"/>
  <c r="Z174" i="16"/>
  <c r="AA174" i="16" s="1"/>
  <c r="Z20" i="16"/>
  <c r="AA20" i="16" s="1"/>
  <c r="Z92" i="16"/>
  <c r="AA92" i="16" s="1"/>
  <c r="Z19" i="16"/>
  <c r="AA19" i="16" s="1"/>
  <c r="Z140" i="16"/>
  <c r="AA140" i="16" s="1"/>
  <c r="Z180" i="16"/>
  <c r="AA180" i="16" s="1"/>
  <c r="Z113" i="16"/>
  <c r="AA113" i="16" s="1"/>
  <c r="Z41" i="16"/>
  <c r="AA41" i="16" s="1"/>
  <c r="Z23" i="16"/>
  <c r="AA23" i="16" s="1"/>
  <c r="Z78" i="16"/>
  <c r="AA78" i="16" s="1"/>
  <c r="Z121" i="16"/>
  <c r="AA121" i="16" s="1"/>
  <c r="Z189" i="16"/>
  <c r="AA189" i="16" s="1"/>
  <c r="Z147" i="16"/>
  <c r="AA147" i="16" s="1"/>
  <c r="Z172" i="16"/>
  <c r="AA172" i="16" s="1"/>
  <c r="Z70" i="16"/>
  <c r="AA70" i="16" s="1"/>
  <c r="Z193" i="16"/>
  <c r="AA193" i="16" s="1"/>
  <c r="Z106" i="16"/>
  <c r="AA106" i="16" s="1"/>
  <c r="Z119" i="16"/>
  <c r="AA119" i="16" s="1"/>
  <c r="Z40" i="16"/>
  <c r="AA40" i="16" s="1"/>
  <c r="Z100" i="16"/>
  <c r="AA100" i="16" s="1"/>
  <c r="Z34" i="16"/>
  <c r="AA34" i="16" s="1"/>
  <c r="Z198" i="16"/>
  <c r="AA198" i="16" s="1"/>
  <c r="Z202" i="16"/>
  <c r="AA202" i="16" s="1"/>
  <c r="Z95" i="16"/>
  <c r="AA95" i="16" s="1"/>
  <c r="Z18" i="16"/>
  <c r="AA18" i="16" s="1"/>
  <c r="Z131" i="16"/>
  <c r="AA131" i="16" s="1"/>
  <c r="Z192" i="16"/>
  <c r="AA192" i="16" s="1"/>
  <c r="Z150" i="16"/>
  <c r="AA150" i="16" s="1"/>
  <c r="Z145" i="16"/>
  <c r="AA145" i="16" s="1"/>
  <c r="Z175" i="16"/>
  <c r="AA175" i="16" s="1"/>
  <c r="Z45" i="16"/>
  <c r="AA45" i="16" s="1"/>
  <c r="Z32" i="16"/>
  <c r="AA32" i="16" s="1"/>
  <c r="Z35" i="16"/>
  <c r="AA35" i="16" s="1"/>
  <c r="Z158" i="16"/>
  <c r="AA158" i="16" s="1"/>
  <c r="Z72" i="16"/>
  <c r="AA72" i="16" s="1"/>
  <c r="Z107" i="16"/>
  <c r="AA107" i="16" s="1"/>
  <c r="Z170" i="16"/>
  <c r="AA170" i="16" s="1"/>
  <c r="Z13" i="16"/>
  <c r="AA13" i="16" s="1"/>
  <c r="Z156" i="16"/>
  <c r="AA156" i="16" s="1"/>
  <c r="Z115" i="16"/>
  <c r="AA115" i="16" s="1"/>
  <c r="Z160" i="16"/>
  <c r="AA160" i="16" s="1"/>
  <c r="Z181" i="16"/>
  <c r="AA181" i="16" s="1"/>
  <c r="Z196" i="16"/>
  <c r="AA196" i="16" s="1"/>
  <c r="Z39" i="16"/>
  <c r="AA39" i="16" s="1"/>
  <c r="Z151" i="16"/>
  <c r="AA151" i="16" s="1"/>
  <c r="Z37" i="16"/>
  <c r="AA37" i="16" s="1"/>
  <c r="Z146" i="16"/>
  <c r="AA146" i="16" s="1"/>
  <c r="Z66" i="16"/>
  <c r="AA66" i="16" s="1"/>
  <c r="Z67" i="16"/>
  <c r="AA67" i="16" s="1"/>
  <c r="Z139" i="16"/>
  <c r="AA139" i="16" s="1"/>
  <c r="Z112" i="16"/>
  <c r="AA112" i="16" s="1"/>
  <c r="Z8" i="16"/>
  <c r="AA8" i="16" s="1"/>
  <c r="Z183" i="16"/>
  <c r="AA183" i="16" s="1"/>
  <c r="Z142" i="16"/>
  <c r="AA142" i="16" s="1"/>
  <c r="Z148" i="16"/>
  <c r="AA148" i="16" s="1"/>
  <c r="Z60" i="16"/>
  <c r="AA60" i="16" s="1"/>
  <c r="Z164" i="16"/>
  <c r="AA164" i="16" s="1"/>
  <c r="Z97" i="16"/>
  <c r="AA97" i="16" s="1"/>
  <c r="Z169" i="16"/>
  <c r="AA169" i="16" s="1"/>
  <c r="Z73" i="16"/>
  <c r="AA73" i="16" s="1"/>
  <c r="Z153" i="16"/>
  <c r="AA153" i="16" s="1"/>
  <c r="Z7" i="16"/>
  <c r="AA7" i="16" s="1"/>
  <c r="Z46" i="16"/>
  <c r="AA46" i="16" s="1"/>
  <c r="Z15" i="16"/>
  <c r="AA15" i="16" s="1"/>
  <c r="Z12" i="16"/>
  <c r="AA12" i="16" s="1"/>
  <c r="Z130" i="16"/>
  <c r="AA130" i="16" s="1"/>
  <c r="Z99" i="16"/>
  <c r="AA99" i="16" s="1"/>
  <c r="Z38" i="16"/>
  <c r="AA38" i="16" s="1"/>
  <c r="Z177" i="16"/>
  <c r="AA177" i="16" s="1"/>
  <c r="Z42" i="16"/>
  <c r="AA42" i="16" s="1"/>
  <c r="Z87" i="16"/>
  <c r="AA87" i="16" s="1"/>
  <c r="Z159" i="16"/>
  <c r="AA159" i="16" s="1"/>
  <c r="Z204" i="16"/>
  <c r="AA204" i="16" s="1"/>
  <c r="Z64" i="16"/>
  <c r="AA64" i="16" s="1"/>
  <c r="Z88" i="16"/>
  <c r="AA88" i="16" s="1"/>
  <c r="Z191" i="16"/>
  <c r="AA191" i="16" s="1"/>
  <c r="Z86" i="16"/>
  <c r="AA86" i="16" s="1"/>
  <c r="Z161" i="16"/>
  <c r="AA161" i="16" s="1"/>
  <c r="Z144" i="16"/>
  <c r="AA144" i="16" s="1"/>
  <c r="Z149" i="16"/>
  <c r="AA149" i="16" s="1"/>
  <c r="Z90" i="16"/>
  <c r="AA90" i="16" s="1"/>
  <c r="Z62" i="16"/>
  <c r="AA62" i="16" s="1"/>
  <c r="Z205" i="16"/>
  <c r="AA205" i="16" s="1"/>
  <c r="Z199" i="16"/>
  <c r="AA199" i="16" s="1"/>
  <c r="Z59" i="16"/>
  <c r="AA59" i="16" s="1"/>
  <c r="Z182" i="16"/>
  <c r="AA182" i="16" s="1"/>
  <c r="Z109" i="16"/>
  <c r="AA109" i="16" s="1"/>
  <c r="Z54" i="16"/>
  <c r="AA54" i="16" s="1"/>
  <c r="Z154" i="16"/>
  <c r="AA154" i="16" s="1"/>
  <c r="Z55" i="16"/>
  <c r="AA55" i="16" s="1"/>
  <c r="Z133" i="16"/>
  <c r="AA133" i="16" s="1"/>
  <c r="Z36" i="16"/>
  <c r="AA36" i="16" s="1"/>
  <c r="Z63" i="16"/>
  <c r="AA63" i="16" s="1"/>
  <c r="Z110" i="16"/>
  <c r="AA110" i="16" s="1"/>
  <c r="Z56" i="16"/>
  <c r="AA56" i="16" s="1"/>
  <c r="Z52" i="16"/>
  <c r="AA52" i="16" s="1"/>
  <c r="Z179" i="16"/>
  <c r="AA179" i="16" s="1"/>
  <c r="Z123" i="16"/>
  <c r="AA123" i="16" s="1"/>
  <c r="Z96" i="16"/>
  <c r="AA96" i="16" s="1"/>
  <c r="Z120" i="16"/>
  <c r="AA120" i="16" s="1"/>
  <c r="Z101" i="16"/>
  <c r="AA101" i="16" s="1"/>
  <c r="Z29" i="16"/>
  <c r="AA29" i="16" s="1"/>
  <c r="Z77" i="16"/>
  <c r="AA77" i="16" s="1"/>
  <c r="Z44" i="16"/>
  <c r="AA44" i="16" s="1"/>
  <c r="Z132" i="16"/>
  <c r="AA132" i="16" s="1"/>
  <c r="Z65" i="16"/>
  <c r="AA65" i="16" s="1"/>
  <c r="Z137" i="16"/>
  <c r="AA137" i="16" s="1"/>
  <c r="Z190" i="16"/>
  <c r="AA190" i="16" s="1"/>
  <c r="Z124" i="16"/>
  <c r="AA124" i="16" s="1"/>
  <c r="Z176" i="16"/>
  <c r="AA176" i="16" s="1"/>
  <c r="Z47" i="16"/>
  <c r="AA47" i="16" s="1"/>
  <c r="Z74" i="16"/>
  <c r="AA74" i="16" s="1"/>
  <c r="Z178" i="16"/>
  <c r="AA178" i="16" s="1"/>
  <c r="Z84" i="16"/>
  <c r="AA84" i="16" s="1"/>
  <c r="Z17" i="16"/>
  <c r="AA17" i="16" s="1"/>
  <c r="Z155" i="16"/>
  <c r="AA155" i="16" s="1"/>
  <c r="Z128" i="16"/>
  <c r="AA128" i="16" s="1"/>
  <c r="Z10" i="16"/>
  <c r="AA10" i="16" s="1"/>
  <c r="Z71" i="16"/>
  <c r="AA71" i="16" s="1"/>
  <c r="Z127" i="16"/>
  <c r="AA127" i="16" s="1"/>
  <c r="Z143" i="16"/>
  <c r="AA143" i="16" s="1"/>
  <c r="Z141" i="16"/>
  <c r="AA141" i="16" s="1"/>
  <c r="Z21" i="16"/>
  <c r="AA21" i="16" s="1"/>
  <c r="Z53" i="16"/>
  <c r="AA53" i="16" s="1"/>
  <c r="Z91" i="16"/>
  <c r="AA91" i="16" s="1"/>
  <c r="Z51" i="16"/>
  <c r="AA51" i="16" s="1"/>
  <c r="Z122" i="16"/>
  <c r="AA122" i="16" s="1"/>
  <c r="Z167" i="16"/>
  <c r="AA167" i="16" s="1"/>
  <c r="Z184" i="16"/>
  <c r="AA184" i="16" s="1"/>
  <c r="Z194" i="16"/>
  <c r="AA194" i="16" s="1"/>
  <c r="Z9" i="16"/>
  <c r="AA9" i="16" s="1"/>
  <c r="Z79" i="16"/>
  <c r="AA79" i="16" s="1"/>
  <c r="Z5" i="16"/>
  <c r="AA5" i="16" s="1"/>
  <c r="Z80" i="16"/>
  <c r="AA80" i="16" s="1"/>
  <c r="Z85" i="16"/>
  <c r="AA85" i="16" s="1"/>
  <c r="Z82" i="16"/>
  <c r="AA82" i="16" s="1"/>
  <c r="Z162" i="16"/>
  <c r="AA162" i="16" s="1"/>
  <c r="Z187" i="16"/>
  <c r="AA187" i="16" s="1"/>
  <c r="Z200" i="16"/>
  <c r="AA200" i="16" s="1"/>
  <c r="Z129" i="16"/>
  <c r="AA129" i="16" s="1"/>
  <c r="Z43" i="16"/>
  <c r="AA43" i="16" s="1"/>
  <c r="Z28" i="16"/>
  <c r="AA28" i="16" s="1"/>
  <c r="Z25" i="16"/>
  <c r="AA25" i="16" s="1"/>
  <c r="Z173" i="16"/>
  <c r="AA173" i="16" s="1"/>
  <c r="Z104" i="16"/>
  <c r="AA104" i="16" s="1"/>
  <c r="Z203" i="16"/>
  <c r="AA203" i="16" s="1"/>
  <c r="Z157" i="16"/>
  <c r="AA157" i="16" s="1"/>
  <c r="Z48" i="16"/>
  <c r="AA48" i="16" s="1"/>
  <c r="Z118" i="16"/>
  <c r="AA118" i="16" s="1"/>
  <c r="Z116" i="16"/>
  <c r="AA116" i="16" s="1"/>
  <c r="Z49" i="16"/>
  <c r="AA49" i="16" s="1"/>
  <c r="Z105" i="16"/>
  <c r="AA105" i="16" s="1"/>
  <c r="Z126" i="16"/>
  <c r="AA126" i="16" s="1"/>
  <c r="Z31" i="16"/>
  <c r="AA31" i="16" s="1"/>
  <c r="Z102" i="16"/>
  <c r="AA102" i="16" s="1"/>
  <c r="Z138" i="16"/>
  <c r="AA138" i="16" s="1"/>
  <c r="Z81" i="16"/>
  <c r="AA81" i="16" s="1"/>
  <c r="Z16" i="16"/>
  <c r="AA16" i="16" s="1"/>
  <c r="Z108" i="16"/>
  <c r="AA108" i="16" s="1"/>
  <c r="Z68" i="16"/>
  <c r="AA68" i="16" s="1"/>
  <c r="Z195" i="16"/>
  <c r="AA195" i="16" s="1"/>
  <c r="Z57" i="16"/>
  <c r="AA57" i="16" s="1"/>
  <c r="Z30" i="16"/>
  <c r="AA30" i="16" s="1"/>
  <c r="Z136" i="16"/>
  <c r="AA136" i="16" s="1"/>
  <c r="Z117" i="16"/>
  <c r="AA117" i="16" s="1"/>
  <c r="Z111" i="16"/>
  <c r="AA111" i="16" s="1"/>
  <c r="Z76" i="16"/>
  <c r="AA76" i="16" s="1"/>
  <c r="Z188" i="16"/>
  <c r="AA188" i="16" s="1"/>
  <c r="Z134" i="16"/>
  <c r="AA134" i="16" s="1"/>
  <c r="Z58" i="16"/>
  <c r="AA58" i="16" s="1"/>
  <c r="Z26" i="16"/>
  <c r="AA26" i="16" s="1"/>
  <c r="Z69" i="16"/>
  <c r="AA69" i="16" s="1"/>
  <c r="Z165" i="16"/>
  <c r="AA165" i="16" s="1"/>
  <c r="Z6" i="16"/>
  <c r="AA6" i="16" s="1"/>
  <c r="Z171" i="16"/>
  <c r="AA171" i="16" s="1"/>
  <c r="Z168" i="16"/>
  <c r="AA168" i="16" s="1"/>
  <c r="Z114" i="16"/>
  <c r="AA114" i="16" s="1"/>
  <c r="Z33" i="16"/>
  <c r="AA33" i="16" s="1"/>
  <c r="Z135" i="16"/>
  <c r="AA135" i="16" s="1"/>
  <c r="Z75" i="16"/>
  <c r="AA75" i="16" s="1"/>
  <c r="Z61" i="16"/>
  <c r="AA61" i="16" s="1"/>
  <c r="Z93" i="16"/>
  <c r="AA93" i="16" s="1"/>
  <c r="D28" i="16" l="1"/>
  <c r="D26" i="16"/>
  <c r="D29" i="16"/>
  <c r="D27" i="16"/>
  <c r="H7" i="20" l="1"/>
  <c r="I7" i="20" s="1"/>
  <c r="H5" i="20"/>
  <c r="I5" i="20" s="1"/>
  <c r="H8" i="20"/>
  <c r="I8" i="20" s="1"/>
  <c r="D30" i="16"/>
  <c r="E27" i="16"/>
  <c r="E29" i="16"/>
  <c r="E28" i="16"/>
  <c r="I10" i="20" l="1"/>
  <c r="D41" i="16"/>
  <c r="D42" i="16"/>
  <c r="D43" i="16"/>
  <c r="D36" i="16"/>
  <c r="D15" i="16" l="1"/>
  <c r="D7" i="16"/>
  <c r="D5" i="16" l="1"/>
  <c r="F29" i="16" s="1"/>
  <c r="E41" i="16" s="1"/>
  <c r="F28" i="16" l="1"/>
  <c r="E42" i="16" s="1"/>
  <c r="H42" i="16" s="1"/>
  <c r="F27" i="16"/>
  <c r="E43" i="16" s="1"/>
  <c r="H43" i="16" s="1"/>
  <c r="H41" i="16"/>
  <c r="F30" i="16" l="1"/>
  <c r="F36" i="16" s="1"/>
  <c r="H45" i="16"/>
  <c r="E185" i="14" s="1"/>
  <c r="F185" i="14" s="1"/>
  <c r="G197" i="14" s="1"/>
  <c r="G199" i="14" s="1"/>
  <c r="G211" i="14" s="1"/>
  <c r="E215" i="14" s="1"/>
  <c r="F215" i="14" s="1"/>
  <c r="G216" i="14" s="1"/>
  <c r="G218" i="14" s="1"/>
  <c r="G221" i="14" s="1"/>
  <c r="D8" i="18" s="1"/>
  <c r="E45" i="16"/>
  <c r="D12" i="18" l="1"/>
  <c r="I6" i="29" l="1"/>
  <c r="J6" i="29" s="1"/>
  <c r="I7" i="29"/>
  <c r="J7" i="29" s="1"/>
  <c r="K7" i="29" s="1"/>
  <c r="I12" i="29"/>
  <c r="J21" i="29" l="1"/>
  <c r="J12" i="29"/>
  <c r="K6" i="29"/>
  <c r="K12" i="29" l="1"/>
  <c r="K21" i="29" s="1"/>
  <c r="D19" i="22"/>
  <c r="C14" i="23" s="1"/>
  <c r="H14" i="23" l="1"/>
  <c r="D87" i="23"/>
  <c r="C26" i="28"/>
  <c r="C27" i="28" s="1"/>
  <c r="C28" i="28" s="1"/>
  <c r="D194" i="23" s="1"/>
  <c r="E195" i="23" s="1"/>
  <c r="F195" i="23" s="1"/>
  <c r="D99" i="23" l="1"/>
  <c r="F99" i="23" s="1"/>
  <c r="E100" i="23" s="1"/>
  <c r="F100" i="23" s="1"/>
  <c r="E101" i="23" s="1"/>
  <c r="F101" i="23" s="1"/>
  <c r="G102" i="23" s="1"/>
  <c r="F87" i="23"/>
  <c r="E88" i="23" s="1"/>
  <c r="F88" i="23" s="1"/>
  <c r="F89" i="23" s="1"/>
  <c r="G90" i="23" s="1"/>
  <c r="C32" i="25"/>
  <c r="C35" i="25"/>
  <c r="D17" i="27" s="1"/>
  <c r="D5" i="27" s="1"/>
  <c r="G104" i="23" l="1"/>
  <c r="G172" i="23" s="1"/>
  <c r="F28" i="27"/>
  <c r="E42" i="27" s="1"/>
  <c r="H42" i="27" s="1"/>
  <c r="F29" i="27"/>
  <c r="E41" i="27" s="1"/>
  <c r="F27" i="27"/>
  <c r="H41" i="27" l="1"/>
  <c r="E43" i="27"/>
  <c r="H43" i="27" s="1"/>
  <c r="F30" i="27"/>
  <c r="F36" i="27" s="1"/>
  <c r="H45" i="27" l="1"/>
  <c r="E185" i="23" s="1"/>
  <c r="F185" i="23" s="1"/>
  <c r="G197" i="23" s="1"/>
  <c r="G199" i="23" s="1"/>
  <c r="G211" i="23" s="1"/>
  <c r="E45" i="27"/>
  <c r="E215" i="23" l="1"/>
  <c r="F215" i="23" s="1"/>
  <c r="G216" i="23" s="1"/>
  <c r="G218" i="23" l="1"/>
  <c r="G221" i="23" s="1"/>
  <c r="D16" i="18" s="1"/>
  <c r="D20" i="18" s="1"/>
  <c r="I18" i="29" l="1"/>
  <c r="J18" i="29" s="1"/>
  <c r="K18" i="29" s="1"/>
  <c r="I17" i="29"/>
  <c r="J17" i="29" s="1"/>
  <c r="K17" i="29" s="1"/>
  <c r="I13" i="29"/>
  <c r="J13" i="29" s="1"/>
  <c r="K13" i="29" s="1"/>
  <c r="I5" i="29"/>
  <c r="J5" i="29" s="1"/>
  <c r="I11" i="29"/>
  <c r="J11" i="29" s="1"/>
  <c r="K11" i="29" s="1"/>
  <c r="I8" i="29"/>
  <c r="J8" i="29" s="1"/>
  <c r="K8" i="29" s="1"/>
  <c r="I20" i="29"/>
  <c r="J20" i="29" s="1"/>
  <c r="K20" i="29" s="1"/>
  <c r="I19" i="29"/>
  <c r="J19" i="29" s="1"/>
  <c r="K19" i="29" s="1"/>
  <c r="I15" i="29"/>
  <c r="J15" i="29" s="1"/>
  <c r="K15" i="29" s="1"/>
  <c r="I14" i="29"/>
  <c r="J14" i="29" s="1"/>
  <c r="K14" i="29" s="1"/>
  <c r="I16" i="29"/>
  <c r="J16" i="29" s="1"/>
  <c r="K16" i="29" s="1"/>
  <c r="I9" i="29"/>
  <c r="J9" i="29" s="1"/>
  <c r="K9" i="29" s="1"/>
  <c r="I10" i="29"/>
  <c r="J10" i="29" s="1"/>
  <c r="K10" i="29" s="1"/>
  <c r="J22" i="29" l="1"/>
  <c r="K5" i="29"/>
  <c r="K23" i="29" s="1"/>
  <c r="J23" i="29"/>
  <c r="K22" i="29"/>
</calcChain>
</file>

<file path=xl/sharedStrings.xml><?xml version="1.0" encoding="utf-8"?>
<sst xmlns="http://schemas.openxmlformats.org/spreadsheetml/2006/main" count="5643" uniqueCount="964">
  <si>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</si>
  <si>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</si>
  <si>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</si>
  <si>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</si>
  <si>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</si>
  <si>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</si>
  <si>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</si>
  <si>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</si>
  <si>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</si>
  <si>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</si>
  <si>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</si>
  <si>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</si>
  <si>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</si>
  <si>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</si>
  <si>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</si>
  <si>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</si>
  <si>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</si>
  <si>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</si>
  <si>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</si>
  <si>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</si>
  <si>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</si>
  <si>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</si>
  <si>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</si>
  <si>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</si>
  <si>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</si>
  <si>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</si>
  <si>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</si>
  <si>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</si>
  <si>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</si>
  <si>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</si>
  <si>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</si>
  <si>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</si>
  <si>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</si>
  <si>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</si>
  <si>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</si>
  <si>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</si>
  <si>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</si>
  <si>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</si>
  <si>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</si>
  <si>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</si>
  <si>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</si>
  <si>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</si>
  <si>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</si>
  <si>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</si>
  <si>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</si>
  <si>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</si>
  <si>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</si>
  <si>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</si>
  <si>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</si>
  <si>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</si>
  <si>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</si>
  <si>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</si>
  <si>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</si>
  <si>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</si>
  <si>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</si>
  <si>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</si>
  <si>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</si>
  <si>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</si>
  <si>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</si>
  <si>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</si>
  <si>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</si>
  <si>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</si>
  <si>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</si>
  <si>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</si>
  <si>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</si>
  <si>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</si>
  <si>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</si>
  <si>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</si>
  <si>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</si>
  <si>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</si>
  <si>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</si>
  <si>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</si>
  <si>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</si>
  <si>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</si>
  <si>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</si>
  <si>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</si>
  <si>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</si>
  <si>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</si>
  <si>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</si>
  <si>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</si>
  <si>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</si>
  <si>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</si>
  <si>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</si>
  <si>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</si>
  <si>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</si>
  <si>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</si>
  <si>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</si>
  <si>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</si>
  <si>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</si>
  <si>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</si>
  <si>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</si>
  <si>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</si>
  <si>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</si>
  <si>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</si>
  <si>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</si>
  <si>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</si>
  <si>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</si>
  <si>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</si>
  <si>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</si>
  <si>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</si>
  <si>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</si>
  <si>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</si>
  <si>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</si>
  <si>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</si>
  <si>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</si>
  <si>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</si>
  <si>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</si>
  <si>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</si>
  <si>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</si>
  <si>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</si>
  <si>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</si>
  <si>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</si>
  <si>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</si>
  <si>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</si>
  <si>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</si>
  <si>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</si>
  <si>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</si>
  <si>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</si>
  <si>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</si>
  <si>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</si>
  <si>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</si>
  <si>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</si>
  <si>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</si>
  <si>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</si>
  <si>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</si>
  <si>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</si>
  <si>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</si>
  <si>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</si>
  <si>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</si>
  <si>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</si>
  <si>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</si>
  <si>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</si>
  <si>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</si>
  <si>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</si>
  <si>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</si>
  <si>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</si>
  <si>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</si>
  <si>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</si>
  <si>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</si>
  <si>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</si>
  <si>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</si>
  <si>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</si>
  <si>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</si>
  <si>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</si>
  <si>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</si>
  <si>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</si>
  <si>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</si>
  <si>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</si>
  <si>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</si>
  <si>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</si>
  <si>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</si>
  <si>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</si>
  <si>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</si>
  <si>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</si>
  <si>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</si>
  <si>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</si>
  <si>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</si>
  <si>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</si>
  <si>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</si>
  <si>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</si>
  <si>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</si>
  <si>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</si>
  <si>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</si>
  <si>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</si>
  <si>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</si>
  <si>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</si>
  <si>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</si>
  <si>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</si>
  <si>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</si>
  <si>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</si>
  <si>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</si>
  <si>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</si>
  <si>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</si>
  <si>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</si>
  <si>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</si>
  <si>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</si>
  <si>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</si>
  <si>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</si>
  <si>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</si>
  <si>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</si>
  <si>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</si>
  <si>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</si>
  <si>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</si>
  <si>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</si>
  <si>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</si>
  <si>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</si>
  <si>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</si>
  <si>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</si>
  <si>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</si>
  <si>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</si>
  <si>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</si>
  <si>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</si>
  <si>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</si>
  <si>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</si>
  <si>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</si>
  <si>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</si>
  <si>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</si>
  <si>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</si>
  <si>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</si>
  <si>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</si>
  <si>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</si>
  <si>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</si>
  <si>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</si>
  <si>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</si>
  <si>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</si>
  <si>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</si>
  <si>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</si>
  <si>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</si>
  <si>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</si>
  <si>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</si>
  <si>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</si>
  <si>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</si>
  <si>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</si>
  <si>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</si>
  <si>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</si>
  <si>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</si>
  <si>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</si>
  <si>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</si>
  <si>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</si>
  <si>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</si>
  <si>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</si>
  <si>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</si>
  <si>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</si>
  <si>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</si>
  <si>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</si>
  <si>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</si>
  <si>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</si>
  <si>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</si>
  <si>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</si>
  <si>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</si>
  <si>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</si>
  <si>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</si>
  <si>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</si>
  <si>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</si>
  <si>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</si>
  <si>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</si>
  <si>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</si>
  <si>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</si>
  <si>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</si>
  <si>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</si>
  <si>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</si>
  <si>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</si>
  <si>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</si>
  <si>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</si>
  <si>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</si>
  <si>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</si>
  <si>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</si>
  <si>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</si>
  <si>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</si>
  <si>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</si>
  <si>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</si>
  <si>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</si>
  <si>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</si>
  <si>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</si>
  <si>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</si>
  <si>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</si>
  <si>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</si>
  <si>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</si>
  <si>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</si>
  <si>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</si>
  <si>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</si>
  <si>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</si>
  <si>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</si>
  <si>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</si>
  <si>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</si>
  <si>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</si>
  <si>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</si>
  <si>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</si>
  <si>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</si>
  <si>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</si>
  <si>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</si>
  <si>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</si>
  <si>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</si>
  <si>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</si>
  <si>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</si>
  <si>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</si>
  <si>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</si>
  <si>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</si>
  <si>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</si>
  <si>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</si>
  <si>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</si>
  <si>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</si>
  <si>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</si>
  <si>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</si>
  <si>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</si>
  <si>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</si>
  <si>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</si>
  <si>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</si>
  <si>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</si>
  <si>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</si>
  <si>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</si>
  <si>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</si>
  <si>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</si>
  <si>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</si>
  <si>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</si>
  <si>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</si>
  <si>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</si>
  <si>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</si>
  <si>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</si>
  <si>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</si>
  <si>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</si>
  <si>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</si>
  <si>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</si>
  <si>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</si>
  <si>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</si>
  <si>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</si>
  <si>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</si>
  <si>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</si>
  <si>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</si>
  <si>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</si>
  <si>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</si>
  <si>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</si>
  <si>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</si>
  <si>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</si>
  <si>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</si>
  <si>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</si>
  <si>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</si>
  <si>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</si>
  <si>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</si>
  <si>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</si>
  <si>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</si>
  <si>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</si>
  <si>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</si>
  <si>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</si>
  <si>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</si>
  <si>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</si>
  <si>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</si>
  <si>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</si>
  <si>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</si>
  <si>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</si>
  <si>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</si>
  <si>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</si>
  <si>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</si>
  <si>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</si>
  <si>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</si>
  <si>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</si>
  <si>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</si>
  <si>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</si>
  <si>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</si>
  <si>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</si>
  <si>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</si>
  <si>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</si>
  <si>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</si>
  <si>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</si>
  <si>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</si>
  <si>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</si>
  <si>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</si>
  <si>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</si>
  <si>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</si>
  <si>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</si>
  <si>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</si>
  <si>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</si>
  <si>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</si>
  <si>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</si>
  <si>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</si>
  <si>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</si>
  <si>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</si>
  <si>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</si>
  <si>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</si>
  <si>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</si>
  <si>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</si>
  <si>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</si>
  <si>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</si>
  <si>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</si>
  <si>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</si>
  <si>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</si>
  <si>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</si>
  <si>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</si>
  <si>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</si>
  <si>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</si>
  <si>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</si>
  <si>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</si>
  <si>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</si>
  <si>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</si>
  <si>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</si>
  <si>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</si>
  <si>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</si>
  <si>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</si>
  <si>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</si>
  <si>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</si>
  <si>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</si>
  <si>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</si>
  <si>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</si>
  <si>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</si>
  <si>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</si>
  <si>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</si>
  <si>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</si>
  <si>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</si>
  <si>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</si>
  <si>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</si>
  <si>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</si>
  <si>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</si>
  <si>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</si>
  <si>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</si>
  <si>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</si>
  <si>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</si>
  <si>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</si>
  <si>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</si>
  <si>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</si>
  <si>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</si>
  <si>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</si>
  <si>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</si>
  <si>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</si>
  <si>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</si>
  <si>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</si>
  <si>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</si>
  <si>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</si>
  <si>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</si>
  <si>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</si>
  <si>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</si>
  <si>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</si>
  <si>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</si>
  <si>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</si>
  <si>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</si>
  <si>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</si>
  <si>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</si>
  <si>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</si>
  <si>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</si>
  <si>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</si>
  <si>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</si>
  <si>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</si>
  <si>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</si>
  <si>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</si>
  <si>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</si>
  <si>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</si>
  <si>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</si>
  <si>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</si>
  <si>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</si>
  <si>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</si>
  <si>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</si>
  <si>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</si>
  <si>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</si>
  <si>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Pensa Enfardadeira Hidráulica Vertical pressão hidráulica 15 toneladas, padrões ABNT e NRs</t>
  </si>
  <si>
    <t>Esteira de separação de resíduos tamanho mínimo 10500 mm</t>
  </si>
  <si>
    <t>Empilhadeira hidráulica manual</t>
  </si>
  <si>
    <t>Balança plataforma eletrônica</t>
  </si>
  <si>
    <t>Carro de carga tipo plataforma 800kg</t>
  </si>
  <si>
    <t>CUB-RS  GI (Galpão Industrial)</t>
  </si>
  <si>
    <t>Luva malha algodão</t>
  </si>
  <si>
    <t>Avental PVC</t>
  </si>
  <si>
    <t>Botina com elástico</t>
  </si>
  <si>
    <t>Protetor Auditivo tipo concha</t>
  </si>
  <si>
    <t>Respirador dobrável</t>
  </si>
  <si>
    <t>Óculos leopardo incolor</t>
  </si>
  <si>
    <t>Calça de algodão</t>
  </si>
  <si>
    <t>Camiseta de algodão</t>
  </si>
  <si>
    <t>Plano mensal internet</t>
  </si>
  <si>
    <t>Big bag 1000G</t>
  </si>
  <si>
    <t>Bombona plástica 200 litros</t>
  </si>
  <si>
    <t>Fitilho de prolipropileno</t>
  </si>
  <si>
    <t>www.precoestimado.com.br</t>
  </si>
  <si>
    <t>CONTRATAÇÃO DE UNIDADE DE TRIAGEM DE RESÍDUOS SELETIVOS</t>
  </si>
  <si>
    <t>DDF/STREC</t>
  </si>
  <si>
    <t>ARCEU BANDEIRA RORIGUES</t>
  </si>
  <si>
    <t>www.sinduscon-rs.com.br</t>
  </si>
  <si>
    <t>Planilha de Composição de Custos</t>
  </si>
  <si>
    <t>Resumo operacional da unidade</t>
  </si>
  <si>
    <t>Área construída total (m²)</t>
  </si>
  <si>
    <t>Quantitativo mensal contrato (t/mês)</t>
  </si>
  <si>
    <t>Eficiência da unidade (t/reciclador/mês)</t>
  </si>
  <si>
    <t>Horas total de operação diária</t>
  </si>
  <si>
    <t>Hora início operação</t>
  </si>
  <si>
    <t>Hora final operação</t>
  </si>
  <si>
    <t>Adquirido</t>
  </si>
  <si>
    <t>Doado</t>
  </si>
  <si>
    <t>Possui</t>
  </si>
  <si>
    <t>Possui balança de plataforma</t>
  </si>
  <si>
    <t>1. Uniformes e EPIs</t>
  </si>
  <si>
    <t>1.1 Recicladores</t>
  </si>
  <si>
    <t>DISCRIMINAÇÃO</t>
  </si>
  <si>
    <t xml:space="preserve"> PREÇO UNITÁRIO </t>
  </si>
  <si>
    <t xml:space="preserve"> SUB-TOTAL </t>
  </si>
  <si>
    <t xml:space="preserve"> TOTAL (R$) </t>
  </si>
  <si>
    <t>Calça</t>
  </si>
  <si>
    <t xml:space="preserve">Luva de malha </t>
  </si>
  <si>
    <t>Total do efetivo</t>
  </si>
  <si>
    <t>homem</t>
  </si>
  <si>
    <t>1.2. Operador de prensa</t>
  </si>
  <si>
    <t>Protetor auditivo</t>
  </si>
  <si>
    <t>1.2. Auxiliar de movimentação</t>
  </si>
  <si>
    <t>1.3 Administrativos</t>
  </si>
  <si>
    <t>Total Mensal com Uniformes e EPI2s (R$/mês)</t>
  </si>
  <si>
    <t>2. Equipamentos</t>
  </si>
  <si>
    <t>2.1 - Prensas</t>
  </si>
  <si>
    <t>2.1.1 - Depreciação</t>
  </si>
  <si>
    <t>Custo de aquisição do equipamento</t>
  </si>
  <si>
    <t>Depreciação do equipamento</t>
  </si>
  <si>
    <t>%</t>
  </si>
  <si>
    <t>Depreciação mensal do equipamento</t>
  </si>
  <si>
    <t>mêses</t>
  </si>
  <si>
    <t>2.1.2. - Remuneração do capital investido</t>
  </si>
  <si>
    <t>Valor resídual do equipamento</t>
  </si>
  <si>
    <t>Investimento médio</t>
  </si>
  <si>
    <t>v útil (anos)</t>
  </si>
  <si>
    <t>Remuneração mensal de capital</t>
  </si>
  <si>
    <t>Taxa Selic</t>
  </si>
  <si>
    <t>2.1.3 - Manutenção</t>
  </si>
  <si>
    <t>Custo estimando com manutenção (60 meses)</t>
  </si>
  <si>
    <t>Custo mensal com manutenção</t>
  </si>
  <si>
    <t>2.2 - Esteira de separação</t>
  </si>
  <si>
    <t>2.2.1 - Depreciação</t>
  </si>
  <si>
    <t>2.2.2. - Remuneração do capital investido</t>
  </si>
  <si>
    <t>2.2.3 - Manutenção</t>
  </si>
  <si>
    <t>2.3 - Empilhadeira hidráulica</t>
  </si>
  <si>
    <t>2.3.1 - Depreciação</t>
  </si>
  <si>
    <t>2.3.2. - Remuneração do capital investido</t>
  </si>
  <si>
    <t>2.3.3 - Manutenção</t>
  </si>
  <si>
    <t xml:space="preserve">2.4 - Balança </t>
  </si>
  <si>
    <t>2.4.1 - Depreciação</t>
  </si>
  <si>
    <t>2.4.2. - Remuneração do capital investido</t>
  </si>
  <si>
    <t>2.4.3 - Manutenção</t>
  </si>
  <si>
    <t>Sub total mensla com balança</t>
  </si>
  <si>
    <t>2.5 - Carro Plataforma</t>
  </si>
  <si>
    <t>2.5.1 - Depreciação</t>
  </si>
  <si>
    <t>2.5.2. - Remuneração do capital investido</t>
  </si>
  <si>
    <t>2.5.3 - Manutenção</t>
  </si>
  <si>
    <t>Total mensal com equipamentos (R$ /mês)</t>
  </si>
  <si>
    <t>3 - Manutenão predial</t>
  </si>
  <si>
    <t>Área construída total</t>
  </si>
  <si>
    <t>m²</t>
  </si>
  <si>
    <t>Custo de manutenção predial em 5 anos</t>
  </si>
  <si>
    <t>Custo mensal de manutenção predial</t>
  </si>
  <si>
    <t>Total mensal com manutenção predial (R$ /mês)</t>
  </si>
  <si>
    <t>4. Despesas administrativas</t>
  </si>
  <si>
    <t>Energia elétrica</t>
  </si>
  <si>
    <t>Água</t>
  </si>
  <si>
    <t>m³</t>
  </si>
  <si>
    <t>Big bags 1000 litros</t>
  </si>
  <si>
    <t>Bombona plástica azul 200 litros</t>
  </si>
  <si>
    <t>Fitilho prolipropileno</t>
  </si>
  <si>
    <t>rolo 1000g</t>
  </si>
  <si>
    <t>5. Serviços de terceiros</t>
  </si>
  <si>
    <t>Assessoria ambiental</t>
  </si>
  <si>
    <t>Total mensal</t>
  </si>
  <si>
    <t>6. Benefícios e despesas indiretas</t>
  </si>
  <si>
    <t>Benefícios e despesas indiretas</t>
  </si>
  <si>
    <t>Total mensal com BDI</t>
  </si>
  <si>
    <t>Valor total mensal</t>
  </si>
  <si>
    <t>Composição do BDI</t>
  </si>
  <si>
    <t>Tributos - PIS/COFINS</t>
  </si>
  <si>
    <t>TOTAL</t>
  </si>
  <si>
    <t>N</t>
  </si>
  <si>
    <t>Descrição</t>
  </si>
  <si>
    <t>Valor</t>
  </si>
  <si>
    <t>Parâmetros de triagem</t>
  </si>
  <si>
    <t>1.1</t>
  </si>
  <si>
    <t>Eficiência média de triagem por reciclador</t>
  </si>
  <si>
    <t>t/mês</t>
  </si>
  <si>
    <t>1.2</t>
  </si>
  <si>
    <t>Cooperativados</t>
  </si>
  <si>
    <t>Operador de prensa</t>
  </si>
  <si>
    <t>Auxiliar de movimentação</t>
  </si>
  <si>
    <t>Assistente Administrativo</t>
  </si>
  <si>
    <t>Presidente da Cooperativa</t>
  </si>
  <si>
    <t>1.3</t>
  </si>
  <si>
    <t>Prensas</t>
  </si>
  <si>
    <t>Un</t>
  </si>
  <si>
    <t>1.5</t>
  </si>
  <si>
    <t>Comprimento esteiras</t>
  </si>
  <si>
    <t>m</t>
  </si>
  <si>
    <t>1.6</t>
  </si>
  <si>
    <t>Elevador de fardos</t>
  </si>
  <si>
    <t>1.7</t>
  </si>
  <si>
    <t>Área construída</t>
  </si>
  <si>
    <t>1.7.1</t>
  </si>
  <si>
    <t>Área de triagem</t>
  </si>
  <si>
    <t>1.7.2</t>
  </si>
  <si>
    <t>Área de armazenamento de material triado</t>
  </si>
  <si>
    <t>m2</t>
  </si>
  <si>
    <t>1.7.3</t>
  </si>
  <si>
    <t>Área administrativa</t>
  </si>
  <si>
    <t>1.7.4</t>
  </si>
  <si>
    <t>Área cozinha / refeitório</t>
  </si>
  <si>
    <t>Percentual de rejeito da unidade</t>
  </si>
  <si>
    <t>1.9</t>
  </si>
  <si>
    <t>Horas de operação por mês (6 h/d x 26 d)</t>
  </si>
  <si>
    <t>1.10</t>
  </si>
  <si>
    <t>Eficiência de triagem (t/rec/mês)</t>
  </si>
  <si>
    <t>1.11</t>
  </si>
  <si>
    <t>1.12</t>
  </si>
  <si>
    <t>Quantidade de tipos de mateiriais separados</t>
  </si>
  <si>
    <t>Recicladores / metro de esteira</t>
  </si>
  <si>
    <t>Horas de operação</t>
  </si>
  <si>
    <t>2.1</t>
  </si>
  <si>
    <t>Horas diárias de operação</t>
  </si>
  <si>
    <t>2.1.1</t>
  </si>
  <si>
    <t>Hora de início da operação</t>
  </si>
  <si>
    <t>2.1.2</t>
  </si>
  <si>
    <t>Hora de encerramento da operação</t>
  </si>
  <si>
    <t>2.1.3</t>
  </si>
  <si>
    <t>Intervalo refeição</t>
  </si>
  <si>
    <t>2.2</t>
  </si>
  <si>
    <t>Horas mensais de operação</t>
  </si>
  <si>
    <t>2.2.1</t>
  </si>
  <si>
    <t>Consumo diario fora de ponta (h)</t>
  </si>
  <si>
    <t>Consumo diário Intermediário (h)</t>
  </si>
  <si>
    <t>Consumo diário de ponta (h)</t>
  </si>
  <si>
    <t>Horários de modalidade de tarifa</t>
  </si>
  <si>
    <t>Noite média</t>
  </si>
  <si>
    <t>Consumos</t>
  </si>
  <si>
    <t>Local / Equipamento</t>
  </si>
  <si>
    <t>Potência</t>
  </si>
  <si>
    <t>Consumo Reativo</t>
  </si>
  <si>
    <t>Volume da caixa de prensagem</t>
  </si>
  <si>
    <t>Hora</t>
  </si>
  <si>
    <t xml:space="preserve">Horas </t>
  </si>
  <si>
    <t>Incidencia</t>
  </si>
  <si>
    <t>Largura (m)</t>
  </si>
  <si>
    <t>F</t>
  </si>
  <si>
    <t>Capacidade (fardos por hora)</t>
  </si>
  <si>
    <t>Profundidade (m)</t>
  </si>
  <si>
    <t>Iluminação</t>
  </si>
  <si>
    <t>kWh</t>
  </si>
  <si>
    <t>Iluminação externa (200W LED x 30,5 dias)</t>
  </si>
  <si>
    <t>Potência cv</t>
  </si>
  <si>
    <t>Altura (m)</t>
  </si>
  <si>
    <t>Microcomputador e impressora (300W x 6h/d x 22 dias)</t>
  </si>
  <si>
    <t>Potênica kWh</t>
  </si>
  <si>
    <t>Volume (m³)</t>
  </si>
  <si>
    <t>Volume da caixa de prensagem (m³)</t>
  </si>
  <si>
    <t>Iluminação (3 horas/dia)</t>
  </si>
  <si>
    <t>Produção horária (m³/h)</t>
  </si>
  <si>
    <t>Refrigerador (130W x 24h x 30,42 dias )</t>
  </si>
  <si>
    <t>Massa específica estimada do resíduo (t/m³)</t>
  </si>
  <si>
    <t>Microondas (1200W x 1h x 26 d/mês)</t>
  </si>
  <si>
    <t>Produção horária (t/hora)</t>
  </si>
  <si>
    <t>Área operacional</t>
  </si>
  <si>
    <t>Consumo kWh/t</t>
  </si>
  <si>
    <t>Quantiativo de reciclcáveis (t/mês)</t>
  </si>
  <si>
    <t xml:space="preserve">Prensas </t>
  </si>
  <si>
    <t>kWh/t</t>
  </si>
  <si>
    <t>Fração de resíduos prensáveis (%)</t>
  </si>
  <si>
    <t>Esteira</t>
  </si>
  <si>
    <t>Quantitativo de resíduo prensado (t/mês)</t>
  </si>
  <si>
    <t>Consumo energia elétrica mensal (kWh/mês)</t>
  </si>
  <si>
    <t>Horas mensais de prensagem (h/mês)</t>
  </si>
  <si>
    <t>Número de prensas calculado</t>
  </si>
  <si>
    <t>I</t>
  </si>
  <si>
    <t>P</t>
  </si>
  <si>
    <t>% na faixa</t>
  </si>
  <si>
    <t>Qt (kWh)</t>
  </si>
  <si>
    <t>Preço Unt (R$)</t>
  </si>
  <si>
    <t>Comprimento de esteira calculado (m)</t>
  </si>
  <si>
    <t>Produção mensal (t/mês)</t>
  </si>
  <si>
    <t>Largura da esteira</t>
  </si>
  <si>
    <t>Horas operação mensal (h)</t>
  </si>
  <si>
    <t>Potência específica (cv /m)</t>
  </si>
  <si>
    <t>Produção por hora (t/h)</t>
  </si>
  <si>
    <t>Potência da esteira (cv)</t>
  </si>
  <si>
    <t>Volume por hora (m³/h)</t>
  </si>
  <si>
    <t>Conversão cv para kw</t>
  </si>
  <si>
    <t>Altura média de resíduo (m)</t>
  </si>
  <si>
    <t>Potência específica (kW/m)</t>
  </si>
  <si>
    <t>Volume esteira carregada (m³)</t>
  </si>
  <si>
    <t>Potência da esteira (kW)</t>
  </si>
  <si>
    <t xml:space="preserve">Cargas por hora </t>
  </si>
  <si>
    <t>Horas mensais de operação da unidade (h)</t>
  </si>
  <si>
    <t>Velocidade esteira (m/min)</t>
  </si>
  <si>
    <t>Fator de utilização (%)</t>
  </si>
  <si>
    <t>Comprimento (m)</t>
  </si>
  <si>
    <t>Consumo mensal energia elétrica (kWh/mês)</t>
  </si>
  <si>
    <t>Tempo de carga da esteira (min)</t>
  </si>
  <si>
    <t>Comprimento da esteira padrão (m)</t>
  </si>
  <si>
    <t>Tempo esteira ligada por hora  (min)</t>
  </si>
  <si>
    <t>Horário de ponta</t>
  </si>
  <si>
    <t>Fator de utilização por hora (%)</t>
  </si>
  <si>
    <t>Horário Intermediário</t>
  </si>
  <si>
    <t>Horário fora de ponta</t>
  </si>
  <si>
    <t>Cálculo consumo iluminação</t>
  </si>
  <si>
    <t>Local</t>
  </si>
  <si>
    <t>Densidade luminosa (LUX/m²)</t>
  </si>
  <si>
    <t>Área</t>
  </si>
  <si>
    <t xml:space="preserve">Lumens </t>
  </si>
  <si>
    <t>Tipo Lâmpada</t>
  </si>
  <si>
    <t>Potência (w)</t>
  </si>
  <si>
    <t>Horas/d</t>
  </si>
  <si>
    <t>Consumo kWh/mês</t>
  </si>
  <si>
    <t>Escritório</t>
  </si>
  <si>
    <t>LED</t>
  </si>
  <si>
    <t>Fluorescente</t>
  </si>
  <si>
    <t xml:space="preserve">Iluminação externa </t>
  </si>
  <si>
    <t>Consumo total iluminação</t>
  </si>
  <si>
    <t>Conversão horas decimais</t>
  </si>
  <si>
    <t>Kw/CV</t>
  </si>
  <si>
    <t>Tipos Lampadas</t>
  </si>
  <si>
    <t>lm/W</t>
  </si>
  <si>
    <t>Cálculo do percentual em cada modalidade de tarifa</t>
  </si>
  <si>
    <t>Dados sobre a operação</t>
  </si>
  <si>
    <t>Horário de operação ajustado</t>
  </si>
  <si>
    <t>Início</t>
  </si>
  <si>
    <t>Fim</t>
  </si>
  <si>
    <t>Cálculo do percentual</t>
  </si>
  <si>
    <t>Tempo</t>
  </si>
  <si>
    <t>Passo (h)</t>
  </si>
  <si>
    <t>Valor total estimado da conta mensal de EE</t>
  </si>
  <si>
    <t>Energia Elétrica - Industrial Tarifa Branca P</t>
  </si>
  <si>
    <t>Energia Elétrica - Industrial Tarifa Branca Int</t>
  </si>
  <si>
    <t>Energia Elétrica - Industrial Tarifa Branca FP</t>
  </si>
  <si>
    <t>Hora iluminação externa</t>
  </si>
  <si>
    <t>Horário Operação</t>
  </si>
  <si>
    <t>Horário Iluminação externa</t>
  </si>
  <si>
    <t>Operação</t>
  </si>
  <si>
    <t>Iliminação Externa</t>
  </si>
  <si>
    <t>Vapor de mercúrio</t>
  </si>
  <si>
    <t>Vapor de sódio</t>
  </si>
  <si>
    <t>TABELA CEEE EQUATORIAL BAIXA TENSÃO</t>
  </si>
  <si>
    <t>Conta de Energia Elétrica</t>
  </si>
  <si>
    <t>Horários de consumo</t>
  </si>
  <si>
    <t>Denominação</t>
  </si>
  <si>
    <t>Hora Inicial</t>
  </si>
  <si>
    <t>(Para cálculo)</t>
  </si>
  <si>
    <t>Horas de operação diária</t>
  </si>
  <si>
    <t>Cálculo das faixas de consumo</t>
  </si>
  <si>
    <t>Valor (R$)</t>
  </si>
  <si>
    <t>Cálculo fator de utilização de esteira por hora</t>
  </si>
  <si>
    <t>Mod</t>
  </si>
  <si>
    <t>Amarela</t>
  </si>
  <si>
    <t>Vermelha P1</t>
  </si>
  <si>
    <t>Vermelha P2</t>
  </si>
  <si>
    <t>Verde</t>
  </si>
  <si>
    <t>Cor</t>
  </si>
  <si>
    <t>Acréscimo</t>
  </si>
  <si>
    <t>Bandeira tarifária vitente</t>
  </si>
  <si>
    <t>Bandeira (R$)</t>
  </si>
  <si>
    <t>Tabela Bandeira Tarifária</t>
  </si>
  <si>
    <t>Diluição</t>
  </si>
  <si>
    <t>Detergente</t>
  </si>
  <si>
    <t>Desinfetante</t>
  </si>
  <si>
    <t xml:space="preserve">Área </t>
  </si>
  <si>
    <t>l/m²/dia</t>
  </si>
  <si>
    <t>l/dia</t>
  </si>
  <si>
    <t>Cozinha</t>
  </si>
  <si>
    <t>Sanitários</t>
  </si>
  <si>
    <t>Total</t>
  </si>
  <si>
    <t>Gasto mensal</t>
  </si>
  <si>
    <t>Consumo d'água estimada</t>
  </si>
  <si>
    <t>Área de Triagem</t>
  </si>
  <si>
    <t>Armazenamento Material Triado</t>
  </si>
  <si>
    <t>Administrativo</t>
  </si>
  <si>
    <t>1.7.5</t>
  </si>
  <si>
    <t>Área sanitários</t>
  </si>
  <si>
    <t>Cozinha/refeitório/sanitários</t>
  </si>
  <si>
    <t>1.7.6</t>
  </si>
  <si>
    <t>Área externa testada</t>
  </si>
  <si>
    <t>Detergente concentrado</t>
  </si>
  <si>
    <t>Computador portátil (notebook)</t>
  </si>
  <si>
    <t>Custo unitário</t>
  </si>
  <si>
    <t>Consumo Mensal</t>
  </si>
  <si>
    <t>Custo mensal</t>
  </si>
  <si>
    <t>www.asscon.org.br</t>
  </si>
  <si>
    <t>Contabilidade (ME - Todos)</t>
  </si>
  <si>
    <t>Serviço contábil</t>
  </si>
  <si>
    <t>Materiais de limpeza</t>
  </si>
  <si>
    <t>TOTAL MENSAL</t>
  </si>
  <si>
    <t>Materiais diferentes separados</t>
  </si>
  <si>
    <t>Número de mesas</t>
  </si>
  <si>
    <t>Pressão Hidráulica (t)</t>
  </si>
  <si>
    <t>Cargas mensais</t>
  </si>
  <si>
    <t>Possui prensa?</t>
  </si>
  <si>
    <t>Número de prensas sugerido adotado</t>
  </si>
  <si>
    <t>Possui esteira?</t>
  </si>
  <si>
    <t>Número de esteiras padrão sugerido adotado</t>
  </si>
  <si>
    <t>CIP</t>
  </si>
  <si>
    <t>Tafiva B4a TSUD - Iluminação Pública</t>
  </si>
  <si>
    <t>Tarifa B4a TE - Iluminação Pública</t>
  </si>
  <si>
    <t>Resolução Homologatória ANEEL 19/11/24</t>
  </si>
  <si>
    <t>Função</t>
  </si>
  <si>
    <t>Assessoria ambiental (licenciamento e acompanhamento)</t>
  </si>
  <si>
    <t>Detetização / controle de pragas</t>
  </si>
  <si>
    <t>1.7.7</t>
  </si>
  <si>
    <t>Área total do lote</t>
  </si>
  <si>
    <t>Dedetização / controle de pragas</t>
  </si>
  <si>
    <t>Triagem em mesas</t>
  </si>
  <si>
    <t>Numero de bombonas</t>
  </si>
  <si>
    <t>Triagem em esteira</t>
  </si>
  <si>
    <t>Número de catadores</t>
  </si>
  <si>
    <t>Número de bombonas</t>
  </si>
  <si>
    <t>Cálculo quantitativo de bomboas</t>
  </si>
  <si>
    <t>Bombona plástica azul 200 litros - depreciação</t>
  </si>
  <si>
    <t>Calculo de gasto em litros</t>
  </si>
  <si>
    <t>Produtos de limpeza - Detergente</t>
  </si>
  <si>
    <t>Produtos de limpeza - Desinfetante</t>
  </si>
  <si>
    <t>l</t>
  </si>
  <si>
    <t>Big bags 1000 litros - depreciação</t>
  </si>
  <si>
    <t>Big Bags</t>
  </si>
  <si>
    <t>Cargas mensais (t)</t>
  </si>
  <si>
    <t xml:space="preserve">Rejeito percentual </t>
  </si>
  <si>
    <t>Resíduo reciclável (t)</t>
  </si>
  <si>
    <t>Massa específica do reciclável (t/m³)</t>
  </si>
  <si>
    <t>Volume mensal de reciclável (m³)</t>
  </si>
  <si>
    <t>Comercializações mensais</t>
  </si>
  <si>
    <t>Estoque semanal de material triado (m³)</t>
  </si>
  <si>
    <t>Percentual de volumosos ou não prensáveis</t>
  </si>
  <si>
    <t>Volumosos  ou não prensáveis (m³)</t>
  </si>
  <si>
    <t>Volume de um big-bag (m³)</t>
  </si>
  <si>
    <t>Número de big-bags estimado</t>
  </si>
  <si>
    <t>Número de big bags adotado</t>
  </si>
  <si>
    <t>Número de prensas</t>
  </si>
  <si>
    <t>Equipamentos</t>
  </si>
  <si>
    <t>Balança plataforma</t>
  </si>
  <si>
    <t>Mesas em unidade sem esteira (númer)</t>
  </si>
  <si>
    <t>1.8</t>
  </si>
  <si>
    <t>1.4</t>
  </si>
  <si>
    <t>1.4.1</t>
  </si>
  <si>
    <t>1.4.2</t>
  </si>
  <si>
    <t>1.4.3</t>
  </si>
  <si>
    <t>1.4.4</t>
  </si>
  <si>
    <t xml:space="preserve">Número de recicladores calculado </t>
  </si>
  <si>
    <t>Pessoal total na cooperativa</t>
  </si>
  <si>
    <t>Tarifa d´água + esgoto DMAE</t>
  </si>
  <si>
    <t>Decreto 23.221 - 4/4/2025</t>
  </si>
  <si>
    <t>Fitilho</t>
  </si>
  <si>
    <t>Material prensável mensal (m³)</t>
  </si>
  <si>
    <t>Volumes da prensa</t>
  </si>
  <si>
    <t>Fardo</t>
  </si>
  <si>
    <t>Redução de volume (x)</t>
  </si>
  <si>
    <t>Volume do fardo (m³)</t>
  </si>
  <si>
    <t>Volume prensado (m³)</t>
  </si>
  <si>
    <t>Redução de volume prensado (m³)</t>
  </si>
  <si>
    <t>Número de fardos mensais</t>
  </si>
  <si>
    <t>Amarração fardo 2 vezes (m)</t>
  </si>
  <si>
    <t>Comprimento de amarração do fardo (m)</t>
  </si>
  <si>
    <t>Metros de fitilho mensal</t>
  </si>
  <si>
    <t>Metros por quilograma fitilho (m/kg)</t>
  </si>
  <si>
    <t>Consumo mensal de fitilho (kg)</t>
  </si>
  <si>
    <t>Consumo unitário diário (m³/pessoa/dia)</t>
  </si>
  <si>
    <t>Consumo diário (m³)</t>
  </si>
  <si>
    <t>Dias úteis por mês (incluindo sábados)</t>
  </si>
  <si>
    <t>Consumo mensal (m³)</t>
  </si>
  <si>
    <t>Cmputador portátil (nootebook)</t>
  </si>
  <si>
    <t>Computador portátil (notebook) depreciação</t>
  </si>
  <si>
    <t>Número de esteiras padrão 10,5m</t>
  </si>
  <si>
    <t>1.4.5</t>
  </si>
  <si>
    <t>Carros plataforma</t>
  </si>
  <si>
    <t>Prensas eletro-hidráulicas</t>
  </si>
  <si>
    <t>Estrutura de triagem</t>
  </si>
  <si>
    <t>Esteiras padrão 10,5 metros</t>
  </si>
  <si>
    <t>Valor Calculado</t>
  </si>
  <si>
    <t>Valor Adotado</t>
  </si>
  <si>
    <t>Mesas</t>
  </si>
  <si>
    <t>Custo de operação da unidade</t>
  </si>
  <si>
    <t>Mensal</t>
  </si>
  <si>
    <t>Tonelada</t>
  </si>
  <si>
    <t>1.5.1</t>
  </si>
  <si>
    <t>1.5.2</t>
  </si>
  <si>
    <t>1.5.2.1</t>
  </si>
  <si>
    <t>1.5.2.2</t>
  </si>
  <si>
    <t>1.5.3</t>
  </si>
  <si>
    <t>1.5.4</t>
  </si>
  <si>
    <t>1.5.5</t>
  </si>
  <si>
    <t>Mensagens</t>
  </si>
  <si>
    <t>Possui empilhadeira</t>
  </si>
  <si>
    <t>Possui carro plataforma</t>
  </si>
  <si>
    <t>Recicladores</t>
  </si>
  <si>
    <t>Sub total mensla com carro plataforma</t>
  </si>
  <si>
    <t>Quantidade destinada</t>
  </si>
  <si>
    <t>Percentual de rejeito</t>
  </si>
  <si>
    <t>Triagem, classificação, beneficiamento e comercialização de resíduos sólidos recicláveis (..), em próprio municipal localizado na Rua Monsenhor Rubens Neis 740, Bairro Cavalhada.</t>
  </si>
  <si>
    <t>Triagem, classificação, beneficiamento e comercialização de resíduos sólidos recicláveis (...), em próprio municipal localizado na Avenida Frederico Mentz, 1167, Bairro Navegantes.</t>
  </si>
  <si>
    <t>Triagem, classificação, beneficiamento e comercialização de resíduos sólidos recicláveis (...), em próprio municipal localizado na Estrada do Rincão, 6795/6821, Bairro Restinga. </t>
  </si>
  <si>
    <t>Triagem, classificação, beneficiamento e comercialização de resíduos sólidos recicláveis (...), em próprio municipal localizado na Estrada João Antônio da Silveira, 3526, Bairro Restinga.</t>
  </si>
  <si>
    <t>Triagem, classificação, beneficiamento e comercialização de resíduos sólidos recicláveis (...), em próprio municipal localizado na Estrada Antônio Severino, 1317, Bairro Rubem Berta.</t>
  </si>
  <si>
    <t>Triagem, classificação, beneficiamento e comercialização de resíduos sólidos recicláveis (...), em próprio municipal localizado na Avenida Bernardino Silveira Amorim, 2405, Bairro Santa Rosa de Lima.</t>
  </si>
  <si>
    <t>Triagem, classificação, beneficiamento e comercialização de resíduos sólidos recicláveis (...), em próprio municipal localizado na Rua Alfredo Ferreira Rodrigues, 975, Bairro Bom Jesus.</t>
  </si>
  <si>
    <t>Triagem, classificação, beneficiamento e comercialização de resíduos sólidos recicláveis (...), em próprio municipal localizado na Estrada Afonso Lourenço Mariante, 4401, Bairro Lomba do Pinheiro.</t>
  </si>
  <si>
    <t>Triagem, classificação, beneficiamento e comercialização de resíduos sólidos recicláveis (...), em unidade de triagem localizada no município de Porto Alegre.</t>
  </si>
  <si>
    <t>Triagem, classificação, beneficiamento e comercialização de resíduos sólidos recicláveis (...), em unidade de triagem localizada no município de Porto Alegre.</t>
  </si>
  <si>
    <t>UT Cavalhada</t>
  </si>
  <si>
    <t>UT Frederico Mentz</t>
  </si>
  <si>
    <t>UT Restinga</t>
  </si>
  <si>
    <t>UT Padre Cacique</t>
  </si>
  <si>
    <t>UT Rubem Berta</t>
  </si>
  <si>
    <t>UT Santíssima</t>
  </si>
  <si>
    <t>UT Vila Pinto</t>
  </si>
  <si>
    <t>UTH</t>
  </si>
  <si>
    <t>UT Campo da Tuca</t>
  </si>
  <si>
    <t>UT Chocolatão</t>
  </si>
  <si>
    <t xml:space="preserve">UT Coadesc </t>
  </si>
  <si>
    <t>UT Anjos da Ecologia</t>
  </si>
  <si>
    <t>UT Paraíba</t>
  </si>
  <si>
    <t>UT Anitas</t>
  </si>
  <si>
    <t>UT Reciclando pela Vida</t>
  </si>
  <si>
    <t>UT Aterro Norte</t>
  </si>
  <si>
    <t>Descrição do Objeto</t>
  </si>
  <si>
    <t>Designçaão</t>
  </si>
  <si>
    <t>Método de Triagem</t>
  </si>
  <si>
    <t>Meta</t>
  </si>
  <si>
    <t>Anitas</t>
  </si>
  <si>
    <t>Anjos da Ecologia</t>
  </si>
  <si>
    <t>Aterro Norte</t>
  </si>
  <si>
    <t>Campo da Tuca</t>
  </si>
  <si>
    <t>Chocolatão</t>
  </si>
  <si>
    <t>Frederico Mentz</t>
  </si>
  <si>
    <t>Padre Cacique</t>
  </si>
  <si>
    <t>Paraíba</t>
  </si>
  <si>
    <t>Reciclando pela Vida</t>
  </si>
  <si>
    <t>Restinga</t>
  </si>
  <si>
    <t>Rubem Berta</t>
  </si>
  <si>
    <t>Vila Pinto</t>
  </si>
  <si>
    <t>Coadesc</t>
  </si>
  <si>
    <t>Cavalhada</t>
  </si>
  <si>
    <t>Santíssima</t>
  </si>
  <si>
    <t>Destinado às uts projeto</t>
  </si>
  <si>
    <t>Total da Coleta Seletiva</t>
  </si>
  <si>
    <t>Médias das unidades</t>
  </si>
  <si>
    <t>Média da coleta</t>
  </si>
  <si>
    <t>Média de catadores x produtividade</t>
  </si>
  <si>
    <t>Máximo de catadores x produtividade</t>
  </si>
  <si>
    <t>Escolha</t>
  </si>
  <si>
    <t>Quantitativos</t>
  </si>
  <si>
    <t>Total do Contrato</t>
  </si>
  <si>
    <t>Valor Mensal</t>
  </si>
  <si>
    <t>Rejeito</t>
  </si>
  <si>
    <t>Média</t>
  </si>
  <si>
    <t>Unidades</t>
  </si>
  <si>
    <t>Opções</t>
  </si>
  <si>
    <t>Unidades com esteira</t>
  </si>
  <si>
    <t>Unidades com mesa</t>
  </si>
  <si>
    <t>MÉDIAS</t>
  </si>
  <si>
    <t>Quantidade reciclada</t>
  </si>
  <si>
    <t>Preço unitário de triagem por tonelada reciclada</t>
  </si>
  <si>
    <t>Médio</t>
  </si>
  <si>
    <t>PREFEITURA MUNICIPAL DE PORTO ALEGRE
DEPARTAMENTO MUNICIPAL DE LIMPEZA URBANA
DIRETORIA DE DESTINO FINAL</t>
  </si>
  <si>
    <t>Resíduo destinado</t>
  </si>
  <si>
    <t>Médias por unidade</t>
  </si>
  <si>
    <t>Para 100% da Coleta</t>
  </si>
  <si>
    <t>Máximo</t>
  </si>
  <si>
    <t>Eficiências médias</t>
  </si>
  <si>
    <t>Triagem</t>
  </si>
  <si>
    <t>t/cat/mês</t>
  </si>
  <si>
    <t>% Médio</t>
  </si>
  <si>
    <t>% Meta</t>
  </si>
  <si>
    <t>Cargas/mês</t>
  </si>
  <si>
    <t>Catadores</t>
  </si>
  <si>
    <t>n</t>
  </si>
  <si>
    <r>
      <t xml:space="preserve">Quantitativo mensal destinado </t>
    </r>
    <r>
      <rPr>
        <sz val="12"/>
        <color theme="1"/>
        <rFont val="Calibri"/>
        <family val="2"/>
        <scheme val="minor"/>
      </rPr>
      <t>(t)</t>
    </r>
  </si>
  <si>
    <r>
      <t xml:space="preserve">Médio </t>
    </r>
    <r>
      <rPr>
        <sz val="12"/>
        <color theme="1"/>
        <rFont val="Calibri"/>
        <family val="2"/>
        <scheme val="minor"/>
      </rPr>
      <t>(%)</t>
    </r>
  </si>
  <si>
    <r>
      <t xml:space="preserve">Meta </t>
    </r>
    <r>
      <rPr>
        <sz val="12"/>
        <color theme="1"/>
        <rFont val="Calibri"/>
        <family val="2"/>
        <scheme val="minor"/>
      </rPr>
      <t>(%)</t>
    </r>
  </si>
  <si>
    <r>
      <t xml:space="preserve">Quantitativo Reciclado </t>
    </r>
    <r>
      <rPr>
        <sz val="12"/>
        <color theme="1"/>
        <rFont val="Calibri"/>
        <family val="2"/>
        <scheme val="minor"/>
      </rPr>
      <t xml:space="preserve"> (t)</t>
    </r>
  </si>
  <si>
    <r>
      <t xml:space="preserve">Preço Unitário </t>
    </r>
    <r>
      <rPr>
        <sz val="12"/>
        <color theme="1"/>
        <rFont val="Calibri"/>
        <family val="2"/>
        <scheme val="minor"/>
      </rPr>
      <t>(R$/t)</t>
    </r>
  </si>
  <si>
    <t>KWh</t>
  </si>
  <si>
    <t>Observações</t>
  </si>
  <si>
    <t>Cálculo do custo unitário de triagem por tonelada reciclada</t>
  </si>
  <si>
    <t>Parâmetros de cálculo para unidades com esteira</t>
  </si>
  <si>
    <t>Parâmetros de cálculo para unidades com mesas</t>
  </si>
  <si>
    <t>Cálculo da conta de energia elétrica unidades com mesas de triagem</t>
  </si>
  <si>
    <t>Cálculo da conta de energia elétrica unidades com esteira</t>
  </si>
  <si>
    <t>Dimensionamento de equipamentos para unidades com mesas</t>
  </si>
  <si>
    <t>Dimensionamento de equipamentos para unidades com esteira</t>
  </si>
  <si>
    <t>Cálculo do consumo de energia elétrica para iluminação</t>
  </si>
  <si>
    <t>Cálculos de quantitativos de materiais de consumo para unidades com esteira</t>
  </si>
  <si>
    <t>Cálculo de quantitativos de materiais de consumo para unidades com mesas</t>
  </si>
  <si>
    <t>Serviço de operação de unidade de triagem e processamento de resíduos seletivos com esteira</t>
  </si>
  <si>
    <t>Serviço de operação de unidade de triagem e processamento de resíduos seletivos com mesas</t>
  </si>
  <si>
    <t>UNIDADE DE TRIAGEM COM MESA</t>
  </si>
  <si>
    <t>UNIDADE DE TRIAGEM COM ESTEIRA</t>
  </si>
  <si>
    <t>SELIC</t>
  </si>
  <si>
    <t>Total mensal com serviços de terceiros (R$ /mês)</t>
  </si>
  <si>
    <t>Garantias e seguros</t>
  </si>
  <si>
    <t>Lucro</t>
  </si>
  <si>
    <t>Sub total mensla com empilhadeira hidráulica</t>
  </si>
  <si>
    <t>Sub total mensal com esteira de separação</t>
  </si>
  <si>
    <t>Sub total mensal com prensas</t>
  </si>
  <si>
    <t>Total mensal com despesas administrativas (R$ /mês)</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</si>
</sst>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 numFmtId="172" formatCode="_(* #,##0.00_);_(* \(#,##0.00\);_(* &quot;-&quot;??_);_(@_)"/>
    <numFmt numFmtId="173" formatCode="[$R$ -416]#,##0.00"/>
    <numFmt numFmtId="174" formatCode="0.000%"/>
    <numFmt numFmtId="175" formatCode="_-&quot;R$&quot;\ * #,##0.000_-;\-&quot;R$&quot;\ * #,##0.000_-;_-&quot;R$&quot;\ * &quot;-&quot;???_-;_-@_-"/>
    <numFmt numFmtId="176" formatCode="[$-F400]h:mm:ss\ AM/PM"/>
    <numFmt numFmtId="177" formatCode="_-* #,##0.0_-;\-* #,##0.0_-;_-* &quot;-&quot;??_-;_-@_-"/>
    <numFmt numFmtId="178" formatCode="d/m/yy\ h:mm;@"/>
    <numFmt numFmtId="179" formatCode="0.000"/>
    <numFmt numFmtId="180" formatCode="_-&quot;R$&quot;\ * #,##0.00000_-;\-&quot;R$&quot;\ * #,##0.00000_-;_-&quot;R$&quot;\ * &quot;-&quot;??_-;_-@_-"/>
    <numFmt numFmtId="181" formatCode="_-&quot;R$&quot;\ * #,##0.000000_-;\-&quot;R$&quot;\ * #,##0.000000_-;_-&quot;R$&quot;\ * &quot;-&quot;??????_-;_-@_-"/>
    <numFmt numFmtId="182" formatCode="_-* #,##0.0000_-;\-* #,##0.0000_-;_-* &quot;-&quot;??_-;_-@_-"/>
    <numFmt numFmtId="183" formatCode="0.00000"/>
    <numFmt numFmtId="184" formatCode="_-* #,##0.000000_-;\-* #,##0.000000_-;_-* &quot;-&quot;??_-;_-@_-"/>
    <numFmt numFmtId="185" formatCode="_-* #,##0.00_-;\-* #,##0.00_-;_-* &quot;-&quot;??????_-;_-@_-"/>
    <numFmt numFmtId="186" formatCode="_-* #,##0.000000_-;\-* #,##0.000000_-;_-* &quot;-&quot;??????_-;_-@_-"/>
    <numFmt numFmtId="187" formatCode="_-* #,##0.00000_-;\-* #,##0.00000_-;_-* &quot;-&quot;??_-;_-@_-"/>
    <numFmt numFmtId="188" formatCode="0.000000"/>
    <numFmt numFmtId="189" formatCode="_-* #,##0.0000_-;\-* #,##0.0000_-;_-* &quot;-&quot;????_-;_-@_-"/>
    <numFmt numFmtId="190" formatCode="&quot;R$&quot;\ #,##0.00"/>
    <numFmt numFmtId="191" formatCode="_-&quot;R$&quot;\ * #,##0.00000000_-;\-&quot;R$&quot;\ * #,##0.00000000_-;_-&quot;R$&quot;\ * &quot;-&quot;??_-;_-@_-"/>
    <numFmt numFmtId="192" formatCode="0.0000%"/>
  </numFmts>
  <fonts count="62"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
      <sz val="10"/>
      <color theme="1"/>
      <name val="Calibri"/>
      <family val="2"/>
      <scheme val="minor"/>
    </font>
    <font>
      <b/>
      <sz val="10"/>
      <color theme="1"/>
      <name val="Calibri"/>
      <family val="2"/>
      <scheme val="minor"/>
    </font>
    <font>
      <b/>
      <sz val="12"/>
      <color theme="1"/>
      <name val="Calibri"/>
      <family val="2"/>
      <scheme val="minor"/>
    </font>
    <font>
      <b/>
      <sz val="10"/>
      <name val="Calibri"/>
      <family val="2"/>
      <scheme val="minor"/>
    </font>
    <font>
      <sz val="10"/>
      <name val="Calibri"/>
      <family val="2"/>
      <scheme val="minor"/>
    </font>
    <font>
      <b/>
      <sz val="12"/>
      <name val="Calibri"/>
      <family val="2"/>
      <scheme val="minor"/>
    </font>
    <font>
      <b/>
      <sz val="14"/>
      <color theme="1"/>
      <name val="Calibri"/>
      <family val="2"/>
      <scheme val="minor"/>
    </font>
    <font>
      <b/>
      <u/>
      <sz val="11"/>
      <color theme="1"/>
      <name val="Calibri"/>
      <family val="2"/>
      <scheme val="minor"/>
    </font>
    <font>
      <i/>
      <sz val="11"/>
      <color theme="1"/>
      <name val="Calibri"/>
      <family val="2"/>
      <scheme val="minor"/>
    </font>
    <font>
      <sz val="10"/>
      <color rgb="FF000000"/>
      <name val="Arial"/>
      <family val="2"/>
    </font>
    <font>
      <sz val="9"/>
      <color theme="1"/>
      <name val="Calibri"/>
      <family val="2"/>
      <scheme val="minor"/>
    </font>
    <font>
      <b/>
      <sz val="10"/>
      <color rgb="FF000000"/>
      <name val="Arial"/>
      <family val="2"/>
    </font>
  </fonts>
  <fills count="52">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
      <patternFill patternType="solid">
        <fgColor theme="0" tint="-0.249977111117893"/>
        <bgColor indexed="64"/>
      </patternFill>
    </fill>
    <fill>
      <patternFill patternType="solid">
        <fgColor theme="0"/>
        <bgColor indexed="64"/>
      </patternFill>
    </fill>
    <fill>
      <patternFill patternType="solid">
        <fgColor rgb="FFFFFF89"/>
        <bgColor indexed="64"/>
      </patternFill>
    </fill>
    <fill>
      <patternFill patternType="solid">
        <fgColor rgb="FFFFFF00"/>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6" tint="0.79998168889431442"/>
        <bgColor indexed="64"/>
      </patternFill>
    </fill>
    <fill>
      <patternFill patternType="solid">
        <fgColor rgb="FF92D050"/>
        <bgColor indexed="64"/>
      </patternFill>
    </fill>
    <fill>
      <patternFill patternType="solid">
        <fgColor rgb="FFFF0000"/>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00B0F0"/>
        <bgColor indexed="64"/>
      </patternFill>
    </fill>
  </fills>
  <borders count="103">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hair">
        <color indexed="64"/>
      </right>
      <top style="thin">
        <color indexed="64"/>
      </top>
      <bottom style="hair">
        <color indexed="64"/>
      </bottom>
      <diagonal/>
    </border>
    <border>
      <left style="hair">
        <color indexed="64"/>
      </left>
      <right style="medium">
        <color auto="1"/>
      </right>
      <top style="thin">
        <color indexed="64"/>
      </top>
      <bottom style="hair">
        <color indexed="64"/>
      </bottom>
      <diagonal/>
    </border>
    <border>
      <left style="medium">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thin">
        <color indexed="64"/>
      </left>
      <right style="thin">
        <color indexed="64"/>
      </right>
      <top style="medium">
        <color indexed="64"/>
      </top>
      <bottom style="thin">
        <color indexed="64"/>
      </bottom>
      <diagonal/>
    </border>
    <border>
      <left style="thin">
        <color auto="1"/>
      </left>
      <right style="medium">
        <color auto="1"/>
      </right>
      <top style="medium">
        <color auto="1"/>
      </top>
      <bottom/>
      <diagonal/>
    </border>
    <border>
      <left style="hair">
        <color auto="1"/>
      </left>
      <right/>
      <top style="hair">
        <color auto="1"/>
      </top>
      <bottom style="hair">
        <color auto="1"/>
      </bottom>
      <diagonal/>
    </border>
    <border>
      <left style="hair">
        <color indexed="64"/>
      </left>
      <right style="hair">
        <color indexed="64"/>
      </right>
      <top style="thin">
        <color indexed="64"/>
      </top>
      <bottom style="hair">
        <color indexed="64"/>
      </bottom>
      <diagonal/>
    </border>
    <border>
      <left style="hair">
        <color auto="1"/>
      </left>
      <right style="hair">
        <color auto="1"/>
      </right>
      <top style="hair">
        <color auto="1"/>
      </top>
      <bottom style="hair">
        <color auto="1"/>
      </bottom>
      <diagonal/>
    </border>
    <border>
      <left style="medium">
        <color auto="1"/>
      </left>
      <right style="hair">
        <color auto="1"/>
      </right>
      <top style="hair">
        <color auto="1"/>
      </top>
      <bottom style="medium">
        <color auto="1"/>
      </bottom>
      <diagonal/>
    </border>
    <border>
      <left style="hair">
        <color auto="1"/>
      </left>
      <right style="hair">
        <color auto="1"/>
      </right>
      <top style="hair">
        <color indexed="64"/>
      </top>
      <bottom style="medium">
        <color auto="1"/>
      </bottom>
      <diagonal/>
    </border>
    <border>
      <left style="hair">
        <color auto="1"/>
      </left>
      <right style="medium">
        <color auto="1"/>
      </right>
      <top style="hair">
        <color auto="1"/>
      </top>
      <bottom style="medium">
        <color auto="1"/>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hair">
        <color auto="1"/>
      </right>
      <top/>
      <bottom/>
      <diagonal/>
    </border>
    <border>
      <left style="hair">
        <color indexed="64"/>
      </left>
      <right style="thin">
        <color indexed="64"/>
      </right>
      <top style="thin">
        <color indexed="64"/>
      </top>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64"/>
      </left>
      <right/>
      <top style="medium">
        <color indexed="64"/>
      </top>
      <bottom style="thin">
        <color indexed="64"/>
      </bottom>
      <diagonal/>
    </border>
    <border>
      <left style="thin">
        <color auto="1"/>
      </left>
      <right/>
      <top style="thin">
        <color auto="1"/>
      </top>
      <bottom style="medium">
        <color indexed="64"/>
      </bottom>
      <diagonal/>
    </border>
    <border>
      <left/>
      <right style="hair">
        <color indexed="64"/>
      </right>
      <top style="thin">
        <color indexed="64"/>
      </top>
      <bottom style="hair">
        <color indexed="64"/>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bottom/>
      <diagonal/>
    </border>
    <border>
      <left/>
      <right style="hair">
        <color auto="1"/>
      </right>
      <top/>
      <bottom style="hair">
        <color auto="1"/>
      </bottom>
      <diagonal/>
    </border>
    <border>
      <left style="thin">
        <color auto="1"/>
      </left>
      <right style="hair">
        <color auto="1"/>
      </right>
      <top style="hair">
        <color auto="1"/>
      </top>
      <bottom/>
      <diagonal/>
    </border>
    <border>
      <left style="hair">
        <color auto="1"/>
      </left>
      <right/>
      <top style="hair">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hair">
        <color auto="1"/>
      </left>
      <right style="hair">
        <color auto="1"/>
      </right>
      <top style="hair">
        <color auto="1"/>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right/>
      <top style="medium">
        <color indexed="64"/>
      </top>
      <bottom style="thin">
        <color indexed="64"/>
      </bottom>
      <diagonal/>
    </border>
  </borders>
  <cellStyleXfs count="102">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172" fontId="3" fillId="0" borderId="0" applyFont="0" applyFill="0" applyBorder="0" applyAlignment="0" applyProtection="0"/>
  </cellStyleXfs>
  <cellXfs count="848">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165" fontId="20" fillId="5" borderId="1" xfId="11" applyNumberFormat="1" applyFill="1" applyBorder="1" applyAlignment="1" applyProtection="1">
      <alignment horizontal="left" vertical="center"/>
      <protection locked="0"/>
    </xf>
    <xf numFmtId="0" fontId="50" fillId="0" borderId="0" xfId="0" applyFont="1"/>
    <xf numFmtId="0" fontId="50" fillId="0" borderId="30" xfId="0" applyFont="1" applyBorder="1"/>
    <xf numFmtId="0" fontId="50" fillId="0" borderId="30" xfId="0" applyFont="1" applyBorder="1" applyAlignment="1">
      <alignment horizontal="center"/>
    </xf>
    <xf numFmtId="0" fontId="51" fillId="0" borderId="0" xfId="0" applyFont="1"/>
    <xf numFmtId="0" fontId="51" fillId="0" borderId="0" xfId="0" applyFont="1" applyAlignment="1">
      <alignment horizontal="center"/>
    </xf>
    <xf numFmtId="0" fontId="50" fillId="0" borderId="48" xfId="0" applyFont="1" applyBorder="1"/>
    <xf numFmtId="0" fontId="50" fillId="0" borderId="50" xfId="0" applyFont="1" applyBorder="1"/>
    <xf numFmtId="20" fontId="51" fillId="0" borderId="51" xfId="100" applyNumberFormat="1" applyFont="1" applyFill="1" applyBorder="1" applyAlignment="1">
      <alignment horizontal="center"/>
    </xf>
    <xf numFmtId="0" fontId="51" fillId="0" borderId="52" xfId="0" applyFont="1" applyBorder="1" applyAlignment="1">
      <alignment horizontal="center"/>
    </xf>
    <xf numFmtId="0" fontId="51" fillId="0" borderId="55" xfId="0" applyFont="1" applyBorder="1"/>
    <xf numFmtId="0" fontId="50" fillId="0" borderId="44" xfId="0" applyFont="1" applyBorder="1"/>
    <xf numFmtId="0" fontId="51" fillId="0" borderId="56" xfId="0" applyFont="1" applyBorder="1"/>
    <xf numFmtId="172" fontId="50" fillId="0" borderId="0" xfId="0" applyNumberFormat="1" applyFont="1"/>
    <xf numFmtId="44" fontId="50" fillId="0" borderId="0" xfId="4" applyFont="1" applyFill="1"/>
    <xf numFmtId="43" fontId="50" fillId="0" borderId="0" xfId="0" applyNumberFormat="1" applyFont="1"/>
    <xf numFmtId="0" fontId="50" fillId="0" borderId="57" xfId="0" applyFont="1" applyBorder="1"/>
    <xf numFmtId="0" fontId="50" fillId="0" borderId="0" xfId="0" applyFont="1" applyAlignment="1">
      <alignment horizontal="center"/>
    </xf>
    <xf numFmtId="44" fontId="50" fillId="0" borderId="0" xfId="0" applyNumberFormat="1" applyFont="1"/>
    <xf numFmtId="0" fontId="52" fillId="0" borderId="0" xfId="0" applyFont="1"/>
    <xf numFmtId="44" fontId="50" fillId="0" borderId="0" xfId="4" applyFont="1" applyFill="1" applyBorder="1"/>
    <xf numFmtId="0" fontId="53" fillId="5" borderId="44" xfId="74" applyFont="1" applyFill="1" applyBorder="1" applyAlignment="1">
      <alignment horizontal="center" vertical="center"/>
    </xf>
    <xf numFmtId="172" fontId="53" fillId="5" borderId="44" xfId="101" applyFont="1" applyFill="1" applyBorder="1" applyAlignment="1">
      <alignment horizontal="center" vertical="center"/>
    </xf>
    <xf numFmtId="0" fontId="54" fillId="0" borderId="60" xfId="74" applyFont="1" applyBorder="1" applyAlignment="1">
      <alignment vertical="center"/>
    </xf>
    <xf numFmtId="0" fontId="54" fillId="0" borderId="60" xfId="74" applyFont="1" applyBorder="1" applyAlignment="1">
      <alignment horizontal="center" vertical="center"/>
    </xf>
    <xf numFmtId="13" fontId="54" fillId="0" borderId="60" xfId="74" applyNumberFormat="1" applyFont="1" applyBorder="1" applyAlignment="1">
      <alignment horizontal="center" vertical="center"/>
    </xf>
    <xf numFmtId="0" fontId="54" fillId="0" borderId="44" xfId="74" applyFont="1" applyBorder="1" applyAlignment="1">
      <alignment vertical="center"/>
    </xf>
    <xf numFmtId="0" fontId="54" fillId="0" borderId="44" xfId="74" applyFont="1" applyBorder="1" applyAlignment="1">
      <alignment horizontal="center" vertical="center"/>
    </xf>
    <xf numFmtId="13" fontId="54" fillId="0" borderId="44" xfId="74" applyNumberFormat="1" applyFont="1" applyBorder="1" applyAlignment="1">
      <alignment horizontal="center" vertical="center"/>
    </xf>
    <xf numFmtId="1" fontId="54" fillId="0" borderId="44" xfId="74" applyNumberFormat="1" applyFont="1" applyBorder="1" applyAlignment="1">
      <alignment horizontal="center" vertical="center"/>
    </xf>
    <xf numFmtId="0" fontId="50" fillId="0" borderId="44" xfId="0" applyFont="1" applyBorder="1" applyAlignment="1">
      <alignment horizontal="center"/>
    </xf>
    <xf numFmtId="43" fontId="50" fillId="0" borderId="44" xfId="0" applyNumberFormat="1" applyFont="1" applyBorder="1"/>
    <xf numFmtId="0" fontId="54" fillId="0" borderId="0" xfId="74" applyFont="1" applyAlignment="1">
      <alignment vertical="center"/>
    </xf>
    <xf numFmtId="0" fontId="9" fillId="38" borderId="61" xfId="0" applyFont="1" applyFill="1" applyBorder="1"/>
    <xf numFmtId="0" fontId="9" fillId="38" borderId="62" xfId="0" applyFont="1" applyFill="1" applyBorder="1" applyAlignment="1">
      <alignment horizontal="center"/>
    </xf>
    <xf numFmtId="0" fontId="9" fillId="38" borderId="62" xfId="0" applyFont="1" applyFill="1" applyBorder="1"/>
    <xf numFmtId="43" fontId="9" fillId="38" borderId="63" xfId="0" applyNumberFormat="1" applyFont="1" applyFill="1" applyBorder="1"/>
    <xf numFmtId="0" fontId="50" fillId="0" borderId="60" xfId="0" applyFont="1" applyBorder="1"/>
    <xf numFmtId="0" fontId="50" fillId="0" borderId="60" xfId="0" applyFont="1" applyBorder="1" applyAlignment="1">
      <alignment horizontal="center"/>
    </xf>
    <xf numFmtId="172" fontId="53" fillId="0" borderId="0" xfId="101" applyFont="1" applyFill="1" applyBorder="1" applyAlignment="1">
      <alignment horizontal="center" vertical="center"/>
    </xf>
    <xf numFmtId="0" fontId="53" fillId="0" borderId="0" xfId="74" applyFont="1" applyAlignment="1">
      <alignment horizontal="center" vertical="center"/>
    </xf>
    <xf numFmtId="0" fontId="54" fillId="0" borderId="44" xfId="74" applyFont="1" applyBorder="1" applyAlignment="1">
      <alignment horizontal="left" vertical="center"/>
    </xf>
    <xf numFmtId="0" fontId="54" fillId="0" borderId="0" xfId="74" applyFont="1" applyAlignment="1">
      <alignment horizontal="left" vertical="center"/>
    </xf>
    <xf numFmtId="0" fontId="53" fillId="7" borderId="61" xfId="74" applyFont="1" applyFill="1" applyBorder="1" applyAlignment="1">
      <alignment horizontal="left" vertical="center"/>
    </xf>
    <xf numFmtId="0" fontId="53" fillId="7" borderId="62" xfId="74" applyFont="1" applyFill="1" applyBorder="1" applyAlignment="1">
      <alignment horizontal="center" vertical="center"/>
    </xf>
    <xf numFmtId="172" fontId="53" fillId="7" borderId="63" xfId="101" applyFont="1" applyFill="1" applyBorder="1" applyAlignment="1">
      <alignment horizontal="center" vertical="center"/>
    </xf>
    <xf numFmtId="0" fontId="53" fillId="0" borderId="0" xfId="74" applyFont="1" applyAlignment="1">
      <alignment horizontal="left" vertical="center"/>
    </xf>
    <xf numFmtId="0" fontId="55" fillId="7" borderId="61" xfId="74" applyFont="1" applyFill="1" applyBorder="1" applyAlignment="1">
      <alignment horizontal="left" vertical="center"/>
    </xf>
    <xf numFmtId="0" fontId="55" fillId="7" borderId="62" xfId="74" applyFont="1" applyFill="1" applyBorder="1" applyAlignment="1">
      <alignment horizontal="center" vertical="center"/>
    </xf>
    <xf numFmtId="172" fontId="55" fillId="7" borderId="63" xfId="101" applyFont="1" applyFill="1" applyBorder="1" applyAlignment="1">
      <alignment horizontal="center" vertical="center"/>
    </xf>
    <xf numFmtId="0" fontId="50" fillId="0" borderId="44" xfId="6" applyFont="1" applyBorder="1" applyAlignment="1">
      <alignment vertical="center" wrapText="1"/>
    </xf>
    <xf numFmtId="173" fontId="50" fillId="0" borderId="44" xfId="6" applyNumberFormat="1" applyFont="1" applyBorder="1" applyAlignment="1">
      <alignment horizontal="center" vertical="center" wrapText="1"/>
    </xf>
    <xf numFmtId="2" fontId="50" fillId="0" borderId="0" xfId="0" applyNumberFormat="1" applyFont="1"/>
    <xf numFmtId="43" fontId="50" fillId="0" borderId="44" xfId="6" applyNumberFormat="1" applyFont="1" applyBorder="1" applyAlignment="1">
      <alignment vertical="center" wrapText="1"/>
    </xf>
    <xf numFmtId="0" fontId="54" fillId="0" borderId="60" xfId="74" applyFont="1" applyBorder="1" applyAlignment="1">
      <alignment horizontal="left" vertical="center"/>
    </xf>
    <xf numFmtId="2" fontId="54" fillId="0" borderId="60" xfId="100" applyNumberFormat="1" applyFont="1" applyFill="1" applyBorder="1" applyAlignment="1">
      <alignment horizontal="right" vertical="center"/>
    </xf>
    <xf numFmtId="172" fontId="54" fillId="0" borderId="0" xfId="101" applyFont="1" applyFill="1" applyBorder="1" applyAlignment="1">
      <alignment horizontal="center" vertical="center"/>
    </xf>
    <xf numFmtId="2" fontId="54" fillId="0" borderId="44" xfId="74" applyNumberFormat="1" applyFont="1" applyBorder="1" applyAlignment="1">
      <alignment horizontal="right" vertical="center"/>
    </xf>
    <xf numFmtId="44" fontId="50" fillId="0" borderId="44" xfId="0" applyNumberFormat="1" applyFont="1" applyBorder="1"/>
    <xf numFmtId="0" fontId="52" fillId="7" borderId="61" xfId="0" applyFont="1" applyFill="1" applyBorder="1"/>
    <xf numFmtId="0" fontId="52" fillId="7" borderId="62" xfId="0" applyFont="1" applyFill="1" applyBorder="1" applyAlignment="1">
      <alignment horizontal="center"/>
    </xf>
    <xf numFmtId="0" fontId="52" fillId="7" borderId="62" xfId="0" applyFont="1" applyFill="1" applyBorder="1"/>
    <xf numFmtId="44" fontId="52" fillId="7" borderId="63" xfId="0" applyNumberFormat="1" applyFont="1" applyFill="1" applyBorder="1"/>
    <xf numFmtId="174" fontId="50" fillId="0" borderId="44" xfId="6" applyNumberFormat="1" applyFont="1" applyBorder="1" applyAlignment="1">
      <alignment vertical="center" wrapText="1"/>
    </xf>
    <xf numFmtId="0" fontId="52" fillId="0" borderId="0" xfId="0" applyFont="1" applyAlignment="1">
      <alignment horizontal="center"/>
    </xf>
    <xf numFmtId="44" fontId="52" fillId="0" borderId="0" xfId="0" applyNumberFormat="1" applyFont="1"/>
    <xf numFmtId="0" fontId="56" fillId="7" borderId="61" xfId="0" applyFont="1" applyFill="1" applyBorder="1"/>
    <xf numFmtId="0" fontId="56" fillId="7" borderId="62" xfId="0" applyFont="1" applyFill="1" applyBorder="1" applyAlignment="1">
      <alignment horizontal="center"/>
    </xf>
    <xf numFmtId="0" fontId="56" fillId="7" borderId="62" xfId="0" applyFont="1" applyFill="1" applyBorder="1"/>
    <xf numFmtId="44" fontId="56" fillId="7" borderId="63" xfId="0" applyNumberFormat="1" applyFont="1" applyFill="1" applyBorder="1"/>
    <xf numFmtId="175" fontId="50" fillId="0" borderId="0" xfId="0" applyNumberFormat="1" applyFont="1"/>
    <xf numFmtId="0" fontId="9" fillId="38" borderId="64" xfId="0" applyFont="1" applyFill="1" applyBorder="1"/>
    <xf numFmtId="0" fontId="0" fillId="38" borderId="65" xfId="0" applyFill="1" applyBorder="1"/>
    <xf numFmtId="0" fontId="0" fillId="0" borderId="66" xfId="0" applyBorder="1"/>
    <xf numFmtId="174" fontId="0" fillId="0" borderId="67" xfId="8" applyNumberFormat="1" applyFont="1" applyFill="1" applyBorder="1"/>
    <xf numFmtId="0" fontId="0" fillId="0" borderId="68" xfId="0" applyBorder="1"/>
    <xf numFmtId="174" fontId="0" fillId="0" borderId="69" xfId="0" applyNumberFormat="1" applyBorder="1"/>
    <xf numFmtId="0" fontId="0" fillId="0" borderId="0" xfId="0" applyAlignment="1">
      <alignment horizontal="right"/>
    </xf>
    <xf numFmtId="0" fontId="56" fillId="0" borderId="70" xfId="0" applyFont="1" applyBorder="1" applyAlignment="1">
      <alignment horizontal="left"/>
    </xf>
    <xf numFmtId="0" fontId="56" fillId="0" borderId="55" xfId="0" applyFont="1" applyBorder="1"/>
    <xf numFmtId="43" fontId="56" fillId="0" borderId="55" xfId="100" applyFont="1" applyFill="1" applyBorder="1" applyAlignment="1">
      <alignment horizontal="right"/>
    </xf>
    <xf numFmtId="0" fontId="17" fillId="0" borderId="0" xfId="0" applyFont="1" applyAlignment="1">
      <alignment horizontal="right"/>
    </xf>
    <xf numFmtId="0" fontId="17" fillId="0" borderId="0" xfId="0" applyFont="1"/>
    <xf numFmtId="0" fontId="17" fillId="0" borderId="72" xfId="0" applyFont="1" applyBorder="1" applyAlignment="1">
      <alignment horizontal="left"/>
    </xf>
    <xf numFmtId="0" fontId="17" fillId="0" borderId="56" xfId="0" applyFont="1" applyBorder="1"/>
    <xf numFmtId="43" fontId="17" fillId="0" borderId="56" xfId="100" applyFont="1" applyBorder="1" applyAlignment="1">
      <alignment horizontal="right"/>
    </xf>
    <xf numFmtId="0" fontId="52" fillId="0" borderId="72" xfId="0" applyFont="1" applyBorder="1"/>
    <xf numFmtId="0" fontId="17" fillId="0" borderId="72" xfId="0" applyFont="1" applyBorder="1"/>
    <xf numFmtId="0" fontId="17" fillId="0" borderId="73" xfId="0" applyFont="1" applyBorder="1"/>
    <xf numFmtId="43" fontId="17" fillId="0" borderId="56" xfId="100" applyFont="1" applyFill="1" applyBorder="1" applyProtection="1">
      <protection locked="0"/>
    </xf>
    <xf numFmtId="43" fontId="17" fillId="0" borderId="56" xfId="100" applyFont="1" applyFill="1" applyBorder="1" applyAlignment="1" applyProtection="1">
      <alignment horizontal="right"/>
      <protection locked="0"/>
    </xf>
    <xf numFmtId="43" fontId="0" fillId="0" borderId="56" xfId="100" applyFont="1" applyFill="1" applyBorder="1" applyProtection="1">
      <protection locked="0"/>
    </xf>
    <xf numFmtId="0" fontId="0" fillId="0" borderId="73" xfId="0" applyBorder="1" applyAlignment="1">
      <alignment horizontal="left"/>
    </xf>
    <xf numFmtId="0" fontId="0" fillId="0" borderId="56" xfId="0" applyBorder="1"/>
    <xf numFmtId="0" fontId="0" fillId="0" borderId="72" xfId="0" applyBorder="1" applyAlignment="1">
      <alignment horizontal="left"/>
    </xf>
    <xf numFmtId="0" fontId="0" fillId="0" borderId="56" xfId="0" applyBorder="1" applyAlignment="1">
      <alignment horizontal="right"/>
    </xf>
    <xf numFmtId="0" fontId="0" fillId="0" borderId="74" xfId="0" applyBorder="1" applyAlignment="1">
      <alignment horizontal="left"/>
    </xf>
    <xf numFmtId="0" fontId="0" fillId="0" borderId="75" xfId="0" applyBorder="1"/>
    <xf numFmtId="0" fontId="9" fillId="0" borderId="72" xfId="0" applyFont="1" applyBorder="1" applyAlignment="1">
      <alignment horizontal="left"/>
    </xf>
    <xf numFmtId="176" fontId="0" fillId="0" borderId="56" xfId="0" applyNumberFormat="1" applyBorder="1" applyAlignment="1">
      <alignment horizontal="right"/>
    </xf>
    <xf numFmtId="0" fontId="9" fillId="0" borderId="56" xfId="0" applyFont="1" applyBorder="1"/>
    <xf numFmtId="177" fontId="0" fillId="0" borderId="56" xfId="100" applyNumberFormat="1" applyFont="1" applyBorder="1" applyAlignment="1">
      <alignment horizontal="center"/>
    </xf>
    <xf numFmtId="177" fontId="0" fillId="0" borderId="56" xfId="100" applyNumberFormat="1" applyFont="1" applyBorder="1"/>
    <xf numFmtId="43" fontId="0" fillId="0" borderId="56" xfId="100" applyFont="1" applyBorder="1"/>
    <xf numFmtId="43" fontId="0" fillId="0" borderId="56" xfId="0" applyNumberFormat="1" applyBorder="1"/>
    <xf numFmtId="0" fontId="0" fillId="0" borderId="73" xfId="0" applyBorder="1"/>
    <xf numFmtId="20" fontId="0" fillId="0" borderId="0" xfId="0" applyNumberFormat="1"/>
    <xf numFmtId="43" fontId="17" fillId="0" borderId="75" xfId="100" applyFont="1" applyBorder="1" applyAlignment="1">
      <alignment horizontal="right"/>
    </xf>
    <xf numFmtId="0" fontId="17" fillId="0" borderId="75" xfId="0" applyFont="1" applyBorder="1"/>
    <xf numFmtId="0" fontId="9" fillId="38" borderId="44" xfId="0" applyFont="1" applyFill="1" applyBorder="1"/>
    <xf numFmtId="0" fontId="52" fillId="0" borderId="70" xfId="0" applyFont="1" applyBorder="1"/>
    <xf numFmtId="43" fontId="17" fillId="0" borderId="55" xfId="100" applyFont="1" applyBorder="1" applyAlignment="1">
      <alignment horizontal="right"/>
    </xf>
    <xf numFmtId="0" fontId="17" fillId="0" borderId="55" xfId="0" applyFont="1" applyBorder="1" applyAlignment="1">
      <alignment horizontal="left"/>
    </xf>
    <xf numFmtId="43" fontId="0" fillId="0" borderId="71" xfId="100" applyFont="1" applyBorder="1" applyAlignment="1">
      <alignment horizontal="right"/>
    </xf>
    <xf numFmtId="0" fontId="0" fillId="0" borderId="70" xfId="0" applyBorder="1"/>
    <xf numFmtId="0" fontId="0" fillId="0" borderId="71" xfId="0" applyBorder="1" applyAlignment="1">
      <alignment horizontal="right" wrapText="1"/>
    </xf>
    <xf numFmtId="0" fontId="0" fillId="0" borderId="71" xfId="0" applyBorder="1"/>
    <xf numFmtId="43" fontId="0" fillId="0" borderId="44" xfId="100" applyFont="1" applyBorder="1"/>
    <xf numFmtId="0" fontId="17" fillId="0" borderId="56" xfId="0" applyFont="1" applyBorder="1" applyAlignment="1">
      <alignment horizontal="left"/>
    </xf>
    <xf numFmtId="0" fontId="0" fillId="0" borderId="73" xfId="0" applyBorder="1" applyAlignment="1">
      <alignment horizontal="right"/>
    </xf>
    <xf numFmtId="0" fontId="0" fillId="0" borderId="72" xfId="0" applyBorder="1"/>
    <xf numFmtId="0" fontId="13" fillId="0" borderId="72" xfId="0" applyFont="1" applyBorder="1"/>
    <xf numFmtId="0" fontId="13" fillId="0" borderId="73" xfId="0" applyFont="1" applyBorder="1"/>
    <xf numFmtId="0" fontId="0" fillId="0" borderId="74" xfId="0" applyBorder="1"/>
    <xf numFmtId="0" fontId="0" fillId="0" borderId="76" xfId="0" applyBorder="1"/>
    <xf numFmtId="9" fontId="17" fillId="0" borderId="73" xfId="0" applyNumberFormat="1" applyFont="1" applyBorder="1"/>
    <xf numFmtId="0" fontId="17" fillId="0" borderId="74" xfId="0" applyFont="1" applyBorder="1"/>
    <xf numFmtId="0" fontId="17" fillId="0" borderId="75" xfId="0" applyFont="1" applyBorder="1" applyAlignment="1">
      <alignment horizontal="left"/>
    </xf>
    <xf numFmtId="0" fontId="0" fillId="0" borderId="76" xfId="0" applyBorder="1" applyAlignment="1">
      <alignment horizontal="right"/>
    </xf>
    <xf numFmtId="0" fontId="9" fillId="5" borderId="73" xfId="0" applyFont="1" applyFill="1" applyBorder="1"/>
    <xf numFmtId="43" fontId="0" fillId="0" borderId="73" xfId="0" applyNumberFormat="1" applyBorder="1"/>
    <xf numFmtId="43" fontId="0" fillId="0" borderId="76" xfId="0" applyNumberFormat="1" applyBorder="1"/>
    <xf numFmtId="0" fontId="9" fillId="5" borderId="44" xfId="0" applyFont="1" applyFill="1" applyBorder="1"/>
    <xf numFmtId="0" fontId="9" fillId="7" borderId="44" xfId="0" applyFont="1" applyFill="1" applyBorder="1" applyAlignment="1">
      <alignment horizontal="center"/>
    </xf>
    <xf numFmtId="0" fontId="0" fillId="0" borderId="55" xfId="0" applyBorder="1"/>
    <xf numFmtId="0" fontId="9" fillId="41" borderId="44" xfId="0" applyFont="1" applyFill="1" applyBorder="1"/>
    <xf numFmtId="43" fontId="0" fillId="0" borderId="71" xfId="100" applyFont="1" applyBorder="1"/>
    <xf numFmtId="43" fontId="0" fillId="0" borderId="73" xfId="100" applyFont="1" applyBorder="1" applyAlignment="1">
      <alignment horizontal="right"/>
    </xf>
    <xf numFmtId="182" fontId="0" fillId="0" borderId="73" xfId="0" applyNumberFormat="1" applyBorder="1"/>
    <xf numFmtId="43" fontId="0" fillId="0" borderId="73" xfId="100" applyFont="1" applyBorder="1"/>
    <xf numFmtId="43" fontId="0" fillId="0" borderId="0" xfId="0" applyNumberFormat="1"/>
    <xf numFmtId="0" fontId="9" fillId="5" borderId="72" xfId="0" applyFont="1" applyFill="1" applyBorder="1"/>
    <xf numFmtId="43" fontId="9" fillId="5" borderId="73" xfId="0" applyNumberFormat="1" applyFont="1" applyFill="1" applyBorder="1"/>
    <xf numFmtId="0" fontId="0" fillId="0" borderId="81" xfId="0" applyBorder="1"/>
    <xf numFmtId="43" fontId="9" fillId="5" borderId="44" xfId="0" applyNumberFormat="1" applyFont="1" applyFill="1" applyBorder="1"/>
    <xf numFmtId="0" fontId="0" fillId="0" borderId="44" xfId="0" applyBorder="1"/>
    <xf numFmtId="43" fontId="0" fillId="0" borderId="44" xfId="0" applyNumberFormat="1" applyBorder="1"/>
    <xf numFmtId="0" fontId="0" fillId="43" borderId="44" xfId="0" applyFill="1" applyBorder="1" applyAlignment="1">
      <alignment horizontal="center"/>
    </xf>
    <xf numFmtId="176" fontId="0" fillId="0" borderId="70" xfId="0" applyNumberFormat="1"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0" borderId="76" xfId="0" applyBorder="1" applyAlignment="1">
      <alignment horizontal="center"/>
    </xf>
    <xf numFmtId="0" fontId="0" fillId="43" borderId="44" xfId="0" applyFill="1" applyBorder="1"/>
    <xf numFmtId="44" fontId="0" fillId="0" borderId="0" xfId="0" applyNumberFormat="1"/>
    <xf numFmtId="0" fontId="9" fillId="7" borderId="35"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36" xfId="0" applyFont="1" applyFill="1" applyBorder="1" applyAlignment="1">
      <alignment horizontal="center" vertical="center"/>
    </xf>
    <xf numFmtId="176" fontId="0" fillId="0" borderId="71" xfId="0" applyNumberFormat="1" applyBorder="1" applyAlignment="1">
      <alignment horizontal="right"/>
    </xf>
    <xf numFmtId="0" fontId="9" fillId="38" borderId="35" xfId="0" applyFont="1" applyFill="1" applyBorder="1" applyAlignment="1">
      <alignment horizontal="center"/>
    </xf>
    <xf numFmtId="0" fontId="9" fillId="38" borderId="79" xfId="0" applyFont="1" applyFill="1" applyBorder="1" applyAlignment="1">
      <alignment horizontal="center"/>
    </xf>
    <xf numFmtId="0" fontId="0" fillId="0" borderId="82" xfId="0" applyBorder="1"/>
    <xf numFmtId="43" fontId="0" fillId="5" borderId="0" xfId="0" applyNumberFormat="1" applyFill="1"/>
    <xf numFmtId="176" fontId="0" fillId="0" borderId="0" xfId="0" applyNumberFormat="1"/>
    <xf numFmtId="9" fontId="0" fillId="0" borderId="0" xfId="8" applyFont="1" applyBorder="1"/>
    <xf numFmtId="22" fontId="0" fillId="0" borderId="0" xfId="0" applyNumberFormat="1"/>
    <xf numFmtId="0" fontId="9" fillId="0" borderId="0" xfId="0" applyFont="1" applyAlignment="1">
      <alignment horizontal="center" vertical="center"/>
    </xf>
    <xf numFmtId="176" fontId="0" fillId="0" borderId="0" xfId="0" applyNumberFormat="1" applyAlignment="1">
      <alignment horizontal="right"/>
    </xf>
    <xf numFmtId="21" fontId="9" fillId="0" borderId="0" xfId="0" applyNumberFormat="1" applyFont="1" applyAlignment="1">
      <alignment horizontal="center"/>
    </xf>
    <xf numFmtId="176" fontId="0" fillId="0" borderId="76" xfId="0" applyNumberFormat="1" applyBorder="1" applyAlignment="1">
      <alignment horizontal="right"/>
    </xf>
    <xf numFmtId="21" fontId="0" fillId="0" borderId="71" xfId="0" applyNumberFormat="1" applyBorder="1"/>
    <xf numFmtId="21" fontId="0" fillId="0" borderId="76" xfId="0" applyNumberFormat="1" applyBorder="1"/>
    <xf numFmtId="0" fontId="17" fillId="0" borderId="76" xfId="0" applyFont="1" applyBorder="1"/>
    <xf numFmtId="43" fontId="0" fillId="0" borderId="44" xfId="100" applyFont="1" applyBorder="1" applyAlignment="1">
      <alignment horizontal="center" vertical="center"/>
    </xf>
    <xf numFmtId="180" fontId="0" fillId="0" borderId="0" xfId="4" applyNumberFormat="1" applyFont="1" applyFill="1" applyBorder="1" applyAlignment="1">
      <alignment horizontal="center"/>
    </xf>
    <xf numFmtId="44" fontId="0" fillId="0" borderId="0" xfId="4" applyFont="1" applyFill="1" applyBorder="1"/>
    <xf numFmtId="9" fontId="0" fillId="0" borderId="0" xfId="0" applyNumberFormat="1"/>
    <xf numFmtId="43" fontId="0" fillId="0" borderId="0" xfId="100" applyFont="1" applyFill="1" applyBorder="1" applyAlignment="1"/>
    <xf numFmtId="180" fontId="0" fillId="0" borderId="0" xfId="4" applyNumberFormat="1" applyFont="1" applyFill="1" applyBorder="1" applyAlignment="1"/>
    <xf numFmtId="181" fontId="0" fillId="0" borderId="0" xfId="0" applyNumberFormat="1"/>
    <xf numFmtId="180" fontId="0" fillId="0" borderId="0" xfId="4" applyNumberFormat="1" applyFont="1" applyFill="1" applyBorder="1"/>
    <xf numFmtId="0" fontId="9" fillId="0" borderId="0" xfId="0" applyFont="1" applyAlignment="1">
      <alignment vertical="center" textRotation="90"/>
    </xf>
    <xf numFmtId="0" fontId="0" fillId="0" borderId="44" xfId="0" applyBorder="1" applyAlignment="1">
      <alignment horizontal="left"/>
    </xf>
    <xf numFmtId="9" fontId="0" fillId="0" borderId="44" xfId="0" applyNumberFormat="1" applyBorder="1"/>
    <xf numFmtId="183" fontId="0" fillId="0" borderId="44" xfId="0" applyNumberFormat="1" applyBorder="1"/>
    <xf numFmtId="0" fontId="9" fillId="7" borderId="35" xfId="0" applyFont="1" applyFill="1" applyBorder="1"/>
    <xf numFmtId="0" fontId="14" fillId="7" borderId="44" xfId="0" applyFont="1" applyFill="1" applyBorder="1"/>
    <xf numFmtId="43" fontId="9" fillId="0" borderId="44" xfId="0" applyNumberFormat="1" applyFont="1" applyBorder="1"/>
    <xf numFmtId="177" fontId="0" fillId="0" borderId="44" xfId="100" applyNumberFormat="1" applyFont="1" applyFill="1" applyBorder="1"/>
    <xf numFmtId="0" fontId="0" fillId="43" borderId="35" xfId="0" applyFill="1" applyBorder="1"/>
    <xf numFmtId="0" fontId="0" fillId="43" borderId="36" xfId="0" applyFill="1" applyBorder="1"/>
    <xf numFmtId="0" fontId="9" fillId="0" borderId="0" xfId="0" applyFont="1" applyAlignment="1">
      <alignment horizontal="center" vertical="top" wrapText="1"/>
    </xf>
    <xf numFmtId="20" fontId="9" fillId="38" borderId="44" xfId="0" applyNumberFormat="1" applyFont="1" applyFill="1" applyBorder="1" applyAlignment="1">
      <alignment horizontal="left"/>
    </xf>
    <xf numFmtId="0" fontId="52" fillId="5" borderId="85" xfId="0" applyFont="1" applyFill="1" applyBorder="1" applyAlignment="1">
      <alignment vertical="center"/>
    </xf>
    <xf numFmtId="43" fontId="52" fillId="5" borderId="85" xfId="0" applyNumberFormat="1" applyFont="1" applyFill="1" applyBorder="1" applyAlignment="1">
      <alignment vertical="center"/>
    </xf>
    <xf numFmtId="44" fontId="52" fillId="5" borderId="86" xfId="4" applyFont="1" applyFill="1" applyBorder="1" applyAlignment="1">
      <alignment vertical="center"/>
    </xf>
    <xf numFmtId="177" fontId="9" fillId="33" borderId="44" xfId="100" applyNumberFormat="1" applyFont="1" applyFill="1" applyBorder="1" applyAlignment="1">
      <alignment horizontal="center" vertical="center" wrapText="1"/>
    </xf>
    <xf numFmtId="43" fontId="9" fillId="44" borderId="44" xfId="100" applyFont="1" applyFill="1" applyBorder="1" applyAlignment="1">
      <alignment horizontal="center" vertical="center" wrapText="1"/>
    </xf>
    <xf numFmtId="177" fontId="9" fillId="42" borderId="44" xfId="100" applyNumberFormat="1" applyFont="1" applyFill="1" applyBorder="1" applyAlignment="1">
      <alignment horizontal="center" vertical="center"/>
    </xf>
    <xf numFmtId="177" fontId="9" fillId="42" borderId="44" xfId="100" applyNumberFormat="1" applyFont="1" applyFill="1" applyBorder="1" applyAlignment="1">
      <alignment horizontal="center" vertical="center" wrapText="1"/>
    </xf>
    <xf numFmtId="0" fontId="0" fillId="0" borderId="35" xfId="0" applyBorder="1"/>
    <xf numFmtId="178" fontId="0" fillId="0" borderId="70" xfId="0" applyNumberFormat="1" applyBorder="1"/>
    <xf numFmtId="177" fontId="0" fillId="0" borderId="55" xfId="100" applyNumberFormat="1" applyFont="1" applyBorder="1"/>
    <xf numFmtId="178" fontId="0" fillId="0" borderId="55" xfId="0" applyNumberFormat="1" applyBorder="1"/>
    <xf numFmtId="178" fontId="0" fillId="0" borderId="71" xfId="0" applyNumberFormat="1" applyBorder="1"/>
    <xf numFmtId="178" fontId="0" fillId="0" borderId="72" xfId="0" applyNumberFormat="1" applyBorder="1"/>
    <xf numFmtId="178" fontId="0" fillId="0" borderId="56" xfId="0" applyNumberFormat="1" applyBorder="1"/>
    <xf numFmtId="178" fontId="0" fillId="0" borderId="73" xfId="0" applyNumberFormat="1" applyBorder="1"/>
    <xf numFmtId="178" fontId="0" fillId="0" borderId="74" xfId="0" applyNumberFormat="1" applyBorder="1"/>
    <xf numFmtId="177" fontId="0" fillId="0" borderId="75" xfId="100" applyNumberFormat="1" applyFont="1" applyBorder="1"/>
    <xf numFmtId="178" fontId="0" fillId="0" borderId="75" xfId="0" applyNumberFormat="1" applyBorder="1"/>
    <xf numFmtId="178" fontId="0" fillId="0" borderId="76" xfId="0" applyNumberFormat="1" applyBorder="1"/>
    <xf numFmtId="177" fontId="9" fillId="38" borderId="44" xfId="100" applyNumberFormat="1" applyFont="1" applyFill="1" applyBorder="1" applyAlignment="1">
      <alignment horizontal="center" vertical="center"/>
    </xf>
    <xf numFmtId="43" fontId="9" fillId="38" borderId="44" xfId="100" applyFont="1" applyFill="1" applyBorder="1" applyAlignment="1">
      <alignment horizontal="center" vertical="center" wrapText="1"/>
    </xf>
    <xf numFmtId="0" fontId="9" fillId="5" borderId="44" xfId="0" applyFont="1" applyFill="1" applyBorder="1" applyAlignment="1">
      <alignment horizontal="left"/>
    </xf>
    <xf numFmtId="0" fontId="0" fillId="45" borderId="44" xfId="0" applyFill="1" applyBorder="1" applyAlignment="1">
      <alignment horizontal="left"/>
    </xf>
    <xf numFmtId="0" fontId="0" fillId="41" borderId="44" xfId="0" applyFill="1" applyBorder="1" applyAlignment="1">
      <alignment horizontal="left"/>
    </xf>
    <xf numFmtId="0" fontId="0" fillId="47" borderId="44" xfId="0" applyFill="1" applyBorder="1" applyAlignment="1">
      <alignment horizontal="left"/>
    </xf>
    <xf numFmtId="0" fontId="0" fillId="46" borderId="44" xfId="0" applyFill="1" applyBorder="1" applyAlignment="1">
      <alignment horizontal="left"/>
    </xf>
    <xf numFmtId="0" fontId="52" fillId="5" borderId="88" xfId="0" applyFont="1" applyFill="1" applyBorder="1" applyAlignment="1">
      <alignment vertical="center"/>
    </xf>
    <xf numFmtId="43" fontId="0" fillId="0" borderId="84" xfId="0" applyNumberFormat="1" applyBorder="1"/>
    <xf numFmtId="180" fontId="0" fillId="45" borderId="44" xfId="4" applyNumberFormat="1" applyFont="1" applyFill="1" applyBorder="1" applyAlignment="1">
      <alignment horizontal="left"/>
    </xf>
    <xf numFmtId="180" fontId="0" fillId="41" borderId="44" xfId="4" applyNumberFormat="1" applyFont="1" applyFill="1" applyBorder="1" applyAlignment="1">
      <alignment horizontal="left"/>
    </xf>
    <xf numFmtId="180" fontId="0" fillId="47" borderId="44" xfId="4" applyNumberFormat="1" applyFont="1" applyFill="1" applyBorder="1" applyAlignment="1">
      <alignment horizontal="left"/>
    </xf>
    <xf numFmtId="180" fontId="0" fillId="46" borderId="44" xfId="4" applyNumberFormat="1" applyFont="1" applyFill="1" applyBorder="1" applyAlignment="1">
      <alignment horizontal="left"/>
    </xf>
    <xf numFmtId="0" fontId="14" fillId="0" borderId="0" xfId="0" applyFont="1"/>
    <xf numFmtId="43" fontId="0" fillId="0" borderId="0" xfId="100" applyFont="1" applyFill="1" applyBorder="1" applyAlignment="1">
      <alignment horizontal="right"/>
    </xf>
    <xf numFmtId="14" fontId="13" fillId="0" borderId="0" xfId="0" applyNumberFormat="1" applyFont="1" applyAlignment="1">
      <alignment horizontal="left"/>
    </xf>
    <xf numFmtId="0" fontId="9" fillId="41" borderId="44" xfId="0" applyFont="1" applyFill="1" applyBorder="1" applyAlignment="1">
      <alignment horizontal="center"/>
    </xf>
    <xf numFmtId="184" fontId="0" fillId="0" borderId="55" xfId="100" applyNumberFormat="1" applyFont="1" applyBorder="1"/>
    <xf numFmtId="185" fontId="0" fillId="0" borderId="55" xfId="0" applyNumberFormat="1" applyBorder="1"/>
    <xf numFmtId="43" fontId="0" fillId="0" borderId="55" xfId="100" applyFont="1" applyBorder="1"/>
    <xf numFmtId="186" fontId="0" fillId="0" borderId="71" xfId="0" applyNumberFormat="1" applyBorder="1"/>
    <xf numFmtId="184" fontId="0" fillId="0" borderId="56" xfId="100" applyNumberFormat="1" applyFont="1" applyBorder="1"/>
    <xf numFmtId="185" fontId="0" fillId="0" borderId="56" xfId="0" applyNumberFormat="1" applyBorder="1"/>
    <xf numFmtId="186" fontId="0" fillId="0" borderId="73" xfId="0" applyNumberFormat="1" applyBorder="1"/>
    <xf numFmtId="184" fontId="0" fillId="0" borderId="75" xfId="100" applyNumberFormat="1" applyFont="1" applyBorder="1"/>
    <xf numFmtId="185" fontId="0" fillId="0" borderId="75" xfId="0" applyNumberFormat="1" applyBorder="1"/>
    <xf numFmtId="43" fontId="0" fillId="0" borderId="75" xfId="100" applyFont="1" applyBorder="1"/>
    <xf numFmtId="184" fontId="0" fillId="0" borderId="44" xfId="0" applyNumberFormat="1" applyBorder="1"/>
    <xf numFmtId="185" fontId="0" fillId="0" borderId="44" xfId="0" applyNumberFormat="1" applyBorder="1"/>
    <xf numFmtId="186" fontId="0" fillId="0" borderId="44" xfId="0" applyNumberFormat="1" applyBorder="1"/>
    <xf numFmtId="184" fontId="0" fillId="0" borderId="44" xfId="100" applyNumberFormat="1" applyFont="1" applyBorder="1"/>
    <xf numFmtId="13" fontId="0" fillId="0" borderId="44" xfId="0" applyNumberFormat="1" applyBorder="1"/>
    <xf numFmtId="0" fontId="0" fillId="5" borderId="1" xfId="2" applyFont="1" applyFill="1" applyBorder="1" applyAlignment="1" applyProtection="1">
      <alignment horizontal="center" vertical="center"/>
      <protection locked="0"/>
    </xf>
    <xf numFmtId="0" fontId="0" fillId="0" borderId="89" xfId="0" applyBorder="1"/>
    <xf numFmtId="0" fontId="0" fillId="0" borderId="90" xfId="0" applyBorder="1"/>
    <xf numFmtId="0" fontId="0" fillId="0" borderId="91" xfId="0" applyBorder="1"/>
    <xf numFmtId="0" fontId="0" fillId="0" borderId="36" xfId="0" applyBorder="1"/>
    <xf numFmtId="44" fontId="0" fillId="0" borderId="44" xfId="4" applyFont="1" applyBorder="1"/>
    <xf numFmtId="43" fontId="50" fillId="0" borderId="51" xfId="0" applyNumberFormat="1" applyFont="1" applyBorder="1" applyAlignment="1">
      <alignment horizontal="center"/>
    </xf>
    <xf numFmtId="43" fontId="54" fillId="0" borderId="44" xfId="74" applyNumberFormat="1" applyFont="1" applyBorder="1" applyAlignment="1">
      <alignment horizontal="center" vertical="center"/>
    </xf>
    <xf numFmtId="43" fontId="50" fillId="0" borderId="49" xfId="0" applyNumberFormat="1" applyFont="1" applyBorder="1" applyAlignment="1">
      <alignment horizontal="center"/>
    </xf>
    <xf numFmtId="0" fontId="9" fillId="0" borderId="0" xfId="0" applyFont="1" applyAlignment="1">
      <alignment vertical="center" textRotation="90" wrapText="1"/>
    </xf>
    <xf numFmtId="0" fontId="0" fillId="0" borderId="78" xfId="0" applyBorder="1"/>
    <xf numFmtId="0" fontId="9" fillId="41" borderId="36" xfId="0" applyFont="1" applyFill="1" applyBorder="1"/>
    <xf numFmtId="0" fontId="0" fillId="0" borderId="92" xfId="0" applyBorder="1"/>
    <xf numFmtId="0" fontId="0" fillId="0" borderId="93" xfId="0" applyBorder="1"/>
    <xf numFmtId="0" fontId="17" fillId="0" borderId="90" xfId="0" applyFont="1" applyBorder="1"/>
    <xf numFmtId="0" fontId="52" fillId="5" borderId="90" xfId="0" applyFont="1" applyFill="1" applyBorder="1"/>
    <xf numFmtId="0" fontId="17" fillId="0" borderId="91" xfId="0" applyFont="1" applyBorder="1"/>
    <xf numFmtId="0" fontId="52" fillId="5" borderId="36" xfId="0" applyFont="1" applyFill="1" applyBorder="1"/>
    <xf numFmtId="0" fontId="9" fillId="33" borderId="44" xfId="0" applyFont="1" applyFill="1" applyBorder="1" applyAlignment="1">
      <alignment vertical="top"/>
    </xf>
    <xf numFmtId="0" fontId="9" fillId="33" borderId="44" xfId="0" applyFont="1" applyFill="1" applyBorder="1" applyAlignment="1">
      <alignment horizontal="center" vertical="top" wrapText="1"/>
    </xf>
    <xf numFmtId="0" fontId="0" fillId="0" borderId="94" xfId="0" applyBorder="1"/>
    <xf numFmtId="0" fontId="0" fillId="0" borderId="95" xfId="0" applyBorder="1"/>
    <xf numFmtId="0" fontId="0" fillId="0" borderId="44" xfId="0" applyBorder="1" applyProtection="1">
      <protection locked="0"/>
    </xf>
    <xf numFmtId="43" fontId="0" fillId="0" borderId="44" xfId="0" applyNumberFormat="1" applyBorder="1" applyProtection="1">
      <protection locked="0"/>
    </xf>
    <xf numFmtId="0" fontId="9" fillId="5" borderId="35" xfId="0" applyFont="1" applyFill="1" applyBorder="1" applyAlignment="1">
      <alignment horizontal="left"/>
    </xf>
    <xf numFmtId="0" fontId="0" fillId="0" borderId="84" xfId="0" applyBorder="1"/>
    <xf numFmtId="0" fontId="9" fillId="0" borderId="44" xfId="0" applyFont="1" applyBorder="1"/>
    <xf numFmtId="0" fontId="9" fillId="7" borderId="44" xfId="0" applyFont="1" applyFill="1" applyBorder="1"/>
    <xf numFmtId="0" fontId="0" fillId="0" borderId="0" xfId="0" applyAlignment="1">
      <alignment vertical="center" textRotation="90" wrapText="1"/>
    </xf>
    <xf numFmtId="176" fontId="0" fillId="0" borderId="55" xfId="0" applyNumberFormat="1" applyBorder="1"/>
    <xf numFmtId="14" fontId="13" fillId="39" borderId="71" xfId="0" applyNumberFormat="1" applyFont="1" applyFill="1" applyBorder="1" applyAlignment="1">
      <alignment horizontal="left"/>
    </xf>
    <xf numFmtId="14" fontId="13" fillId="39" borderId="76" xfId="0" applyNumberFormat="1" applyFont="1" applyFill="1" applyBorder="1" applyAlignment="1">
      <alignment horizontal="left"/>
    </xf>
    <xf numFmtId="176" fontId="0" fillId="0" borderId="56" xfId="0" applyNumberFormat="1" applyBorder="1"/>
    <xf numFmtId="14" fontId="13" fillId="39" borderId="73" xfId="0" applyNumberFormat="1" applyFont="1" applyFill="1" applyBorder="1" applyAlignment="1">
      <alignment horizontal="left"/>
    </xf>
    <xf numFmtId="21" fontId="0" fillId="0" borderId="56" xfId="0" applyNumberFormat="1" applyBorder="1"/>
    <xf numFmtId="21" fontId="0" fillId="0" borderId="75" xfId="0" applyNumberFormat="1" applyBorder="1"/>
    <xf numFmtId="177" fontId="0" fillId="0" borderId="70" xfId="100" applyNumberFormat="1" applyFont="1" applyBorder="1"/>
    <xf numFmtId="177" fontId="0" fillId="0" borderId="55" xfId="100" applyNumberFormat="1" applyFont="1" applyBorder="1" applyAlignment="1">
      <alignment horizontal="center"/>
    </xf>
    <xf numFmtId="177" fontId="0" fillId="0" borderId="72" xfId="100" applyNumberFormat="1" applyFont="1" applyBorder="1"/>
    <xf numFmtId="9" fontId="0" fillId="0" borderId="56" xfId="8" applyFont="1" applyBorder="1"/>
    <xf numFmtId="177" fontId="0" fillId="0" borderId="72" xfId="100" applyNumberFormat="1" applyFont="1" applyFill="1" applyBorder="1"/>
    <xf numFmtId="43" fontId="9" fillId="0" borderId="56" xfId="0" applyNumberFormat="1" applyFont="1" applyBorder="1"/>
    <xf numFmtId="177" fontId="0" fillId="0" borderId="74" xfId="100" applyNumberFormat="1" applyFont="1" applyFill="1" applyBorder="1"/>
    <xf numFmtId="43" fontId="9" fillId="0" borderId="75" xfId="0" applyNumberFormat="1" applyFont="1" applyBorder="1"/>
    <xf numFmtId="187" fontId="0" fillId="0" borderId="35" xfId="100" applyNumberFormat="1" applyFont="1" applyBorder="1"/>
    <xf numFmtId="0" fontId="9" fillId="5" borderId="79" xfId="0" applyFont="1" applyFill="1" applyBorder="1" applyAlignment="1">
      <alignment horizontal="left"/>
    </xf>
    <xf numFmtId="0" fontId="9" fillId="5" borderId="36" xfId="0" applyFont="1" applyFill="1" applyBorder="1" applyAlignment="1">
      <alignment horizontal="left"/>
    </xf>
    <xf numFmtId="0" fontId="9" fillId="33" borderId="52" xfId="0" applyFont="1" applyFill="1" applyBorder="1" applyAlignment="1">
      <alignment horizontal="center" vertical="center" wrapText="1"/>
    </xf>
    <xf numFmtId="0" fontId="9" fillId="33" borderId="87" xfId="0" applyFont="1" applyFill="1" applyBorder="1" applyAlignment="1">
      <alignment horizontal="center" vertical="center" wrapText="1"/>
    </xf>
    <xf numFmtId="0" fontId="9" fillId="33" borderId="83" xfId="0" applyFont="1" applyFill="1" applyBorder="1" applyAlignment="1">
      <alignment horizontal="center" vertical="center" wrapText="1"/>
    </xf>
    <xf numFmtId="0" fontId="9" fillId="41" borderId="44" xfId="0" applyFont="1" applyFill="1" applyBorder="1" applyAlignment="1">
      <alignment horizontal="center" vertical="center"/>
    </xf>
    <xf numFmtId="0" fontId="9" fillId="41" borderId="44" xfId="0" applyFont="1" applyFill="1" applyBorder="1" applyAlignment="1">
      <alignment horizontal="center" vertical="center" wrapText="1"/>
    </xf>
    <xf numFmtId="0" fontId="9" fillId="41" borderId="44" xfId="0" applyFont="1" applyFill="1" applyBorder="1" applyAlignment="1">
      <alignment vertical="center"/>
    </xf>
    <xf numFmtId="188" fontId="0" fillId="0" borderId="73" xfId="0" applyNumberFormat="1" applyBorder="1"/>
    <xf numFmtId="166" fontId="0" fillId="0" borderId="73" xfId="0" applyNumberFormat="1" applyBorder="1"/>
    <xf numFmtId="0" fontId="51" fillId="0" borderId="44" xfId="0" applyFont="1" applyBorder="1" applyAlignment="1">
      <alignment horizontal="center"/>
    </xf>
    <xf numFmtId="0" fontId="9" fillId="48" borderId="72" xfId="0" applyFont="1" applyFill="1" applyBorder="1"/>
    <xf numFmtId="43" fontId="0" fillId="48" borderId="73" xfId="0" applyNumberFormat="1" applyFill="1" applyBorder="1"/>
    <xf numFmtId="0" fontId="0" fillId="48" borderId="72" xfId="0" applyFill="1" applyBorder="1"/>
    <xf numFmtId="43" fontId="9" fillId="48" borderId="73" xfId="0" applyNumberFormat="1" applyFont="1" applyFill="1" applyBorder="1"/>
    <xf numFmtId="0" fontId="9" fillId="44" borderId="72" xfId="0" applyFont="1" applyFill="1" applyBorder="1"/>
    <xf numFmtId="0" fontId="0" fillId="44" borderId="73" xfId="0" applyFill="1" applyBorder="1"/>
    <xf numFmtId="0" fontId="0" fillId="44" borderId="72" xfId="0" applyFill="1" applyBorder="1"/>
    <xf numFmtId="43" fontId="0" fillId="44" borderId="73" xfId="0" applyNumberFormat="1" applyFill="1" applyBorder="1"/>
    <xf numFmtId="43" fontId="9" fillId="44" borderId="73" xfId="0" applyNumberFormat="1" applyFont="1" applyFill="1" applyBorder="1"/>
    <xf numFmtId="0" fontId="9" fillId="7" borderId="36" xfId="0" applyFont="1" applyFill="1" applyBorder="1"/>
    <xf numFmtId="0" fontId="9" fillId="7" borderId="44" xfId="0" applyFont="1" applyFill="1" applyBorder="1" applyAlignment="1">
      <alignment horizontal="center" vertical="center"/>
    </xf>
    <xf numFmtId="0" fontId="9" fillId="7" borderId="44" xfId="0" applyFont="1" applyFill="1" applyBorder="1" applyAlignment="1">
      <alignment horizontal="center" vertical="center" wrapText="1"/>
    </xf>
    <xf numFmtId="0" fontId="50" fillId="0" borderId="60" xfId="6" applyFont="1" applyBorder="1" applyAlignment="1">
      <alignment vertical="center" wrapText="1"/>
    </xf>
    <xf numFmtId="173" fontId="50" fillId="0" borderId="60" xfId="6" applyNumberFormat="1" applyFont="1" applyBorder="1" applyAlignment="1">
      <alignment horizontal="center" vertical="center" wrapText="1"/>
    </xf>
    <xf numFmtId="43" fontId="0" fillId="0" borderId="71" xfId="0" applyNumberFormat="1" applyBorder="1"/>
    <xf numFmtId="9" fontId="0" fillId="0" borderId="73" xfId="8" applyFont="1" applyBorder="1"/>
    <xf numFmtId="0" fontId="0" fillId="0" borderId="70" xfId="0" applyBorder="1" applyAlignment="1">
      <alignment horizontal="left"/>
    </xf>
    <xf numFmtId="9" fontId="0" fillId="0" borderId="73" xfId="0" applyNumberFormat="1" applyBorder="1"/>
    <xf numFmtId="0" fontId="0" fillId="0" borderId="77" xfId="0" applyBorder="1"/>
    <xf numFmtId="2" fontId="50" fillId="0" borderId="44" xfId="6" applyNumberFormat="1" applyFont="1" applyBorder="1" applyAlignment="1">
      <alignment vertical="center" wrapText="1"/>
    </xf>
    <xf numFmtId="2" fontId="50" fillId="0" borderId="60" xfId="6" applyNumberFormat="1" applyFont="1" applyBorder="1" applyAlignment="1">
      <alignment vertical="center" wrapText="1"/>
    </xf>
    <xf numFmtId="172" fontId="53" fillId="0" borderId="44" xfId="101" applyFont="1" applyFill="1" applyBorder="1" applyAlignment="1">
      <alignment horizontal="center" vertical="center"/>
    </xf>
    <xf numFmtId="43" fontId="50" fillId="0" borderId="30" xfId="100" applyFont="1" applyFill="1" applyBorder="1" applyAlignment="1"/>
    <xf numFmtId="43" fontId="51" fillId="0" borderId="0" xfId="100" applyFont="1" applyFill="1" applyAlignment="1"/>
    <xf numFmtId="43" fontId="51" fillId="0" borderId="53" xfId="100" applyFont="1" applyFill="1" applyBorder="1" applyAlignment="1"/>
    <xf numFmtId="43" fontId="51" fillId="0" borderId="49" xfId="100" applyFont="1" applyFill="1" applyBorder="1" applyAlignment="1"/>
    <xf numFmtId="43" fontId="51" fillId="0" borderId="51" xfId="100" applyFont="1" applyFill="1" applyBorder="1" applyAlignment="1"/>
    <xf numFmtId="43" fontId="50" fillId="0" borderId="0" xfId="100" applyFont="1" applyFill="1" applyAlignment="1"/>
    <xf numFmtId="43" fontId="50" fillId="0" borderId="0" xfId="100" applyFont="1" applyFill="1" applyBorder="1" applyAlignment="1"/>
    <xf numFmtId="43" fontId="54" fillId="0" borderId="60" xfId="100" applyFont="1" applyFill="1" applyBorder="1" applyAlignment="1">
      <alignment vertical="center"/>
    </xf>
    <xf numFmtId="43" fontId="54" fillId="0" borderId="44" xfId="100" applyFont="1" applyFill="1" applyBorder="1" applyAlignment="1">
      <alignment vertical="center"/>
    </xf>
    <xf numFmtId="43" fontId="50" fillId="0" borderId="44" xfId="100" applyFont="1" applyFill="1" applyBorder="1" applyAlignment="1"/>
    <xf numFmtId="43" fontId="9" fillId="38" borderId="62" xfId="100" applyFont="1" applyFill="1" applyBorder="1" applyAlignment="1"/>
    <xf numFmtId="43" fontId="50" fillId="0" borderId="60" xfId="100" applyFont="1" applyFill="1" applyBorder="1" applyAlignment="1"/>
    <xf numFmtId="43" fontId="53" fillId="0" borderId="0" xfId="100" applyFont="1" applyFill="1" applyBorder="1" applyAlignment="1">
      <alignment vertical="center"/>
    </xf>
    <xf numFmtId="43" fontId="53" fillId="7" borderId="62" xfId="100" applyFont="1" applyFill="1" applyBorder="1" applyAlignment="1">
      <alignment vertical="center"/>
    </xf>
    <xf numFmtId="43" fontId="55" fillId="7" borderId="62" xfId="100" applyFont="1" applyFill="1" applyBorder="1" applyAlignment="1">
      <alignment vertical="center"/>
    </xf>
    <xf numFmtId="43" fontId="50" fillId="0" borderId="44" xfId="100" applyFont="1" applyFill="1" applyBorder="1" applyAlignment="1">
      <alignment vertical="center" wrapText="1"/>
    </xf>
    <xf numFmtId="43" fontId="50" fillId="0" borderId="60" xfId="100" applyFont="1" applyFill="1" applyBorder="1" applyAlignment="1">
      <alignment vertical="center" wrapText="1"/>
    </xf>
    <xf numFmtId="43" fontId="52" fillId="7" borderId="62" xfId="100" applyFont="1" applyFill="1" applyBorder="1" applyAlignment="1"/>
    <xf numFmtId="43" fontId="52" fillId="0" borderId="0" xfId="100" applyFont="1" applyFill="1" applyBorder="1" applyAlignment="1"/>
    <xf numFmtId="43" fontId="56" fillId="7" borderId="62" xfId="100" applyFont="1" applyFill="1" applyBorder="1" applyAlignment="1"/>
    <xf numFmtId="43" fontId="50" fillId="39" borderId="44" xfId="100" applyFont="1" applyFill="1" applyBorder="1" applyAlignment="1"/>
    <xf numFmtId="43" fontId="53" fillId="5" borderId="44" xfId="100" applyFont="1" applyFill="1" applyBorder="1" applyAlignment="1">
      <alignment horizontal="center" vertical="center"/>
    </xf>
    <xf numFmtId="43" fontId="50" fillId="0" borderId="54" xfId="0" applyNumberFormat="1" applyFont="1" applyBorder="1"/>
    <xf numFmtId="43" fontId="17" fillId="0" borderId="56" xfId="100" applyFont="1" applyBorder="1" applyAlignment="1" applyProtection="1">
      <alignment horizontal="right"/>
      <protection locked="0"/>
    </xf>
    <xf numFmtId="0" fontId="17" fillId="0" borderId="56" xfId="0" applyFont="1" applyBorder="1" applyProtection="1">
      <protection locked="0"/>
    </xf>
    <xf numFmtId="0" fontId="0" fillId="0" borderId="56" xfId="0" applyBorder="1" applyAlignment="1" applyProtection="1">
      <alignment horizontal="right"/>
      <protection locked="0"/>
    </xf>
    <xf numFmtId="21" fontId="0" fillId="0" borderId="56" xfId="0" applyNumberFormat="1" applyBorder="1" applyAlignment="1">
      <alignment horizontal="right"/>
    </xf>
    <xf numFmtId="182" fontId="0" fillId="0" borderId="73" xfId="100" applyNumberFormat="1" applyFont="1" applyBorder="1"/>
    <xf numFmtId="189" fontId="0" fillId="0" borderId="73" xfId="0" applyNumberFormat="1" applyBorder="1"/>
    <xf numFmtId="189" fontId="0" fillId="0" borderId="76" xfId="0" applyNumberFormat="1" applyBorder="1"/>
    <xf numFmtId="0" fontId="56" fillId="0" borderId="72" xfId="0" applyFont="1" applyBorder="1" applyAlignment="1">
      <alignment horizontal="left"/>
    </xf>
    <xf numFmtId="0" fontId="56" fillId="0" borderId="56" xfId="0" applyFont="1" applyBorder="1" applyAlignment="1">
      <alignment horizontal="left"/>
    </xf>
    <xf numFmtId="176" fontId="9" fillId="0" borderId="56" xfId="100" applyNumberFormat="1" applyFont="1" applyBorder="1" applyAlignment="1">
      <alignment horizontal="right"/>
    </xf>
    <xf numFmtId="0" fontId="17" fillId="0" borderId="0" xfId="0" applyFont="1" applyAlignment="1">
      <alignment horizontal="left"/>
    </xf>
    <xf numFmtId="43" fontId="17" fillId="40" borderId="71" xfId="100" applyFont="1" applyFill="1" applyBorder="1" applyAlignment="1" applyProtection="1">
      <alignment horizontal="right"/>
      <protection locked="0"/>
    </xf>
    <xf numFmtId="43" fontId="17" fillId="0" borderId="73" xfId="100" applyFont="1" applyBorder="1" applyAlignment="1">
      <alignment horizontal="right"/>
    </xf>
    <xf numFmtId="179" fontId="0" fillId="0" borderId="73" xfId="0" applyNumberFormat="1" applyBorder="1"/>
    <xf numFmtId="177" fontId="0" fillId="0" borderId="0" xfId="100" applyNumberFormat="1" applyFont="1" applyFill="1" applyBorder="1"/>
    <xf numFmtId="43" fontId="56" fillId="0" borderId="0" xfId="100" applyFont="1" applyBorder="1" applyAlignment="1">
      <alignment horizontal="right"/>
    </xf>
    <xf numFmtId="0" fontId="56" fillId="0" borderId="0" xfId="0" applyFont="1" applyAlignment="1">
      <alignment horizontal="left"/>
    </xf>
    <xf numFmtId="43" fontId="0" fillId="0" borderId="75" xfId="100" applyFont="1" applyBorder="1" applyAlignment="1">
      <alignment horizontal="right"/>
    </xf>
    <xf numFmtId="43" fontId="9" fillId="0" borderId="0" xfId="100" applyFont="1" applyBorder="1" applyAlignment="1">
      <alignment horizontal="right"/>
    </xf>
    <xf numFmtId="0" fontId="9" fillId="0" borderId="56" xfId="100" applyNumberFormat="1" applyFont="1" applyBorder="1"/>
    <xf numFmtId="0" fontId="52" fillId="7" borderId="44" xfId="0" applyFont="1" applyFill="1" applyBorder="1" applyAlignment="1">
      <alignment horizontal="left" vertical="top"/>
    </xf>
    <xf numFmtId="0" fontId="52" fillId="7" borderId="44" xfId="0" applyFont="1" applyFill="1" applyBorder="1" applyAlignment="1">
      <alignment horizontal="center" vertical="top"/>
    </xf>
    <xf numFmtId="0" fontId="52" fillId="7" borderId="44" xfId="0" applyFont="1" applyFill="1" applyBorder="1" applyAlignment="1">
      <alignment horizontal="center" vertical="top" wrapText="1"/>
    </xf>
    <xf numFmtId="43" fontId="17" fillId="0" borderId="56" xfId="100" applyFont="1" applyBorder="1"/>
    <xf numFmtId="0" fontId="17" fillId="0" borderId="80" xfId="0" applyFont="1" applyBorder="1"/>
    <xf numFmtId="0" fontId="17" fillId="0" borderId="60" xfId="0" applyFont="1" applyBorder="1"/>
    <xf numFmtId="43" fontId="17" fillId="0" borderId="56" xfId="0" applyNumberFormat="1" applyFont="1" applyBorder="1"/>
    <xf numFmtId="0" fontId="56" fillId="0" borderId="55" xfId="0" applyFont="1" applyBorder="1" applyAlignment="1">
      <alignment horizontal="left"/>
    </xf>
    <xf numFmtId="0" fontId="17" fillId="0" borderId="71" xfId="0" applyFont="1" applyBorder="1" applyAlignment="1">
      <alignment horizontal="right"/>
    </xf>
    <xf numFmtId="0" fontId="17" fillId="0" borderId="73" xfId="0" applyFont="1" applyBorder="1" applyAlignment="1">
      <alignment horizontal="right"/>
    </xf>
    <xf numFmtId="0" fontId="0" fillId="0" borderId="56" xfId="0" applyBorder="1" applyAlignment="1">
      <alignment horizontal="left"/>
    </xf>
    <xf numFmtId="0" fontId="56" fillId="0" borderId="56" xfId="0" applyFont="1" applyBorder="1" applyAlignment="1">
      <alignment horizontal="center"/>
    </xf>
    <xf numFmtId="177" fontId="9" fillId="0" borderId="56" xfId="100" applyNumberFormat="1" applyFont="1" applyBorder="1" applyAlignment="1">
      <alignment horizontal="center"/>
    </xf>
    <xf numFmtId="0" fontId="0" fillId="0" borderId="75" xfId="0" applyBorder="1" applyAlignment="1">
      <alignment horizontal="left"/>
    </xf>
    <xf numFmtId="44" fontId="0" fillId="0" borderId="0" xfId="4" applyFont="1"/>
    <xf numFmtId="43" fontId="50" fillId="0" borderId="56" xfId="0" applyNumberFormat="1" applyFont="1" applyBorder="1"/>
    <xf numFmtId="43" fontId="50" fillId="0" borderId="58" xfId="0" applyNumberFormat="1" applyFont="1" applyBorder="1"/>
    <xf numFmtId="0" fontId="50" fillId="0" borderId="58" xfId="0" applyFont="1" applyBorder="1"/>
    <xf numFmtId="43" fontId="50" fillId="0" borderId="59" xfId="100" applyFont="1" applyFill="1" applyBorder="1" applyAlignment="1"/>
    <xf numFmtId="179" fontId="0" fillId="0" borderId="16" xfId="0" applyNumberFormat="1" applyBorder="1"/>
    <xf numFmtId="43" fontId="0" fillId="0" borderId="78" xfId="0" applyNumberFormat="1" applyBorder="1"/>
    <xf numFmtId="0" fontId="9" fillId="7" borderId="44" xfId="0" applyFont="1" applyFill="1" applyBorder="1" applyAlignment="1">
      <alignment horizontal="left"/>
    </xf>
    <xf numFmtId="49" fontId="0" fillId="0" borderId="0" xfId="0" applyNumberFormat="1" applyAlignment="1">
      <alignment vertical="top"/>
    </xf>
    <xf numFmtId="0" fontId="51" fillId="0" borderId="44" xfId="0" applyFont="1" applyBorder="1" applyAlignment="1">
      <alignment horizontal="left"/>
    </xf>
    <xf numFmtId="0" fontId="51" fillId="0" borderId="44" xfId="0" applyFont="1" applyBorder="1"/>
    <xf numFmtId="0" fontId="51" fillId="0" borderId="60" xfId="0" applyFont="1" applyBorder="1" applyAlignment="1">
      <alignment horizontal="left"/>
    </xf>
    <xf numFmtId="43" fontId="51" fillId="0" borderId="60" xfId="0" applyNumberFormat="1" applyFont="1" applyBorder="1"/>
    <xf numFmtId="43" fontId="60" fillId="0" borderId="55" xfId="100" applyFont="1" applyFill="1" applyBorder="1" applyAlignment="1">
      <alignment horizontal="center"/>
    </xf>
    <xf numFmtId="171" fontId="60" fillId="0" borderId="55" xfId="8" applyNumberFormat="1" applyFont="1" applyFill="1" applyBorder="1" applyAlignment="1">
      <alignment horizontal="center"/>
    </xf>
    <xf numFmtId="0" fontId="60" fillId="0" borderId="56" xfId="0" applyFont="1" applyBorder="1" applyAlignment="1">
      <alignment horizontal="left" vertical="center"/>
    </xf>
    <xf numFmtId="0" fontId="60" fillId="0" borderId="75" xfId="0" applyFont="1" applyBorder="1" applyAlignment="1">
      <alignment horizontal="left" vertical="center"/>
    </xf>
    <xf numFmtId="0" fontId="60" fillId="0" borderId="55" xfId="0" applyFont="1" applyBorder="1" applyAlignment="1">
      <alignment horizontal="left" vertical="center"/>
    </xf>
    <xf numFmtId="0" fontId="0" fillId="0" borderId="70" xfId="0" applyBorder="1" applyAlignment="1">
      <alignment horizontal="center"/>
    </xf>
    <xf numFmtId="0" fontId="0" fillId="0" borderId="55" xfId="0" applyBorder="1" applyAlignment="1">
      <alignment horizontal="center"/>
    </xf>
    <xf numFmtId="43" fontId="60" fillId="0" borderId="56" xfId="100" applyFont="1" applyFill="1" applyBorder="1" applyAlignment="1">
      <alignment horizontal="center"/>
    </xf>
    <xf numFmtId="171" fontId="60" fillId="0" borderId="56" xfId="8" applyNumberFormat="1" applyFont="1" applyFill="1" applyBorder="1" applyAlignment="1">
      <alignment horizontal="center"/>
    </xf>
    <xf numFmtId="0" fontId="0" fillId="0" borderId="56" xfId="0" applyBorder="1" applyAlignment="1">
      <alignment horizontal="center"/>
    </xf>
    <xf numFmtId="43" fontId="60" fillId="0" borderId="75" xfId="100" applyFont="1" applyFill="1" applyBorder="1" applyAlignment="1">
      <alignment horizontal="center"/>
    </xf>
    <xf numFmtId="0" fontId="0" fillId="0" borderId="75" xfId="0" applyBorder="1" applyAlignment="1">
      <alignment horizontal="center"/>
    </xf>
    <xf numFmtId="0" fontId="0" fillId="0" borderId="96" xfId="0" applyBorder="1" applyAlignment="1">
      <alignment horizontal="left"/>
    </xf>
    <xf numFmtId="0" fontId="0" fillId="0" borderId="97" xfId="0" applyBorder="1" applyAlignment="1">
      <alignment horizontal="left"/>
    </xf>
    <xf numFmtId="0" fontId="0" fillId="0" borderId="98" xfId="0" applyBorder="1" applyAlignment="1">
      <alignment horizontal="left"/>
    </xf>
    <xf numFmtId="0" fontId="0" fillId="7" borderId="44" xfId="0" applyFill="1" applyBorder="1"/>
    <xf numFmtId="171" fontId="60" fillId="0" borderId="99" xfId="8" applyNumberFormat="1" applyFont="1" applyFill="1" applyBorder="1" applyAlignment="1">
      <alignment horizontal="center"/>
    </xf>
    <xf numFmtId="10" fontId="0" fillId="0" borderId="56" xfId="100" applyNumberFormat="1" applyFont="1" applyFill="1" applyBorder="1" applyAlignment="1" applyProtection="1">
      <alignment horizontal="right"/>
      <protection locked="0"/>
    </xf>
    <xf numFmtId="10" fontId="0" fillId="0" borderId="0" xfId="0" applyNumberFormat="1"/>
    <xf numFmtId="0" fontId="52" fillId="7" borderId="44" xfId="0" applyFont="1" applyFill="1" applyBorder="1" applyAlignment="1">
      <alignment horizontal="center" vertical="center" wrapText="1"/>
    </xf>
    <xf numFmtId="0" fontId="61" fillId="5" borderId="44" xfId="0" applyFont="1" applyFill="1" applyBorder="1" applyAlignment="1">
      <alignment horizontal="justify" vertical="center" wrapText="1"/>
    </xf>
    <xf numFmtId="0" fontId="9" fillId="5" borderId="44" xfId="0" applyFont="1" applyFill="1" applyBorder="1" applyAlignment="1">
      <alignment horizontal="center" vertical="center"/>
    </xf>
    <xf numFmtId="43" fontId="9" fillId="5" borderId="44" xfId="100" applyFont="1" applyFill="1" applyBorder="1"/>
    <xf numFmtId="10" fontId="9" fillId="5" borderId="44" xfId="8" applyNumberFormat="1" applyFont="1" applyFill="1" applyBorder="1"/>
    <xf numFmtId="44" fontId="9" fillId="5" borderId="44" xfId="0" applyNumberFormat="1" applyFont="1" applyFill="1" applyBorder="1"/>
    <xf numFmtId="44" fontId="9" fillId="5" borderId="44" xfId="0" applyNumberFormat="1" applyFont="1" applyFill="1" applyBorder="1" applyAlignment="1">
      <alignment vertical="center"/>
    </xf>
    <xf numFmtId="169" fontId="0" fillId="0" borderId="0" xfId="0" applyNumberFormat="1"/>
    <xf numFmtId="0" fontId="0" fillId="0" borderId="100" xfId="0" applyBorder="1"/>
    <xf numFmtId="44" fontId="0" fillId="0" borderId="84" xfId="0" applyNumberFormat="1" applyBorder="1"/>
    <xf numFmtId="10" fontId="9" fillId="5" borderId="44" xfId="0" applyNumberFormat="1" applyFont="1" applyFill="1" applyBorder="1"/>
    <xf numFmtId="166" fontId="9" fillId="0" borderId="0" xfId="0" applyNumberFormat="1" applyFont="1"/>
    <xf numFmtId="0" fontId="9" fillId="7" borderId="100" xfId="0" applyFont="1" applyFill="1" applyBorder="1" applyAlignment="1">
      <alignment horizontal="left"/>
    </xf>
    <xf numFmtId="0" fontId="9" fillId="7" borderId="84" xfId="0" applyFont="1" applyFill="1" applyBorder="1" applyAlignment="1">
      <alignment horizontal="left"/>
    </xf>
    <xf numFmtId="0" fontId="9" fillId="0" borderId="101" xfId="0" applyFont="1" applyBorder="1"/>
    <xf numFmtId="0" fontId="9" fillId="0" borderId="85" xfId="0" applyFont="1" applyBorder="1"/>
    <xf numFmtId="10" fontId="0" fillId="0" borderId="84" xfId="0" applyNumberFormat="1" applyBorder="1"/>
    <xf numFmtId="43" fontId="0" fillId="0" borderId="84" xfId="100" applyFont="1" applyBorder="1"/>
    <xf numFmtId="43" fontId="51" fillId="0" borderId="60" xfId="100" applyFont="1" applyBorder="1"/>
    <xf numFmtId="0" fontId="50" fillId="7" borderId="44" xfId="0" applyFont="1" applyFill="1" applyBorder="1" applyAlignment="1">
      <alignment horizontal="center" vertical="center"/>
    </xf>
    <xf numFmtId="43" fontId="50" fillId="7" borderId="44" xfId="100" applyFont="1" applyFill="1" applyBorder="1" applyAlignment="1">
      <alignment horizontal="center" vertical="center"/>
    </xf>
    <xf numFmtId="0" fontId="50" fillId="7" borderId="44" xfId="0" applyFont="1" applyFill="1" applyBorder="1" applyAlignment="1">
      <alignment horizontal="center" vertical="center" wrapText="1"/>
    </xf>
    <xf numFmtId="0" fontId="52" fillId="7" borderId="44" xfId="0" applyFont="1" applyFill="1" applyBorder="1" applyAlignment="1">
      <alignment horizontal="center" vertical="center"/>
    </xf>
    <xf numFmtId="10" fontId="9" fillId="0" borderId="44" xfId="8" applyNumberFormat="1" applyFont="1" applyFill="1" applyBorder="1"/>
    <xf numFmtId="0" fontId="9" fillId="45" borderId="44" xfId="0" applyFont="1" applyFill="1" applyBorder="1" applyAlignment="1">
      <alignment horizontal="left" vertical="center"/>
    </xf>
    <xf numFmtId="0" fontId="9" fillId="50" borderId="44" xfId="0" applyFont="1" applyFill="1" applyBorder="1" applyAlignment="1">
      <alignment horizontal="left" vertical="center"/>
    </xf>
    <xf numFmtId="0" fontId="14" fillId="51" borderId="44" xfId="0" applyFont="1" applyFill="1" applyBorder="1" applyAlignment="1">
      <alignment horizontal="left" vertical="center"/>
    </xf>
    <xf numFmtId="0" fontId="59" fillId="0" borderId="70" xfId="0" applyFont="1" applyBorder="1" applyAlignment="1">
      <alignment horizontal="center" vertical="center" wrapText="1"/>
    </xf>
    <xf numFmtId="0" fontId="59" fillId="0" borderId="55" xfId="0" applyFont="1" applyBorder="1" applyAlignment="1">
      <alignment horizontal="justify" vertical="center" wrapText="1"/>
    </xf>
    <xf numFmtId="0" fontId="59" fillId="0" borderId="55" xfId="0" applyFont="1" applyBorder="1" applyAlignment="1">
      <alignment horizontal="left" vertical="center" wrapText="1"/>
    </xf>
    <xf numFmtId="0" fontId="50" fillId="0" borderId="55" xfId="0" applyFont="1" applyBorder="1" applyAlignment="1">
      <alignment horizontal="center" vertical="center"/>
    </xf>
    <xf numFmtId="43" fontId="0" fillId="0" borderId="55" xfId="100" applyFont="1" applyBorder="1" applyAlignment="1">
      <alignment horizontal="center" vertical="center"/>
    </xf>
    <xf numFmtId="9" fontId="0" fillId="0" borderId="55" xfId="100" applyNumberFormat="1" applyFont="1" applyBorder="1" applyAlignment="1">
      <alignment horizontal="center" vertical="center"/>
    </xf>
    <xf numFmtId="10" fontId="0" fillId="0" borderId="55" xfId="100" applyNumberFormat="1" applyFont="1" applyBorder="1" applyAlignment="1">
      <alignment horizontal="center" vertical="center"/>
    </xf>
    <xf numFmtId="165" fontId="50" fillId="0" borderId="55" xfId="4" applyNumberFormat="1" applyFont="1" applyBorder="1" applyAlignment="1">
      <alignment horizontal="center" vertical="center"/>
    </xf>
    <xf numFmtId="44" fontId="9" fillId="0" borderId="55" xfId="4" applyFont="1" applyBorder="1" applyAlignment="1">
      <alignment horizontal="center" vertical="center"/>
    </xf>
    <xf numFmtId="44" fontId="9" fillId="0" borderId="71" xfId="0" applyNumberFormat="1" applyFont="1" applyBorder="1" applyAlignment="1">
      <alignment vertical="center"/>
    </xf>
    <xf numFmtId="0" fontId="59" fillId="0" borderId="72" xfId="0" applyFont="1" applyBorder="1" applyAlignment="1">
      <alignment horizontal="center" vertical="center" wrapText="1"/>
    </xf>
    <xf numFmtId="0" fontId="59" fillId="0" borderId="56" xfId="0" applyFont="1" applyBorder="1" applyAlignment="1">
      <alignment horizontal="justify" vertical="center" wrapText="1"/>
    </xf>
    <xf numFmtId="0" fontId="59" fillId="0" borderId="56" xfId="0" applyFont="1" applyBorder="1" applyAlignment="1">
      <alignment horizontal="left" vertical="center" wrapText="1"/>
    </xf>
    <xf numFmtId="0" fontId="50" fillId="0" borderId="56" xfId="0" applyFont="1" applyBorder="1" applyAlignment="1">
      <alignment horizontal="center" vertical="center"/>
    </xf>
    <xf numFmtId="43" fontId="0" fillId="0" borderId="56" xfId="100" applyFont="1" applyBorder="1" applyAlignment="1">
      <alignment horizontal="center" vertical="center"/>
    </xf>
    <xf numFmtId="9" fontId="0" fillId="0" borderId="56" xfId="100" applyNumberFormat="1" applyFont="1" applyBorder="1" applyAlignment="1">
      <alignment horizontal="center" vertical="center"/>
    </xf>
    <xf numFmtId="10" fontId="0" fillId="0" borderId="56" xfId="100" applyNumberFormat="1" applyFont="1" applyBorder="1" applyAlignment="1">
      <alignment horizontal="center" vertical="center"/>
    </xf>
    <xf numFmtId="165" fontId="50" fillId="0" borderId="56" xfId="4" applyNumberFormat="1" applyFont="1" applyBorder="1" applyAlignment="1">
      <alignment horizontal="center" vertical="center"/>
    </xf>
    <xf numFmtId="44" fontId="9" fillId="0" borderId="56" xfId="4" applyFont="1" applyBorder="1" applyAlignment="1">
      <alignment horizontal="center" vertical="center"/>
    </xf>
    <xf numFmtId="44" fontId="9" fillId="0" borderId="73" xfId="0" applyNumberFormat="1" applyFont="1" applyBorder="1" applyAlignment="1">
      <alignment vertical="center"/>
    </xf>
    <xf numFmtId="0" fontId="59" fillId="0" borderId="74" xfId="0" applyFont="1" applyBorder="1" applyAlignment="1">
      <alignment horizontal="center" vertical="center" wrapText="1"/>
    </xf>
    <xf numFmtId="0" fontId="59" fillId="0" borderId="75" xfId="0" applyFont="1" applyBorder="1" applyAlignment="1">
      <alignment horizontal="justify" vertical="center" wrapText="1"/>
    </xf>
    <xf numFmtId="0" fontId="59" fillId="0" borderId="75" xfId="0" applyFont="1" applyBorder="1" applyAlignment="1">
      <alignment horizontal="left" vertical="center" wrapText="1"/>
    </xf>
    <xf numFmtId="0" fontId="50" fillId="0" borderId="75" xfId="0" applyFont="1" applyBorder="1" applyAlignment="1">
      <alignment horizontal="center" vertical="center"/>
    </xf>
    <xf numFmtId="43" fontId="0" fillId="0" borderId="75" xfId="100" applyFont="1" applyBorder="1" applyAlignment="1">
      <alignment horizontal="center" vertical="center"/>
    </xf>
    <xf numFmtId="9" fontId="0" fillId="0" borderId="75" xfId="100" applyNumberFormat="1" applyFont="1" applyBorder="1" applyAlignment="1">
      <alignment horizontal="center" vertical="center"/>
    </xf>
    <xf numFmtId="10" fontId="0" fillId="0" borderId="75" xfId="100" applyNumberFormat="1" applyFont="1" applyBorder="1" applyAlignment="1">
      <alignment horizontal="center" vertical="center"/>
    </xf>
    <xf numFmtId="165" fontId="50" fillId="0" borderId="75" xfId="4" applyNumberFormat="1" applyFont="1" applyBorder="1" applyAlignment="1">
      <alignment horizontal="center" vertical="center"/>
    </xf>
    <xf numFmtId="44" fontId="9" fillId="0" borderId="75" xfId="4" applyFont="1" applyBorder="1" applyAlignment="1">
      <alignment horizontal="center" vertical="center"/>
    </xf>
    <xf numFmtId="44" fontId="9" fillId="0" borderId="76" xfId="0" applyNumberFormat="1" applyFont="1" applyBorder="1" applyAlignment="1">
      <alignment vertical="center"/>
    </xf>
    <xf numFmtId="0" fontId="56" fillId="0" borderId="0" xfId="0" applyFont="1" applyAlignment="1">
      <alignment vertical="center"/>
    </xf>
    <xf numFmtId="10" fontId="60" fillId="0" borderId="55" xfId="8" applyNumberFormat="1" applyFont="1" applyFill="1" applyBorder="1" applyAlignment="1">
      <alignment horizontal="center"/>
    </xf>
    <xf numFmtId="10" fontId="60" fillId="0" borderId="56" xfId="8" applyNumberFormat="1" applyFont="1" applyFill="1" applyBorder="1" applyAlignment="1">
      <alignment horizontal="center"/>
    </xf>
    <xf numFmtId="10" fontId="60" fillId="0" borderId="75" xfId="8" applyNumberFormat="1" applyFont="1" applyFill="1" applyBorder="1" applyAlignment="1">
      <alignment horizontal="center"/>
    </xf>
    <xf numFmtId="165" fontId="9" fillId="0" borderId="86" xfId="4" applyNumberFormat="1" applyFont="1" applyBorder="1"/>
    <xf numFmtId="43" fontId="0" fillId="0" borderId="0" xfId="100" applyFont="1"/>
    <xf numFmtId="191" fontId="0" fillId="0" borderId="0" xfId="0" applyNumberFormat="1"/>
    <xf numFmtId="182" fontId="0" fillId="0" borderId="0" xfId="100" applyNumberFormat="1" applyFont="1"/>
    <xf numFmtId="192" fontId="0" fillId="0" borderId="67" xfId="8" applyNumberFormat="1" applyFont="1" applyFill="1" applyBorder="1"/>
    <xf numFmtId="0" fontId="0" fillId="0" borderId="0" xfId="0" applyFill="1" applyBorder="1"/>
    <xf numFmtId="0" fontId="9" fillId="0" borderId="0" xfId="0" applyFont="1" applyFill="1" applyBorder="1"/>
    <xf numFmtId="44" fontId="9" fillId="0" borderId="0" xfId="0" applyNumberFormat="1" applyFont="1" applyFill="1" applyBorder="1" applyAlignment="1">
      <alignment horizontal="center"/>
    </xf>
    <xf numFmtId="0" fontId="9" fillId="0" borderId="0" xfId="0" applyFont="1" applyFill="1" applyBorder="1" applyAlignment="1">
      <alignment horizontal="center"/>
    </xf>
    <xf numFmtId="0" fontId="58" fillId="0" borderId="0" xfId="0" applyFont="1" applyFill="1" applyBorder="1"/>
    <xf numFmtId="43" fontId="0" fillId="0" borderId="0" xfId="100" applyFont="1" applyFill="1" applyBorder="1"/>
    <xf numFmtId="43" fontId="0" fillId="0" borderId="0" xfId="0" applyNumberFormat="1" applyFill="1" applyBorder="1"/>
    <xf numFmtId="44" fontId="0" fillId="0" borderId="0" xfId="0" applyNumberFormat="1" applyFill="1" applyBorder="1"/>
    <xf numFmtId="10" fontId="0" fillId="0" borderId="0" xfId="8" applyNumberFormat="1" applyFont="1" applyFill="1" applyBorder="1"/>
    <xf numFmtId="9" fontId="0" fillId="0" borderId="0" xfId="8" applyFont="1" applyFill="1" applyBorder="1"/>
    <xf numFmtId="190" fontId="0" fillId="0" borderId="0" xfId="100" applyNumberFormat="1" applyFont="1" applyFill="1" applyBorder="1"/>
    <xf numFmtId="190" fontId="0" fillId="0" borderId="0" xfId="0" applyNumberFormat="1" applyFill="1" applyBorder="1"/>
    <xf numFmtId="190" fontId="0" fillId="0" borderId="0" xfId="4" applyNumberFormat="1" applyFont="1" applyFill="1" applyBorder="1"/>
    <xf numFmtId="0" fontId="58" fillId="0" borderId="0" xfId="0" applyFont="1" applyFill="1" applyBorder="1" applyAlignment="1">
      <alignment horizontal="center"/>
    </xf>
    <xf numFmtId="44" fontId="9" fillId="0" borderId="0" xfId="0" applyNumberFormat="1" applyFont="1" applyFill="1" applyBorder="1"/>
    <xf numFmtId="0" fontId="0" fillId="0" borderId="0" xfId="0" applyFill="1" applyBorder="1" applyAlignment="1">
      <alignment vertical="center"/>
    </xf>
    <xf numFmtId="0" fontId="9" fillId="0" borderId="0" xfId="0" applyFont="1" applyFill="1" applyBorder="1" applyAlignment="1">
      <alignment vertical="center"/>
    </xf>
    <xf numFmtId="49" fontId="0" fillId="0" borderId="0" xfId="0" applyNumberFormat="1" applyFill="1" applyBorder="1" applyAlignment="1">
      <alignment vertical="top"/>
    </xf>
    <xf numFmtId="0" fontId="57" fillId="0" borderId="0" xfId="0" applyFont="1" applyFill="1" applyBorder="1" applyAlignment="1">
      <alignment vertical="center"/>
    </xf>
    <xf numFmtId="0" fontId="9" fillId="0" borderId="0" xfId="0" applyFont="1" applyFill="1" applyBorder="1" applyAlignment="1"/>
    <xf numFmtId="0" fontId="9" fillId="7" borderId="44" xfId="0" applyFont="1" applyFill="1" applyBorder="1" applyAlignment="1">
      <alignment horizontal="center"/>
    </xf>
    <xf numFmtId="0" fontId="56" fillId="0" borderId="0" xfId="0" applyFont="1" applyAlignment="1">
      <alignment horizontal="center" vertical="center" wrapText="1"/>
    </xf>
    <xf numFmtId="0" fontId="9" fillId="0" borderId="44" xfId="0" applyFont="1" applyBorder="1" applyAlignment="1">
      <alignment horizontal="center" vertical="center"/>
    </xf>
    <xf numFmtId="0" fontId="9" fillId="7" borderId="44" xfId="0" applyFont="1" applyFill="1" applyBorder="1" applyAlignment="1">
      <alignment horizontal="center" vertical="center"/>
    </xf>
    <xf numFmtId="0" fontId="9" fillId="7" borderId="35" xfId="0" applyFont="1" applyFill="1" applyBorder="1" applyAlignment="1">
      <alignment horizontal="center" vertical="center"/>
    </xf>
    <xf numFmtId="0" fontId="9" fillId="7" borderId="36" xfId="0" applyFont="1" applyFill="1" applyBorder="1" applyAlignment="1">
      <alignment horizontal="center" vertical="center"/>
    </xf>
    <xf numFmtId="0" fontId="9" fillId="5" borderId="44" xfId="0" applyFont="1" applyFill="1" applyBorder="1" applyAlignment="1">
      <alignment horizontal="left" vertical="center"/>
    </xf>
    <xf numFmtId="0" fontId="52" fillId="7" borderId="44" xfId="0" applyFont="1" applyFill="1" applyBorder="1" applyAlignment="1">
      <alignment horizontal="center" vertical="center"/>
    </xf>
    <xf numFmtId="0" fontId="52" fillId="7" borderId="44" xfId="0" applyFont="1" applyFill="1" applyBorder="1" applyAlignment="1">
      <alignment horizontal="center" vertical="center" wrapText="1"/>
    </xf>
    <xf numFmtId="0" fontId="9" fillId="48" borderId="46" xfId="0" applyFont="1" applyFill="1" applyBorder="1" applyAlignment="1">
      <alignment horizontal="center"/>
    </xf>
    <xf numFmtId="0" fontId="9" fillId="48" borderId="102" xfId="0" applyFont="1" applyFill="1" applyBorder="1" applyAlignment="1">
      <alignment horizontal="center"/>
    </xf>
    <xf numFmtId="0" fontId="9" fillId="48" borderId="47" xfId="0" applyFont="1" applyFill="1" applyBorder="1" applyAlignment="1">
      <alignment horizontal="center"/>
    </xf>
    <xf numFmtId="0" fontId="9" fillId="49" borderId="46" xfId="0" applyFont="1" applyFill="1" applyBorder="1" applyAlignment="1">
      <alignment horizontal="center"/>
    </xf>
    <xf numFmtId="0" fontId="9" fillId="49" borderId="102" xfId="0" applyFont="1" applyFill="1" applyBorder="1" applyAlignment="1">
      <alignment horizontal="center"/>
    </xf>
    <xf numFmtId="0" fontId="9" fillId="49" borderId="47" xfId="0" applyFont="1" applyFill="1" applyBorder="1" applyAlignment="1">
      <alignment horizontal="center"/>
    </xf>
    <xf numFmtId="190" fontId="0" fillId="0" borderId="0" xfId="4" applyNumberFormat="1" applyFont="1" applyFill="1" applyBorder="1" applyAlignment="1">
      <alignment horizontal="center"/>
    </xf>
    <xf numFmtId="190" fontId="0" fillId="0" borderId="0" xfId="100" applyNumberFormat="1" applyFont="1" applyFill="1" applyBorder="1" applyAlignment="1">
      <alignment horizontal="center" vertical="center"/>
    </xf>
    <xf numFmtId="0" fontId="52" fillId="0" borderId="0" xfId="0" applyFont="1" applyAlignment="1">
      <alignment horizontal="center"/>
    </xf>
    <xf numFmtId="0" fontId="9" fillId="7" borderId="79" xfId="0" applyFont="1" applyFill="1" applyBorder="1" applyAlignment="1">
      <alignment horizontal="center" vertical="center"/>
    </xf>
    <xf numFmtId="0" fontId="9" fillId="7" borderId="35" xfId="0" applyFont="1" applyFill="1" applyBorder="1" applyAlignment="1">
      <alignment horizontal="center" vertical="center" wrapText="1"/>
    </xf>
    <xf numFmtId="0" fontId="9" fillId="7" borderId="36" xfId="0" applyFont="1" applyFill="1" applyBorder="1" applyAlignment="1">
      <alignment horizontal="center" vertical="center" wrapText="1"/>
    </xf>
    <xf numFmtId="0" fontId="50" fillId="0" borderId="0" xfId="0" applyFont="1" applyAlignment="1">
      <alignment horizontal="center"/>
    </xf>
    <xf numFmtId="0" fontId="51" fillId="7" borderId="46" xfId="0" applyFont="1" applyFill="1" applyBorder="1" applyAlignment="1">
      <alignment horizontal="center"/>
    </xf>
    <xf numFmtId="0" fontId="51" fillId="7" borderId="47" xfId="0" applyFont="1" applyFill="1" applyBorder="1" applyAlignment="1">
      <alignment horizontal="center"/>
    </xf>
    <xf numFmtId="177" fontId="9" fillId="38" borderId="44" xfId="100" applyNumberFormat="1" applyFont="1" applyFill="1" applyBorder="1" applyAlignment="1">
      <alignment horizontal="center" vertical="center"/>
    </xf>
    <xf numFmtId="43" fontId="9" fillId="38" borderId="44" xfId="100" applyFont="1" applyFill="1" applyBorder="1" applyAlignment="1">
      <alignment horizontal="center" vertical="center" wrapText="1"/>
    </xf>
    <xf numFmtId="0" fontId="9" fillId="0" borderId="44" xfId="0" applyFont="1" applyBorder="1" applyAlignment="1">
      <alignment horizontal="center" vertical="center" textRotation="90" wrapText="1"/>
    </xf>
    <xf numFmtId="0" fontId="0" fillId="43" borderId="35" xfId="0" applyFill="1" applyBorder="1" applyAlignment="1">
      <alignment horizontal="center"/>
    </xf>
    <xf numFmtId="0" fontId="0" fillId="43" borderId="36" xfId="0" applyFill="1" applyBorder="1" applyAlignment="1">
      <alignment horizontal="center"/>
    </xf>
    <xf numFmtId="0" fontId="9" fillId="0" borderId="40" xfId="0" applyFont="1" applyBorder="1" applyAlignment="1">
      <alignment horizontal="center" vertical="center" textRotation="90" wrapText="1"/>
    </xf>
    <xf numFmtId="0" fontId="9" fillId="0" borderId="42" xfId="0" applyFont="1" applyBorder="1" applyAlignment="1">
      <alignment horizontal="center" vertical="center" textRotation="90" wrapText="1"/>
    </xf>
    <xf numFmtId="0" fontId="9" fillId="0" borderId="14" xfId="0" applyFont="1" applyBorder="1" applyAlignment="1">
      <alignment horizontal="center" vertical="center" textRotation="90" wrapText="1"/>
    </xf>
    <xf numFmtId="0" fontId="9" fillId="0" borderId="16" xfId="0" applyFont="1" applyBorder="1" applyAlignment="1">
      <alignment horizontal="center" vertical="center" textRotation="90" wrapText="1"/>
    </xf>
    <xf numFmtId="0" fontId="9" fillId="0" borderId="29" xfId="0" applyFont="1" applyBorder="1" applyAlignment="1">
      <alignment horizontal="center" vertical="center" textRotation="90" wrapText="1"/>
    </xf>
    <xf numFmtId="0" fontId="9" fillId="0" borderId="31" xfId="0" applyFont="1" applyBorder="1" applyAlignment="1">
      <alignment horizontal="center" vertical="center" textRotation="90" wrapText="1"/>
    </xf>
    <xf numFmtId="0" fontId="9" fillId="7" borderId="44" xfId="0" applyFont="1" applyFill="1" applyBorder="1" applyAlignment="1">
      <alignment horizontal="left" vertical="top"/>
    </xf>
    <xf numFmtId="0" fontId="9" fillId="0" borderId="70" xfId="0" applyFont="1" applyBorder="1" applyAlignment="1">
      <alignment horizontal="center" vertical="center"/>
    </xf>
    <xf numFmtId="0" fontId="9" fillId="0" borderId="72" xfId="0" applyFont="1" applyBorder="1" applyAlignment="1">
      <alignment horizontal="center" vertical="center"/>
    </xf>
    <xf numFmtId="0" fontId="9" fillId="0" borderId="74" xfId="0" applyFont="1" applyBorder="1" applyAlignment="1">
      <alignment horizontal="center" vertical="center"/>
    </xf>
    <xf numFmtId="0" fontId="9" fillId="0" borderId="80" xfId="0" applyFont="1" applyBorder="1" applyAlignment="1">
      <alignment horizontal="center" vertical="center" textRotation="90"/>
    </xf>
    <xf numFmtId="0" fontId="9" fillId="0" borderId="15" xfId="0" applyFont="1" applyBorder="1" applyAlignment="1">
      <alignment horizontal="center" vertical="center" textRotation="90"/>
    </xf>
    <xf numFmtId="0" fontId="9" fillId="0" borderId="60" xfId="0" applyFont="1" applyBorder="1" applyAlignment="1">
      <alignment horizontal="center" vertical="center" textRotation="90"/>
    </xf>
    <xf numFmtId="0" fontId="9" fillId="38" borderId="35" xfId="0" applyFont="1" applyFill="1" applyBorder="1" applyAlignment="1">
      <alignment horizontal="center" vertical="center"/>
    </xf>
    <xf numFmtId="0" fontId="9" fillId="38" borderId="79" xfId="0" applyFont="1" applyFill="1" applyBorder="1" applyAlignment="1">
      <alignment horizontal="center" vertical="center"/>
    </xf>
    <xf numFmtId="0" fontId="9" fillId="38" borderId="36" xfId="0" applyFont="1" applyFill="1" applyBorder="1" applyAlignment="1">
      <alignment horizontal="center" vertical="center"/>
    </xf>
    <xf numFmtId="0" fontId="0" fillId="0" borderId="80" xfId="0" applyBorder="1" applyAlignment="1">
      <alignment horizontal="center" vertical="center"/>
    </xf>
    <xf numFmtId="0" fontId="0" fillId="0" borderId="60" xfId="0" applyBorder="1" applyAlignment="1">
      <alignment horizontal="center" vertical="center"/>
    </xf>
    <xf numFmtId="0" fontId="0" fillId="0" borderId="80" xfId="0" applyBorder="1" applyAlignment="1">
      <alignment horizontal="center"/>
    </xf>
    <xf numFmtId="0" fontId="0" fillId="0" borderId="60" xfId="0" applyBorder="1" applyAlignment="1">
      <alignment horizontal="center"/>
    </xf>
    <xf numFmtId="0" fontId="9" fillId="0" borderId="80" xfId="0" applyFont="1" applyBorder="1" applyAlignment="1">
      <alignment horizontal="center" vertical="center" textRotation="90" wrapText="1"/>
    </xf>
    <xf numFmtId="0" fontId="9" fillId="0" borderId="15" xfId="0" applyFont="1" applyBorder="1" applyAlignment="1">
      <alignment horizontal="center" vertical="center" textRotation="90" wrapText="1"/>
    </xf>
    <xf numFmtId="0" fontId="9" fillId="0" borderId="60" xfId="0" applyFont="1" applyBorder="1" applyAlignment="1">
      <alignment horizontal="center" vertical="center" textRotation="90" wrapText="1"/>
    </xf>
    <xf numFmtId="177" fontId="9" fillId="0" borderId="44" xfId="100" applyNumberFormat="1" applyFont="1" applyFill="1" applyBorder="1" applyAlignment="1">
      <alignment horizontal="left"/>
    </xf>
    <xf numFmtId="0" fontId="52" fillId="0" borderId="67" xfId="0" applyFont="1" applyBorder="1" applyAlignment="1">
      <alignment horizontal="center"/>
    </xf>
    <xf numFmtId="0" fontId="9" fillId="41" borderId="44" xfId="0" applyFont="1" applyFill="1" applyBorder="1" applyAlignment="1">
      <alignment horizontal="center"/>
    </xf>
    <xf numFmtId="0" fontId="9" fillId="0" borderId="44" xfId="0" applyFont="1" applyBorder="1" applyAlignment="1">
      <alignment horizontal="left"/>
    </xf>
    <xf numFmtId="0" fontId="9" fillId="0" borderId="44" xfId="0" applyFont="1" applyBorder="1" applyAlignment="1">
      <alignment horizontal="center" vertical="center" textRotation="90"/>
    </xf>
    <xf numFmtId="0" fontId="0" fillId="0" borderId="44" xfId="0" applyBorder="1" applyAlignment="1">
      <alignment horizontal="center" vertical="center" textRotation="90"/>
    </xf>
    <xf numFmtId="0" fontId="9" fillId="7" borderId="79" xfId="0" applyFont="1" applyFill="1" applyBorder="1" applyAlignment="1">
      <alignment horizontal="center"/>
    </xf>
    <xf numFmtId="0" fontId="9" fillId="7" borderId="36" xfId="0" applyFont="1" applyFill="1" applyBorder="1" applyAlignment="1">
      <alignment horizontal="center"/>
    </xf>
    <xf numFmtId="0" fontId="9" fillId="7" borderId="35" xfId="0" applyFont="1" applyFill="1" applyBorder="1" applyAlignment="1">
      <alignment horizontal="center"/>
    </xf>
    <xf numFmtId="0" fontId="0" fillId="0" borderId="44" xfId="0" applyBorder="1" applyAlignment="1">
      <alignment horizontal="center"/>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02">
    <cellStyle name="20% - Accent1" xfId="10"/>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2" xfId="36"/>
    <cellStyle name="60% - Accent3" xfId="2"/>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2" xfId="46"/>
    <cellStyle name="Accent3" xfId="47"/>
    <cellStyle name="Accent4" xfId="48"/>
    <cellStyle name="Accent5" xfId="49"/>
    <cellStyle name="Accent6" xfId="50"/>
    <cellStyle name="Bad" xfId="51"/>
    <cellStyle name="Bom 2" xfId="52"/>
    <cellStyle name="Calculation" xfId="53"/>
    <cellStyle name="Cálculo 2" xfId="54"/>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e" xfId="76"/>
    <cellStyle name="Output" xfId="77"/>
    <cellStyle name="Porcentagem" xfId="8" builtinId="5"/>
    <cellStyle name="Porcentagem 2" xfId="91"/>
    <cellStyle name="Porcentagem 3" xfId="94"/>
    <cellStyle name="Saída 2" xfId="78"/>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Vírgula" xfId="100" builtinId="3"/>
    <cellStyle name="Vírgula 2" xfId="9"/>
    <cellStyle name="Vírgula 2 2" xfId="98"/>
    <cellStyle name="Vírgula 2 3" xfId="101"/>
    <cellStyle name="Warning Text" xfId="88"/>
  </cellStyles>
  <dxfs count="43">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FF00"/>
        </patternFill>
      </fill>
    </dxf>
    <dxf>
      <fill>
        <patternFill>
          <bgColor rgb="FF92D050"/>
        </patternFill>
      </fill>
    </dxf>
    <dxf>
      <fill>
        <patternFill>
          <bgColor theme="9" tint="-0.24994659260841701"/>
        </patternFill>
      </fill>
    </dxf>
    <dxf>
      <fill>
        <patternFill>
          <bgColor rgb="FFFF0000"/>
        </patternFill>
      </fill>
    </dxf>
    <dxf>
      <fill>
        <patternFill>
          <bgColor rgb="FFFFFF00"/>
        </patternFill>
      </fill>
    </dxf>
    <dxf>
      <fill>
        <patternFill>
          <bgColor rgb="FF92D050"/>
        </patternFill>
      </fill>
    </dxf>
    <dxf>
      <fill>
        <patternFill>
          <bgColor theme="9" tint="-0.24994659260841701"/>
        </patternFill>
      </fill>
    </dxf>
    <dxf>
      <fill>
        <patternFill>
          <bgColor rgb="FFFF0000"/>
        </patternFill>
      </fill>
    </dxf>
    <dxf>
      <fill>
        <patternFill>
          <bgColor rgb="FFFFFF00"/>
        </patternFill>
      </fill>
    </dxf>
    <dxf>
      <fill>
        <patternFill>
          <bgColor rgb="FFFFC000"/>
        </patternFill>
      </fill>
    </dxf>
    <dxf>
      <fill>
        <patternFill>
          <bgColor rgb="FFFFFF00"/>
        </patternFill>
      </fill>
    </dxf>
    <dxf>
      <fill>
        <patternFill>
          <bgColor rgb="FFFFC000"/>
        </patternFill>
      </fill>
    </dxf>
    <dxf>
      <fill>
        <patternFill>
          <bgColor rgb="FF92D050"/>
        </patternFill>
      </fill>
    </dxf>
    <dxf>
      <fill>
        <patternFill>
          <bgColor rgb="FFFF0000"/>
        </patternFill>
      </fill>
    </dxf>
    <dxf>
      <fill>
        <patternFill>
          <bgColor rgb="FF00B0F0"/>
        </patternFill>
      </fill>
    </dxf>
    <dxf>
      <fill>
        <patternFill>
          <bgColor theme="9" tint="0.39994506668294322"/>
        </patternFill>
      </fill>
    </dxf>
    <dxf>
      <fill>
        <patternFill>
          <bgColor rgb="FF92D05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wmf"/></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229100</xdr:colOff>
      <xdr:row>0</xdr:row>
      <xdr:rowOff>0</xdr:rowOff>
    </xdr:from>
    <xdr:to>
      <xdr:col>10</xdr:col>
      <xdr:colOff>1086976</xdr:colOff>
      <xdr:row>0</xdr:row>
      <xdr:rowOff>822325</xdr:rowOff>
    </xdr:to>
    <xdr:pic>
      <xdr:nvPicPr>
        <xdr:cNvPr id="5" name="Imagem 4">
          <a:extLst>
            <a:ext uri="{FF2B5EF4-FFF2-40B4-BE49-F238E27FC236}">
              <a16:creationId xmlns:a16="http://schemas.microsoft.com/office/drawing/2014/main" xmlns=""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618995" y="0"/>
          <a:ext cx="857250" cy="828675"/>
        </a:xfrm>
        <a:prstGeom prst="rect">
          <a:avLst/>
        </a:prstGeom>
      </xdr:spPr>
    </xdr:pic>
    <xdr:clientData/>
  </xdr:twoCellAnchor>
  <xdr:twoCellAnchor editAs="oneCell">
    <xdr:from>
      <xdr:col>0</xdr:col>
      <xdr:colOff>0</xdr:colOff>
      <xdr:row>0</xdr:row>
      <xdr:rowOff>0</xdr:rowOff>
    </xdr:from>
    <xdr:to>
      <xdr:col>0</xdr:col>
      <xdr:colOff>742950</xdr:colOff>
      <xdr:row>0</xdr:row>
      <xdr:rowOff>790575</xdr:rowOff>
    </xdr:to>
    <xdr:pic>
      <xdr:nvPicPr>
        <xdr:cNvPr id="6" name="Imagem 5">
          <a:extLst>
            <a:ext uri="{FF2B5EF4-FFF2-40B4-BE49-F238E27FC236}">
              <a16:creationId xmlns:a16="http://schemas.microsoft.com/office/drawing/2014/main" xmlns=""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742950" cy="7905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57149</xdr:colOff>
      <xdr:row>0</xdr:row>
      <xdr:rowOff>19050</xdr:rowOff>
    </xdr:from>
    <xdr:to>
      <xdr:col>5</xdr:col>
      <xdr:colOff>914399</xdr:colOff>
      <xdr:row>0</xdr:row>
      <xdr:rowOff>847725</xdr:rowOff>
    </xdr:to>
    <xdr:pic>
      <xdr:nvPicPr>
        <xdr:cNvPr id="5" name="Imagem 4">
          <a:extLst>
            <a:ext uri="{FF2B5EF4-FFF2-40B4-BE49-F238E27FC236}">
              <a16:creationId xmlns:a16="http://schemas.microsoft.com/office/drawing/2014/main" xmlns="" id="{00000000-0008-0000-03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05574" y="19050"/>
          <a:ext cx="857250" cy="828675"/>
        </a:xfrm>
        <a:prstGeom prst="rect">
          <a:avLst/>
        </a:prstGeom>
      </xdr:spPr>
    </xdr:pic>
    <xdr:clientData/>
  </xdr:twoCellAnchor>
  <xdr:twoCellAnchor editAs="oneCell">
    <xdr:from>
      <xdr:col>0</xdr:col>
      <xdr:colOff>0</xdr:colOff>
      <xdr:row>0</xdr:row>
      <xdr:rowOff>28575</xdr:rowOff>
    </xdr:from>
    <xdr:to>
      <xdr:col>0</xdr:col>
      <xdr:colOff>742950</xdr:colOff>
      <xdr:row>0</xdr:row>
      <xdr:rowOff>819150</xdr:rowOff>
    </xdr:to>
    <xdr:pic>
      <xdr:nvPicPr>
        <xdr:cNvPr id="6" name="Imagem 5">
          <a:extLst>
            <a:ext uri="{FF2B5EF4-FFF2-40B4-BE49-F238E27FC236}">
              <a16:creationId xmlns:a16="http://schemas.microsoft.com/office/drawing/2014/main" xmlns="" id="{00000000-0008-0000-03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28575"/>
          <a:ext cx="742950" cy="790575"/>
        </a:xfrm>
        <a:prstGeom prst="rect">
          <a:avLst/>
        </a:prstGeom>
      </xdr:spPr>
    </xdr:pic>
    <xdr:clientData/>
  </xdr:twoCellAnchor>
  <xdr:twoCellAnchor>
    <xdr:from>
      <xdr:col>1</xdr:col>
      <xdr:colOff>38099</xdr:colOff>
      <xdr:row>0</xdr:row>
      <xdr:rowOff>57150</xdr:rowOff>
    </xdr:from>
    <xdr:to>
      <xdr:col>5</xdr:col>
      <xdr:colOff>0</xdr:colOff>
      <xdr:row>0</xdr:row>
      <xdr:rowOff>819150</xdr:rowOff>
    </xdr:to>
    <xdr:sp macro="" textlink="">
      <xdr:nvSpPr>
        <xdr:cNvPr id="7" name="CaixaDeTexto 6">
          <a:extLst>
            <a:ext uri="{FF2B5EF4-FFF2-40B4-BE49-F238E27FC236}">
              <a16:creationId xmlns:a16="http://schemas.microsoft.com/office/drawing/2014/main" xmlns="" id="{00000000-0008-0000-0300-000007000000}"/>
            </a:ext>
          </a:extLst>
        </xdr:cNvPr>
        <xdr:cNvSpPr txBox="1"/>
      </xdr:nvSpPr>
      <xdr:spPr>
        <a:xfrm>
          <a:off x="819149" y="57150"/>
          <a:ext cx="5629276"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b="1"/>
            <a:t>PREFEITURA</a:t>
          </a:r>
          <a:r>
            <a:rPr lang="pt-BR" sz="1400" b="1" baseline="0"/>
            <a:t> MUNICIPAL DE PORTO ALEGRE</a:t>
          </a:r>
        </a:p>
        <a:p>
          <a:r>
            <a:rPr lang="pt-BR" sz="1400" b="1" baseline="0"/>
            <a:t>DEPARTAMENTO MUNICIPAL DE LIMPEZA URBANA</a:t>
          </a:r>
        </a:p>
        <a:p>
          <a:r>
            <a:rPr lang="pt-BR" sz="1400" b="1" baseline="0"/>
            <a:t>DIRETORIA DE DESTINO FINAL</a:t>
          </a:r>
        </a:p>
        <a:p>
          <a:endParaRPr lang="pt-BR" sz="1400" b="1"/>
        </a:p>
        <a:p>
          <a:endParaRPr lang="pt-BR" sz="1400" b="1"/>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457199</xdr:colOff>
      <xdr:row>0</xdr:row>
      <xdr:rowOff>0</xdr:rowOff>
    </xdr:from>
    <xdr:to>
      <xdr:col>10</xdr:col>
      <xdr:colOff>647699</xdr:colOff>
      <xdr:row>1</xdr:row>
      <xdr:rowOff>76200</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34174" y="0"/>
          <a:ext cx="857250" cy="828675"/>
        </a:xfrm>
        <a:prstGeom prst="rect">
          <a:avLst/>
        </a:prstGeom>
      </xdr:spPr>
    </xdr:pic>
    <xdr:clientData/>
  </xdr:twoCellAnchor>
  <xdr:twoCellAnchor editAs="oneCell">
    <xdr:from>
      <xdr:col>0</xdr:col>
      <xdr:colOff>0</xdr:colOff>
      <xdr:row>0</xdr:row>
      <xdr:rowOff>9525</xdr:rowOff>
    </xdr:from>
    <xdr:to>
      <xdr:col>1</xdr:col>
      <xdr:colOff>266700</xdr:colOff>
      <xdr:row>1</xdr:row>
      <xdr:rowOff>47625</xdr:rowOff>
    </xdr:to>
    <xdr:pic>
      <xdr:nvPicPr>
        <xdr:cNvPr id="3" name="Imagem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525"/>
          <a:ext cx="685800" cy="790575"/>
        </a:xfrm>
        <a:prstGeom prst="rect">
          <a:avLst/>
        </a:prstGeom>
      </xdr:spPr>
    </xdr:pic>
    <xdr:clientData/>
  </xdr:twoCellAnchor>
  <xdr:twoCellAnchor>
    <xdr:from>
      <xdr:col>1</xdr:col>
      <xdr:colOff>447674</xdr:colOff>
      <xdr:row>0</xdr:row>
      <xdr:rowOff>9525</xdr:rowOff>
    </xdr:from>
    <xdr:to>
      <xdr:col>9</xdr:col>
      <xdr:colOff>133349</xdr:colOff>
      <xdr:row>1</xdr:row>
      <xdr:rowOff>19050</xdr:rowOff>
    </xdr:to>
    <xdr:sp macro="" textlink="">
      <xdr:nvSpPr>
        <xdr:cNvPr id="4" name="CaixaDeTexto 3">
          <a:extLst>
            <a:ext uri="{FF2B5EF4-FFF2-40B4-BE49-F238E27FC236}">
              <a16:creationId xmlns:a16="http://schemas.microsoft.com/office/drawing/2014/main" xmlns="" id="{00000000-0008-0000-0400-000004000000}"/>
            </a:ext>
          </a:extLst>
        </xdr:cNvPr>
        <xdr:cNvSpPr txBox="1"/>
      </xdr:nvSpPr>
      <xdr:spPr>
        <a:xfrm>
          <a:off x="866774" y="9525"/>
          <a:ext cx="4924425"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PREFEITURA</a:t>
          </a:r>
          <a:r>
            <a:rPr lang="pt-BR" sz="1400" b="1" baseline="0"/>
            <a:t> MUNICIPAL DE PORTO ALEGRE</a:t>
          </a:r>
        </a:p>
        <a:p>
          <a:pPr algn="ctr"/>
          <a:r>
            <a:rPr lang="pt-BR" sz="1400" b="1" baseline="0"/>
            <a:t>DEPARTAMENTO MUNICIPAL DE LIMPEZA URBANA</a:t>
          </a:r>
        </a:p>
        <a:p>
          <a:pPr algn="ctr"/>
          <a:r>
            <a:rPr lang="pt-BR" sz="1400" b="1" baseline="0"/>
            <a:t>DIRETORIA DE DESTINO FINAL</a:t>
          </a:r>
        </a:p>
        <a:p>
          <a:pPr algn="ctr"/>
          <a:endParaRPr lang="pt-BR" sz="1400" b="1"/>
        </a:p>
        <a:p>
          <a:pPr algn="ctr"/>
          <a:endParaRPr lang="pt-BR" sz="1400" b="1"/>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1142999</xdr:colOff>
      <xdr:row>0</xdr:row>
      <xdr:rowOff>0</xdr:rowOff>
    </xdr:from>
    <xdr:to>
      <xdr:col>6</xdr:col>
      <xdr:colOff>12146</xdr:colOff>
      <xdr:row>1</xdr:row>
      <xdr:rowOff>19050</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77174" y="0"/>
          <a:ext cx="878922" cy="828675"/>
        </a:xfrm>
        <a:prstGeom prst="rect">
          <a:avLst/>
        </a:prstGeom>
      </xdr:spPr>
    </xdr:pic>
    <xdr:clientData/>
  </xdr:twoCellAnchor>
  <xdr:twoCellAnchor editAs="oneCell">
    <xdr:from>
      <xdr:col>0</xdr:col>
      <xdr:colOff>0</xdr:colOff>
      <xdr:row>0</xdr:row>
      <xdr:rowOff>9525</xdr:rowOff>
    </xdr:from>
    <xdr:to>
      <xdr:col>1</xdr:col>
      <xdr:colOff>85725</xdr:colOff>
      <xdr:row>0</xdr:row>
      <xdr:rowOff>800100</xdr:rowOff>
    </xdr:to>
    <xdr:pic>
      <xdr:nvPicPr>
        <xdr:cNvPr id="3" name="Imagem 2">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525"/>
          <a:ext cx="666750" cy="790575"/>
        </a:xfrm>
        <a:prstGeom prst="rect">
          <a:avLst/>
        </a:prstGeom>
      </xdr:spPr>
    </xdr:pic>
    <xdr:clientData/>
  </xdr:twoCellAnchor>
  <xdr:twoCellAnchor>
    <xdr:from>
      <xdr:col>1</xdr:col>
      <xdr:colOff>285748</xdr:colOff>
      <xdr:row>0</xdr:row>
      <xdr:rowOff>9525</xdr:rowOff>
    </xdr:from>
    <xdr:to>
      <xdr:col>5</xdr:col>
      <xdr:colOff>1085850</xdr:colOff>
      <xdr:row>0</xdr:row>
      <xdr:rowOff>771525</xdr:rowOff>
    </xdr:to>
    <xdr:sp macro="" textlink="">
      <xdr:nvSpPr>
        <xdr:cNvPr id="4" name="CaixaDeTexto 3">
          <a:extLst>
            <a:ext uri="{FF2B5EF4-FFF2-40B4-BE49-F238E27FC236}">
              <a16:creationId xmlns:a16="http://schemas.microsoft.com/office/drawing/2014/main" xmlns="" id="{00000000-0008-0000-0500-000004000000}"/>
            </a:ext>
          </a:extLst>
        </xdr:cNvPr>
        <xdr:cNvSpPr txBox="1"/>
      </xdr:nvSpPr>
      <xdr:spPr>
        <a:xfrm>
          <a:off x="866773" y="9525"/>
          <a:ext cx="6953252"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PREFEITURA</a:t>
          </a:r>
          <a:r>
            <a:rPr lang="pt-BR" sz="1400" b="1" baseline="0"/>
            <a:t> MUNICIPAL DE PORTO ALEGRE</a:t>
          </a:r>
        </a:p>
        <a:p>
          <a:pPr algn="ctr"/>
          <a:r>
            <a:rPr lang="pt-BR" sz="1400" b="1" baseline="0"/>
            <a:t>DEPARTAMENTO MUNICIPAL DE LIMPEZA URBANA</a:t>
          </a:r>
        </a:p>
        <a:p>
          <a:pPr algn="ctr"/>
          <a:r>
            <a:rPr lang="pt-BR" sz="1400" b="1" baseline="0"/>
            <a:t>DIRETORIA DE DESTINO FINAL</a:t>
          </a:r>
        </a:p>
        <a:p>
          <a:pPr algn="ctr"/>
          <a:endParaRPr lang="pt-BR" sz="1400" b="1"/>
        </a:p>
        <a:p>
          <a:pPr algn="ctr"/>
          <a:endParaRPr lang="pt-BR" sz="1400" b="1"/>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1257299</xdr:colOff>
      <xdr:row>0</xdr:row>
      <xdr:rowOff>0</xdr:rowOff>
    </xdr:from>
    <xdr:to>
      <xdr:col>5</xdr:col>
      <xdr:colOff>2114549</xdr:colOff>
      <xdr:row>1</xdr:row>
      <xdr:rowOff>85725</xdr:rowOff>
    </xdr:to>
    <xdr:pic>
      <xdr:nvPicPr>
        <xdr:cNvPr id="2" name="Imagem 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91474" y="0"/>
          <a:ext cx="857250" cy="828675"/>
        </a:xfrm>
        <a:prstGeom prst="rect">
          <a:avLst/>
        </a:prstGeom>
      </xdr:spPr>
    </xdr:pic>
    <xdr:clientData/>
  </xdr:twoCellAnchor>
  <xdr:twoCellAnchor editAs="oneCell">
    <xdr:from>
      <xdr:col>0</xdr:col>
      <xdr:colOff>0</xdr:colOff>
      <xdr:row>0</xdr:row>
      <xdr:rowOff>9525</xdr:rowOff>
    </xdr:from>
    <xdr:to>
      <xdr:col>1</xdr:col>
      <xdr:colOff>104775</xdr:colOff>
      <xdr:row>1</xdr:row>
      <xdr:rowOff>57150</xdr:rowOff>
    </xdr:to>
    <xdr:pic>
      <xdr:nvPicPr>
        <xdr:cNvPr id="3" name="Imagem 2">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525"/>
          <a:ext cx="685800" cy="790575"/>
        </a:xfrm>
        <a:prstGeom prst="rect">
          <a:avLst/>
        </a:prstGeom>
      </xdr:spPr>
    </xdr:pic>
    <xdr:clientData/>
  </xdr:twoCellAnchor>
  <xdr:twoCellAnchor>
    <xdr:from>
      <xdr:col>1</xdr:col>
      <xdr:colOff>285748</xdr:colOff>
      <xdr:row>0</xdr:row>
      <xdr:rowOff>9525</xdr:rowOff>
    </xdr:from>
    <xdr:to>
      <xdr:col>5</xdr:col>
      <xdr:colOff>1143000</xdr:colOff>
      <xdr:row>1</xdr:row>
      <xdr:rowOff>28575</xdr:rowOff>
    </xdr:to>
    <xdr:sp macro="" textlink="">
      <xdr:nvSpPr>
        <xdr:cNvPr id="4" name="CaixaDeTexto 3">
          <a:extLst>
            <a:ext uri="{FF2B5EF4-FFF2-40B4-BE49-F238E27FC236}">
              <a16:creationId xmlns:a16="http://schemas.microsoft.com/office/drawing/2014/main" xmlns="" id="{00000000-0008-0000-0600-000004000000}"/>
            </a:ext>
          </a:extLst>
        </xdr:cNvPr>
        <xdr:cNvSpPr txBox="1"/>
      </xdr:nvSpPr>
      <xdr:spPr>
        <a:xfrm>
          <a:off x="866773" y="9525"/>
          <a:ext cx="7010402"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PREFEITURA</a:t>
          </a:r>
          <a:r>
            <a:rPr lang="pt-BR" sz="1400" b="1" baseline="0"/>
            <a:t> MUNICIPAL DE PORTO ALEGRE</a:t>
          </a:r>
        </a:p>
        <a:p>
          <a:pPr algn="ctr"/>
          <a:r>
            <a:rPr lang="pt-BR" sz="1400" b="1" baseline="0"/>
            <a:t>DEPARTAMENTO MUNICIPAL DE LIMPEZA URBANA</a:t>
          </a:r>
        </a:p>
        <a:p>
          <a:pPr algn="ctr"/>
          <a:r>
            <a:rPr lang="pt-BR" sz="1400" b="1" baseline="0"/>
            <a:t>DIRETORIA DE DESTINO FINAL</a:t>
          </a:r>
        </a:p>
        <a:p>
          <a:pPr algn="ctr"/>
          <a:endParaRPr lang="pt-BR" sz="1400" b="1"/>
        </a:p>
        <a:p>
          <a:pPr algn="ctr"/>
          <a:endParaRPr lang="pt-BR" sz="1400" b="1"/>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409575</xdr:colOff>
      <xdr:row>0</xdr:row>
      <xdr:rowOff>28575</xdr:rowOff>
    </xdr:from>
    <xdr:to>
      <xdr:col>8</xdr:col>
      <xdr:colOff>19050</xdr:colOff>
      <xdr:row>0</xdr:row>
      <xdr:rowOff>857250</xdr:rowOff>
    </xdr:to>
    <xdr:pic>
      <xdr:nvPicPr>
        <xdr:cNvPr id="2" name="Imagem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10550" y="28575"/>
          <a:ext cx="857250" cy="828675"/>
        </a:xfrm>
        <a:prstGeom prst="rect">
          <a:avLst/>
        </a:prstGeom>
      </xdr:spPr>
    </xdr:pic>
    <xdr:clientData/>
  </xdr:twoCellAnchor>
  <xdr:twoCellAnchor editAs="oneCell">
    <xdr:from>
      <xdr:col>0</xdr:col>
      <xdr:colOff>19051</xdr:colOff>
      <xdr:row>0</xdr:row>
      <xdr:rowOff>0</xdr:rowOff>
    </xdr:from>
    <xdr:to>
      <xdr:col>1</xdr:col>
      <xdr:colOff>1</xdr:colOff>
      <xdr:row>0</xdr:row>
      <xdr:rowOff>790575</xdr:rowOff>
    </xdr:to>
    <xdr:pic>
      <xdr:nvPicPr>
        <xdr:cNvPr id="3" name="Imagem 2">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1" y="0"/>
          <a:ext cx="742950" cy="790575"/>
        </a:xfrm>
        <a:prstGeom prst="rect">
          <a:avLst/>
        </a:prstGeom>
      </xdr:spPr>
    </xdr:pic>
    <xdr:clientData/>
  </xdr:twoCellAnchor>
  <xdr:twoCellAnchor>
    <xdr:from>
      <xdr:col>1</xdr:col>
      <xdr:colOff>142875</xdr:colOff>
      <xdr:row>0</xdr:row>
      <xdr:rowOff>57150</xdr:rowOff>
    </xdr:from>
    <xdr:to>
      <xdr:col>6</xdr:col>
      <xdr:colOff>295275</xdr:colOff>
      <xdr:row>0</xdr:row>
      <xdr:rowOff>819150</xdr:rowOff>
    </xdr:to>
    <xdr:sp macro="" textlink="">
      <xdr:nvSpPr>
        <xdr:cNvPr id="4" name="CaixaDeTexto 3">
          <a:extLst>
            <a:ext uri="{FF2B5EF4-FFF2-40B4-BE49-F238E27FC236}">
              <a16:creationId xmlns:a16="http://schemas.microsoft.com/office/drawing/2014/main" xmlns="" id="{00000000-0008-0000-0700-000004000000}"/>
            </a:ext>
          </a:extLst>
        </xdr:cNvPr>
        <xdr:cNvSpPr txBox="1"/>
      </xdr:nvSpPr>
      <xdr:spPr>
        <a:xfrm>
          <a:off x="904875" y="57150"/>
          <a:ext cx="7191375"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b="1"/>
            <a:t>PREFEITURA</a:t>
          </a:r>
          <a:r>
            <a:rPr lang="pt-BR" sz="1400" b="1" baseline="0"/>
            <a:t> MUNICIPAL DE PORTO ALEGRE</a:t>
          </a:r>
        </a:p>
        <a:p>
          <a:r>
            <a:rPr lang="pt-BR" sz="1400" b="1" baseline="0"/>
            <a:t>DEPARTAMENTO MUNICIPAL DE LIMPEZA URBANA</a:t>
          </a:r>
        </a:p>
        <a:p>
          <a:r>
            <a:rPr lang="pt-BR" sz="1400" b="1" baseline="0"/>
            <a:t>DIRETORIA DE DESTINO FINAL</a:t>
          </a:r>
        </a:p>
        <a:p>
          <a:endParaRPr lang="pt-BR" sz="1400" b="1"/>
        </a:p>
        <a:p>
          <a:endParaRPr lang="pt-BR" sz="1400" b="1"/>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409575</xdr:colOff>
      <xdr:row>0</xdr:row>
      <xdr:rowOff>28575</xdr:rowOff>
    </xdr:from>
    <xdr:to>
      <xdr:col>8</xdr:col>
      <xdr:colOff>19050</xdr:colOff>
      <xdr:row>0</xdr:row>
      <xdr:rowOff>857250</xdr:rowOff>
    </xdr:to>
    <xdr:pic>
      <xdr:nvPicPr>
        <xdr:cNvPr id="2" name="Imagem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10550" y="28575"/>
          <a:ext cx="857250" cy="828675"/>
        </a:xfrm>
        <a:prstGeom prst="rect">
          <a:avLst/>
        </a:prstGeom>
      </xdr:spPr>
    </xdr:pic>
    <xdr:clientData/>
  </xdr:twoCellAnchor>
  <xdr:twoCellAnchor editAs="oneCell">
    <xdr:from>
      <xdr:col>0</xdr:col>
      <xdr:colOff>19051</xdr:colOff>
      <xdr:row>0</xdr:row>
      <xdr:rowOff>0</xdr:rowOff>
    </xdr:from>
    <xdr:to>
      <xdr:col>1</xdr:col>
      <xdr:colOff>1</xdr:colOff>
      <xdr:row>0</xdr:row>
      <xdr:rowOff>790575</xdr:rowOff>
    </xdr:to>
    <xdr:pic>
      <xdr:nvPicPr>
        <xdr:cNvPr id="3" name="Imagem 2">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051" y="0"/>
          <a:ext cx="742950" cy="790575"/>
        </a:xfrm>
        <a:prstGeom prst="rect">
          <a:avLst/>
        </a:prstGeom>
      </xdr:spPr>
    </xdr:pic>
    <xdr:clientData/>
  </xdr:twoCellAnchor>
  <xdr:twoCellAnchor>
    <xdr:from>
      <xdr:col>1</xdr:col>
      <xdr:colOff>142875</xdr:colOff>
      <xdr:row>0</xdr:row>
      <xdr:rowOff>57150</xdr:rowOff>
    </xdr:from>
    <xdr:to>
      <xdr:col>6</xdr:col>
      <xdr:colOff>295275</xdr:colOff>
      <xdr:row>0</xdr:row>
      <xdr:rowOff>819150</xdr:rowOff>
    </xdr:to>
    <xdr:sp macro="" textlink="">
      <xdr:nvSpPr>
        <xdr:cNvPr id="4" name="CaixaDeTexto 3">
          <a:extLst>
            <a:ext uri="{FF2B5EF4-FFF2-40B4-BE49-F238E27FC236}">
              <a16:creationId xmlns:a16="http://schemas.microsoft.com/office/drawing/2014/main" xmlns="" id="{00000000-0008-0000-0800-000004000000}"/>
            </a:ext>
          </a:extLst>
        </xdr:cNvPr>
        <xdr:cNvSpPr txBox="1"/>
      </xdr:nvSpPr>
      <xdr:spPr>
        <a:xfrm>
          <a:off x="904875" y="57150"/>
          <a:ext cx="7191375"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400" b="1"/>
            <a:t>PREFEITURA</a:t>
          </a:r>
          <a:r>
            <a:rPr lang="pt-BR" sz="1400" b="1" baseline="0"/>
            <a:t> MUNICIPAL DE PORTO ALEGRE</a:t>
          </a:r>
        </a:p>
        <a:p>
          <a:r>
            <a:rPr lang="pt-BR" sz="1400" b="1" baseline="0"/>
            <a:t>DEPARTAMENTO MUNICIPAL DE LIMPEZA URBANA</a:t>
          </a:r>
        </a:p>
        <a:p>
          <a:r>
            <a:rPr lang="pt-BR" sz="1400" b="1" baseline="0"/>
            <a:t>DIRETORIA DE DESTINO FINAL</a:t>
          </a:r>
        </a:p>
        <a:p>
          <a:endParaRPr lang="pt-BR" sz="1400" b="1"/>
        </a:p>
        <a:p>
          <a:endParaRPr lang="pt-BR" sz="1400" b="1"/>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11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Lst>
            </xdr:cNvPr>
            <xdr:cNvSpPr/>
          </xdr:nvSpPr>
          <xdr:spPr>
            <a:xfrm>
              <a:off x="0" y="0"/>
              <a:ext cx="0" cy="0"/>
            </a:xfrm>
            <a:prstGeom prst="rect">
              <a:avLst/>
            </a:prstGeom>
          </xdr:spPr>
        </xdr:sp>
        <xdr:clientData fLock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1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3" Type="http://schemas.openxmlformats.org/officeDocument/2006/relationships/hyperlink" Target="http://www.precoestimado.com.br/" TargetMode="External"/><Relationship Id="rId18" Type="http://schemas.openxmlformats.org/officeDocument/2006/relationships/hyperlink" Target="http://www.precoestimado.com.br/" TargetMode="External"/><Relationship Id="rId26" Type="http://schemas.openxmlformats.org/officeDocument/2006/relationships/hyperlink" Target="http://www.precoestimado.com.br/" TargetMode="External"/><Relationship Id="rId39" Type="http://schemas.openxmlformats.org/officeDocument/2006/relationships/hyperlink" Target="http://www.precoestimado.com.br/" TargetMode="External"/><Relationship Id="rId21" Type="http://schemas.openxmlformats.org/officeDocument/2006/relationships/hyperlink" Target="http://www.precoestimado.com.br/" TargetMode="External"/><Relationship Id="rId34" Type="http://schemas.openxmlformats.org/officeDocument/2006/relationships/hyperlink" Target="http://www.precoestimado.com.br/" TargetMode="External"/><Relationship Id="rId42" Type="http://schemas.openxmlformats.org/officeDocument/2006/relationships/hyperlink" Target="http://www.precoestimado.com.br/" TargetMode="External"/><Relationship Id="rId47" Type="http://schemas.openxmlformats.org/officeDocument/2006/relationships/hyperlink" Target="http://www.precoestimado.com.br/" TargetMode="External"/><Relationship Id="rId50" Type="http://schemas.openxmlformats.org/officeDocument/2006/relationships/hyperlink" Target="http://www.precoestimado.com.br/" TargetMode="External"/><Relationship Id="rId55" Type="http://schemas.openxmlformats.org/officeDocument/2006/relationships/hyperlink" Target="http://www.precoestimado.com.br/" TargetMode="External"/><Relationship Id="rId63" Type="http://schemas.openxmlformats.org/officeDocument/2006/relationships/hyperlink" Target="http://www.precoestimado.com.br/" TargetMode="External"/><Relationship Id="rId68" Type="http://schemas.openxmlformats.org/officeDocument/2006/relationships/hyperlink" Target="http://www.precoestimado.com.br/" TargetMode="External"/><Relationship Id="rId76" Type="http://schemas.openxmlformats.org/officeDocument/2006/relationships/hyperlink" Target="http://www.precoestimado.com.br/" TargetMode="External"/><Relationship Id="rId84" Type="http://schemas.openxmlformats.org/officeDocument/2006/relationships/hyperlink" Target="http://www.precoestimado.com.br/" TargetMode="External"/><Relationship Id="rId89" Type="http://schemas.openxmlformats.org/officeDocument/2006/relationships/drawing" Target="../drawings/drawing10.xml"/><Relationship Id="rId7" Type="http://schemas.openxmlformats.org/officeDocument/2006/relationships/hyperlink" Target="http://www.precoestimado.com.br/" TargetMode="External"/><Relationship Id="rId71" Type="http://schemas.openxmlformats.org/officeDocument/2006/relationships/hyperlink" Target="http://www.precoestimado.com.br/" TargetMode="External"/><Relationship Id="rId2" Type="http://schemas.openxmlformats.org/officeDocument/2006/relationships/hyperlink" Target="http://www.precoestimado.com.br/" TargetMode="External"/><Relationship Id="rId16" Type="http://schemas.openxmlformats.org/officeDocument/2006/relationships/hyperlink" Target="http://www.precoestimado.com.br/" TargetMode="External"/><Relationship Id="rId29" Type="http://schemas.openxmlformats.org/officeDocument/2006/relationships/hyperlink" Target="http://www.precoestimado.com.br/" TargetMode="External"/><Relationship Id="rId11" Type="http://schemas.openxmlformats.org/officeDocument/2006/relationships/hyperlink" Target="http://www.precoestimado.com.br/" TargetMode="External"/><Relationship Id="rId24" Type="http://schemas.openxmlformats.org/officeDocument/2006/relationships/hyperlink" Target="http://www.precoestimado.com.br/" TargetMode="External"/><Relationship Id="rId32" Type="http://schemas.openxmlformats.org/officeDocument/2006/relationships/hyperlink" Target="http://www.precoestimado.com.br/" TargetMode="External"/><Relationship Id="rId37" Type="http://schemas.openxmlformats.org/officeDocument/2006/relationships/hyperlink" Target="http://www.precoestimado.com.br/" TargetMode="External"/><Relationship Id="rId40" Type="http://schemas.openxmlformats.org/officeDocument/2006/relationships/hyperlink" Target="http://www.precoestimado.com.br/" TargetMode="External"/><Relationship Id="rId45" Type="http://schemas.openxmlformats.org/officeDocument/2006/relationships/hyperlink" Target="http://www.precoestimado.com.br/" TargetMode="External"/><Relationship Id="rId53" Type="http://schemas.openxmlformats.org/officeDocument/2006/relationships/hyperlink" Target="http://www.precoestimado.com.br/" TargetMode="External"/><Relationship Id="rId58" Type="http://schemas.openxmlformats.org/officeDocument/2006/relationships/hyperlink" Target="http://www.precoestimado.com.br/" TargetMode="External"/><Relationship Id="rId66" Type="http://schemas.openxmlformats.org/officeDocument/2006/relationships/hyperlink" Target="http://www.precoestimado.com.br/" TargetMode="External"/><Relationship Id="rId74" Type="http://schemas.openxmlformats.org/officeDocument/2006/relationships/hyperlink" Target="http://www.precoestimado.com.br/" TargetMode="External"/><Relationship Id="rId79" Type="http://schemas.openxmlformats.org/officeDocument/2006/relationships/hyperlink" Target="http://www.precoestimado.com.br/" TargetMode="External"/><Relationship Id="rId87" Type="http://schemas.openxmlformats.org/officeDocument/2006/relationships/hyperlink" Target="http://www.precoestimado.com.br/" TargetMode="External"/><Relationship Id="rId5" Type="http://schemas.openxmlformats.org/officeDocument/2006/relationships/hyperlink" Target="http://www.precoestimado.com.br/" TargetMode="External"/><Relationship Id="rId61" Type="http://schemas.openxmlformats.org/officeDocument/2006/relationships/hyperlink" Target="http://www.precoestimado.com.br/" TargetMode="External"/><Relationship Id="rId82" Type="http://schemas.openxmlformats.org/officeDocument/2006/relationships/hyperlink" Target="http://www.precoestimado.com.br/" TargetMode="External"/><Relationship Id="rId90" Type="http://schemas.openxmlformats.org/officeDocument/2006/relationships/vmlDrawing" Target="../drawings/vmlDrawing1.vml"/><Relationship Id="rId19" Type="http://schemas.openxmlformats.org/officeDocument/2006/relationships/hyperlink" Target="http://www.precoestimado.com.br/" TargetMode="External"/><Relationship Id="rId14" Type="http://schemas.openxmlformats.org/officeDocument/2006/relationships/hyperlink" Target="http://www.precoestimado.com.br/" TargetMode="External"/><Relationship Id="rId22" Type="http://schemas.openxmlformats.org/officeDocument/2006/relationships/hyperlink" Target="http://www.precoestimado.com.br/" TargetMode="External"/><Relationship Id="rId27" Type="http://schemas.openxmlformats.org/officeDocument/2006/relationships/hyperlink" Target="http://www.precoestimado.com.br/" TargetMode="External"/><Relationship Id="rId30" Type="http://schemas.openxmlformats.org/officeDocument/2006/relationships/hyperlink" Target="http://www.precoestimado.com.br/" TargetMode="External"/><Relationship Id="rId35" Type="http://schemas.openxmlformats.org/officeDocument/2006/relationships/hyperlink" Target="http://www.precoestimado.com.br/" TargetMode="External"/><Relationship Id="rId43" Type="http://schemas.openxmlformats.org/officeDocument/2006/relationships/hyperlink" Target="http://www.precoestimado.com.br/" TargetMode="External"/><Relationship Id="rId48" Type="http://schemas.openxmlformats.org/officeDocument/2006/relationships/hyperlink" Target="http://www.precoestimado.com.br/" TargetMode="External"/><Relationship Id="rId56" Type="http://schemas.openxmlformats.org/officeDocument/2006/relationships/hyperlink" Target="http://www.precoestimado.com.br/" TargetMode="External"/><Relationship Id="rId64" Type="http://schemas.openxmlformats.org/officeDocument/2006/relationships/hyperlink" Target="http://www.precoestimado.com.br/" TargetMode="External"/><Relationship Id="rId69" Type="http://schemas.openxmlformats.org/officeDocument/2006/relationships/hyperlink" Target="http://www.precoestimado.com.br/" TargetMode="External"/><Relationship Id="rId77" Type="http://schemas.openxmlformats.org/officeDocument/2006/relationships/hyperlink" Target="http://www.precoestimado.com.br/" TargetMode="External"/><Relationship Id="rId8" Type="http://schemas.openxmlformats.org/officeDocument/2006/relationships/hyperlink" Target="http://www.precoestimado.com.br/" TargetMode="External"/><Relationship Id="rId51" Type="http://schemas.openxmlformats.org/officeDocument/2006/relationships/hyperlink" Target="http://www.precoestimado.com.br/" TargetMode="External"/><Relationship Id="rId72" Type="http://schemas.openxmlformats.org/officeDocument/2006/relationships/hyperlink" Target="http://www.precoestimado.com.br/" TargetMode="External"/><Relationship Id="rId80" Type="http://schemas.openxmlformats.org/officeDocument/2006/relationships/hyperlink" Target="http://www.precoestimado.com.br/" TargetMode="External"/><Relationship Id="rId85" Type="http://schemas.openxmlformats.org/officeDocument/2006/relationships/hyperlink" Target="http://www.precoestimado.com.br/" TargetMode="External"/><Relationship Id="rId3" Type="http://schemas.openxmlformats.org/officeDocument/2006/relationships/hyperlink" Target="http://www.precoestimado.com.br/" TargetMode="External"/><Relationship Id="rId12" Type="http://schemas.openxmlformats.org/officeDocument/2006/relationships/hyperlink" Target="http://www.precoestimado.com.br/" TargetMode="External"/><Relationship Id="rId17" Type="http://schemas.openxmlformats.org/officeDocument/2006/relationships/hyperlink" Target="http://www.precoestimado.com.br/" TargetMode="External"/><Relationship Id="rId25" Type="http://schemas.openxmlformats.org/officeDocument/2006/relationships/hyperlink" Target="http://www.precoestimado.com.br/" TargetMode="External"/><Relationship Id="rId33" Type="http://schemas.openxmlformats.org/officeDocument/2006/relationships/hyperlink" Target="http://www.precoestimado.com.br/" TargetMode="External"/><Relationship Id="rId38" Type="http://schemas.openxmlformats.org/officeDocument/2006/relationships/hyperlink" Target="http://www.precoestimado.com.br/" TargetMode="External"/><Relationship Id="rId46" Type="http://schemas.openxmlformats.org/officeDocument/2006/relationships/hyperlink" Target="http://www.precoestimado.com.br/" TargetMode="External"/><Relationship Id="rId59" Type="http://schemas.openxmlformats.org/officeDocument/2006/relationships/hyperlink" Target="http://www.precoestimado.com.br/" TargetMode="External"/><Relationship Id="rId67" Type="http://schemas.openxmlformats.org/officeDocument/2006/relationships/hyperlink" Target="http://www.precoestimado.com.br/" TargetMode="External"/><Relationship Id="rId20" Type="http://schemas.openxmlformats.org/officeDocument/2006/relationships/hyperlink" Target="http://www.sinduscon-rs.com.br/" TargetMode="External"/><Relationship Id="rId41" Type="http://schemas.openxmlformats.org/officeDocument/2006/relationships/hyperlink" Target="http://www.precoestimado.com.br/" TargetMode="External"/><Relationship Id="rId54" Type="http://schemas.openxmlformats.org/officeDocument/2006/relationships/hyperlink" Target="http://www.precoestimado.com.br/" TargetMode="External"/><Relationship Id="rId62" Type="http://schemas.openxmlformats.org/officeDocument/2006/relationships/hyperlink" Target="http://www.precoestimado.com.br/" TargetMode="External"/><Relationship Id="rId70" Type="http://schemas.openxmlformats.org/officeDocument/2006/relationships/hyperlink" Target="http://www.precoestimado.com.br/" TargetMode="External"/><Relationship Id="rId75" Type="http://schemas.openxmlformats.org/officeDocument/2006/relationships/hyperlink" Target="http://www.precoestimado.com.br/" TargetMode="External"/><Relationship Id="rId83" Type="http://schemas.openxmlformats.org/officeDocument/2006/relationships/hyperlink" Target="http://www.precoestimado.com.br/" TargetMode="External"/><Relationship Id="rId88" Type="http://schemas.openxmlformats.org/officeDocument/2006/relationships/printerSettings" Target="../printerSettings/printerSettings13.bin"/><Relationship Id="rId91" Type="http://schemas.openxmlformats.org/officeDocument/2006/relationships/ctrlProp" Target="../ctrlProps/ctrlProp1.xml"/><Relationship Id="rId1" Type="http://schemas.openxmlformats.org/officeDocument/2006/relationships/hyperlink" Target="http://www.precoestimado.com.br/" TargetMode="External"/><Relationship Id="rId6" Type="http://schemas.openxmlformats.org/officeDocument/2006/relationships/hyperlink" Target="http://www.precoestimado.com.br/" TargetMode="External"/><Relationship Id="rId15" Type="http://schemas.openxmlformats.org/officeDocument/2006/relationships/hyperlink" Target="http://www.precoestimado.com.br/" TargetMode="External"/><Relationship Id="rId23" Type="http://schemas.openxmlformats.org/officeDocument/2006/relationships/hyperlink" Target="http://www.precoestimado.com.br/" TargetMode="External"/><Relationship Id="rId28" Type="http://schemas.openxmlformats.org/officeDocument/2006/relationships/hyperlink" Target="http://www.precoestimado.com.br/" TargetMode="External"/><Relationship Id="rId36" Type="http://schemas.openxmlformats.org/officeDocument/2006/relationships/hyperlink" Target="http://www.precoestimado.com.br/" TargetMode="External"/><Relationship Id="rId49" Type="http://schemas.openxmlformats.org/officeDocument/2006/relationships/hyperlink" Target="http://www.precoestimado.com.br/" TargetMode="External"/><Relationship Id="rId57" Type="http://schemas.openxmlformats.org/officeDocument/2006/relationships/hyperlink" Target="http://www.precoestimado.com.br/" TargetMode="External"/><Relationship Id="rId10" Type="http://schemas.openxmlformats.org/officeDocument/2006/relationships/hyperlink" Target="http://www.precoestimado.com.br/" TargetMode="External"/><Relationship Id="rId31" Type="http://schemas.openxmlformats.org/officeDocument/2006/relationships/hyperlink" Target="http://www.precoestimado.com.br/" TargetMode="External"/><Relationship Id="rId44" Type="http://schemas.openxmlformats.org/officeDocument/2006/relationships/hyperlink" Target="http://www.precoestimado.com.br/" TargetMode="External"/><Relationship Id="rId52" Type="http://schemas.openxmlformats.org/officeDocument/2006/relationships/hyperlink" Target="http://www.precoestimado.com.br/" TargetMode="External"/><Relationship Id="rId60" Type="http://schemas.openxmlformats.org/officeDocument/2006/relationships/hyperlink" Target="http://www.precoestimado.com.br/" TargetMode="External"/><Relationship Id="rId65" Type="http://schemas.openxmlformats.org/officeDocument/2006/relationships/hyperlink" Target="http://www.precoestimado.com.br/" TargetMode="External"/><Relationship Id="rId73" Type="http://schemas.openxmlformats.org/officeDocument/2006/relationships/hyperlink" Target="http://www.precoestimado.com.br/" TargetMode="External"/><Relationship Id="rId78" Type="http://schemas.openxmlformats.org/officeDocument/2006/relationships/hyperlink" Target="http://www.precoestimado.com.br/" TargetMode="External"/><Relationship Id="rId81" Type="http://schemas.openxmlformats.org/officeDocument/2006/relationships/hyperlink" Target="http://www.asscon.org.br/" TargetMode="External"/><Relationship Id="rId86" Type="http://schemas.openxmlformats.org/officeDocument/2006/relationships/hyperlink" Target="http://www.precoestimado.com.br/" TargetMode="External"/><Relationship Id="rId4" Type="http://schemas.openxmlformats.org/officeDocument/2006/relationships/hyperlink" Target="http://www.precoestimado.com.br/" TargetMode="External"/><Relationship Id="rId9" Type="http://schemas.openxmlformats.org/officeDocument/2006/relationships/hyperlink" Target="http://www.precoestimado.com.br/"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B2" sqref="B2:C104"/>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E22" sqref="E22"/>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4"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3"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42"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tabSelected="1" topLeftCell="A16" zoomScale="80" zoomScaleNormal="80" workbookViewId="0">
      <selection activeCell="M8" sqref="M8"/>
    </sheetView>
  </sheetViews>
  <sheetFormatPr defaultRowHeight="15" x14ac:dyDescent="0.25"/>
  <cols>
    <col min="1" max="1" width="13.7109375" customWidth="1"/>
    <col min="2" max="2" width="63.42578125" customWidth="1"/>
    <col min="3" max="3" width="13.5703125" style="98" customWidth="1"/>
    <col min="4" max="4" width="10.28515625" style="55" customWidth="1"/>
    <col min="5" max="5" width="13.28515625" customWidth="1"/>
    <col min="6" max="7" width="8" customWidth="1"/>
    <col min="8" max="8" width="13.42578125" customWidth="1"/>
    <col min="9" max="9" width="12.42578125" customWidth="1"/>
    <col min="10" max="10" width="14.85546875" customWidth="1"/>
    <col min="11" max="11" width="18.28515625" customWidth="1"/>
    <col min="12" max="12" width="17" customWidth="1"/>
    <col min="13" max="13" width="16.42578125" bestFit="1" customWidth="1"/>
    <col min="14" max="14" width="12.42578125" bestFit="1" customWidth="1"/>
  </cols>
  <sheetData>
    <row r="1" spans="1:14" ht="65.25" customHeight="1" x14ac:dyDescent="0.25">
      <c r="B1" s="681" t="s">
        <v>922</v>
      </c>
      <c r="C1" s="681"/>
      <c r="D1" s="681"/>
      <c r="E1" s="681"/>
      <c r="F1" s="681"/>
      <c r="G1" s="681"/>
      <c r="H1" s="681"/>
      <c r="I1" s="681"/>
      <c r="J1" s="681"/>
      <c r="K1" s="651"/>
    </row>
    <row r="3" spans="1:14" ht="15" customHeight="1" x14ac:dyDescent="0.25">
      <c r="A3" s="687" t="s">
        <v>319</v>
      </c>
      <c r="B3" s="687" t="s">
        <v>883</v>
      </c>
      <c r="C3" s="687" t="s">
        <v>884</v>
      </c>
      <c r="D3" s="688" t="s">
        <v>885</v>
      </c>
      <c r="E3" s="688" t="s">
        <v>935</v>
      </c>
      <c r="F3" s="680" t="s">
        <v>912</v>
      </c>
      <c r="G3" s="680"/>
      <c r="H3" s="688" t="s">
        <v>938</v>
      </c>
      <c r="I3" s="688" t="s">
        <v>939</v>
      </c>
      <c r="J3" s="680" t="s">
        <v>543</v>
      </c>
      <c r="K3" s="680"/>
    </row>
    <row r="4" spans="1:14" ht="44.25" customHeight="1" x14ac:dyDescent="0.25">
      <c r="A4" s="687"/>
      <c r="B4" s="687"/>
      <c r="C4" s="687"/>
      <c r="D4" s="688"/>
      <c r="E4" s="688"/>
      <c r="F4" s="594" t="s">
        <v>936</v>
      </c>
      <c r="G4" s="594" t="s">
        <v>937</v>
      </c>
      <c r="H4" s="688"/>
      <c r="I4" s="688"/>
      <c r="J4" s="594" t="s">
        <v>911</v>
      </c>
      <c r="K4" s="594" t="s">
        <v>910</v>
      </c>
    </row>
    <row r="5" spans="1:14" ht="43.5" customHeight="1" x14ac:dyDescent="0.25">
      <c r="A5" s="621">
        <v>1</v>
      </c>
      <c r="B5" s="622" t="s">
        <v>857</v>
      </c>
      <c r="C5" s="623" t="s">
        <v>867</v>
      </c>
      <c r="D5" s="624" t="s">
        <v>839</v>
      </c>
      <c r="E5" s="625">
        <f>ROUND(IF($B$29=$B$25,QUANTITATIVOS!G8,IF($B$29=$B$26,QUANTITATIVOS!I8,IF($B$29=$B$27,QUANTITATIVOS!K8*QUANTITATIVOS!C8,IF(,EDITAL!$B$29=$B$28,QUANTITATIVOS!J8*QUANTITATIVOS!C8)))),2)</f>
        <v>63.58</v>
      </c>
      <c r="F5" s="626">
        <f>QUANTITATIVOS!D8</f>
        <v>0.41</v>
      </c>
      <c r="G5" s="627">
        <f>IF($D$29=$D$26,$E$26,IF($D$29=$D$27,QUANTITATIVOS!D8,IF($D$29=$D$28,QUANTITATIVOS!E8)))</f>
        <v>0.28699999999999998</v>
      </c>
      <c r="H5" s="625">
        <f>E5*(1-G5)</f>
        <v>45.332540000000002</v>
      </c>
      <c r="I5" s="628">
        <f>IF(D5='PARÂMETROS - MESA'!$J$8,'CALCULO PREÇO UNITÁRIO'!$D$20,IF(EDITAL!D5='PARÂMETROS - MESA'!$J$7,'CALCULO PREÇO UNITÁRIO'!$D$12))</f>
        <v>242.94883260461646</v>
      </c>
      <c r="J5" s="629">
        <f t="shared" ref="J5:J20" si="0">H5*I5</f>
        <v>11013.48767200208</v>
      </c>
      <c r="K5" s="630">
        <f>J5*12</f>
        <v>132161.85206402495</v>
      </c>
      <c r="L5" s="337"/>
      <c r="M5" s="337"/>
      <c r="N5" s="337"/>
    </row>
    <row r="6" spans="1:14" ht="43.5" customHeight="1" x14ac:dyDescent="0.25">
      <c r="A6" s="631">
        <v>2</v>
      </c>
      <c r="B6" s="632" t="s">
        <v>858</v>
      </c>
      <c r="C6" s="633" t="s">
        <v>868</v>
      </c>
      <c r="D6" s="634" t="s">
        <v>632</v>
      </c>
      <c r="E6" s="635">
        <f>ROUND(IF($B$29=$B$25,QUANTITATIVOS!G9,IF($B$29=$B$26,QUANTITATIVOS!I9,IF($B$29=$B$27,QUANTITATIVOS!K9*QUANTITATIVOS!C9,IF(,EDITAL!$B$29=$B$28,QUANTITATIVOS!J9*QUANTITATIVOS!C9)))),2)</f>
        <v>41.23</v>
      </c>
      <c r="F6" s="636">
        <f>QUANTITATIVOS!D9</f>
        <v>0.21189769501272859</v>
      </c>
      <c r="G6" s="637">
        <f>IF($D$29=$D$26,$E$26,IF($D$29=$D$27,QUANTITATIVOS!D9,IF($D$29=$D$28,QUANTITATIVOS!E9)))</f>
        <v>0.14832838650891</v>
      </c>
      <c r="H6" s="635">
        <f t="shared" ref="H6:H20" si="1">E6*(1-G6)</f>
        <v>35.114420624237638</v>
      </c>
      <c r="I6" s="638">
        <f>IF(D6='PARÂMETROS - MESA'!$J$8,'CALCULO PREÇO UNITÁRIO'!$D$20,IF(EDITAL!D6='PARÂMETROS - MESA'!$J$7,'CALCULO PREÇO UNITÁRIO'!$D$12))</f>
        <v>268.68153321584407</v>
      </c>
      <c r="J6" s="639">
        <f t="shared" si="0"/>
        <v>9434.5963713062247</v>
      </c>
      <c r="K6" s="640">
        <f t="shared" ref="K6:K20" si="2">J6*12</f>
        <v>113215.1564556747</v>
      </c>
      <c r="L6" s="337"/>
      <c r="M6" s="337"/>
      <c r="N6" s="337"/>
    </row>
    <row r="7" spans="1:14" ht="43.5" customHeight="1" x14ac:dyDescent="0.25">
      <c r="A7" s="631">
        <v>3</v>
      </c>
      <c r="B7" s="632" t="s">
        <v>859</v>
      </c>
      <c r="C7" s="633" t="s">
        <v>870</v>
      </c>
      <c r="D7" s="634" t="s">
        <v>632</v>
      </c>
      <c r="E7" s="635">
        <f>ROUND(IF($B$29=$B$25,QUANTITATIVOS!G10,IF($B$29=$B$26,QUANTITATIVOS!I10,IF($B$29=$B$27,QUANTITATIVOS!K10*QUANTITATIVOS!C10,IF(,EDITAL!$B$29=$B$28,QUANTITATIVOS!J10*QUANTITATIVOS!C10)))),2)</f>
        <v>46.14</v>
      </c>
      <c r="F7" s="636">
        <f>QUANTITATIVOS!D10</f>
        <v>0.20290350117624181</v>
      </c>
      <c r="G7" s="637">
        <f>IF($D$29=$D$26,$E$26,IF($D$29=$D$27,QUANTITATIVOS!D10,IF($D$29=$D$28,QUANTITATIVOS!E10)))</f>
        <v>0.14203245082336927</v>
      </c>
      <c r="H7" s="635">
        <f t="shared" si="1"/>
        <v>39.586622719009746</v>
      </c>
      <c r="I7" s="638">
        <f>IF(D7='PARÂMETROS - MESA'!$J$8,'CALCULO PREÇO UNITÁRIO'!$D$20,IF(EDITAL!D7='PARÂMETROS - MESA'!$J$7,'CALCULO PREÇO UNITÁRIO'!$D$12))</f>
        <v>268.68153321584407</v>
      </c>
      <c r="J7" s="639">
        <f t="shared" si="0"/>
        <v>10636.194486980705</v>
      </c>
      <c r="K7" s="640">
        <f t="shared" si="2"/>
        <v>127634.33384376846</v>
      </c>
      <c r="L7" s="337"/>
      <c r="M7" s="337"/>
      <c r="N7" s="337"/>
    </row>
    <row r="8" spans="1:14" ht="43.5" customHeight="1" x14ac:dyDescent="0.25">
      <c r="A8" s="631">
        <v>4</v>
      </c>
      <c r="B8" s="632" t="s">
        <v>860</v>
      </c>
      <c r="C8" s="633" t="s">
        <v>869</v>
      </c>
      <c r="D8" s="634" t="s">
        <v>839</v>
      </c>
      <c r="E8" s="635">
        <f>ROUND(IF($B$29=$B$25,QUANTITATIVOS!G11,IF($B$29=$B$26,QUANTITATIVOS!I11,IF($B$29=$B$27,QUANTITATIVOS!K11*QUANTITATIVOS!C11,IF(,EDITAL!$B$29=$B$28,QUANTITATIVOS!J11*QUANTITATIVOS!C11)))),2)</f>
        <v>89.44</v>
      </c>
      <c r="F8" s="636">
        <f>QUANTITATIVOS!D11</f>
        <v>0.52627423646349969</v>
      </c>
      <c r="G8" s="637">
        <f>IF($D$29=$D$26,$E$26,IF($D$29=$D$27,QUANTITATIVOS!D11,IF($D$29=$D$28,QUANTITATIVOS!E11)))</f>
        <v>0.36839196552444975</v>
      </c>
      <c r="H8" s="635">
        <f t="shared" si="1"/>
        <v>56.491022603493214</v>
      </c>
      <c r="I8" s="638">
        <f>IF(D8='PARÂMETROS - MESA'!$J$8,'CALCULO PREÇO UNITÁRIO'!$D$20,IF(EDITAL!D8='PARÂMETROS - MESA'!$J$7,'CALCULO PREÇO UNITÁRIO'!$D$12))</f>
        <v>242.94883260461646</v>
      </c>
      <c r="J8" s="639">
        <f t="shared" si="0"/>
        <v>13724.427994159678</v>
      </c>
      <c r="K8" s="640">
        <f t="shared" si="2"/>
        <v>164693.13592991614</v>
      </c>
      <c r="L8" s="337"/>
      <c r="M8" s="337"/>
      <c r="N8" s="337"/>
    </row>
    <row r="9" spans="1:14" ht="43.5" customHeight="1" x14ac:dyDescent="0.25">
      <c r="A9" s="631">
        <v>5</v>
      </c>
      <c r="B9" s="632" t="s">
        <v>861</v>
      </c>
      <c r="C9" s="633" t="s">
        <v>871</v>
      </c>
      <c r="D9" s="634" t="s">
        <v>839</v>
      </c>
      <c r="E9" s="635">
        <f>ROUND(IF($B$29=$B$25,QUANTITATIVOS!G12,IF($B$29=$B$26,QUANTITATIVOS!I12,IF($B$29=$B$27,QUANTITATIVOS!K12*QUANTITATIVOS!C12,IF(,EDITAL!$B$29=$B$28,QUANTITATIVOS!J12*QUANTITATIVOS!C12)))),2)</f>
        <v>77.08</v>
      </c>
      <c r="F9" s="636">
        <f>QUANTITATIVOS!D12</f>
        <v>0.37336207298328788</v>
      </c>
      <c r="G9" s="637">
        <f>IF($D$29=$D$26,$E$26,IF($D$29=$D$27,QUANTITATIVOS!D12,IF($D$29=$D$28,QUANTITATIVOS!E12)))</f>
        <v>0.26135345108830149</v>
      </c>
      <c r="H9" s="635">
        <f t="shared" si="1"/>
        <v>56.934875990113717</v>
      </c>
      <c r="I9" s="638">
        <f>IF(D9='PARÂMETROS - MESA'!$J$8,'CALCULO PREÇO UNITÁRIO'!$D$20,IF(EDITAL!D9='PARÂMETROS - MESA'!$J$7,'CALCULO PREÇO UNITÁRIO'!$D$12))</f>
        <v>242.94883260461646</v>
      </c>
      <c r="J9" s="639">
        <f t="shared" si="0"/>
        <v>13832.261656286733</v>
      </c>
      <c r="K9" s="640">
        <f t="shared" si="2"/>
        <v>165987.1398754408</v>
      </c>
      <c r="L9" s="337"/>
      <c r="M9" s="337"/>
      <c r="N9" s="337"/>
    </row>
    <row r="10" spans="1:14" ht="43.5" customHeight="1" x14ac:dyDescent="0.25">
      <c r="A10" s="631">
        <v>6</v>
      </c>
      <c r="B10" s="632" t="s">
        <v>862</v>
      </c>
      <c r="C10" s="633" t="s">
        <v>872</v>
      </c>
      <c r="D10" s="634" t="s">
        <v>839</v>
      </c>
      <c r="E10" s="635">
        <f>ROUND(IF($B$29=$B$25,QUANTITATIVOS!G13,IF($B$29=$B$26,QUANTITATIVOS!I13,IF($B$29=$B$27,QUANTITATIVOS!K13*QUANTITATIVOS!C13,IF(,EDITAL!$B$29=$B$28,QUANTITATIVOS!J13*QUANTITATIVOS!C13)))),2)</f>
        <v>65.69</v>
      </c>
      <c r="F10" s="636">
        <f>QUANTITATIVOS!D13</f>
        <v>0.67220000000000002</v>
      </c>
      <c r="G10" s="637">
        <f>IF($D$29=$D$26,$E$26,IF($D$29=$D$27,QUANTITATIVOS!D13,IF($D$29=$D$28,QUANTITATIVOS!E13)))</f>
        <v>0.47053999999999996</v>
      </c>
      <c r="H10" s="635">
        <f t="shared" si="1"/>
        <v>34.780227400000001</v>
      </c>
      <c r="I10" s="638">
        <f>IF(D10='PARÂMETROS - MESA'!$J$8,'CALCULO PREÇO UNITÁRIO'!$D$20,IF(EDITAL!D10='PARÂMETROS - MESA'!$J$7,'CALCULO PREÇO UNITÁRIO'!$D$12))</f>
        <v>242.94883260461646</v>
      </c>
      <c r="J10" s="639">
        <f t="shared" si="0"/>
        <v>8449.8156445530949</v>
      </c>
      <c r="K10" s="640">
        <f t="shared" si="2"/>
        <v>101397.78773463714</v>
      </c>
      <c r="L10" s="337"/>
      <c r="M10" s="337"/>
      <c r="N10" s="337"/>
    </row>
    <row r="11" spans="1:14" ht="43.5" customHeight="1" x14ac:dyDescent="0.25">
      <c r="A11" s="631">
        <v>7</v>
      </c>
      <c r="B11" s="632" t="s">
        <v>863</v>
      </c>
      <c r="C11" s="633" t="s">
        <v>873</v>
      </c>
      <c r="D11" s="634" t="s">
        <v>839</v>
      </c>
      <c r="E11" s="635">
        <f>ROUND(IF($B$29=$B$25,QUANTITATIVOS!G14,IF($B$29=$B$26,QUANTITATIVOS!I14,IF($B$29=$B$27,QUANTITATIVOS!K14*QUANTITATIVOS!C14,IF(,EDITAL!$B$29=$B$28,QUANTITATIVOS!J14*QUANTITATIVOS!C14)))),2)</f>
        <v>51.77</v>
      </c>
      <c r="F11" s="636">
        <f>QUANTITATIVOS!D14</f>
        <v>0.30407615599608934</v>
      </c>
      <c r="G11" s="637">
        <f>IF($D$29=$D$26,$E$26,IF($D$29=$D$27,QUANTITATIVOS!D14,IF($D$29=$D$28,QUANTITATIVOS!E14)))</f>
        <v>0.21285330919726253</v>
      </c>
      <c r="H11" s="635">
        <f t="shared" si="1"/>
        <v>40.750584182857722</v>
      </c>
      <c r="I11" s="638">
        <f>IF(D11='PARÂMETROS - MESA'!$J$8,'CALCULO PREÇO UNITÁRIO'!$D$20,IF(EDITAL!D11='PARÂMETROS - MESA'!$J$7,'CALCULO PREÇO UNITÁRIO'!$D$12))</f>
        <v>242.94883260461646</v>
      </c>
      <c r="J11" s="639">
        <f t="shared" si="0"/>
        <v>9900.3068551814322</v>
      </c>
      <c r="K11" s="640">
        <f t="shared" si="2"/>
        <v>118803.68226217719</v>
      </c>
      <c r="L11" s="337"/>
      <c r="M11" s="337"/>
      <c r="N11" s="337"/>
    </row>
    <row r="12" spans="1:14" ht="43.5" customHeight="1" x14ac:dyDescent="0.25">
      <c r="A12" s="631">
        <v>8</v>
      </c>
      <c r="B12" s="632" t="s">
        <v>864</v>
      </c>
      <c r="C12" s="633" t="s">
        <v>874</v>
      </c>
      <c r="D12" s="634" t="s">
        <v>632</v>
      </c>
      <c r="E12" s="635">
        <f>ROUND(IF($B$29=$B$25,QUANTITATIVOS!G15,IF($B$29=$B$26,QUANTITATIVOS!I15,IF($B$29=$B$27,QUANTITATIVOS!K15*QUANTITATIVOS!C15,IF(,EDITAL!$B$29=$B$28,QUANTITATIVOS!J15*QUANTITATIVOS!C15)))),2)</f>
        <v>302.33999999999997</v>
      </c>
      <c r="F12" s="636">
        <f>QUANTITATIVOS!D15</f>
        <v>0.43682333156778591</v>
      </c>
      <c r="G12" s="637">
        <f>IF($D$29=$D$26,$E$26,IF($D$29=$D$27,QUANTITATIVOS!D15,IF($D$29=$D$28,QUANTITATIVOS!E15)))</f>
        <v>0.30577633209745014</v>
      </c>
      <c r="H12" s="635">
        <f t="shared" si="1"/>
        <v>209.8915837536569</v>
      </c>
      <c r="I12" s="638">
        <f>IF(D12='PARÂMETROS - MESA'!$J$8,'CALCULO PREÇO UNITÁRIO'!$D$20,IF(EDITAL!D12='PARÂMETROS - MESA'!$J$7,'CALCULO PREÇO UNITÁRIO'!$D$12))</f>
        <v>268.68153321584407</v>
      </c>
      <c r="J12" s="639">
        <f t="shared" si="0"/>
        <v>56393.992532034288</v>
      </c>
      <c r="K12" s="640">
        <f t="shared" si="2"/>
        <v>676727.91038441146</v>
      </c>
      <c r="L12" s="337"/>
      <c r="M12" s="337"/>
      <c r="N12" s="337"/>
    </row>
    <row r="13" spans="1:14" ht="43.5" customHeight="1" x14ac:dyDescent="0.25">
      <c r="A13" s="631">
        <v>9</v>
      </c>
      <c r="B13" s="632" t="s">
        <v>865</v>
      </c>
      <c r="C13" s="633" t="s">
        <v>880</v>
      </c>
      <c r="D13" s="634" t="s">
        <v>839</v>
      </c>
      <c r="E13" s="635">
        <f>ROUND(IF($B$29=$B$25,QUANTITATIVOS!G16,IF($B$29=$B$26,QUANTITATIVOS!I16,IF($B$29=$B$27,QUANTITATIVOS!K16*QUANTITATIVOS!C16,IF(,EDITAL!$B$29=$B$28,QUANTITATIVOS!J16*QUANTITATIVOS!C16)))),2)</f>
        <v>205.6</v>
      </c>
      <c r="F13" s="636">
        <f>QUANTITATIVOS!D16</f>
        <v>0.33814567083753388</v>
      </c>
      <c r="G13" s="637">
        <f>IF($D$29=$D$26,$E$26,IF($D$29=$D$27,QUANTITATIVOS!D16,IF($D$29=$D$28,QUANTITATIVOS!E16)))</f>
        <v>0.23670196958627371</v>
      </c>
      <c r="H13" s="635">
        <f t="shared" si="1"/>
        <v>156.93407505306212</v>
      </c>
      <c r="I13" s="638">
        <f>IF(D13='PARÂMETROS - MESA'!$J$8,'CALCULO PREÇO UNITÁRIO'!$D$20,IF(EDITAL!D13='PARÂMETROS - MESA'!$J$7,'CALCULO PREÇO UNITÁRIO'!$D$12))</f>
        <v>242.94883260461646</v>
      </c>
      <c r="J13" s="639">
        <f t="shared" si="0"/>
        <v>38126.950330026702</v>
      </c>
      <c r="K13" s="640">
        <f t="shared" si="2"/>
        <v>457523.4039603204</v>
      </c>
      <c r="L13" s="337"/>
      <c r="M13" s="337"/>
      <c r="N13" s="337"/>
    </row>
    <row r="14" spans="1:14" ht="43.5" customHeight="1" x14ac:dyDescent="0.25">
      <c r="A14" s="631">
        <v>10</v>
      </c>
      <c r="B14" s="632" t="s">
        <v>866</v>
      </c>
      <c r="C14" s="633" t="s">
        <v>878</v>
      </c>
      <c r="D14" s="634" t="s">
        <v>839</v>
      </c>
      <c r="E14" s="635">
        <f>ROUND(IF($B$29=$B$25,QUANTITATIVOS!G17,IF($B$29=$B$26,QUANTITATIVOS!I17,IF($B$29=$B$27,QUANTITATIVOS!K17*QUANTITATIVOS!C17,IF(,EDITAL!$B$29=$B$28,QUANTITATIVOS!J17*QUANTITATIVOS!C17)))),2)</f>
        <v>141.80000000000001</v>
      </c>
      <c r="F14" s="636">
        <f>QUANTITATIVOS!D17</f>
        <v>0.52920363870986808</v>
      </c>
      <c r="G14" s="637">
        <f>IF($D$29=$D$26,$E$26,IF($D$29=$D$27,QUANTITATIVOS!D17,IF($D$29=$D$28,QUANTITATIVOS!E17)))</f>
        <v>0.37044254709690766</v>
      </c>
      <c r="H14" s="635">
        <f t="shared" si="1"/>
        <v>89.271246821658494</v>
      </c>
      <c r="I14" s="638">
        <f>IF(D14='PARÂMETROS - MESA'!$J$8,'CALCULO PREÇO UNITÁRIO'!$D$20,IF(EDITAL!D14='PARÂMETROS - MESA'!$J$7,'CALCULO PREÇO UNITÁRIO'!$D$12))</f>
        <v>242.94883260461646</v>
      </c>
      <c r="J14" s="639">
        <f t="shared" si="0"/>
        <v>21688.345200480508</v>
      </c>
      <c r="K14" s="640">
        <f t="shared" si="2"/>
        <v>260260.14240576609</v>
      </c>
      <c r="L14" s="337"/>
      <c r="M14" s="337"/>
      <c r="N14" s="337"/>
    </row>
    <row r="15" spans="1:14" ht="43.5" customHeight="1" x14ac:dyDescent="0.25">
      <c r="A15" s="631">
        <v>11</v>
      </c>
      <c r="B15" s="632" t="s">
        <v>866</v>
      </c>
      <c r="C15" s="633" t="s">
        <v>882</v>
      </c>
      <c r="D15" s="634" t="s">
        <v>839</v>
      </c>
      <c r="E15" s="635">
        <f>ROUND(IF($B$29=$B$25,QUANTITATIVOS!G18,IF($B$29=$B$26,QUANTITATIVOS!I18,IF($B$29=$B$27,QUANTITATIVOS!K18*QUANTITATIVOS!C18,IF(,EDITAL!$B$29=$B$28,QUANTITATIVOS!J18*QUANTITATIVOS!C18)))),2)</f>
        <v>89.36</v>
      </c>
      <c r="F15" s="636">
        <f>QUANTITATIVOS!D18</f>
        <v>0.3093228372129479</v>
      </c>
      <c r="G15" s="637">
        <f>IF($D$29=$D$26,$E$26,IF($D$29=$D$27,QUANTITATIVOS!D18,IF($D$29=$D$28,QUANTITATIVOS!E18)))</f>
        <v>0.21652598604906351</v>
      </c>
      <c r="H15" s="635">
        <f t="shared" si="1"/>
        <v>70.011237886655692</v>
      </c>
      <c r="I15" s="638">
        <f>IF(D15='PARÂMETROS - MESA'!$J$8,'CALCULO PREÇO UNITÁRIO'!$D$20,IF(EDITAL!D15='PARÂMETROS - MESA'!$J$7,'CALCULO PREÇO UNITÁRIO'!$D$12))</f>
        <v>242.94883260461646</v>
      </c>
      <c r="J15" s="639">
        <f t="shared" si="0"/>
        <v>17009.148513767097</v>
      </c>
      <c r="K15" s="640">
        <f t="shared" si="2"/>
        <v>204109.78216520516</v>
      </c>
      <c r="L15" s="337"/>
      <c r="M15" s="337"/>
      <c r="N15" s="337"/>
    </row>
    <row r="16" spans="1:14" ht="43.5" customHeight="1" x14ac:dyDescent="0.25">
      <c r="A16" s="631">
        <v>12</v>
      </c>
      <c r="B16" s="632" t="s">
        <v>866</v>
      </c>
      <c r="C16" s="633" t="s">
        <v>875</v>
      </c>
      <c r="D16" s="634" t="s">
        <v>839</v>
      </c>
      <c r="E16" s="635">
        <f>ROUND(IF($B$29=$B$25,QUANTITATIVOS!G19,IF($B$29=$B$26,QUANTITATIVOS!I19,IF($B$29=$B$27,QUANTITATIVOS!K19*QUANTITATIVOS!C19,IF(,EDITAL!$B$29=$B$28,QUANTITATIVOS!J19*QUANTITATIVOS!C19)))),2)</f>
        <v>99.4</v>
      </c>
      <c r="F16" s="636">
        <f>QUANTITATIVOS!D19</f>
        <v>0.29799956574567366</v>
      </c>
      <c r="G16" s="637">
        <f>IF($D$29=$D$26,$E$26,IF($D$29=$D$27,QUANTITATIVOS!D19,IF($D$29=$D$28,QUANTITATIVOS!E19)))</f>
        <v>0.20859969602197154</v>
      </c>
      <c r="H16" s="635">
        <f t="shared" si="1"/>
        <v>78.665190215416033</v>
      </c>
      <c r="I16" s="638">
        <f>IF(D16='PARÂMETROS - MESA'!$J$8,'CALCULO PREÇO UNITÁRIO'!$D$20,IF(EDITAL!D16='PARÂMETROS - MESA'!$J$7,'CALCULO PREÇO UNITÁRIO'!$D$12))</f>
        <v>242.94883260461646</v>
      </c>
      <c r="J16" s="639">
        <f t="shared" si="0"/>
        <v>19111.616129455422</v>
      </c>
      <c r="K16" s="640">
        <f t="shared" si="2"/>
        <v>229339.39355346508</v>
      </c>
      <c r="L16" s="337"/>
      <c r="M16" s="337"/>
      <c r="N16" s="337"/>
    </row>
    <row r="17" spans="1:14" ht="43.5" customHeight="1" x14ac:dyDescent="0.25">
      <c r="A17" s="631">
        <v>13</v>
      </c>
      <c r="B17" s="632" t="s">
        <v>866</v>
      </c>
      <c r="C17" s="633" t="s">
        <v>876</v>
      </c>
      <c r="D17" s="634" t="s">
        <v>839</v>
      </c>
      <c r="E17" s="635">
        <f>ROUND(IF($B$29=$B$25,QUANTITATIVOS!G20,IF($B$29=$B$26,QUANTITATIVOS!I20,IF($B$29=$B$27,QUANTITATIVOS!K20*QUANTITATIVOS!C20,IF(,EDITAL!$B$29=$B$28,QUANTITATIVOS!J20*QUANTITATIVOS!C20)))),2)</f>
        <v>92.02</v>
      </c>
      <c r="F17" s="636">
        <f>QUANTITATIVOS!D20</f>
        <v>0.27935831681335432</v>
      </c>
      <c r="G17" s="637">
        <f>IF($D$29=$D$26,$E$26,IF($D$29=$D$27,QUANTITATIVOS!D20,IF($D$29=$D$28,QUANTITATIVOS!E20)))</f>
        <v>0.19555082176934802</v>
      </c>
      <c r="H17" s="635">
        <f t="shared" si="1"/>
        <v>74.025413380784599</v>
      </c>
      <c r="I17" s="638">
        <f>IF(D17='PARÂMETROS - MESA'!$J$8,'CALCULO PREÇO UNITÁRIO'!$D$20,IF(EDITAL!D17='PARÂMETROS - MESA'!$J$7,'CALCULO PREÇO UNITÁRIO'!$D$12))</f>
        <v>242.94883260461646</v>
      </c>
      <c r="J17" s="639">
        <f t="shared" si="0"/>
        <v>17984.387763935774</v>
      </c>
      <c r="K17" s="640">
        <f t="shared" si="2"/>
        <v>215812.65316722929</v>
      </c>
      <c r="L17" s="337"/>
      <c r="M17" s="337"/>
      <c r="N17" s="337"/>
    </row>
    <row r="18" spans="1:14" ht="43.5" customHeight="1" x14ac:dyDescent="0.25">
      <c r="A18" s="631">
        <v>14</v>
      </c>
      <c r="B18" s="632" t="s">
        <v>866</v>
      </c>
      <c r="C18" s="633" t="s">
        <v>877</v>
      </c>
      <c r="D18" s="634" t="s">
        <v>839</v>
      </c>
      <c r="E18" s="635">
        <f>ROUND(IF($B$29=$B$25,QUANTITATIVOS!G21,IF($B$29=$B$26,QUANTITATIVOS!I21,IF($B$29=$B$27,QUANTITATIVOS!K21*QUANTITATIVOS!C21,IF(,EDITAL!$B$29=$B$28,QUANTITATIVOS!J21*QUANTITATIVOS!C21)))),2)</f>
        <v>64.06</v>
      </c>
      <c r="F18" s="636">
        <f>QUANTITATIVOS!D21</f>
        <v>0.46695934734268413</v>
      </c>
      <c r="G18" s="637">
        <f>IF($D$29=$D$26,$E$26,IF($D$29=$D$27,QUANTITATIVOS!D21,IF($D$29=$D$28,QUANTITATIVOS!E21)))</f>
        <v>0.32687154313987887</v>
      </c>
      <c r="H18" s="635">
        <f t="shared" si="1"/>
        <v>43.120608946459363</v>
      </c>
      <c r="I18" s="638">
        <f>IF(D18='PARÂMETROS - MESA'!$J$8,'CALCULO PREÇO UNITÁRIO'!$D$20,IF(EDITAL!D18='PARÂMETROS - MESA'!$J$7,'CALCULO PREÇO UNITÁRIO'!$D$12))</f>
        <v>242.94883260461646</v>
      </c>
      <c r="J18" s="639">
        <f t="shared" si="0"/>
        <v>10476.101604742482</v>
      </c>
      <c r="K18" s="640">
        <f t="shared" si="2"/>
        <v>125713.21925690978</v>
      </c>
      <c r="L18" s="337"/>
      <c r="M18" s="337"/>
      <c r="N18" s="337"/>
    </row>
    <row r="19" spans="1:14" ht="43.5" customHeight="1" x14ac:dyDescent="0.25">
      <c r="A19" s="631">
        <v>15</v>
      </c>
      <c r="B19" s="632" t="s">
        <v>866</v>
      </c>
      <c r="C19" s="633" t="s">
        <v>879</v>
      </c>
      <c r="D19" s="634" t="s">
        <v>839</v>
      </c>
      <c r="E19" s="635">
        <f>ROUND(IF($B$29=$B$25,QUANTITATIVOS!G22,IF($B$29=$B$26,QUANTITATIVOS!I22,IF($B$29=$B$27,QUANTITATIVOS!K22*QUANTITATIVOS!C22,IF(,EDITAL!$B$29=$B$28,QUANTITATIVOS!J22*QUANTITATIVOS!C22)))),2)</f>
        <v>129.19</v>
      </c>
      <c r="F19" s="636">
        <f>QUANTITATIVOS!D22</f>
        <v>0.44368416504445851</v>
      </c>
      <c r="G19" s="637">
        <f>IF($D$29=$D$26,$E$26,IF($D$29=$D$27,QUANTITATIVOS!D22,IF($D$29=$D$28,QUANTITATIVOS!E22)))</f>
        <v>0.31057891553112094</v>
      </c>
      <c r="H19" s="635">
        <f t="shared" si="1"/>
        <v>89.066309902534485</v>
      </c>
      <c r="I19" s="638">
        <f>IF(D19='PARÂMETROS - MESA'!$J$8,'CALCULO PREÇO UNITÁRIO'!$D$20,IF(EDITAL!D19='PARÂMETROS - MESA'!$J$7,'CALCULO PREÇO UNITÁRIO'!$D$12))</f>
        <v>242.94883260461646</v>
      </c>
      <c r="J19" s="639">
        <f t="shared" si="0"/>
        <v>21638.556015221744</v>
      </c>
      <c r="K19" s="640">
        <f t="shared" si="2"/>
        <v>259662.67218266093</v>
      </c>
      <c r="L19" s="337"/>
      <c r="M19" s="337"/>
      <c r="N19" s="337"/>
    </row>
    <row r="20" spans="1:14" ht="43.5" customHeight="1" x14ac:dyDescent="0.25">
      <c r="A20" s="641">
        <v>16</v>
      </c>
      <c r="B20" s="642" t="s">
        <v>866</v>
      </c>
      <c r="C20" s="643" t="s">
        <v>881</v>
      </c>
      <c r="D20" s="644" t="s">
        <v>839</v>
      </c>
      <c r="E20" s="645">
        <f>ROUND(IF($B$29=$B$25,QUANTITATIVOS!G23,IF($B$29=$B$26,QUANTITATIVOS!I23,IF($B$29=$B$27,QUANTITATIVOS!K23*QUANTITATIVOS!C23,IF(,EDITAL!$B$29=$B$28,QUANTITATIVOS!J23*QUANTITATIVOS!C23)))),2)</f>
        <v>141.88</v>
      </c>
      <c r="F20" s="646">
        <f>QUANTITATIVOS!D23</f>
        <v>0.66403439030852995</v>
      </c>
      <c r="G20" s="647">
        <f>IF($D$29=$D$26,$E$26,IF($D$29=$D$27,QUANTITATIVOS!D23,IF($D$29=$D$28,QUANTITATIVOS!E23)))</f>
        <v>0.46482407321597091</v>
      </c>
      <c r="H20" s="645">
        <f t="shared" si="1"/>
        <v>75.93076049211804</v>
      </c>
      <c r="I20" s="648">
        <f>IF(D20='PARÂMETROS - MESA'!$J$8,'CALCULO PREÇO UNITÁRIO'!$D$20,IF(EDITAL!D20='PARÂMETROS - MESA'!$J$7,'CALCULO PREÇO UNITÁRIO'!$D$12))</f>
        <v>242.94883260461646</v>
      </c>
      <c r="J20" s="649">
        <f t="shared" si="0"/>
        <v>18447.289620340809</v>
      </c>
      <c r="K20" s="650">
        <f t="shared" si="2"/>
        <v>221367.47544408971</v>
      </c>
      <c r="L20" s="337"/>
      <c r="M20" s="337"/>
      <c r="N20" s="337"/>
    </row>
    <row r="21" spans="1:14" x14ac:dyDescent="0.25">
      <c r="A21" s="686" t="s">
        <v>918</v>
      </c>
      <c r="B21" s="595" t="s">
        <v>916</v>
      </c>
      <c r="C21" s="397"/>
      <c r="D21" s="596">
        <f>COUNTIF($D$5:$D$20,"="&amp;'PARÂMETROS - MESA'!J7)</f>
        <v>3</v>
      </c>
      <c r="E21" s="597">
        <f>SUMIFS($E$5:$E$20,$D$5:$D$20,"="&amp;'PARÂMETROS - MESA'!J7)/D21</f>
        <v>129.90333333333334</v>
      </c>
      <c r="F21" s="598">
        <f>SUMIFS($F$5:$F$20,$D$5:$D$20,"="&amp;'PARÂMETROS - MESA'!J7)/D21</f>
        <v>0.28387484258558543</v>
      </c>
      <c r="G21" s="598">
        <f>SUMIFS($G$5:$G$20,$D$5:$D$20,"="&amp;'PARÂMETROS - MESA'!J7)/D21</f>
        <v>0.1987123898099098</v>
      </c>
      <c r="H21" s="597">
        <f>E21*(1-G21)</f>
        <v>104.08993152239336</v>
      </c>
      <c r="I21" s="314"/>
      <c r="J21" s="599">
        <f>SUMIFS($J$5:$J$20,$D$5:$D$20,"="&amp;'PARÂMETROS - MESA'!J7)/D21</f>
        <v>25488.261130107072</v>
      </c>
      <c r="K21" s="600">
        <f>SUMIFS($K$5:$K$20,$D$5:$D$20,"="&amp;'PARÂMETROS - MESA'!J7)/D21</f>
        <v>305859.13356128486</v>
      </c>
      <c r="M21" s="337"/>
      <c r="N21" s="322"/>
    </row>
    <row r="22" spans="1:14" x14ac:dyDescent="0.25">
      <c r="A22" s="686"/>
      <c r="B22" s="595" t="s">
        <v>917</v>
      </c>
      <c r="C22" s="397"/>
      <c r="D22" s="596">
        <f>COUNTIF($D$5:$D$20,"="&amp;'PARÂMETROS - MESA'!J8)</f>
        <v>13</v>
      </c>
      <c r="E22" s="597">
        <f>SUMIFS($E$5:$E$20,$D$5:$D$20,"="&amp;'PARÂMETROS - MESA'!J8)/D22</f>
        <v>100.83615384615383</v>
      </c>
      <c r="F22" s="598">
        <f>SUMIFS($F$5:$F$20,$D$5:$D$20,"="&amp;'PARÂMETROS - MESA'!J8)/D22</f>
        <v>0.43189387672753282</v>
      </c>
      <c r="G22" s="598">
        <f>SUMIFS($G$5:$G$20,$D$5:$D$20,"="&amp;'PARÂMETROS - MESA'!J8)/D22</f>
        <v>0.30232571370927297</v>
      </c>
      <c r="H22" s="597">
        <f>E22*(1-G22)</f>
        <v>70.350791666917331</v>
      </c>
      <c r="I22" s="314"/>
      <c r="J22" s="599">
        <f>SUMIFS($J$5:$J$20,$D$5:$D$20,"="&amp;'PARÂMETROS - MESA'!J8)/D22</f>
        <v>17030.976538473351</v>
      </c>
      <c r="K22" s="600">
        <f>SUMIFS($K$5:$K$20,$D$5:$D$20,"="&amp;'PARÂMETROS - MESA'!J8)/D22</f>
        <v>204371.7184616802</v>
      </c>
      <c r="M22" s="337"/>
      <c r="N22" s="322"/>
    </row>
    <row r="23" spans="1:14" x14ac:dyDescent="0.25">
      <c r="A23" s="314" t="s">
        <v>540</v>
      </c>
      <c r="B23" s="595"/>
      <c r="C23" s="397"/>
      <c r="D23" s="596">
        <f>SUM(D21:D22)</f>
        <v>16</v>
      </c>
      <c r="E23" s="326">
        <f>SUM(E5:E20)</f>
        <v>1700.58</v>
      </c>
      <c r="F23" s="604">
        <f>AVERAGE(F5:F20)</f>
        <v>0.4041403078259177</v>
      </c>
      <c r="G23" s="604">
        <f>AVERAGE(G5:G20)</f>
        <v>0.28289821547814242</v>
      </c>
      <c r="H23" s="326">
        <f>SUM(H5:H20)</f>
        <v>1195.9067199720575</v>
      </c>
      <c r="I23" s="314"/>
      <c r="J23" s="599">
        <f>SUM(J5:J20)</f>
        <v>297867.4783904748</v>
      </c>
      <c r="K23" s="599">
        <f>SUM(K5:K20)</f>
        <v>3574409.7406856972</v>
      </c>
      <c r="M23" s="337"/>
      <c r="N23" s="322"/>
    </row>
    <row r="24" spans="1:14" x14ac:dyDescent="0.25">
      <c r="B24" s="98"/>
      <c r="F24" s="322"/>
      <c r="G24" s="322"/>
      <c r="H24" s="593"/>
      <c r="L24" s="562"/>
    </row>
    <row r="25" spans="1:14" x14ac:dyDescent="0.25">
      <c r="A25" s="682" t="s">
        <v>909</v>
      </c>
      <c r="B25" s="587" t="s">
        <v>904</v>
      </c>
      <c r="C25" s="683" t="s">
        <v>912</v>
      </c>
      <c r="D25" s="493" t="s">
        <v>915</v>
      </c>
      <c r="E25" s="315" t="s">
        <v>543</v>
      </c>
      <c r="H25" s="322"/>
      <c r="K25" s="337"/>
      <c r="L25" s="601"/>
    </row>
    <row r="26" spans="1:14" x14ac:dyDescent="0.25">
      <c r="A26" s="682"/>
      <c r="B26" s="588" t="s">
        <v>905</v>
      </c>
      <c r="C26" s="683"/>
      <c r="D26" s="620" t="s">
        <v>913</v>
      </c>
      <c r="E26" s="617">
        <v>1</v>
      </c>
      <c r="K26" s="656"/>
      <c r="L26" s="658"/>
      <c r="M26" s="657"/>
    </row>
    <row r="27" spans="1:14" x14ac:dyDescent="0.25">
      <c r="A27" s="682"/>
      <c r="B27" s="588" t="s">
        <v>906</v>
      </c>
      <c r="C27" s="683"/>
      <c r="D27" s="619" t="s">
        <v>914</v>
      </c>
      <c r="E27" s="453"/>
      <c r="K27" s="322"/>
    </row>
    <row r="28" spans="1:14" x14ac:dyDescent="0.25">
      <c r="A28" s="682"/>
      <c r="B28" s="589" t="s">
        <v>907</v>
      </c>
      <c r="C28" s="683"/>
      <c r="D28" s="618" t="s">
        <v>886</v>
      </c>
      <c r="E28" s="617">
        <v>-0.3</v>
      </c>
      <c r="K28" s="322"/>
      <c r="L28" s="656"/>
    </row>
    <row r="29" spans="1:14" x14ac:dyDescent="0.25">
      <c r="A29" s="454" t="s">
        <v>908</v>
      </c>
      <c r="B29" s="590" t="s">
        <v>905</v>
      </c>
      <c r="C29" s="493" t="s">
        <v>908</v>
      </c>
      <c r="D29" s="684" t="s">
        <v>886</v>
      </c>
      <c r="E29" s="685"/>
    </row>
  </sheetData>
  <mergeCells count="14">
    <mergeCell ref="J3:K3"/>
    <mergeCell ref="B1:J1"/>
    <mergeCell ref="A25:A28"/>
    <mergeCell ref="C25:C28"/>
    <mergeCell ref="D29:E29"/>
    <mergeCell ref="A21:A22"/>
    <mergeCell ref="A3:A4"/>
    <mergeCell ref="B3:B4"/>
    <mergeCell ref="C3:C4"/>
    <mergeCell ref="D3:D4"/>
    <mergeCell ref="I3:I4"/>
    <mergeCell ref="E3:E4"/>
    <mergeCell ref="F3:G3"/>
    <mergeCell ref="H3:H4"/>
  </mergeCells>
  <conditionalFormatting sqref="D29:E29">
    <cfRule type="cellIs" dxfId="41" priority="1" operator="equal">
      <formula>$D$28</formula>
    </cfRule>
    <cfRule type="cellIs" dxfId="40" priority="2" operator="equal">
      <formula>$D$27</formula>
    </cfRule>
    <cfRule type="cellIs" dxfId="39" priority="3" operator="equal">
      <formula>$D$26</formula>
    </cfRule>
  </conditionalFormatting>
  <dataValidations count="2">
    <dataValidation type="list" allowBlank="1" showInputMessage="1" showErrorMessage="1" sqref="B29">
      <formula1>$B$25:$B$28</formula1>
    </dataValidation>
    <dataValidation type="list" allowBlank="1" showInputMessage="1" showErrorMessage="1" sqref="D29:E29">
      <formula1>$D$26:$D$28</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'PARÂMETROS - MESA'!$J$7:$J$8</xm:f>
          </x14:formula1>
          <xm:sqref>D5:D20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3"/>
  <dimension ref="A1:N42"/>
  <sheetViews>
    <sheetView workbookViewId="0">
      <selection activeCell="K8" sqref="K8"/>
    </sheetView>
  </sheetViews>
  <sheetFormatPr defaultRowHeight="15" x14ac:dyDescent="0.25"/>
  <cols>
    <col min="1" max="1" width="11.7109375" customWidth="1"/>
    <col min="2" max="2" width="46.5703125" customWidth="1"/>
    <col min="3" max="5" width="14.28515625" customWidth="1"/>
    <col min="6" max="6" width="14" customWidth="1"/>
    <col min="7" max="7" width="7.28515625" customWidth="1"/>
    <col min="8" max="12" width="9.140625" style="660" customWidth="1"/>
    <col min="13" max="13" width="9.140625" customWidth="1"/>
  </cols>
  <sheetData>
    <row r="1" spans="1:13" ht="71.25" customHeight="1" x14ac:dyDescent="0.25"/>
    <row r="2" spans="1:13" x14ac:dyDescent="0.25">
      <c r="H2" s="679"/>
      <c r="I2" s="679"/>
      <c r="J2" s="679"/>
      <c r="K2" s="679"/>
      <c r="L2" s="679"/>
    </row>
    <row r="3" spans="1:13" ht="15.75" x14ac:dyDescent="0.25">
      <c r="A3" s="697" t="s">
        <v>942</v>
      </c>
      <c r="B3" s="697"/>
      <c r="C3" s="697"/>
      <c r="D3" s="697"/>
      <c r="E3" s="697"/>
      <c r="F3" s="697"/>
      <c r="H3" s="661"/>
      <c r="I3" s="661"/>
      <c r="J3" s="662"/>
      <c r="K3" s="662"/>
      <c r="L3" s="663"/>
    </row>
    <row r="4" spans="1:13" x14ac:dyDescent="0.25">
      <c r="E4" s="102"/>
      <c r="H4" s="664"/>
      <c r="I4" s="664"/>
      <c r="J4" s="664"/>
      <c r="K4" s="664"/>
      <c r="L4" s="664"/>
    </row>
    <row r="5" spans="1:13" ht="15.75" thickBot="1" x14ac:dyDescent="0.3">
      <c r="E5" s="337"/>
      <c r="J5" s="665"/>
      <c r="K5" s="665"/>
      <c r="L5" s="666"/>
    </row>
    <row r="6" spans="1:13" x14ac:dyDescent="0.25">
      <c r="B6" s="689" t="s">
        <v>955</v>
      </c>
      <c r="C6" s="690"/>
      <c r="D6" s="691"/>
      <c r="E6" s="322"/>
      <c r="J6" s="695"/>
      <c r="K6" s="695"/>
    </row>
    <row r="7" spans="1:13" x14ac:dyDescent="0.25">
      <c r="B7" s="606" t="s">
        <v>542</v>
      </c>
      <c r="C7" s="569" t="s">
        <v>28</v>
      </c>
      <c r="D7" s="607" t="s">
        <v>841</v>
      </c>
      <c r="J7" s="358"/>
      <c r="K7" s="358"/>
      <c r="L7" s="667"/>
    </row>
    <row r="8" spans="1:13" x14ac:dyDescent="0.25">
      <c r="B8" s="602" t="s">
        <v>840</v>
      </c>
      <c r="C8" s="327" t="s">
        <v>543</v>
      </c>
      <c r="D8" s="603">
        <f>'MAT SER E DESP - EST'!$G$221</f>
        <v>17017.207240157477</v>
      </c>
      <c r="H8" s="664"/>
      <c r="I8" s="664"/>
      <c r="J8" s="664"/>
      <c r="K8" s="664"/>
      <c r="L8" s="664"/>
    </row>
    <row r="9" spans="1:13" x14ac:dyDescent="0.25">
      <c r="B9" s="602" t="s">
        <v>855</v>
      </c>
      <c r="C9" s="327" t="s">
        <v>842</v>
      </c>
      <c r="D9" s="403">
        <f>'PARÂMETROS - MESA'!D8</f>
        <v>106.28625</v>
      </c>
      <c r="E9" s="605"/>
      <c r="J9" s="665"/>
      <c r="K9" s="665"/>
      <c r="L9" s="666"/>
      <c r="M9" s="322"/>
    </row>
    <row r="10" spans="1:13" x14ac:dyDescent="0.25">
      <c r="B10" s="602" t="s">
        <v>856</v>
      </c>
      <c r="C10" s="327" t="s">
        <v>487</v>
      </c>
      <c r="D10" s="610">
        <f>'PARÂMETROS - MESA'!D9</f>
        <v>0.40410000000000001</v>
      </c>
      <c r="J10" s="668"/>
      <c r="K10" s="669"/>
    </row>
    <row r="11" spans="1:13" x14ac:dyDescent="0.25">
      <c r="B11" s="602" t="s">
        <v>919</v>
      </c>
      <c r="C11" s="327" t="s">
        <v>842</v>
      </c>
      <c r="D11" s="611">
        <f>D9*(1-D10)</f>
        <v>63.335976374999994</v>
      </c>
      <c r="J11" s="666"/>
      <c r="K11" s="666"/>
      <c r="L11" s="666"/>
    </row>
    <row r="12" spans="1:13" ht="15.75" thickBot="1" x14ac:dyDescent="0.3">
      <c r="B12" s="608" t="s">
        <v>920</v>
      </c>
      <c r="C12" s="609" t="s">
        <v>842</v>
      </c>
      <c r="D12" s="655">
        <f>D8/D11</f>
        <v>268.68153321584407</v>
      </c>
      <c r="J12" s="666"/>
      <c r="K12" s="666"/>
      <c r="L12" s="666"/>
    </row>
    <row r="13" spans="1:13" ht="15.75" thickBot="1" x14ac:dyDescent="0.3">
      <c r="J13" s="696"/>
      <c r="K13" s="696"/>
    </row>
    <row r="14" spans="1:13" x14ac:dyDescent="0.25">
      <c r="B14" s="692" t="s">
        <v>954</v>
      </c>
      <c r="C14" s="693"/>
      <c r="D14" s="694"/>
      <c r="E14" s="39"/>
      <c r="J14" s="670"/>
      <c r="K14" s="671"/>
    </row>
    <row r="15" spans="1:13" x14ac:dyDescent="0.25">
      <c r="B15" s="606" t="s">
        <v>542</v>
      </c>
      <c r="C15" s="569" t="s">
        <v>28</v>
      </c>
      <c r="D15" s="607" t="s">
        <v>841</v>
      </c>
      <c r="E15" s="102"/>
      <c r="I15" s="358"/>
      <c r="J15" s="670"/>
      <c r="K15" s="672"/>
      <c r="L15" s="671"/>
    </row>
    <row r="16" spans="1:13" x14ac:dyDescent="0.25">
      <c r="B16" s="602" t="s">
        <v>840</v>
      </c>
      <c r="C16" s="327" t="s">
        <v>543</v>
      </c>
      <c r="D16" s="603">
        <f>'MAT SER E DESP - MESA'!G221</f>
        <v>15387.401522179816</v>
      </c>
      <c r="E16" s="337"/>
      <c r="J16" s="665"/>
      <c r="K16" s="358"/>
      <c r="L16" s="667"/>
    </row>
    <row r="17" spans="2:14" x14ac:dyDescent="0.25">
      <c r="B17" s="602" t="s">
        <v>855</v>
      </c>
      <c r="C17" s="327" t="s">
        <v>842</v>
      </c>
      <c r="D17" s="403">
        <f>D9</f>
        <v>106.28625</v>
      </c>
      <c r="E17" s="322"/>
      <c r="J17" s="665"/>
      <c r="K17" s="358"/>
      <c r="L17" s="667"/>
      <c r="M17" s="337"/>
    </row>
    <row r="18" spans="2:14" x14ac:dyDescent="0.25">
      <c r="B18" s="602" t="s">
        <v>856</v>
      </c>
      <c r="C18" s="327" t="s">
        <v>487</v>
      </c>
      <c r="D18" s="610">
        <f>'PARÂMETROS - MESA'!D9</f>
        <v>0.40410000000000001</v>
      </c>
      <c r="E18" s="605"/>
      <c r="J18" s="665"/>
      <c r="K18" s="667"/>
      <c r="L18" s="667"/>
    </row>
    <row r="19" spans="2:14" x14ac:dyDescent="0.25">
      <c r="B19" s="602" t="s">
        <v>919</v>
      </c>
      <c r="C19" s="327" t="s">
        <v>842</v>
      </c>
      <c r="D19" s="611">
        <f>D17*(1-D18)</f>
        <v>63.335976374999994</v>
      </c>
      <c r="H19" s="673"/>
      <c r="I19" s="673"/>
      <c r="J19" s="673"/>
      <c r="K19" s="673"/>
      <c r="L19" s="673"/>
    </row>
    <row r="20" spans="2:14" ht="15.75" thickBot="1" x14ac:dyDescent="0.3">
      <c r="B20" s="608" t="s">
        <v>920</v>
      </c>
      <c r="C20" s="609" t="s">
        <v>842</v>
      </c>
      <c r="D20" s="655">
        <f>D16/D19</f>
        <v>242.94883260461646</v>
      </c>
      <c r="H20" s="661"/>
      <c r="I20" s="661"/>
      <c r="J20" s="674"/>
      <c r="K20" s="674"/>
      <c r="L20" s="674"/>
    </row>
    <row r="21" spans="2:14" x14ac:dyDescent="0.25">
      <c r="L21" s="667"/>
    </row>
    <row r="22" spans="2:14" x14ac:dyDescent="0.25">
      <c r="J22" s="358"/>
      <c r="K22" s="358"/>
    </row>
    <row r="23" spans="2:14" x14ac:dyDescent="0.25">
      <c r="H23" s="661"/>
      <c r="I23" s="661"/>
      <c r="J23" s="661"/>
      <c r="K23" s="674"/>
    </row>
    <row r="24" spans="2:14" x14ac:dyDescent="0.25">
      <c r="K24" s="675"/>
    </row>
    <row r="25" spans="2:14" x14ac:dyDescent="0.25">
      <c r="J25" s="675"/>
    </row>
    <row r="26" spans="2:14" x14ac:dyDescent="0.25">
      <c r="J26" s="676"/>
    </row>
    <row r="27" spans="2:14" x14ac:dyDescent="0.25">
      <c r="J27" s="675"/>
    </row>
    <row r="29" spans="2:14" x14ac:dyDescent="0.25">
      <c r="J29" s="675"/>
    </row>
    <row r="30" spans="2:14" x14ac:dyDescent="0.25">
      <c r="K30" s="675"/>
    </row>
    <row r="31" spans="2:14" x14ac:dyDescent="0.25">
      <c r="J31" s="675"/>
    </row>
    <row r="32" spans="2:14" x14ac:dyDescent="0.25">
      <c r="J32" s="677"/>
      <c r="K32" s="677"/>
      <c r="L32" s="677"/>
      <c r="M32" s="570"/>
      <c r="N32" s="570"/>
    </row>
    <row r="33" spans="10:11" x14ac:dyDescent="0.25">
      <c r="J33" s="675"/>
    </row>
    <row r="34" spans="10:11" x14ac:dyDescent="0.25">
      <c r="J34" s="675"/>
    </row>
    <row r="35" spans="10:11" x14ac:dyDescent="0.25">
      <c r="J35" s="675"/>
    </row>
    <row r="36" spans="10:11" x14ac:dyDescent="0.25">
      <c r="J36" s="675"/>
    </row>
    <row r="37" spans="10:11" x14ac:dyDescent="0.25">
      <c r="J37" s="675"/>
    </row>
    <row r="38" spans="10:11" x14ac:dyDescent="0.25">
      <c r="J38" s="676"/>
    </row>
    <row r="39" spans="10:11" x14ac:dyDescent="0.25">
      <c r="J39" s="678"/>
    </row>
    <row r="40" spans="10:11" x14ac:dyDescent="0.25">
      <c r="J40" s="676"/>
    </row>
    <row r="41" spans="10:11" x14ac:dyDescent="0.25">
      <c r="J41" s="675"/>
    </row>
    <row r="42" spans="10:11" x14ac:dyDescent="0.25">
      <c r="K42" s="675"/>
    </row>
  </sheetData>
  <mergeCells count="5">
    <mergeCell ref="B6:D6"/>
    <mergeCell ref="B14:D14"/>
    <mergeCell ref="J6:K6"/>
    <mergeCell ref="J13:K13"/>
    <mergeCell ref="A3:F3"/>
  </mergeCells>
  <conditionalFormatting sqref="L21">
    <cfRule type="cellIs" dxfId="38" priority="1" operator="greaterThan">
      <formula>0</formula>
    </cfRule>
    <cfRule type="cellIs" dxfId="37" priority="2" operator="lessThan">
      <formula>0</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workbookViewId="0">
      <selection activeCell="D18" sqref="D18"/>
    </sheetView>
  </sheetViews>
  <sheetFormatPr defaultRowHeight="15" x14ac:dyDescent="0.25"/>
  <cols>
    <col min="1" max="1" width="6.28515625" customWidth="1"/>
    <col min="2" max="2" width="17.85546875" customWidth="1"/>
    <col min="3" max="11" width="10" customWidth="1"/>
    <col min="12" max="12" width="11.140625" customWidth="1"/>
    <col min="13" max="13" width="9.5703125" bestFit="1" customWidth="1"/>
  </cols>
  <sheetData>
    <row r="1" spans="1:13" ht="59.25" customHeight="1" x14ac:dyDescent="0.25"/>
    <row r="3" spans="1:13" ht="15.75" x14ac:dyDescent="0.25">
      <c r="A3" s="697" t="s">
        <v>909</v>
      </c>
      <c r="B3" s="697"/>
      <c r="C3" s="697"/>
      <c r="D3" s="697"/>
      <c r="E3" s="697"/>
      <c r="F3" s="697"/>
      <c r="G3" s="697"/>
      <c r="H3" s="697"/>
      <c r="I3" s="697"/>
      <c r="J3" s="697"/>
      <c r="K3" s="697"/>
    </row>
    <row r="5" spans="1:13" ht="15" customHeight="1" x14ac:dyDescent="0.25">
      <c r="A5" s="683" t="s">
        <v>319</v>
      </c>
      <c r="B5" s="683" t="s">
        <v>914</v>
      </c>
      <c r="C5" s="684" t="s">
        <v>927</v>
      </c>
      <c r="D5" s="698"/>
      <c r="E5" s="685"/>
      <c r="F5" s="683" t="s">
        <v>923</v>
      </c>
      <c r="G5" s="683"/>
      <c r="H5" s="683"/>
      <c r="I5" s="683"/>
      <c r="J5" s="699" t="s">
        <v>933</v>
      </c>
      <c r="K5" s="700"/>
    </row>
    <row r="6" spans="1:13" ht="15.75" customHeight="1" x14ac:dyDescent="0.25">
      <c r="A6" s="683"/>
      <c r="B6" s="683"/>
      <c r="C6" s="493" t="s">
        <v>928</v>
      </c>
      <c r="D6" s="684" t="s">
        <v>912</v>
      </c>
      <c r="E6" s="685"/>
      <c r="F6" s="683" t="s">
        <v>924</v>
      </c>
      <c r="G6" s="683"/>
      <c r="H6" s="683" t="s">
        <v>925</v>
      </c>
      <c r="I6" s="683"/>
      <c r="J6" s="494" t="s">
        <v>926</v>
      </c>
      <c r="K6" s="494" t="s">
        <v>921</v>
      </c>
    </row>
    <row r="7" spans="1:13" ht="16.5" customHeight="1" x14ac:dyDescent="0.25">
      <c r="A7" s="683"/>
      <c r="B7" s="683"/>
      <c r="C7" s="613" t="s">
        <v>929</v>
      </c>
      <c r="D7" s="613" t="s">
        <v>930</v>
      </c>
      <c r="E7" s="613" t="s">
        <v>931</v>
      </c>
      <c r="F7" s="614" t="s">
        <v>932</v>
      </c>
      <c r="G7" s="614" t="s">
        <v>547</v>
      </c>
      <c r="H7" s="614" t="s">
        <v>932</v>
      </c>
      <c r="I7" s="614" t="s">
        <v>547</v>
      </c>
      <c r="J7" s="615" t="s">
        <v>934</v>
      </c>
      <c r="K7" s="615" t="s">
        <v>934</v>
      </c>
    </row>
    <row r="8" spans="1:13" x14ac:dyDescent="0.25">
      <c r="A8" s="580">
        <v>1</v>
      </c>
      <c r="B8" s="579" t="s">
        <v>900</v>
      </c>
      <c r="C8" s="575">
        <v>2.21</v>
      </c>
      <c r="D8" s="652">
        <v>0.41</v>
      </c>
      <c r="E8" s="576">
        <f>IF(D8*(1+EDITAL!$E$28)&gt;1,1,D8*(1+EDITAL!$E$28))</f>
        <v>0.28699999999999998</v>
      </c>
      <c r="F8" s="575">
        <v>50.5</v>
      </c>
      <c r="G8" s="575">
        <v>54.6</v>
      </c>
      <c r="H8" s="575">
        <f>(F8/$F$24)*$F$25</f>
        <v>61.922942039816071</v>
      </c>
      <c r="I8" s="575">
        <f>(G8/$G$24)*$G$25</f>
        <v>63.580110656130607</v>
      </c>
      <c r="J8" s="581">
        <v>23</v>
      </c>
      <c r="K8" s="331">
        <v>20</v>
      </c>
      <c r="L8" s="322"/>
      <c r="M8" s="322"/>
    </row>
    <row r="9" spans="1:13" x14ac:dyDescent="0.25">
      <c r="A9" s="332">
        <v>2</v>
      </c>
      <c r="B9" s="577" t="s">
        <v>892</v>
      </c>
      <c r="C9" s="582">
        <v>1.7868261024689598</v>
      </c>
      <c r="D9" s="653">
        <v>0.21189769501272859</v>
      </c>
      <c r="E9" s="583">
        <f>IF(D9*(1+EDITAL!$E$28)&gt;1,1,D9*(1+EDITAL!$E$28))</f>
        <v>0.14832838650891</v>
      </c>
      <c r="F9" s="582">
        <v>34.5</v>
      </c>
      <c r="G9" s="582">
        <v>35.409999999999997</v>
      </c>
      <c r="H9" s="582">
        <f t="shared" ref="H9:H23" si="0">(F9/$F$24)*$F$25</f>
        <v>42.303792086607018</v>
      </c>
      <c r="I9" s="582">
        <f t="shared" ref="I9:I23" si="1">(G9/$G$24)*$G$25</f>
        <v>41.233914255193859</v>
      </c>
      <c r="J9" s="584">
        <v>18</v>
      </c>
      <c r="K9" s="333">
        <v>14</v>
      </c>
      <c r="L9" s="322"/>
      <c r="M9" s="322"/>
    </row>
    <row r="10" spans="1:13" x14ac:dyDescent="0.25">
      <c r="A10" s="332">
        <v>3</v>
      </c>
      <c r="B10" s="577" t="s">
        <v>893</v>
      </c>
      <c r="C10" s="582">
        <v>3.7067320574162679</v>
      </c>
      <c r="D10" s="653">
        <v>0.20290350117624181</v>
      </c>
      <c r="E10" s="583">
        <f>IF(D10*(1+EDITAL!$E$28)&gt;1,1,D10*(1+EDITAL!$E$28))</f>
        <v>0.14203245082336927</v>
      </c>
      <c r="F10" s="582">
        <v>48</v>
      </c>
      <c r="G10" s="582">
        <v>39.619999999999997</v>
      </c>
      <c r="H10" s="582">
        <f t="shared" si="0"/>
        <v>58.857449859627152</v>
      </c>
      <c r="I10" s="582">
        <f t="shared" si="1"/>
        <v>46.136336706884514</v>
      </c>
      <c r="J10" s="584">
        <v>33</v>
      </c>
      <c r="K10" s="333">
        <v>20</v>
      </c>
      <c r="L10" s="322"/>
      <c r="M10" s="322"/>
    </row>
    <row r="11" spans="1:13" x14ac:dyDescent="0.25">
      <c r="A11" s="332">
        <v>4</v>
      </c>
      <c r="B11" s="577" t="s">
        <v>896</v>
      </c>
      <c r="C11" s="582">
        <v>2.9987299795572468</v>
      </c>
      <c r="D11" s="653">
        <v>0.52627423646349969</v>
      </c>
      <c r="E11" s="583">
        <f>IF(D11*(1+EDITAL!$E$28)&gt;1,1,D11*(1+EDITAL!$E$28))</f>
        <v>0.36839196552444975</v>
      </c>
      <c r="F11" s="582">
        <v>75</v>
      </c>
      <c r="G11" s="582">
        <v>76.81</v>
      </c>
      <c r="H11" s="582">
        <f t="shared" si="0"/>
        <v>91.964765405667436</v>
      </c>
      <c r="I11" s="582">
        <f t="shared" si="1"/>
        <v>89.443009148303886</v>
      </c>
      <c r="J11" s="584">
        <v>45</v>
      </c>
      <c r="K11" s="333">
        <v>25</v>
      </c>
      <c r="L11" s="322"/>
      <c r="M11" s="322"/>
    </row>
    <row r="12" spans="1:13" x14ac:dyDescent="0.25">
      <c r="A12" s="332">
        <v>5</v>
      </c>
      <c r="B12" s="577" t="s">
        <v>897</v>
      </c>
      <c r="C12" s="582">
        <v>1.7983796891534389</v>
      </c>
      <c r="D12" s="653">
        <v>0.37336207298328788</v>
      </c>
      <c r="E12" s="583">
        <f>IF(D12*(1+EDITAL!$E$28)&gt;1,1,D12*(1+EDITAL!$E$28))</f>
        <v>0.26135345108830149</v>
      </c>
      <c r="F12" s="582">
        <v>59.25</v>
      </c>
      <c r="G12" s="582">
        <v>66.19</v>
      </c>
      <c r="H12" s="582">
        <f t="shared" si="0"/>
        <v>72.652164670477276</v>
      </c>
      <c r="I12" s="582">
        <f t="shared" si="1"/>
        <v>77.076328284419134</v>
      </c>
      <c r="J12" s="584">
        <v>32</v>
      </c>
      <c r="K12" s="333">
        <v>26</v>
      </c>
      <c r="L12" s="322"/>
      <c r="M12" s="322"/>
    </row>
    <row r="13" spans="1:13" x14ac:dyDescent="0.25">
      <c r="A13" s="332">
        <v>6</v>
      </c>
      <c r="B13" s="577" t="s">
        <v>901</v>
      </c>
      <c r="C13" s="582">
        <v>2.19</v>
      </c>
      <c r="D13" s="653">
        <v>0.67220000000000002</v>
      </c>
      <c r="E13" s="583">
        <f>IF(D13*(1+EDITAL!$E$28)&gt;1,1,D13*(1+EDITAL!$E$28))</f>
        <v>0.47053999999999996</v>
      </c>
      <c r="F13" s="582">
        <v>65.33</v>
      </c>
      <c r="G13" s="582">
        <v>56.41</v>
      </c>
      <c r="H13" s="582">
        <f t="shared" si="0"/>
        <v>80.107441652696707</v>
      </c>
      <c r="I13" s="582">
        <f t="shared" si="1"/>
        <v>65.687802969090242</v>
      </c>
      <c r="J13" s="584">
        <v>26</v>
      </c>
      <c r="K13" s="333">
        <v>19</v>
      </c>
      <c r="L13" s="322"/>
      <c r="M13" s="322"/>
    </row>
    <row r="14" spans="1:13" x14ac:dyDescent="0.25">
      <c r="A14" s="332">
        <v>7</v>
      </c>
      <c r="B14" s="577" t="s">
        <v>898</v>
      </c>
      <c r="C14" s="582">
        <v>1.7371899080086581</v>
      </c>
      <c r="D14" s="653">
        <v>0.30407615599608934</v>
      </c>
      <c r="E14" s="583">
        <f>IF(D14*(1+EDITAL!$E$28)&gt;1,1,D14*(1+EDITAL!$E$28))</f>
        <v>0.21285330919726253</v>
      </c>
      <c r="F14" s="582">
        <v>47.5</v>
      </c>
      <c r="G14" s="582">
        <v>44.46</v>
      </c>
      <c r="H14" s="582">
        <f t="shared" si="0"/>
        <v>58.244351423589379</v>
      </c>
      <c r="I14" s="582">
        <f t="shared" si="1"/>
        <v>51.772375819992064</v>
      </c>
      <c r="J14" s="584">
        <v>35</v>
      </c>
      <c r="K14" s="333">
        <v>33</v>
      </c>
      <c r="L14" s="322"/>
      <c r="M14" s="322"/>
    </row>
    <row r="15" spans="1:13" x14ac:dyDescent="0.25">
      <c r="A15" s="332">
        <v>8</v>
      </c>
      <c r="B15" s="577" t="s">
        <v>874</v>
      </c>
      <c r="C15" s="582">
        <v>2.142401490338786</v>
      </c>
      <c r="D15" s="653">
        <v>0.43682333156778591</v>
      </c>
      <c r="E15" s="583">
        <f>IF(D15*(1+EDITAL!$E$28)&gt;1,1,D15*(1+EDITAL!$E$28))</f>
        <v>0.30577633209745014</v>
      </c>
      <c r="F15" s="582">
        <v>323.75</v>
      </c>
      <c r="G15" s="582">
        <v>259.64</v>
      </c>
      <c r="H15" s="582">
        <f t="shared" si="0"/>
        <v>396.98123733446442</v>
      </c>
      <c r="I15" s="582">
        <f t="shared" si="1"/>
        <v>302.34322217505036</v>
      </c>
      <c r="J15" s="584">
        <v>93</v>
      </c>
      <c r="K15" s="333">
        <v>77</v>
      </c>
      <c r="L15" s="322"/>
      <c r="M15" s="322"/>
    </row>
    <row r="16" spans="1:13" x14ac:dyDescent="0.25">
      <c r="A16" s="332">
        <v>9</v>
      </c>
      <c r="B16" s="577" t="s">
        <v>887</v>
      </c>
      <c r="C16" s="582">
        <v>7.9796896586782866</v>
      </c>
      <c r="D16" s="653">
        <v>0.33814567083753388</v>
      </c>
      <c r="E16" s="583">
        <f>IF(D16*(1+EDITAL!$E$28)&gt;1,1,D16*(1+EDITAL!$E$28))</f>
        <v>0.23670196958627371</v>
      </c>
      <c r="F16" s="582">
        <v>163.75</v>
      </c>
      <c r="G16" s="582">
        <v>176.56</v>
      </c>
      <c r="H16" s="582">
        <f t="shared" si="0"/>
        <v>200.78973780237388</v>
      </c>
      <c r="I16" s="582">
        <f t="shared" si="1"/>
        <v>205.59898053931173</v>
      </c>
      <c r="J16" s="584">
        <v>28</v>
      </c>
      <c r="K16" s="333">
        <v>18</v>
      </c>
      <c r="L16" s="322"/>
      <c r="M16" s="322"/>
    </row>
    <row r="17" spans="1:13" x14ac:dyDescent="0.25">
      <c r="A17" s="332">
        <v>10</v>
      </c>
      <c r="B17" s="577" t="s">
        <v>888</v>
      </c>
      <c r="C17" s="582">
        <v>5.9037842592592584</v>
      </c>
      <c r="D17" s="653">
        <v>0.52920363870986808</v>
      </c>
      <c r="E17" s="583">
        <f>IF(D17*(1+EDITAL!$E$28)&gt;1,1,D17*(1+EDITAL!$E$28))</f>
        <v>0.37044254709690766</v>
      </c>
      <c r="F17" s="582">
        <v>114</v>
      </c>
      <c r="G17" s="582">
        <v>121.77</v>
      </c>
      <c r="H17" s="582">
        <f t="shared" si="0"/>
        <v>139.7864434166145</v>
      </c>
      <c r="I17" s="582">
        <f t="shared" si="1"/>
        <v>141.79762041386491</v>
      </c>
      <c r="J17" s="584">
        <v>20</v>
      </c>
      <c r="K17" s="333">
        <v>15</v>
      </c>
      <c r="L17" s="322"/>
      <c r="M17" s="322"/>
    </row>
    <row r="18" spans="1:13" x14ac:dyDescent="0.25">
      <c r="A18" s="332">
        <v>11</v>
      </c>
      <c r="B18" s="577" t="s">
        <v>889</v>
      </c>
      <c r="C18" s="582">
        <v>5.6235806785806783</v>
      </c>
      <c r="D18" s="653">
        <v>0.3093228372129479</v>
      </c>
      <c r="E18" s="583">
        <f>IF(D18*(1+EDITAL!$E$28)&gt;1,1,D18*(1+EDITAL!$E$28))</f>
        <v>0.21652598604906351</v>
      </c>
      <c r="F18" s="582">
        <v>70</v>
      </c>
      <c r="G18" s="582">
        <v>76.739999999999995</v>
      </c>
      <c r="H18" s="582">
        <f t="shared" si="0"/>
        <v>85.833781045289598</v>
      </c>
      <c r="I18" s="582">
        <f t="shared" si="1"/>
        <v>89.361496185924224</v>
      </c>
      <c r="J18" s="584">
        <v>16</v>
      </c>
      <c r="K18" s="333">
        <v>13</v>
      </c>
      <c r="L18" s="322"/>
      <c r="M18" s="322"/>
    </row>
    <row r="19" spans="1:13" x14ac:dyDescent="0.25">
      <c r="A19" s="332">
        <v>12</v>
      </c>
      <c r="B19" s="577" t="s">
        <v>890</v>
      </c>
      <c r="C19" s="582">
        <v>3.2138546363381568</v>
      </c>
      <c r="D19" s="653">
        <v>0.29799956574567366</v>
      </c>
      <c r="E19" s="583">
        <f>IF(D19*(1+EDITAL!$E$28)&gt;1,1,D19*(1+EDITAL!$E$28))</f>
        <v>0.20859969602197154</v>
      </c>
      <c r="F19" s="582">
        <v>79.5</v>
      </c>
      <c r="G19" s="582">
        <v>85.36</v>
      </c>
      <c r="H19" s="582">
        <f t="shared" si="0"/>
        <v>97.482651330007485</v>
      </c>
      <c r="I19" s="582">
        <f t="shared" si="1"/>
        <v>99.399235267533115</v>
      </c>
      <c r="J19" s="584">
        <v>36</v>
      </c>
      <c r="K19" s="333">
        <v>26</v>
      </c>
      <c r="L19" s="322"/>
      <c r="M19" s="322"/>
    </row>
    <row r="20" spans="1:13" x14ac:dyDescent="0.25">
      <c r="A20" s="332">
        <v>13</v>
      </c>
      <c r="B20" s="577" t="s">
        <v>891</v>
      </c>
      <c r="C20" s="582">
        <v>2.1499572626678876</v>
      </c>
      <c r="D20" s="653">
        <v>0.27935831681335432</v>
      </c>
      <c r="E20" s="583">
        <f>IF(D20*(1+EDITAL!$E$28)&gt;1,1,D20*(1+EDITAL!$E$28))</f>
        <v>0.19555082176934802</v>
      </c>
      <c r="F20" s="582">
        <v>71.75</v>
      </c>
      <c r="G20" s="582">
        <v>79.02</v>
      </c>
      <c r="H20" s="582">
        <f t="shared" si="0"/>
        <v>87.979625571421835</v>
      </c>
      <c r="I20" s="582">
        <f t="shared" si="1"/>
        <v>92.016489817718693</v>
      </c>
      <c r="J20" s="584">
        <v>30</v>
      </c>
      <c r="K20" s="333">
        <v>28</v>
      </c>
      <c r="L20" s="322"/>
      <c r="M20" s="322"/>
    </row>
    <row r="21" spans="1:13" x14ac:dyDescent="0.25">
      <c r="A21" s="332">
        <v>14</v>
      </c>
      <c r="B21" s="577" t="s">
        <v>899</v>
      </c>
      <c r="C21" s="582">
        <v>5.3398942857142853</v>
      </c>
      <c r="D21" s="653">
        <v>0.46695934734268413</v>
      </c>
      <c r="E21" s="583">
        <f>IF(D21*(1+EDITAL!$E$28)&gt;1,1,D21*(1+EDITAL!$E$28))</f>
        <v>0.32687154313987887</v>
      </c>
      <c r="F21" s="582">
        <v>52.5</v>
      </c>
      <c r="G21" s="582">
        <v>55.01</v>
      </c>
      <c r="H21" s="582">
        <f t="shared" si="0"/>
        <v>64.375335783967202</v>
      </c>
      <c r="I21" s="582">
        <f t="shared" si="1"/>
        <v>64.057543721497154</v>
      </c>
      <c r="J21" s="584">
        <v>17</v>
      </c>
      <c r="K21" s="333">
        <v>9</v>
      </c>
      <c r="L21" s="322"/>
      <c r="M21" s="322"/>
    </row>
    <row r="22" spans="1:13" x14ac:dyDescent="0.25">
      <c r="A22" s="332">
        <v>15</v>
      </c>
      <c r="B22" s="577" t="s">
        <v>894</v>
      </c>
      <c r="C22" s="582">
        <v>2.4386592105263158</v>
      </c>
      <c r="D22" s="653">
        <v>0.44368416504445851</v>
      </c>
      <c r="E22" s="583">
        <f>IF(D22*(1+EDITAL!$E$28)&gt;1,1,D22*(1+EDITAL!$E$28))</f>
        <v>0.31057891553112094</v>
      </c>
      <c r="F22" s="582">
        <v>109</v>
      </c>
      <c r="G22" s="582">
        <v>110.94</v>
      </c>
      <c r="H22" s="582">
        <f t="shared" si="0"/>
        <v>133.65545905623668</v>
      </c>
      <c r="I22" s="582">
        <f t="shared" si="1"/>
        <v>129.18640066284118</v>
      </c>
      <c r="J22" s="584">
        <v>19</v>
      </c>
      <c r="K22" s="333">
        <v>14</v>
      </c>
      <c r="L22" s="322"/>
      <c r="M22" s="322"/>
    </row>
    <row r="23" spans="1:13" x14ac:dyDescent="0.25">
      <c r="A23" s="334">
        <v>16</v>
      </c>
      <c r="B23" s="578" t="s">
        <v>895</v>
      </c>
      <c r="C23" s="585">
        <v>9.2376547619047624</v>
      </c>
      <c r="D23" s="654">
        <v>0.66403439030852995</v>
      </c>
      <c r="E23" s="591">
        <f>IF(D23*(1+EDITAL!$E$28)&gt;1,1,D23*(1+EDITAL!$E$28))</f>
        <v>0.46482407321597091</v>
      </c>
      <c r="F23" s="585">
        <v>121</v>
      </c>
      <c r="G23" s="585">
        <v>121.84</v>
      </c>
      <c r="H23" s="585">
        <f t="shared" si="0"/>
        <v>148.36982152114345</v>
      </c>
      <c r="I23" s="585">
        <f t="shared" si="1"/>
        <v>141.87913337624457</v>
      </c>
      <c r="J23" s="586">
        <v>20</v>
      </c>
      <c r="K23" s="335">
        <v>17</v>
      </c>
      <c r="L23" s="322"/>
      <c r="M23" s="322"/>
    </row>
    <row r="24" spans="1:13" x14ac:dyDescent="0.25">
      <c r="C24" s="573" t="s">
        <v>902</v>
      </c>
      <c r="D24" s="573"/>
      <c r="E24" s="571"/>
      <c r="F24" s="574">
        <f>SUM(F8:F23)</f>
        <v>1485.33</v>
      </c>
      <c r="G24" s="574">
        <f>SUM(G8:G23)</f>
        <v>1460.3799999999997</v>
      </c>
      <c r="H24" s="612">
        <f>SUM(H8:H23)</f>
        <v>1821.3069999999998</v>
      </c>
      <c r="I24" s="574">
        <f>SUM(I8:I23)</f>
        <v>1700.5700000000002</v>
      </c>
      <c r="L24" s="322"/>
      <c r="M24" s="322"/>
    </row>
    <row r="25" spans="1:13" x14ac:dyDescent="0.25">
      <c r="C25" s="571" t="s">
        <v>903</v>
      </c>
      <c r="D25" s="571"/>
      <c r="E25" s="571"/>
      <c r="F25" s="572">
        <v>1821.307</v>
      </c>
      <c r="G25" s="572">
        <v>1700.57</v>
      </c>
      <c r="H25" s="572"/>
      <c r="I25" s="572"/>
    </row>
    <row r="27" spans="1:13" x14ac:dyDescent="0.25">
      <c r="I27" s="322"/>
    </row>
  </sheetData>
  <mergeCells count="9">
    <mergeCell ref="C5:E5"/>
    <mergeCell ref="D6:E6"/>
    <mergeCell ref="J5:K5"/>
    <mergeCell ref="A3:K3"/>
    <mergeCell ref="F5:I5"/>
    <mergeCell ref="F6:G6"/>
    <mergeCell ref="H6:I6"/>
    <mergeCell ref="A5:A7"/>
    <mergeCell ref="B5:B7"/>
  </mergeCells>
  <pageMargins left="0.511811024" right="0.511811024" top="0.78740157499999996" bottom="0.78740157499999996" header="0.31496062000000002" footer="0.31496062000000002"/>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workbookViewId="0">
      <selection activeCell="D34" sqref="D34"/>
    </sheetView>
  </sheetViews>
  <sheetFormatPr defaultRowHeight="15" x14ac:dyDescent="0.25"/>
  <cols>
    <col min="1" max="1" width="8.7109375" style="98" customWidth="1"/>
    <col min="2" max="2" width="57" customWidth="1"/>
    <col min="3" max="3" width="12.140625" customWidth="1"/>
    <col min="4" max="4" width="11.85546875" style="259" customWidth="1"/>
    <col min="5" max="5" width="11.28515625" style="98" customWidth="1"/>
    <col min="6" max="6" width="30.140625" style="259" customWidth="1"/>
    <col min="7" max="7" width="2.85546875" style="259" customWidth="1"/>
    <col min="8" max="9" width="9.140625" customWidth="1"/>
    <col min="10" max="10" width="9.140625" hidden="1" customWidth="1"/>
    <col min="11" max="11" width="9.140625" customWidth="1"/>
    <col min="12" max="12" width="12.5703125" customWidth="1"/>
    <col min="13" max="13" width="13.7109375" customWidth="1"/>
  </cols>
  <sheetData>
    <row r="1" spans="1:10" ht="63.75" customHeight="1" x14ac:dyDescent="0.25">
      <c r="A1" s="39"/>
      <c r="B1" s="39"/>
      <c r="C1" s="39"/>
      <c r="D1" s="39"/>
      <c r="E1" s="39"/>
      <c r="F1" s="39"/>
    </row>
    <row r="2" spans="1:10" x14ac:dyDescent="0.25">
      <c r="A2" s="47"/>
      <c r="B2" s="47"/>
      <c r="C2" s="47"/>
      <c r="D2" s="47"/>
      <c r="E2" s="47"/>
      <c r="F2" s="47"/>
    </row>
    <row r="3" spans="1:10" ht="15.75" x14ac:dyDescent="0.25">
      <c r="A3" s="697" t="s">
        <v>944</v>
      </c>
      <c r="B3" s="697"/>
      <c r="C3" s="697"/>
      <c r="D3" s="697"/>
      <c r="E3" s="697"/>
      <c r="F3" s="697"/>
    </row>
    <row r="4" spans="1:10" x14ac:dyDescent="0.25">
      <c r="B4" s="41"/>
      <c r="C4" s="41"/>
      <c r="D4" s="41"/>
    </row>
    <row r="5" spans="1:10" ht="40.5" customHeight="1" x14ac:dyDescent="0.25">
      <c r="A5" s="616" t="s">
        <v>541</v>
      </c>
      <c r="B5" s="616" t="s">
        <v>542</v>
      </c>
      <c r="C5" s="594" t="s">
        <v>837</v>
      </c>
      <c r="D5" s="594" t="s">
        <v>838</v>
      </c>
      <c r="E5" s="616" t="s">
        <v>28</v>
      </c>
      <c r="F5" s="616" t="s">
        <v>941</v>
      </c>
    </row>
    <row r="6" spans="1:10" s="264" customFormat="1" ht="18.75" x14ac:dyDescent="0.3">
      <c r="A6" s="260">
        <v>1</v>
      </c>
      <c r="B6" s="261" t="s">
        <v>544</v>
      </c>
      <c r="C6" s="261"/>
      <c r="D6" s="262"/>
      <c r="E6" s="555"/>
      <c r="F6" s="556"/>
      <c r="G6" s="263"/>
    </row>
    <row r="7" spans="1:10" s="264" customFormat="1" ht="15.75" x14ac:dyDescent="0.25">
      <c r="A7" s="265" t="s">
        <v>545</v>
      </c>
      <c r="B7" s="266" t="s">
        <v>546</v>
      </c>
      <c r="C7" s="551">
        <f>IF(D11&lt;&gt;"",D8/D11)</f>
        <v>4</v>
      </c>
      <c r="D7" s="528">
        <v>4</v>
      </c>
      <c r="E7" s="300" t="s">
        <v>547</v>
      </c>
      <c r="F7" s="557"/>
      <c r="G7" s="263"/>
      <c r="J7" s="552" t="s">
        <v>632</v>
      </c>
    </row>
    <row r="8" spans="1:10" s="264" customFormat="1" ht="15.75" x14ac:dyDescent="0.25">
      <c r="A8" s="265" t="s">
        <v>548</v>
      </c>
      <c r="B8" s="266" t="s">
        <v>757</v>
      </c>
      <c r="C8" s="266">
        <f>IF(AND(D7,D11)&lt;&gt;0,D11*D7)</f>
        <v>106.28625</v>
      </c>
      <c r="D8" s="528">
        <f>EDITAL!E23/EDITAL!D23</f>
        <v>106.28625</v>
      </c>
      <c r="E8" s="300" t="s">
        <v>547</v>
      </c>
      <c r="F8" s="557"/>
      <c r="G8" s="263"/>
      <c r="J8" s="553" t="s">
        <v>839</v>
      </c>
    </row>
    <row r="9" spans="1:10" s="264" customFormat="1" ht="15.75" x14ac:dyDescent="0.25">
      <c r="A9" s="265" t="s">
        <v>554</v>
      </c>
      <c r="B9" s="266" t="s">
        <v>573</v>
      </c>
      <c r="C9" s="266"/>
      <c r="D9" s="592">
        <v>0.40410000000000001</v>
      </c>
      <c r="E9" s="558" t="s">
        <v>487</v>
      </c>
      <c r="F9" s="557"/>
      <c r="G9" s="263"/>
    </row>
    <row r="10" spans="1:10" s="264" customFormat="1" ht="15.75" x14ac:dyDescent="0.25">
      <c r="A10" s="269" t="s">
        <v>802</v>
      </c>
      <c r="B10" s="266" t="s">
        <v>549</v>
      </c>
      <c r="C10" s="266"/>
      <c r="D10" s="272">
        <f>SUM(D11:D15)</f>
        <v>32.571562499999999</v>
      </c>
      <c r="E10" s="266"/>
      <c r="F10" s="557"/>
      <c r="G10" s="263"/>
    </row>
    <row r="11" spans="1:10" s="264" customFormat="1" ht="15.75" x14ac:dyDescent="0.25">
      <c r="A11" s="265" t="s">
        <v>803</v>
      </c>
      <c r="B11" s="266" t="s">
        <v>853</v>
      </c>
      <c r="C11" s="551">
        <f>IF(AND(D7,D11)&lt;&gt;"",D8/D7)</f>
        <v>26.571562499999999</v>
      </c>
      <c r="D11" s="267">
        <f>D8/D7</f>
        <v>26.571562499999999</v>
      </c>
      <c r="E11" s="300"/>
      <c r="F11" s="557"/>
      <c r="G11" s="263"/>
    </row>
    <row r="12" spans="1:10" s="264" customFormat="1" ht="15.75" x14ac:dyDescent="0.25">
      <c r="A12" s="265" t="s">
        <v>804</v>
      </c>
      <c r="B12" s="266" t="s">
        <v>550</v>
      </c>
      <c r="C12" s="266"/>
      <c r="D12" s="554">
        <f>'MAT SER E DESP - MESA'!C13</f>
        <v>2</v>
      </c>
      <c r="E12" s="300"/>
      <c r="F12" s="557"/>
      <c r="G12" s="263"/>
    </row>
    <row r="13" spans="1:10" s="264" customFormat="1" ht="15.75" x14ac:dyDescent="0.25">
      <c r="A13" s="269" t="s">
        <v>805</v>
      </c>
      <c r="B13" s="266" t="s">
        <v>551</v>
      </c>
      <c r="C13" s="266"/>
      <c r="D13" s="266">
        <f>D12</f>
        <v>2</v>
      </c>
      <c r="E13" s="266"/>
      <c r="F13" s="557"/>
      <c r="G13" s="263"/>
    </row>
    <row r="14" spans="1:10" s="264" customFormat="1" ht="15.75" x14ac:dyDescent="0.25">
      <c r="A14" s="269" t="s">
        <v>806</v>
      </c>
      <c r="B14" s="266" t="s">
        <v>552</v>
      </c>
      <c r="C14" s="266"/>
      <c r="D14" s="529">
        <v>1</v>
      </c>
      <c r="E14" s="266"/>
      <c r="F14" s="557"/>
      <c r="G14" s="263"/>
    </row>
    <row r="15" spans="1:10" s="264" customFormat="1" ht="15.75" x14ac:dyDescent="0.25">
      <c r="A15" s="269" t="s">
        <v>832</v>
      </c>
      <c r="B15" s="266" t="s">
        <v>553</v>
      </c>
      <c r="C15" s="266"/>
      <c r="D15" s="529">
        <v>1</v>
      </c>
      <c r="E15" s="266"/>
      <c r="F15" s="557"/>
      <c r="G15" s="263"/>
    </row>
    <row r="16" spans="1:10" s="264" customFormat="1" ht="15.75" x14ac:dyDescent="0.25">
      <c r="A16" s="269" t="s">
        <v>557</v>
      </c>
      <c r="B16" s="266" t="s">
        <v>798</v>
      </c>
      <c r="C16" s="266"/>
      <c r="D16" s="266"/>
      <c r="E16" s="266"/>
      <c r="F16" s="557"/>
      <c r="G16" s="263"/>
    </row>
    <row r="17" spans="1:7" s="264" customFormat="1" ht="15.75" x14ac:dyDescent="0.25">
      <c r="A17" s="265" t="s">
        <v>843</v>
      </c>
      <c r="B17" s="266" t="s">
        <v>555</v>
      </c>
      <c r="C17" s="266"/>
      <c r="D17" s="272">
        <f>'Equipamentos - MESA'!C22</f>
        <v>2</v>
      </c>
      <c r="E17" s="300" t="s">
        <v>556</v>
      </c>
      <c r="F17" s="557"/>
      <c r="G17" s="263"/>
    </row>
    <row r="18" spans="1:7" s="264" customFormat="1" ht="15.75" x14ac:dyDescent="0.25">
      <c r="A18" s="265" t="s">
        <v>844</v>
      </c>
      <c r="B18" s="266" t="s">
        <v>835</v>
      </c>
      <c r="C18" s="266"/>
      <c r="D18" s="266" t="s">
        <v>839</v>
      </c>
      <c r="E18" s="300"/>
      <c r="F18" s="301"/>
      <c r="G18" s="263"/>
    </row>
    <row r="19" spans="1:7" s="264" customFormat="1" ht="15.75" x14ac:dyDescent="0.25">
      <c r="A19" s="265" t="s">
        <v>845</v>
      </c>
      <c r="B19" s="266" t="s">
        <v>836</v>
      </c>
      <c r="C19" s="266"/>
      <c r="D19" s="272">
        <f>'Equipamentos - MESA'!C37*(D18=J7)</f>
        <v>0</v>
      </c>
      <c r="E19" s="300" t="s">
        <v>556</v>
      </c>
      <c r="F19" s="301"/>
      <c r="G19" s="263"/>
    </row>
    <row r="20" spans="1:7" s="264" customFormat="1" ht="15.75" x14ac:dyDescent="0.25">
      <c r="A20" s="265" t="s">
        <v>846</v>
      </c>
      <c r="B20" s="266" t="s">
        <v>800</v>
      </c>
      <c r="C20" s="266"/>
      <c r="D20" s="272">
        <v>3</v>
      </c>
      <c r="E20" s="300" t="s">
        <v>556</v>
      </c>
      <c r="F20" s="274" t="str">
        <f>IF(AND(D18=J8,OR(D20="",D20=0)),"Informe o número de mesas",IF(AND(D20&gt;0,D18=J7),"Remova o número de mesas",""))</f>
        <v/>
      </c>
      <c r="G20" s="263"/>
    </row>
    <row r="21" spans="1:7" s="264" customFormat="1" ht="15.75" x14ac:dyDescent="0.25">
      <c r="A21" s="265" t="s">
        <v>847</v>
      </c>
      <c r="B21" s="266" t="s">
        <v>561</v>
      </c>
      <c r="C21" s="266"/>
      <c r="D21" s="272">
        <v>1</v>
      </c>
      <c r="E21" s="300" t="s">
        <v>556</v>
      </c>
      <c r="F21" s="301"/>
      <c r="G21" s="263"/>
    </row>
    <row r="22" spans="1:7" s="264" customFormat="1" ht="15.75" x14ac:dyDescent="0.25">
      <c r="A22" s="265" t="s">
        <v>848</v>
      </c>
      <c r="B22" s="266" t="s">
        <v>799</v>
      </c>
      <c r="C22" s="266"/>
      <c r="D22" s="272">
        <v>1</v>
      </c>
      <c r="E22" s="300" t="s">
        <v>556</v>
      </c>
      <c r="F22" s="301"/>
      <c r="G22" s="263"/>
    </row>
    <row r="23" spans="1:7" s="264" customFormat="1" ht="15.75" x14ac:dyDescent="0.25">
      <c r="A23" s="265" t="s">
        <v>849</v>
      </c>
      <c r="B23" s="266" t="s">
        <v>833</v>
      </c>
      <c r="C23" s="266"/>
      <c r="D23" s="272">
        <v>2</v>
      </c>
      <c r="E23" s="300" t="s">
        <v>556</v>
      </c>
      <c r="F23" s="301"/>
      <c r="G23" s="263"/>
    </row>
    <row r="24" spans="1:7" s="264" customFormat="1" ht="15.75" x14ac:dyDescent="0.25">
      <c r="A24" s="265" t="s">
        <v>560</v>
      </c>
      <c r="B24" s="266" t="s">
        <v>558</v>
      </c>
      <c r="C24" s="554"/>
      <c r="D24" s="272">
        <f>IF(D18=J7,'Equipamentos - MESA'!C25,0)</f>
        <v>0</v>
      </c>
      <c r="E24" s="300" t="s">
        <v>559</v>
      </c>
      <c r="F24" s="301"/>
      <c r="G24" s="263"/>
    </row>
    <row r="25" spans="1:7" ht="15.75" x14ac:dyDescent="0.25">
      <c r="A25" s="265" t="s">
        <v>562</v>
      </c>
      <c r="B25" s="266" t="s">
        <v>563</v>
      </c>
      <c r="C25" s="266"/>
      <c r="D25" s="272">
        <v>832.08</v>
      </c>
      <c r="E25" s="300" t="s">
        <v>519</v>
      </c>
      <c r="F25" s="301"/>
    </row>
    <row r="26" spans="1:7" ht="15.75" x14ac:dyDescent="0.25">
      <c r="A26" s="265" t="s">
        <v>564</v>
      </c>
      <c r="B26" s="266" t="s">
        <v>565</v>
      </c>
      <c r="C26" s="266"/>
      <c r="D26" s="272">
        <f>D25-SUM(D27:D30)</f>
        <v>725.08</v>
      </c>
      <c r="E26" s="300" t="s">
        <v>519</v>
      </c>
      <c r="F26" s="301"/>
    </row>
    <row r="27" spans="1:7" ht="15.75" x14ac:dyDescent="0.25">
      <c r="A27" s="269" t="s">
        <v>566</v>
      </c>
      <c r="B27" s="266" t="s">
        <v>567</v>
      </c>
      <c r="C27" s="266"/>
      <c r="D27" s="271">
        <v>50</v>
      </c>
      <c r="E27" s="266" t="s">
        <v>568</v>
      </c>
      <c r="F27" s="301"/>
    </row>
    <row r="28" spans="1:7" ht="15.75" x14ac:dyDescent="0.25">
      <c r="A28" s="265" t="s">
        <v>569</v>
      </c>
      <c r="B28" s="266" t="s">
        <v>570</v>
      </c>
      <c r="C28" s="266"/>
      <c r="D28" s="272">
        <v>12</v>
      </c>
      <c r="E28" s="300" t="s">
        <v>519</v>
      </c>
      <c r="F28" s="301"/>
    </row>
    <row r="29" spans="1:7" ht="15.75" x14ac:dyDescent="0.25">
      <c r="A29" s="265" t="s">
        <v>571</v>
      </c>
      <c r="B29" s="266" t="s">
        <v>572</v>
      </c>
      <c r="C29" s="266"/>
      <c r="D29" s="273">
        <v>30</v>
      </c>
      <c r="E29" s="300" t="s">
        <v>568</v>
      </c>
      <c r="F29" s="301"/>
    </row>
    <row r="30" spans="1:7" ht="15.75" x14ac:dyDescent="0.25">
      <c r="A30" s="265" t="s">
        <v>739</v>
      </c>
      <c r="B30" s="266" t="s">
        <v>740</v>
      </c>
      <c r="C30" s="266"/>
      <c r="D30" s="273">
        <v>15</v>
      </c>
      <c r="E30" s="300" t="s">
        <v>568</v>
      </c>
      <c r="F30" s="301"/>
    </row>
    <row r="31" spans="1:7" ht="15.75" x14ac:dyDescent="0.25">
      <c r="A31" s="265" t="s">
        <v>742</v>
      </c>
      <c r="B31" s="266" t="s">
        <v>743</v>
      </c>
      <c r="C31" s="266"/>
      <c r="D31" s="273">
        <v>421.57</v>
      </c>
      <c r="E31" s="300" t="s">
        <v>519</v>
      </c>
      <c r="F31" s="301"/>
    </row>
    <row r="32" spans="1:7" ht="15.75" x14ac:dyDescent="0.25">
      <c r="A32" s="265" t="s">
        <v>769</v>
      </c>
      <c r="B32" s="266" t="s">
        <v>770</v>
      </c>
      <c r="C32" s="266"/>
      <c r="D32" s="273">
        <v>2686.28</v>
      </c>
      <c r="E32" s="300" t="s">
        <v>519</v>
      </c>
      <c r="F32" s="301"/>
    </row>
    <row r="33" spans="1:6" ht="15.75" x14ac:dyDescent="0.25">
      <c r="A33" s="265" t="s">
        <v>801</v>
      </c>
      <c r="B33" s="275" t="s">
        <v>575</v>
      </c>
      <c r="C33" s="275"/>
      <c r="D33" s="275">
        <f>'Energia Elétrica - MESA'!U14*26</f>
        <v>208</v>
      </c>
      <c r="E33" s="558"/>
      <c r="F33" s="301"/>
    </row>
    <row r="34" spans="1:6" x14ac:dyDescent="0.25">
      <c r="A34" s="276" t="s">
        <v>574</v>
      </c>
      <c r="B34" s="275" t="s">
        <v>577</v>
      </c>
      <c r="C34" s="275"/>
      <c r="D34" s="286">
        <f>'MAT SER E DESP - MESA'!C9</f>
        <v>4</v>
      </c>
      <c r="E34" s="558"/>
      <c r="F34" s="301"/>
    </row>
    <row r="35" spans="1:6" x14ac:dyDescent="0.25">
      <c r="A35" s="276" t="s">
        <v>576</v>
      </c>
      <c r="B35" s="275" t="s">
        <v>807</v>
      </c>
      <c r="C35" s="275"/>
      <c r="D35" s="286">
        <f>D8/D34</f>
        <v>26.571562499999999</v>
      </c>
      <c r="E35" s="558"/>
      <c r="F35" s="301"/>
    </row>
    <row r="36" spans="1:6" ht="14.25" customHeight="1" x14ac:dyDescent="0.25">
      <c r="A36" s="276" t="s">
        <v>578</v>
      </c>
      <c r="B36" s="275" t="s">
        <v>580</v>
      </c>
      <c r="C36" s="275"/>
      <c r="D36" s="530">
        <v>17</v>
      </c>
      <c r="E36" s="558"/>
      <c r="F36" s="287"/>
    </row>
    <row r="37" spans="1:6" ht="14.25" customHeight="1" x14ac:dyDescent="0.3">
      <c r="A37" s="276" t="s">
        <v>579</v>
      </c>
      <c r="B37" s="275" t="s">
        <v>581</v>
      </c>
      <c r="C37" s="275"/>
      <c r="D37" s="275">
        <f>2/1</f>
        <v>2</v>
      </c>
      <c r="E37" s="559"/>
      <c r="F37" s="301"/>
    </row>
    <row r="38" spans="1:6" ht="14.25" customHeight="1" x14ac:dyDescent="0.3">
      <c r="A38" s="535">
        <v>2</v>
      </c>
      <c r="B38" s="536" t="s">
        <v>582</v>
      </c>
      <c r="C38" s="536"/>
      <c r="D38" s="277"/>
      <c r="E38" s="560">
        <v>0</v>
      </c>
      <c r="F38" s="301"/>
    </row>
    <row r="39" spans="1:6" x14ac:dyDescent="0.25">
      <c r="A39" s="280" t="s">
        <v>583</v>
      </c>
      <c r="B39" s="547" t="s">
        <v>584</v>
      </c>
      <c r="C39" s="547"/>
      <c r="D39" s="537">
        <v>0.33333333333333331</v>
      </c>
      <c r="E39" s="558"/>
      <c r="F39" s="301"/>
    </row>
    <row r="40" spans="1:6" x14ac:dyDescent="0.25">
      <c r="A40" s="276" t="s">
        <v>585</v>
      </c>
      <c r="B40" s="275" t="s">
        <v>586</v>
      </c>
      <c r="C40" s="275"/>
      <c r="D40" s="281">
        <v>0.3125</v>
      </c>
      <c r="E40" s="558"/>
      <c r="F40" s="319"/>
    </row>
    <row r="41" spans="1:6" x14ac:dyDescent="0.25">
      <c r="A41" s="276" t="s">
        <v>587</v>
      </c>
      <c r="B41" s="275" t="s">
        <v>588</v>
      </c>
      <c r="C41" s="275"/>
      <c r="D41" s="281">
        <f>D39+D40+D42</f>
        <v>0.68749999999999989</v>
      </c>
      <c r="E41" s="558"/>
      <c r="F41" s="301"/>
    </row>
    <row r="42" spans="1:6" x14ac:dyDescent="0.25">
      <c r="A42" s="276" t="s">
        <v>589</v>
      </c>
      <c r="B42" s="275" t="s">
        <v>590</v>
      </c>
      <c r="C42" s="275"/>
      <c r="D42" s="531">
        <v>4.1666666666666664E-2</v>
      </c>
      <c r="E42" s="558"/>
      <c r="F42" s="301"/>
    </row>
    <row r="43" spans="1:6" x14ac:dyDescent="0.25">
      <c r="A43" s="280" t="s">
        <v>591</v>
      </c>
      <c r="B43" s="282" t="s">
        <v>592</v>
      </c>
      <c r="C43" s="282"/>
      <c r="D43" s="277">
        <v>26</v>
      </c>
      <c r="E43" s="558"/>
      <c r="F43" s="301"/>
    </row>
    <row r="44" spans="1:6" x14ac:dyDescent="0.25">
      <c r="A44" s="278" t="s">
        <v>593</v>
      </c>
      <c r="B44" s="279" t="s">
        <v>592</v>
      </c>
      <c r="C44" s="279"/>
      <c r="D44" s="545">
        <f>D39*24*D43</f>
        <v>208</v>
      </c>
      <c r="E44" s="561"/>
      <c r="F44" s="310"/>
    </row>
    <row r="46" spans="1:6" x14ac:dyDescent="0.25">
      <c r="D46" s="546"/>
    </row>
    <row r="47" spans="1:6" ht="18.75" x14ac:dyDescent="0.3">
      <c r="A47" s="538"/>
      <c r="B47" s="542"/>
      <c r="C47" s="542"/>
      <c r="D47" s="543"/>
      <c r="E47" s="544"/>
      <c r="F47"/>
    </row>
  </sheetData>
  <mergeCells count="1">
    <mergeCell ref="A3:F3"/>
  </mergeCells>
  <conditionalFormatting sqref="F20">
    <cfRule type="containsText" dxfId="36" priority="1" operator="containsText" text="Informe">
      <formula>NOT(ISERROR(SEARCH("Informe",F20)))</formula>
    </cfRule>
    <cfRule type="containsText" dxfId="35" priority="2" operator="containsText" text="Remova">
      <formula>NOT(ISERROR(SEARCH("Remova",F20)))</formula>
    </cfRule>
  </conditionalFormatting>
  <dataValidations count="1">
    <dataValidation type="list" allowBlank="1" showInputMessage="1" showErrorMessage="1" sqref="D18">
      <formula1>$J$7:$J$8</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9"/>
  <dimension ref="A1:J47"/>
  <sheetViews>
    <sheetView workbookViewId="0">
      <selection activeCell="D32" sqref="D32"/>
    </sheetView>
  </sheetViews>
  <sheetFormatPr defaultRowHeight="15" x14ac:dyDescent="0.25"/>
  <cols>
    <col min="1" max="1" width="8.7109375" style="98" customWidth="1"/>
    <col min="2" max="2" width="57" customWidth="1"/>
    <col min="3" max="3" width="12.140625" customWidth="1"/>
    <col min="4" max="4" width="11.85546875" style="259" customWidth="1"/>
    <col min="5" max="5" width="11.28515625" style="98" customWidth="1"/>
    <col min="6" max="6" width="32.140625" style="259" customWidth="1"/>
    <col min="7" max="7" width="2.85546875" style="259" customWidth="1"/>
    <col min="8" max="9" width="9.140625" customWidth="1"/>
    <col min="10" max="10" width="9.140625" hidden="1" customWidth="1"/>
    <col min="11" max="11" width="9.140625" customWidth="1"/>
    <col min="12" max="12" width="12.5703125" customWidth="1"/>
    <col min="13" max="13" width="13.7109375" customWidth="1"/>
  </cols>
  <sheetData>
    <row r="1" spans="1:10" ht="58.5" customHeight="1" x14ac:dyDescent="0.25"/>
    <row r="3" spans="1:10" ht="15.75" x14ac:dyDescent="0.25">
      <c r="A3" s="697" t="s">
        <v>943</v>
      </c>
      <c r="B3" s="697"/>
      <c r="C3" s="697"/>
      <c r="D3" s="697"/>
      <c r="E3" s="697"/>
      <c r="F3" s="697"/>
    </row>
    <row r="4" spans="1:10" x14ac:dyDescent="0.25">
      <c r="B4" s="41"/>
      <c r="C4" s="41"/>
      <c r="D4" s="41"/>
    </row>
    <row r="5" spans="1:10" ht="40.5" customHeight="1" x14ac:dyDescent="0.25">
      <c r="A5" s="548" t="s">
        <v>541</v>
      </c>
      <c r="B5" s="549" t="s">
        <v>542</v>
      </c>
      <c r="C5" s="550" t="s">
        <v>837</v>
      </c>
      <c r="D5" s="550" t="s">
        <v>838</v>
      </c>
      <c r="E5" s="549" t="s">
        <v>28</v>
      </c>
      <c r="F5" s="493" t="s">
        <v>850</v>
      </c>
    </row>
    <row r="6" spans="1:10" s="264" customFormat="1" ht="18.75" x14ac:dyDescent="0.3">
      <c r="A6" s="260">
        <v>1</v>
      </c>
      <c r="B6" s="261" t="s">
        <v>544</v>
      </c>
      <c r="C6" s="261"/>
      <c r="D6" s="262"/>
      <c r="E6" s="555"/>
      <c r="F6" s="556"/>
      <c r="G6" s="263"/>
    </row>
    <row r="7" spans="1:10" s="264" customFormat="1" ht="15.75" x14ac:dyDescent="0.25">
      <c r="A7" s="265" t="s">
        <v>545</v>
      </c>
      <c r="B7" s="266" t="s">
        <v>546</v>
      </c>
      <c r="C7" s="551">
        <f>IF(D11&lt;&gt;"",D8/D11)</f>
        <v>4</v>
      </c>
      <c r="D7" s="528">
        <v>4</v>
      </c>
      <c r="E7" s="300" t="s">
        <v>547</v>
      </c>
      <c r="F7" s="557"/>
      <c r="G7" s="263"/>
      <c r="J7" s="552" t="s">
        <v>632</v>
      </c>
    </row>
    <row r="8" spans="1:10" s="264" customFormat="1" ht="15.75" x14ac:dyDescent="0.25">
      <c r="A8" s="265" t="s">
        <v>548</v>
      </c>
      <c r="B8" s="266" t="s">
        <v>757</v>
      </c>
      <c r="C8" s="266">
        <f>IF(AND(D7,D11)&lt;&gt;0,D11*D7)</f>
        <v>106.28625</v>
      </c>
      <c r="D8" s="528">
        <f>EDITAL!E23/EDITAL!D23</f>
        <v>106.28625</v>
      </c>
      <c r="E8" s="300" t="s">
        <v>547</v>
      </c>
      <c r="F8" s="557"/>
      <c r="G8" s="263"/>
      <c r="J8" s="553" t="s">
        <v>839</v>
      </c>
    </row>
    <row r="9" spans="1:10" s="264" customFormat="1" ht="15.75" x14ac:dyDescent="0.25">
      <c r="A9" s="265" t="s">
        <v>554</v>
      </c>
      <c r="B9" s="266" t="s">
        <v>573</v>
      </c>
      <c r="C9" s="266"/>
      <c r="D9" s="592">
        <v>0.40410000000000001</v>
      </c>
      <c r="E9" s="558" t="s">
        <v>487</v>
      </c>
      <c r="F9" s="557"/>
      <c r="G9" s="263"/>
    </row>
    <row r="10" spans="1:10" s="264" customFormat="1" ht="15.75" x14ac:dyDescent="0.25">
      <c r="A10" s="269" t="s">
        <v>802</v>
      </c>
      <c r="B10" s="266" t="s">
        <v>549</v>
      </c>
      <c r="C10" s="266"/>
      <c r="D10" s="272">
        <f>SUM(D11:D15)</f>
        <v>32.571562499999999</v>
      </c>
      <c r="E10" s="266"/>
      <c r="F10" s="557"/>
      <c r="G10" s="263"/>
    </row>
    <row r="11" spans="1:10" s="264" customFormat="1" ht="15.75" x14ac:dyDescent="0.25">
      <c r="A11" s="265" t="s">
        <v>803</v>
      </c>
      <c r="B11" s="266" t="s">
        <v>853</v>
      </c>
      <c r="C11" s="551">
        <f>IF(AND(D7,D11)&lt;&gt;"",D8/D7)</f>
        <v>26.571562499999999</v>
      </c>
      <c r="D11" s="267">
        <f>D8/D7</f>
        <v>26.571562499999999</v>
      </c>
      <c r="E11" s="300"/>
      <c r="F11" s="557"/>
      <c r="G11" s="263"/>
    </row>
    <row r="12" spans="1:10" s="264" customFormat="1" ht="15.75" x14ac:dyDescent="0.25">
      <c r="A12" s="265" t="s">
        <v>804</v>
      </c>
      <c r="B12" s="266" t="s">
        <v>550</v>
      </c>
      <c r="C12" s="266"/>
      <c r="D12" s="266">
        <f>'MAT SER E DESP - EST'!C13</f>
        <v>2</v>
      </c>
      <c r="E12" s="300"/>
      <c r="F12" s="557"/>
      <c r="G12" s="263"/>
    </row>
    <row r="13" spans="1:10" s="264" customFormat="1" ht="15.75" x14ac:dyDescent="0.25">
      <c r="A13" s="269" t="s">
        <v>805</v>
      </c>
      <c r="B13" s="266" t="s">
        <v>551</v>
      </c>
      <c r="C13" s="266"/>
      <c r="D13" s="266">
        <f>D12</f>
        <v>2</v>
      </c>
      <c r="E13" s="266"/>
      <c r="F13" s="557"/>
      <c r="G13" s="263"/>
    </row>
    <row r="14" spans="1:10" s="264" customFormat="1" ht="15.75" x14ac:dyDescent="0.25">
      <c r="A14" s="269" t="s">
        <v>806</v>
      </c>
      <c r="B14" s="266" t="s">
        <v>552</v>
      </c>
      <c r="C14" s="266"/>
      <c r="D14" s="529">
        <v>1</v>
      </c>
      <c r="E14" s="266"/>
      <c r="F14" s="557"/>
      <c r="G14" s="263"/>
    </row>
    <row r="15" spans="1:10" s="264" customFormat="1" ht="15.75" x14ac:dyDescent="0.25">
      <c r="A15" s="269" t="s">
        <v>832</v>
      </c>
      <c r="B15" s="266" t="s">
        <v>553</v>
      </c>
      <c r="C15" s="266"/>
      <c r="D15" s="529">
        <v>1</v>
      </c>
      <c r="E15" s="266"/>
      <c r="F15" s="557"/>
      <c r="G15" s="263"/>
    </row>
    <row r="16" spans="1:10" s="264" customFormat="1" ht="15.75" x14ac:dyDescent="0.25">
      <c r="A16" s="269" t="s">
        <v>557</v>
      </c>
      <c r="B16" s="266" t="s">
        <v>798</v>
      </c>
      <c r="C16" s="266"/>
      <c r="D16" s="266"/>
      <c r="E16" s="266"/>
      <c r="F16" s="557"/>
      <c r="G16" s="263"/>
    </row>
    <row r="17" spans="1:7" s="264" customFormat="1" ht="15.75" x14ac:dyDescent="0.25">
      <c r="A17" s="265" t="s">
        <v>843</v>
      </c>
      <c r="B17" s="266" t="s">
        <v>555</v>
      </c>
      <c r="C17" s="266"/>
      <c r="D17" s="272">
        <f>'Equipamentos - EST'!C22</f>
        <v>2</v>
      </c>
      <c r="E17" s="300" t="s">
        <v>556</v>
      </c>
      <c r="F17" s="557"/>
      <c r="G17" s="263"/>
    </row>
    <row r="18" spans="1:7" s="264" customFormat="1" ht="15.75" x14ac:dyDescent="0.25">
      <c r="A18" s="265" t="s">
        <v>844</v>
      </c>
      <c r="B18" s="266" t="s">
        <v>835</v>
      </c>
      <c r="C18" s="266"/>
      <c r="D18" s="266" t="s">
        <v>632</v>
      </c>
      <c r="E18" s="300"/>
      <c r="F18" s="301"/>
      <c r="G18" s="263"/>
    </row>
    <row r="19" spans="1:7" s="264" customFormat="1" ht="15.75" x14ac:dyDescent="0.25">
      <c r="A19" s="265" t="s">
        <v>845</v>
      </c>
      <c r="B19" s="266" t="s">
        <v>836</v>
      </c>
      <c r="C19" s="266"/>
      <c r="D19" s="272">
        <f>'Equipamentos - EST'!C37*(D18=J7)</f>
        <v>2</v>
      </c>
      <c r="E19" s="300" t="s">
        <v>556</v>
      </c>
      <c r="F19" s="301"/>
      <c r="G19" s="263"/>
    </row>
    <row r="20" spans="1:7" s="264" customFormat="1" ht="15.75" x14ac:dyDescent="0.25">
      <c r="A20" s="265" t="s">
        <v>846</v>
      </c>
      <c r="B20" s="266" t="s">
        <v>800</v>
      </c>
      <c r="C20" s="266"/>
      <c r="D20" s="272">
        <v>0</v>
      </c>
      <c r="E20" s="300" t="s">
        <v>556</v>
      </c>
      <c r="F20" s="274" t="str">
        <f>IF(AND(D18=J8,OR(D20="",D20=0)),"Informe o número de mesas",IF(AND(D20&gt;0,D18=J7),"Remova o número de mesas",""))</f>
        <v/>
      </c>
      <c r="G20" s="263"/>
    </row>
    <row r="21" spans="1:7" s="264" customFormat="1" ht="15.75" x14ac:dyDescent="0.25">
      <c r="A21" s="265" t="s">
        <v>847</v>
      </c>
      <c r="B21" s="266" t="s">
        <v>561</v>
      </c>
      <c r="C21" s="266"/>
      <c r="D21" s="272">
        <v>1</v>
      </c>
      <c r="E21" s="300" t="s">
        <v>556</v>
      </c>
      <c r="F21" s="301"/>
      <c r="G21" s="263"/>
    </row>
    <row r="22" spans="1:7" s="264" customFormat="1" ht="15.75" x14ac:dyDescent="0.25">
      <c r="A22" s="265" t="s">
        <v>848</v>
      </c>
      <c r="B22" s="266" t="s">
        <v>799</v>
      </c>
      <c r="C22" s="266"/>
      <c r="D22" s="272">
        <v>1</v>
      </c>
      <c r="E22" s="300" t="s">
        <v>556</v>
      </c>
      <c r="F22" s="301"/>
      <c r="G22" s="263"/>
    </row>
    <row r="23" spans="1:7" s="264" customFormat="1" ht="15.75" x14ac:dyDescent="0.25">
      <c r="A23" s="265" t="s">
        <v>849</v>
      </c>
      <c r="B23" s="266" t="s">
        <v>833</v>
      </c>
      <c r="C23" s="266"/>
      <c r="D23" s="272">
        <v>2</v>
      </c>
      <c r="E23" s="300" t="s">
        <v>556</v>
      </c>
      <c r="F23" s="301"/>
      <c r="G23" s="263"/>
    </row>
    <row r="24" spans="1:7" s="264" customFormat="1" ht="15.75" x14ac:dyDescent="0.25">
      <c r="A24" s="265" t="s">
        <v>560</v>
      </c>
      <c r="B24" s="266" t="s">
        <v>558</v>
      </c>
      <c r="C24" s="554"/>
      <c r="D24" s="272">
        <f>IF(D18=J7,'Equipamentos - EST'!C25,0)</f>
        <v>13.285781249999999</v>
      </c>
      <c r="E24" s="300" t="s">
        <v>559</v>
      </c>
      <c r="F24" s="301"/>
      <c r="G24" s="263"/>
    </row>
    <row r="25" spans="1:7" ht="15.75" x14ac:dyDescent="0.25">
      <c r="A25" s="265" t="s">
        <v>562</v>
      </c>
      <c r="B25" s="266" t="s">
        <v>563</v>
      </c>
      <c r="C25" s="266"/>
      <c r="D25" s="272">
        <v>832.08</v>
      </c>
      <c r="E25" s="300" t="s">
        <v>519</v>
      </c>
      <c r="F25" s="301"/>
    </row>
    <row r="26" spans="1:7" ht="15.75" x14ac:dyDescent="0.25">
      <c r="A26" s="265" t="s">
        <v>564</v>
      </c>
      <c r="B26" s="266" t="s">
        <v>565</v>
      </c>
      <c r="C26" s="266"/>
      <c r="D26" s="272">
        <f>D25-SUM(D27:D30)</f>
        <v>725.08</v>
      </c>
      <c r="E26" s="300" t="s">
        <v>519</v>
      </c>
      <c r="F26" s="301"/>
    </row>
    <row r="27" spans="1:7" ht="15.75" x14ac:dyDescent="0.25">
      <c r="A27" s="269" t="s">
        <v>566</v>
      </c>
      <c r="B27" s="266" t="s">
        <v>567</v>
      </c>
      <c r="C27" s="266"/>
      <c r="D27" s="271">
        <v>50</v>
      </c>
      <c r="E27" s="266" t="s">
        <v>568</v>
      </c>
      <c r="F27" s="301"/>
    </row>
    <row r="28" spans="1:7" ht="15.75" x14ac:dyDescent="0.25">
      <c r="A28" s="265" t="s">
        <v>569</v>
      </c>
      <c r="B28" s="266" t="s">
        <v>570</v>
      </c>
      <c r="C28" s="266"/>
      <c r="D28" s="272">
        <v>12</v>
      </c>
      <c r="E28" s="300" t="s">
        <v>519</v>
      </c>
      <c r="F28" s="301"/>
    </row>
    <row r="29" spans="1:7" ht="15.75" x14ac:dyDescent="0.25">
      <c r="A29" s="265" t="s">
        <v>571</v>
      </c>
      <c r="B29" s="266" t="s">
        <v>572</v>
      </c>
      <c r="C29" s="266"/>
      <c r="D29" s="273">
        <v>30</v>
      </c>
      <c r="E29" s="300" t="s">
        <v>568</v>
      </c>
      <c r="F29" s="301"/>
    </row>
    <row r="30" spans="1:7" ht="15.75" x14ac:dyDescent="0.25">
      <c r="A30" s="265" t="s">
        <v>739</v>
      </c>
      <c r="B30" s="266" t="s">
        <v>740</v>
      </c>
      <c r="C30" s="266"/>
      <c r="D30" s="273">
        <v>15</v>
      </c>
      <c r="E30" s="300" t="s">
        <v>568</v>
      </c>
      <c r="F30" s="301"/>
    </row>
    <row r="31" spans="1:7" ht="15.75" x14ac:dyDescent="0.25">
      <c r="A31" s="265" t="s">
        <v>742</v>
      </c>
      <c r="B31" s="266" t="s">
        <v>743</v>
      </c>
      <c r="C31" s="266"/>
      <c r="D31" s="273">
        <v>421.57</v>
      </c>
      <c r="E31" s="300" t="s">
        <v>519</v>
      </c>
      <c r="F31" s="301"/>
    </row>
    <row r="32" spans="1:7" ht="15.75" x14ac:dyDescent="0.25">
      <c r="A32" s="265" t="s">
        <v>769</v>
      </c>
      <c r="B32" s="266" t="s">
        <v>770</v>
      </c>
      <c r="C32" s="266"/>
      <c r="D32" s="273">
        <v>2686.28</v>
      </c>
      <c r="E32" s="300" t="s">
        <v>519</v>
      </c>
      <c r="F32" s="301"/>
    </row>
    <row r="33" spans="1:6" ht="15.75" x14ac:dyDescent="0.25">
      <c r="A33" s="265" t="s">
        <v>801</v>
      </c>
      <c r="B33" s="275" t="s">
        <v>575</v>
      </c>
      <c r="C33" s="275"/>
      <c r="D33" s="275">
        <f>'Energia Elétrica - EST'!U14*26</f>
        <v>208</v>
      </c>
      <c r="E33" s="558"/>
      <c r="F33" s="301"/>
    </row>
    <row r="34" spans="1:6" x14ac:dyDescent="0.25">
      <c r="A34" s="276" t="s">
        <v>574</v>
      </c>
      <c r="B34" s="275" t="s">
        <v>577</v>
      </c>
      <c r="C34" s="275"/>
      <c r="D34" s="275">
        <f>'MAT SER E DESP - EST'!C9</f>
        <v>4</v>
      </c>
      <c r="E34" s="558"/>
      <c r="F34" s="301"/>
    </row>
    <row r="35" spans="1:6" x14ac:dyDescent="0.25">
      <c r="A35" s="276" t="s">
        <v>576</v>
      </c>
      <c r="B35" s="275" t="s">
        <v>807</v>
      </c>
      <c r="C35" s="275"/>
      <c r="D35" s="286">
        <f>D8/D34</f>
        <v>26.571562499999999</v>
      </c>
      <c r="E35" s="558"/>
      <c r="F35" s="301"/>
    </row>
    <row r="36" spans="1:6" ht="14.25" customHeight="1" x14ac:dyDescent="0.25">
      <c r="A36" s="276" t="s">
        <v>578</v>
      </c>
      <c r="B36" s="275" t="s">
        <v>580</v>
      </c>
      <c r="C36" s="275"/>
      <c r="D36" s="530">
        <v>17</v>
      </c>
      <c r="E36" s="558"/>
      <c r="F36" s="287"/>
    </row>
    <row r="37" spans="1:6" ht="14.25" customHeight="1" x14ac:dyDescent="0.3">
      <c r="A37" s="276" t="s">
        <v>579</v>
      </c>
      <c r="B37" s="275" t="s">
        <v>581</v>
      </c>
      <c r="C37" s="275"/>
      <c r="D37" s="275">
        <f>2/1</f>
        <v>2</v>
      </c>
      <c r="E37" s="559"/>
      <c r="F37" s="301"/>
    </row>
    <row r="38" spans="1:6" ht="14.25" customHeight="1" x14ac:dyDescent="0.3">
      <c r="A38" s="535">
        <v>2</v>
      </c>
      <c r="B38" s="536" t="s">
        <v>582</v>
      </c>
      <c r="C38" s="536"/>
      <c r="D38" s="277"/>
      <c r="E38" s="560">
        <v>0</v>
      </c>
      <c r="F38" s="301"/>
    </row>
    <row r="39" spans="1:6" x14ac:dyDescent="0.25">
      <c r="A39" s="280" t="s">
        <v>583</v>
      </c>
      <c r="B39" s="547" t="s">
        <v>584</v>
      </c>
      <c r="C39" s="547"/>
      <c r="D39" s="537">
        <v>0.33333333333333331</v>
      </c>
      <c r="E39" s="558"/>
      <c r="F39" s="301"/>
    </row>
    <row r="40" spans="1:6" x14ac:dyDescent="0.25">
      <c r="A40" s="276" t="s">
        <v>585</v>
      </c>
      <c r="B40" s="275" t="s">
        <v>586</v>
      </c>
      <c r="C40" s="275"/>
      <c r="D40" s="281">
        <v>0.3125</v>
      </c>
      <c r="E40" s="558"/>
      <c r="F40" s="319"/>
    </row>
    <row r="41" spans="1:6" x14ac:dyDescent="0.25">
      <c r="A41" s="276" t="s">
        <v>587</v>
      </c>
      <c r="B41" s="275" t="s">
        <v>588</v>
      </c>
      <c r="C41" s="275"/>
      <c r="D41" s="281">
        <f>D39+D40+D42</f>
        <v>0.68749999999999989</v>
      </c>
      <c r="E41" s="558"/>
      <c r="F41" s="301"/>
    </row>
    <row r="42" spans="1:6" x14ac:dyDescent="0.25">
      <c r="A42" s="276" t="s">
        <v>589</v>
      </c>
      <c r="B42" s="275" t="s">
        <v>590</v>
      </c>
      <c r="C42" s="275"/>
      <c r="D42" s="531">
        <v>4.1666666666666664E-2</v>
      </c>
      <c r="E42" s="558"/>
      <c r="F42" s="301"/>
    </row>
    <row r="43" spans="1:6" x14ac:dyDescent="0.25">
      <c r="A43" s="280" t="s">
        <v>591</v>
      </c>
      <c r="B43" s="282" t="s">
        <v>592</v>
      </c>
      <c r="C43" s="282"/>
      <c r="D43" s="277">
        <v>26</v>
      </c>
      <c r="E43" s="558"/>
      <c r="F43" s="301"/>
    </row>
    <row r="44" spans="1:6" x14ac:dyDescent="0.25">
      <c r="A44" s="278" t="s">
        <v>593</v>
      </c>
      <c r="B44" s="279" t="s">
        <v>592</v>
      </c>
      <c r="C44" s="279"/>
      <c r="D44" s="545">
        <f>D39*24*D43</f>
        <v>208</v>
      </c>
      <c r="E44" s="561"/>
      <c r="F44" s="310"/>
    </row>
    <row r="46" spans="1:6" x14ac:dyDescent="0.25">
      <c r="D46" s="546"/>
    </row>
    <row r="47" spans="1:6" ht="18.75" x14ac:dyDescent="0.3">
      <c r="A47" s="538"/>
      <c r="B47" s="542"/>
      <c r="C47" s="542"/>
      <c r="D47" s="543"/>
      <c r="E47" s="544"/>
      <c r="F47"/>
    </row>
  </sheetData>
  <mergeCells count="1">
    <mergeCell ref="A3:F3"/>
  </mergeCells>
  <conditionalFormatting sqref="F20">
    <cfRule type="containsText" dxfId="34" priority="1" operator="containsText" text="Informe">
      <formula>NOT(ISERROR(SEARCH("Informe",F20)))</formula>
    </cfRule>
    <cfRule type="containsText" dxfId="33" priority="2" operator="containsText" text="Remova">
      <formula>NOT(ISERROR(SEARCH("Remova",F20)))</formula>
    </cfRule>
  </conditionalFormatting>
  <dataValidations count="1">
    <dataValidation type="list" allowBlank="1" showInputMessage="1" showErrorMessage="1" sqref="D18">
      <formula1>$J$7:$J$8</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9"/>
  <sheetViews>
    <sheetView workbookViewId="0">
      <selection activeCell="I203" sqref="I203"/>
    </sheetView>
  </sheetViews>
  <sheetFormatPr defaultColWidth="9.140625" defaultRowHeight="12.75" x14ac:dyDescent="0.2"/>
  <cols>
    <col min="1" max="1" width="11.42578125" style="183" customWidth="1"/>
    <col min="2" max="2" width="51.42578125" style="183" customWidth="1"/>
    <col min="3" max="3" width="11.85546875" style="199" customWidth="1"/>
    <col min="4" max="4" width="13.140625" style="183" customWidth="1"/>
    <col min="5" max="5" width="14.42578125" style="510" customWidth="1"/>
    <col min="6" max="6" width="14.7109375" style="510" customWidth="1"/>
    <col min="7" max="7" width="18.7109375" style="183" customWidth="1"/>
    <col min="8" max="8" width="15.7109375" style="183" hidden="1" customWidth="1"/>
    <col min="9" max="9" width="16.140625" style="183" customWidth="1"/>
    <col min="10" max="10" width="15.5703125" style="183" customWidth="1"/>
    <col min="11" max="12" width="13.85546875" style="183" customWidth="1"/>
    <col min="13" max="13" width="18.140625" style="183" customWidth="1"/>
    <col min="14" max="16384" width="9.140625" style="183"/>
  </cols>
  <sheetData>
    <row r="1" spans="1:13" ht="68.25" customHeight="1" x14ac:dyDescent="0.2">
      <c r="B1" s="701"/>
      <c r="C1" s="701"/>
      <c r="D1" s="701"/>
      <c r="E1" s="701"/>
      <c r="F1" s="701"/>
      <c r="G1" s="701"/>
    </row>
    <row r="2" spans="1:13" x14ac:dyDescent="0.2">
      <c r="A2" s="184"/>
      <c r="B2" s="184"/>
      <c r="C2" s="185"/>
      <c r="D2" s="184"/>
      <c r="E2" s="505"/>
      <c r="F2" s="505"/>
      <c r="G2" s="184"/>
    </row>
    <row r="3" spans="1:13" ht="15.75" x14ac:dyDescent="0.25">
      <c r="B3" s="201" t="s">
        <v>455</v>
      </c>
      <c r="C3" s="187"/>
      <c r="D3" s="186"/>
      <c r="E3" s="506"/>
      <c r="F3" s="506"/>
      <c r="G3" s="186"/>
    </row>
    <row r="4" spans="1:13" ht="15.75" x14ac:dyDescent="0.25">
      <c r="B4" s="201" t="s">
        <v>953</v>
      </c>
      <c r="C4" s="187"/>
      <c r="D4" s="186"/>
      <c r="E4" s="506"/>
      <c r="F4" s="506"/>
      <c r="G4" s="186"/>
    </row>
    <row r="5" spans="1:13" ht="15" customHeight="1" thickBot="1" x14ac:dyDescent="0.25">
      <c r="B5" s="186"/>
      <c r="C5" s="187"/>
      <c r="D5" s="186"/>
      <c r="E5" s="506"/>
      <c r="F5" s="506"/>
      <c r="G5" s="186"/>
    </row>
    <row r="6" spans="1:13" ht="15" customHeight="1" x14ac:dyDescent="0.2">
      <c r="B6" s="702" t="s">
        <v>456</v>
      </c>
      <c r="C6" s="703"/>
      <c r="D6" s="186"/>
      <c r="E6" s="506"/>
      <c r="F6" s="506"/>
      <c r="G6" s="186"/>
    </row>
    <row r="7" spans="1:13" ht="15" customHeight="1" x14ac:dyDescent="0.2">
      <c r="B7" s="188" t="s">
        <v>457</v>
      </c>
      <c r="C7" s="435">
        <f>'PARÂMETROS - MESA'!D25</f>
        <v>832.08</v>
      </c>
      <c r="D7" s="186"/>
      <c r="E7" s="506"/>
      <c r="F7" s="506"/>
      <c r="G7" s="186"/>
    </row>
    <row r="8" spans="1:13" ht="15" customHeight="1" x14ac:dyDescent="0.2">
      <c r="B8" s="189" t="s">
        <v>458</v>
      </c>
      <c r="C8" s="433">
        <f>'PARÂMETROS - MESA'!D8</f>
        <v>106.28625</v>
      </c>
      <c r="D8" s="186"/>
      <c r="E8" s="506"/>
      <c r="F8" s="506"/>
      <c r="G8" s="186"/>
    </row>
    <row r="9" spans="1:13" ht="15" customHeight="1" x14ac:dyDescent="0.2">
      <c r="B9" s="189" t="s">
        <v>459</v>
      </c>
      <c r="C9" s="433">
        <f>'PARÂMETROS - MESA'!D7</f>
        <v>4</v>
      </c>
      <c r="D9" s="186"/>
      <c r="E9" s="506"/>
      <c r="F9" s="506"/>
      <c r="G9" s="186"/>
    </row>
    <row r="10" spans="1:13" ht="15" customHeight="1" x14ac:dyDescent="0.2">
      <c r="B10" s="189" t="s">
        <v>460</v>
      </c>
      <c r="C10" s="190">
        <v>0.33333333333333331</v>
      </c>
      <c r="D10" s="186"/>
      <c r="E10" s="506"/>
      <c r="F10" s="506"/>
      <c r="G10" s="186"/>
    </row>
    <row r="11" spans="1:13" ht="15" customHeight="1" thickBot="1" x14ac:dyDescent="0.25">
      <c r="B11" s="189" t="s">
        <v>461</v>
      </c>
      <c r="C11" s="190">
        <f>'PARÂMETROS - MESA'!D40</f>
        <v>0.3125</v>
      </c>
      <c r="D11" s="186"/>
      <c r="E11" s="506"/>
      <c r="F11" s="506"/>
      <c r="G11" s="186"/>
    </row>
    <row r="12" spans="1:13" ht="15" customHeight="1" x14ac:dyDescent="0.2">
      <c r="B12" s="189" t="s">
        <v>462</v>
      </c>
      <c r="C12" s="190">
        <f>'PARÂMETROS - MESA'!D41</f>
        <v>0.68749999999999989</v>
      </c>
      <c r="D12" s="191" t="s">
        <v>463</v>
      </c>
      <c r="E12" s="507" t="s">
        <v>464</v>
      </c>
      <c r="F12" s="506"/>
      <c r="G12" s="186"/>
      <c r="H12" s="193" t="s">
        <v>465</v>
      </c>
    </row>
    <row r="13" spans="1:13" ht="15" customHeight="1" x14ac:dyDescent="0.2">
      <c r="B13" s="189" t="s">
        <v>797</v>
      </c>
      <c r="C13" s="527">
        <f>'PARÂMETROS - MESA'!D17</f>
        <v>2</v>
      </c>
      <c r="D13" s="192">
        <v>1</v>
      </c>
      <c r="E13" s="508">
        <v>0</v>
      </c>
      <c r="G13" s="186"/>
      <c r="H13" s="482">
        <f>IF(C13&gt;0,1,0)</f>
        <v>1</v>
      </c>
    </row>
    <row r="14" spans="1:13" ht="15" customHeight="1" x14ac:dyDescent="0.2">
      <c r="B14" s="189" t="s">
        <v>831</v>
      </c>
      <c r="C14" s="527">
        <f>'PARÂMETROS - MESA'!D19</f>
        <v>0</v>
      </c>
      <c r="D14" s="194"/>
      <c r="E14" s="509">
        <v>0</v>
      </c>
      <c r="H14" s="482">
        <f t="shared" ref="H14:H16" si="0">IF(C14&gt;0,1,0)</f>
        <v>0</v>
      </c>
    </row>
    <row r="15" spans="1:13" ht="15" customHeight="1" x14ac:dyDescent="0.2">
      <c r="B15" s="189" t="s">
        <v>851</v>
      </c>
      <c r="C15" s="527">
        <f>'PARÂMETROS - MESA'!D21</f>
        <v>1</v>
      </c>
      <c r="D15" s="194">
        <v>1</v>
      </c>
      <c r="E15" s="509">
        <v>0</v>
      </c>
      <c r="H15" s="482">
        <f t="shared" si="0"/>
        <v>1</v>
      </c>
      <c r="K15" s="195"/>
      <c r="L15" s="196"/>
      <c r="M15" s="197"/>
    </row>
    <row r="16" spans="1:13" ht="15" customHeight="1" x14ac:dyDescent="0.2">
      <c r="B16" s="189" t="s">
        <v>466</v>
      </c>
      <c r="C16" s="563">
        <f>'PARÂMETROS - MESA'!D22</f>
        <v>1</v>
      </c>
      <c r="D16" s="194">
        <v>1</v>
      </c>
      <c r="E16" s="509">
        <v>0</v>
      </c>
      <c r="H16" s="482">
        <f t="shared" si="0"/>
        <v>1</v>
      </c>
      <c r="K16" s="195"/>
      <c r="L16" s="196"/>
      <c r="M16" s="197"/>
    </row>
    <row r="17" spans="2:13" ht="15" customHeight="1" thickBot="1" x14ac:dyDescent="0.25">
      <c r="B17" s="198" t="s">
        <v>852</v>
      </c>
      <c r="C17" s="564">
        <f>'PARÂMETROS - MESA'!D23</f>
        <v>2</v>
      </c>
      <c r="D17" s="565">
        <v>1</v>
      </c>
      <c r="E17" s="566"/>
      <c r="H17" s="187"/>
      <c r="K17" s="195"/>
      <c r="L17" s="196"/>
      <c r="M17" s="197"/>
    </row>
    <row r="18" spans="2:13" ht="15" customHeight="1" x14ac:dyDescent="0.2">
      <c r="K18" s="200"/>
      <c r="L18" s="196"/>
      <c r="M18" s="197"/>
    </row>
    <row r="19" spans="2:13" ht="15.75" x14ac:dyDescent="0.25">
      <c r="B19" s="201" t="s">
        <v>467</v>
      </c>
      <c r="C19" s="187"/>
      <c r="E19" s="511"/>
      <c r="F19" s="511"/>
      <c r="K19" s="200"/>
      <c r="L19" s="202"/>
      <c r="M19" s="197"/>
    </row>
    <row r="20" spans="2:13" x14ac:dyDescent="0.2">
      <c r="B20" s="183" t="s">
        <v>468</v>
      </c>
      <c r="C20" s="187"/>
      <c r="E20" s="511"/>
      <c r="F20" s="511"/>
      <c r="K20" s="200"/>
      <c r="L20" s="202"/>
      <c r="M20" s="197"/>
    </row>
    <row r="21" spans="2:13" x14ac:dyDescent="0.2">
      <c r="B21" s="203" t="s">
        <v>469</v>
      </c>
      <c r="C21" s="203" t="s">
        <v>2</v>
      </c>
      <c r="D21" s="203" t="s">
        <v>44</v>
      </c>
      <c r="E21" s="526" t="s">
        <v>470</v>
      </c>
      <c r="F21" s="526" t="s">
        <v>471</v>
      </c>
      <c r="G21" s="204" t="s">
        <v>472</v>
      </c>
      <c r="K21" s="195"/>
    </row>
    <row r="22" spans="2:13" x14ac:dyDescent="0.2">
      <c r="B22" s="205" t="s">
        <v>473</v>
      </c>
      <c r="C22" s="206" t="s">
        <v>289</v>
      </c>
      <c r="D22" s="207">
        <v>0.16666666666666666</v>
      </c>
      <c r="E22" s="512">
        <f>'MAPA DE PREÇOS'!M267</f>
        <v>53.9</v>
      </c>
      <c r="F22" s="516">
        <f>E22*D22</f>
        <v>8.9833333333333325</v>
      </c>
      <c r="I22" s="197"/>
    </row>
    <row r="23" spans="2:13" x14ac:dyDescent="0.2">
      <c r="B23" s="208" t="s">
        <v>445</v>
      </c>
      <c r="C23" s="209" t="s">
        <v>289</v>
      </c>
      <c r="D23" s="210">
        <v>0.33333333333333331</v>
      </c>
      <c r="E23" s="513">
        <f>'MAPA DE PREÇOS'!M288</f>
        <v>32.53</v>
      </c>
      <c r="F23" s="514">
        <f t="shared" ref="F23:F28" si="1">E23*D23</f>
        <v>10.843333333333334</v>
      </c>
      <c r="I23" s="197"/>
    </row>
    <row r="24" spans="2:13" x14ac:dyDescent="0.2">
      <c r="B24" s="208" t="s">
        <v>474</v>
      </c>
      <c r="C24" s="209" t="s">
        <v>227</v>
      </c>
      <c r="D24" s="210">
        <v>0.33333333333333331</v>
      </c>
      <c r="E24" s="513">
        <f>'MAPA DE PREÇOS'!M141</f>
        <v>2.77</v>
      </c>
      <c r="F24" s="514">
        <f t="shared" si="1"/>
        <v>0.92333333333333334</v>
      </c>
      <c r="I24" s="197"/>
    </row>
    <row r="25" spans="2:13" x14ac:dyDescent="0.2">
      <c r="B25" s="208" t="s">
        <v>439</v>
      </c>
      <c r="C25" s="209" t="s">
        <v>289</v>
      </c>
      <c r="D25" s="210">
        <v>0.25</v>
      </c>
      <c r="E25" s="513">
        <f>'MAPA DE PREÇOS'!M162</f>
        <v>12.66</v>
      </c>
      <c r="F25" s="514">
        <f t="shared" si="1"/>
        <v>3.165</v>
      </c>
      <c r="I25" s="197"/>
    </row>
    <row r="26" spans="2:13" x14ac:dyDescent="0.2">
      <c r="B26" s="208" t="s">
        <v>440</v>
      </c>
      <c r="C26" s="209" t="s">
        <v>289</v>
      </c>
      <c r="D26" s="210">
        <v>0.16666666666666666</v>
      </c>
      <c r="E26" s="513">
        <f>'MAPA DE PREÇOS'!M183</f>
        <v>47.65</v>
      </c>
      <c r="F26" s="514">
        <f t="shared" si="1"/>
        <v>7.9416666666666664</v>
      </c>
      <c r="I26" s="197"/>
    </row>
    <row r="27" spans="2:13" x14ac:dyDescent="0.2">
      <c r="B27" s="208" t="s">
        <v>442</v>
      </c>
      <c r="C27" s="209" t="s">
        <v>289</v>
      </c>
      <c r="D27" s="211">
        <v>4</v>
      </c>
      <c r="E27" s="513">
        <f>'MAPA DE PREÇOS'!M225</f>
        <v>1.58</v>
      </c>
      <c r="F27" s="514">
        <f t="shared" si="1"/>
        <v>6.32</v>
      </c>
      <c r="I27" s="197"/>
    </row>
    <row r="28" spans="2:13" x14ac:dyDescent="0.2">
      <c r="B28" s="208" t="s">
        <v>443</v>
      </c>
      <c r="C28" s="209" t="s">
        <v>289</v>
      </c>
      <c r="D28" s="211">
        <v>2</v>
      </c>
      <c r="E28" s="513">
        <f>'MAPA DE PREÇOS'!M246</f>
        <v>2.65</v>
      </c>
      <c r="F28" s="514">
        <f t="shared" si="1"/>
        <v>5.3</v>
      </c>
      <c r="I28" s="197"/>
    </row>
    <row r="29" spans="2:13" x14ac:dyDescent="0.2">
      <c r="B29" s="208" t="s">
        <v>475</v>
      </c>
      <c r="C29" s="209" t="s">
        <v>476</v>
      </c>
      <c r="D29" s="212">
        <f>ROUND(C8/C9,0)</f>
        <v>27</v>
      </c>
      <c r="E29" s="514">
        <f>SUM(F22:F28)</f>
        <v>43.476666666666659</v>
      </c>
      <c r="F29" s="514">
        <f>E29*D29</f>
        <v>1173.8699999999999</v>
      </c>
      <c r="I29" s="197"/>
    </row>
    <row r="30" spans="2:13" x14ac:dyDescent="0.2">
      <c r="E30" s="511"/>
      <c r="F30" s="511"/>
      <c r="G30" s="213">
        <f>F29</f>
        <v>1173.8699999999999</v>
      </c>
    </row>
    <row r="31" spans="2:13" x14ac:dyDescent="0.2">
      <c r="B31" s="183" t="s">
        <v>477</v>
      </c>
      <c r="E31" s="511"/>
      <c r="F31" s="511"/>
      <c r="G31" s="197"/>
    </row>
    <row r="32" spans="2:13" x14ac:dyDescent="0.2">
      <c r="B32" s="203" t="s">
        <v>469</v>
      </c>
      <c r="C32" s="203" t="s">
        <v>2</v>
      </c>
      <c r="D32" s="203" t="s">
        <v>44</v>
      </c>
      <c r="E32" s="526" t="s">
        <v>470</v>
      </c>
      <c r="F32" s="526" t="s">
        <v>471</v>
      </c>
      <c r="G32" s="204" t="s">
        <v>472</v>
      </c>
    </row>
    <row r="33" spans="2:9" x14ac:dyDescent="0.2">
      <c r="B33" s="205" t="s">
        <v>473</v>
      </c>
      <c r="C33" s="206" t="s">
        <v>289</v>
      </c>
      <c r="D33" s="207">
        <v>0.16666666666666666</v>
      </c>
      <c r="E33" s="512">
        <f t="shared" ref="E33:E39" si="2">E22</f>
        <v>53.9</v>
      </c>
      <c r="F33" s="516">
        <f>E33*D33</f>
        <v>8.9833333333333325</v>
      </c>
      <c r="I33" s="197"/>
    </row>
    <row r="34" spans="2:9" x14ac:dyDescent="0.2">
      <c r="B34" s="208" t="s">
        <v>445</v>
      </c>
      <c r="C34" s="209" t="s">
        <v>289</v>
      </c>
      <c r="D34" s="210">
        <v>0.33333333333333331</v>
      </c>
      <c r="E34" s="513">
        <f t="shared" si="2"/>
        <v>32.53</v>
      </c>
      <c r="F34" s="514">
        <f t="shared" ref="F34:F40" si="3">E34*D34</f>
        <v>10.843333333333334</v>
      </c>
      <c r="I34" s="197"/>
    </row>
    <row r="35" spans="2:9" x14ac:dyDescent="0.2">
      <c r="B35" s="208" t="s">
        <v>474</v>
      </c>
      <c r="C35" s="209" t="s">
        <v>227</v>
      </c>
      <c r="D35" s="210">
        <v>0.33333333333333331</v>
      </c>
      <c r="E35" s="513">
        <f t="shared" si="2"/>
        <v>2.77</v>
      </c>
      <c r="F35" s="514">
        <f t="shared" si="3"/>
        <v>0.92333333333333334</v>
      </c>
      <c r="I35" s="197"/>
    </row>
    <row r="36" spans="2:9" x14ac:dyDescent="0.2">
      <c r="B36" s="208" t="s">
        <v>439</v>
      </c>
      <c r="C36" s="209" t="s">
        <v>289</v>
      </c>
      <c r="D36" s="210">
        <v>0.25</v>
      </c>
      <c r="E36" s="513">
        <f t="shared" si="2"/>
        <v>12.66</v>
      </c>
      <c r="F36" s="514">
        <f t="shared" si="3"/>
        <v>3.165</v>
      </c>
      <c r="I36" s="197"/>
    </row>
    <row r="37" spans="2:9" x14ac:dyDescent="0.2">
      <c r="B37" s="208" t="s">
        <v>440</v>
      </c>
      <c r="C37" s="209" t="s">
        <v>289</v>
      </c>
      <c r="D37" s="210">
        <v>0.1111111111111111</v>
      </c>
      <c r="E37" s="513">
        <f t="shared" si="2"/>
        <v>47.65</v>
      </c>
      <c r="F37" s="514">
        <f t="shared" si="3"/>
        <v>5.2944444444444443</v>
      </c>
      <c r="I37" s="197"/>
    </row>
    <row r="38" spans="2:9" x14ac:dyDescent="0.2">
      <c r="B38" s="208" t="s">
        <v>442</v>
      </c>
      <c r="C38" s="209" t="s">
        <v>289</v>
      </c>
      <c r="D38" s="211">
        <v>4</v>
      </c>
      <c r="E38" s="513">
        <f t="shared" si="2"/>
        <v>1.58</v>
      </c>
      <c r="F38" s="514">
        <f t="shared" si="3"/>
        <v>6.32</v>
      </c>
      <c r="I38" s="197"/>
    </row>
    <row r="39" spans="2:9" x14ac:dyDescent="0.2">
      <c r="B39" s="208" t="s">
        <v>443</v>
      </c>
      <c r="C39" s="209" t="s">
        <v>289</v>
      </c>
      <c r="D39" s="211">
        <v>2</v>
      </c>
      <c r="E39" s="513">
        <f t="shared" si="2"/>
        <v>2.65</v>
      </c>
      <c r="F39" s="514">
        <f t="shared" si="3"/>
        <v>5.3</v>
      </c>
      <c r="I39" s="197"/>
    </row>
    <row r="40" spans="2:9" x14ac:dyDescent="0.2">
      <c r="B40" s="208" t="s">
        <v>478</v>
      </c>
      <c r="C40" s="209" t="s">
        <v>289</v>
      </c>
      <c r="D40" s="210">
        <v>0.16666666666666666</v>
      </c>
      <c r="E40" s="513">
        <f>'MAPA DE PREÇOS'!M204</f>
        <v>12.47</v>
      </c>
      <c r="F40" s="514">
        <f t="shared" si="3"/>
        <v>2.0783333333333331</v>
      </c>
      <c r="I40" s="197"/>
    </row>
    <row r="41" spans="2:9" x14ac:dyDescent="0.2">
      <c r="B41" s="208" t="s">
        <v>475</v>
      </c>
      <c r="C41" s="209" t="s">
        <v>476</v>
      </c>
      <c r="D41" s="212">
        <v>2</v>
      </c>
      <c r="E41" s="514">
        <f>SUM(F33:F40)</f>
        <v>42.907777777777774</v>
      </c>
      <c r="F41" s="514">
        <f>E41*D41</f>
        <v>85.815555555555548</v>
      </c>
      <c r="I41" s="197"/>
    </row>
    <row r="42" spans="2:9" x14ac:dyDescent="0.2">
      <c r="E42" s="511"/>
      <c r="F42" s="511"/>
      <c r="G42" s="213">
        <f>F41</f>
        <v>85.815555555555548</v>
      </c>
    </row>
    <row r="44" spans="2:9" x14ac:dyDescent="0.2">
      <c r="B44" s="183" t="s">
        <v>479</v>
      </c>
      <c r="E44" s="511"/>
      <c r="F44" s="511"/>
      <c r="G44" s="197"/>
    </row>
    <row r="45" spans="2:9" x14ac:dyDescent="0.2">
      <c r="B45" s="203" t="s">
        <v>469</v>
      </c>
      <c r="C45" s="203" t="s">
        <v>2</v>
      </c>
      <c r="D45" s="203" t="s">
        <v>44</v>
      </c>
      <c r="E45" s="526" t="s">
        <v>470</v>
      </c>
      <c r="F45" s="526" t="s">
        <v>471</v>
      </c>
      <c r="G45" s="204" t="s">
        <v>472</v>
      </c>
    </row>
    <row r="46" spans="2:9" x14ac:dyDescent="0.2">
      <c r="B46" s="205" t="s">
        <v>473</v>
      </c>
      <c r="C46" s="206" t="s">
        <v>289</v>
      </c>
      <c r="D46" s="207">
        <v>0.16666666666666666</v>
      </c>
      <c r="E46" s="512">
        <f>E35</f>
        <v>2.77</v>
      </c>
      <c r="F46" s="516">
        <f>E46*D46</f>
        <v>0.46166666666666667</v>
      </c>
    </row>
    <row r="47" spans="2:9" x14ac:dyDescent="0.2">
      <c r="B47" s="208" t="s">
        <v>445</v>
      </c>
      <c r="C47" s="209" t="s">
        <v>289</v>
      </c>
      <c r="D47" s="210">
        <v>0.33333333333333331</v>
      </c>
      <c r="E47" s="513">
        <f>E36</f>
        <v>12.66</v>
      </c>
      <c r="F47" s="514">
        <f>E47*D47</f>
        <v>4.22</v>
      </c>
    </row>
    <row r="48" spans="2:9" x14ac:dyDescent="0.2">
      <c r="B48" s="208" t="s">
        <v>474</v>
      </c>
      <c r="C48" s="209" t="s">
        <v>227</v>
      </c>
      <c r="D48" s="210">
        <v>0.33333333333333331</v>
      </c>
      <c r="E48" s="513">
        <f>E37</f>
        <v>47.65</v>
      </c>
      <c r="F48" s="514">
        <f>E48*D48</f>
        <v>15.883333333333333</v>
      </c>
    </row>
    <row r="49" spans="2:7" x14ac:dyDescent="0.2">
      <c r="B49" s="208" t="s">
        <v>440</v>
      </c>
      <c r="C49" s="209" t="s">
        <v>289</v>
      </c>
      <c r="D49" s="210">
        <v>0.1111111111111111</v>
      </c>
      <c r="E49" s="513">
        <f>E39</f>
        <v>2.65</v>
      </c>
      <c r="F49" s="514">
        <f>E49*D49</f>
        <v>0.2944444444444444</v>
      </c>
    </row>
    <row r="50" spans="2:7" x14ac:dyDescent="0.2">
      <c r="B50" s="208" t="s">
        <v>475</v>
      </c>
      <c r="C50" s="209" t="s">
        <v>476</v>
      </c>
      <c r="D50" s="212">
        <v>2</v>
      </c>
      <c r="E50" s="514">
        <f>SUM(F46:F49)</f>
        <v>20.859444444444442</v>
      </c>
      <c r="F50" s="514">
        <f>E50*D50</f>
        <v>41.718888888888884</v>
      </c>
    </row>
    <row r="51" spans="2:7" x14ac:dyDescent="0.2">
      <c r="E51" s="511"/>
      <c r="F51" s="511"/>
      <c r="G51" s="213">
        <f>F50</f>
        <v>41.718888888888884</v>
      </c>
    </row>
    <row r="52" spans="2:7" x14ac:dyDescent="0.2">
      <c r="B52" s="214" t="s">
        <v>480</v>
      </c>
    </row>
    <row r="53" spans="2:7" x14ac:dyDescent="0.2">
      <c r="B53" s="203" t="s">
        <v>469</v>
      </c>
      <c r="C53" s="203" t="s">
        <v>2</v>
      </c>
      <c r="D53" s="203" t="s">
        <v>44</v>
      </c>
      <c r="E53" s="526" t="s">
        <v>470</v>
      </c>
      <c r="F53" s="526" t="s">
        <v>471</v>
      </c>
      <c r="G53" s="204" t="s">
        <v>472</v>
      </c>
    </row>
    <row r="54" spans="2:7" x14ac:dyDescent="0.2">
      <c r="B54" s="205" t="s">
        <v>473</v>
      </c>
      <c r="C54" s="206" t="s">
        <v>289</v>
      </c>
      <c r="D54" s="207">
        <v>0.16666666666666666</v>
      </c>
      <c r="E54" s="512">
        <f>E22</f>
        <v>53.9</v>
      </c>
      <c r="F54" s="516">
        <f>E54*D54</f>
        <v>8.9833333333333325</v>
      </c>
    </row>
    <row r="55" spans="2:7" x14ac:dyDescent="0.2">
      <c r="B55" s="208" t="s">
        <v>445</v>
      </c>
      <c r="C55" s="209" t="s">
        <v>289</v>
      </c>
      <c r="D55" s="210">
        <v>0.33333333333333331</v>
      </c>
      <c r="E55" s="513">
        <f>E23</f>
        <v>32.53</v>
      </c>
      <c r="F55" s="514">
        <f>E55*D55</f>
        <v>10.843333333333334</v>
      </c>
    </row>
    <row r="56" spans="2:7" x14ac:dyDescent="0.2">
      <c r="B56" s="208" t="s">
        <v>475</v>
      </c>
      <c r="C56" s="212" t="s">
        <v>476</v>
      </c>
      <c r="D56" s="193">
        <v>1</v>
      </c>
      <c r="E56" s="514">
        <f>SUM(F54:F55)</f>
        <v>19.826666666666668</v>
      </c>
      <c r="F56" s="514">
        <f>E56*D56</f>
        <v>19.826666666666668</v>
      </c>
    </row>
    <row r="57" spans="2:7" x14ac:dyDescent="0.2">
      <c r="G57" s="213">
        <f>F56</f>
        <v>19.826666666666668</v>
      </c>
    </row>
    <row r="58" spans="2:7" ht="13.5" thickBot="1" x14ac:dyDescent="0.25"/>
    <row r="59" spans="2:7" ht="15.75" thickBot="1" x14ac:dyDescent="0.3">
      <c r="B59" s="215" t="s">
        <v>481</v>
      </c>
      <c r="C59" s="216"/>
      <c r="D59" s="217"/>
      <c r="E59" s="515"/>
      <c r="F59" s="515"/>
      <c r="G59" s="218">
        <f>G30+G42+G51+G57</f>
        <v>1321.231111111111</v>
      </c>
    </row>
    <row r="61" spans="2:7" ht="15.75" x14ac:dyDescent="0.25">
      <c r="B61" s="201" t="s">
        <v>482</v>
      </c>
    </row>
    <row r="62" spans="2:7" x14ac:dyDescent="0.2">
      <c r="B62" s="183" t="s">
        <v>483</v>
      </c>
    </row>
    <row r="63" spans="2:7" x14ac:dyDescent="0.2">
      <c r="B63" s="183" t="s">
        <v>484</v>
      </c>
    </row>
    <row r="64" spans="2:7" x14ac:dyDescent="0.2">
      <c r="B64" s="203" t="s">
        <v>469</v>
      </c>
      <c r="C64" s="203" t="s">
        <v>2</v>
      </c>
      <c r="D64" s="203" t="s">
        <v>44</v>
      </c>
      <c r="E64" s="526" t="s">
        <v>470</v>
      </c>
      <c r="F64" s="526" t="s">
        <v>471</v>
      </c>
      <c r="G64" s="204" t="s">
        <v>472</v>
      </c>
    </row>
    <row r="65" spans="2:7" x14ac:dyDescent="0.2">
      <c r="B65" s="219" t="s">
        <v>485</v>
      </c>
      <c r="C65" s="220" t="s">
        <v>289</v>
      </c>
      <c r="D65" s="219">
        <f>C13</f>
        <v>2</v>
      </c>
      <c r="E65" s="516">
        <f>'MAPA DE PREÇOS'!M15</f>
        <v>27220.45</v>
      </c>
      <c r="F65" s="516">
        <f>E65*D65</f>
        <v>54440.9</v>
      </c>
    </row>
    <row r="66" spans="2:7" x14ac:dyDescent="0.2">
      <c r="B66" s="193" t="s">
        <v>486</v>
      </c>
      <c r="C66" s="212" t="s">
        <v>487</v>
      </c>
      <c r="D66" s="193">
        <v>80</v>
      </c>
      <c r="E66" s="514">
        <f>F65*D66/100</f>
        <v>43552.72</v>
      </c>
      <c r="F66" s="514">
        <f>E66</f>
        <v>43552.72</v>
      </c>
    </row>
    <row r="67" spans="2:7" x14ac:dyDescent="0.2">
      <c r="B67" s="193" t="s">
        <v>488</v>
      </c>
      <c r="C67" s="212" t="s">
        <v>489</v>
      </c>
      <c r="D67" s="193">
        <v>60</v>
      </c>
      <c r="E67" s="514"/>
      <c r="F67" s="514">
        <f>F66/D67</f>
        <v>725.87866666666673</v>
      </c>
    </row>
    <row r="68" spans="2:7" x14ac:dyDescent="0.2">
      <c r="G68" s="213">
        <f>F67</f>
        <v>725.87866666666673</v>
      </c>
    </row>
    <row r="69" spans="2:7" x14ac:dyDescent="0.2">
      <c r="B69" s="183" t="s">
        <v>490</v>
      </c>
    </row>
    <row r="70" spans="2:7" x14ac:dyDescent="0.2">
      <c r="B70" s="203" t="s">
        <v>469</v>
      </c>
      <c r="C70" s="203" t="s">
        <v>2</v>
      </c>
      <c r="D70" s="203" t="s">
        <v>44</v>
      </c>
      <c r="E70" s="526" t="s">
        <v>470</v>
      </c>
      <c r="F70" s="526" t="s">
        <v>471</v>
      </c>
      <c r="G70" s="204" t="s">
        <v>472</v>
      </c>
    </row>
    <row r="71" spans="2:7" x14ac:dyDescent="0.2">
      <c r="B71" s="219" t="s">
        <v>491</v>
      </c>
      <c r="C71" s="206" t="s">
        <v>487</v>
      </c>
      <c r="D71" s="206">
        <f>100-D66</f>
        <v>20</v>
      </c>
      <c r="E71" s="512">
        <f>E65*D13</f>
        <v>27220.45</v>
      </c>
      <c r="F71" s="512">
        <f>E71*D71/100</f>
        <v>5444.09</v>
      </c>
      <c r="G71" s="221"/>
    </row>
    <row r="72" spans="2:7" x14ac:dyDescent="0.2">
      <c r="B72" s="193" t="s">
        <v>492</v>
      </c>
      <c r="C72" s="209" t="s">
        <v>493</v>
      </c>
      <c r="D72" s="209">
        <v>5</v>
      </c>
      <c r="E72" s="513"/>
      <c r="F72" s="513">
        <f>((E71-F71)*(D72+1)/(2*D72))+F71</f>
        <v>18509.906000000003</v>
      </c>
      <c r="G72" s="221"/>
    </row>
    <row r="73" spans="2:7" x14ac:dyDescent="0.2">
      <c r="B73" s="193" t="s">
        <v>494</v>
      </c>
      <c r="C73" s="209" t="s">
        <v>495</v>
      </c>
      <c r="D73" s="209">
        <v>14.75</v>
      </c>
      <c r="E73" s="513">
        <f>F72</f>
        <v>18509.906000000003</v>
      </c>
      <c r="F73" s="513">
        <f>TRUNC(D73*E73/100/12,2)</f>
        <v>227.51</v>
      </c>
      <c r="G73" s="221"/>
    </row>
    <row r="74" spans="2:7" x14ac:dyDescent="0.2">
      <c r="B74" s="222"/>
      <c r="C74" s="222"/>
      <c r="D74" s="222"/>
      <c r="E74" s="517"/>
      <c r="F74" s="517"/>
      <c r="G74" s="504">
        <f>F73</f>
        <v>227.51</v>
      </c>
    </row>
    <row r="75" spans="2:7" x14ac:dyDescent="0.2">
      <c r="B75" s="183" t="s">
        <v>496</v>
      </c>
      <c r="C75" s="222"/>
      <c r="D75" s="222"/>
      <c r="E75" s="517"/>
      <c r="F75" s="517"/>
      <c r="G75" s="221"/>
    </row>
    <row r="76" spans="2:7" x14ac:dyDescent="0.2">
      <c r="B76" s="203" t="s">
        <v>469</v>
      </c>
      <c r="C76" s="203" t="s">
        <v>2</v>
      </c>
      <c r="D76" s="203" t="s">
        <v>44</v>
      </c>
      <c r="E76" s="526" t="s">
        <v>470</v>
      </c>
      <c r="F76" s="526" t="s">
        <v>471</v>
      </c>
      <c r="G76" s="204" t="s">
        <v>472</v>
      </c>
    </row>
    <row r="77" spans="2:7" x14ac:dyDescent="0.2">
      <c r="B77" s="219" t="s">
        <v>485</v>
      </c>
      <c r="C77" s="206" t="s">
        <v>289</v>
      </c>
      <c r="D77" s="206">
        <f>D65</f>
        <v>2</v>
      </c>
      <c r="E77" s="512">
        <f>E65</f>
        <v>27220.45</v>
      </c>
      <c r="F77" s="512">
        <f>E77*D77</f>
        <v>54440.9</v>
      </c>
      <c r="G77" s="221"/>
    </row>
    <row r="78" spans="2:7" x14ac:dyDescent="0.2">
      <c r="B78" s="193" t="s">
        <v>497</v>
      </c>
      <c r="C78" s="209" t="s">
        <v>487</v>
      </c>
      <c r="D78" s="209">
        <v>85</v>
      </c>
      <c r="E78" s="513">
        <f>F77</f>
        <v>54440.9</v>
      </c>
      <c r="F78" s="513">
        <f>TRUNC(E78*D78/100,2)</f>
        <v>46274.76</v>
      </c>
      <c r="G78" s="221"/>
    </row>
    <row r="79" spans="2:7" x14ac:dyDescent="0.2">
      <c r="B79" s="223" t="s">
        <v>498</v>
      </c>
      <c r="C79" s="209" t="s">
        <v>207</v>
      </c>
      <c r="D79" s="209">
        <v>60</v>
      </c>
      <c r="E79" s="513">
        <f>F78</f>
        <v>46274.76</v>
      </c>
      <c r="F79" s="513">
        <f>E79/D79</f>
        <v>771.24599999999998</v>
      </c>
      <c r="G79" s="221"/>
    </row>
    <row r="80" spans="2:7" x14ac:dyDescent="0.2">
      <c r="B80" s="224"/>
      <c r="C80" s="222"/>
      <c r="D80" s="222"/>
      <c r="E80" s="517"/>
      <c r="F80" s="517"/>
      <c r="G80" s="504">
        <f>F79</f>
        <v>771.24599999999998</v>
      </c>
    </row>
    <row r="81" spans="2:7" ht="13.5" thickBot="1" x14ac:dyDescent="0.25">
      <c r="B81" s="224"/>
      <c r="C81" s="222"/>
      <c r="D81" s="222"/>
      <c r="E81" s="517"/>
      <c r="F81" s="517"/>
      <c r="G81" s="221"/>
    </row>
    <row r="82" spans="2:7" ht="13.5" thickBot="1" x14ac:dyDescent="0.25">
      <c r="B82" s="225" t="s">
        <v>962</v>
      </c>
      <c r="C82" s="226"/>
      <c r="D82" s="226"/>
      <c r="E82" s="518"/>
      <c r="F82" s="518"/>
      <c r="G82" s="227">
        <f>G80+G74+G68</f>
        <v>1724.6346666666668</v>
      </c>
    </row>
    <row r="83" spans="2:7" x14ac:dyDescent="0.2">
      <c r="C83" s="183"/>
    </row>
    <row r="84" spans="2:7" x14ac:dyDescent="0.2">
      <c r="B84" s="183" t="s">
        <v>499</v>
      </c>
    </row>
    <row r="85" spans="2:7" x14ac:dyDescent="0.2">
      <c r="B85" s="183" t="s">
        <v>500</v>
      </c>
    </row>
    <row r="86" spans="2:7" x14ac:dyDescent="0.2">
      <c r="B86" s="203" t="s">
        <v>469</v>
      </c>
      <c r="C86" s="203" t="s">
        <v>2</v>
      </c>
      <c r="D86" s="203" t="s">
        <v>44</v>
      </c>
      <c r="E86" s="526" t="s">
        <v>470</v>
      </c>
      <c r="F86" s="526" t="s">
        <v>471</v>
      </c>
      <c r="G86" s="204" t="s">
        <v>472</v>
      </c>
    </row>
    <row r="87" spans="2:7" x14ac:dyDescent="0.2">
      <c r="B87" s="193" t="s">
        <v>485</v>
      </c>
      <c r="C87" s="212" t="s">
        <v>289</v>
      </c>
      <c r="D87" s="193">
        <f>C14</f>
        <v>0</v>
      </c>
      <c r="E87" s="514">
        <f>'MAPA DE PREÇOS'!M36</f>
        <v>24150.58</v>
      </c>
      <c r="F87" s="525">
        <f>E87*D87</f>
        <v>0</v>
      </c>
    </row>
    <row r="88" spans="2:7" x14ac:dyDescent="0.2">
      <c r="B88" s="193" t="s">
        <v>486</v>
      </c>
      <c r="C88" s="212" t="s">
        <v>487</v>
      </c>
      <c r="D88" s="193">
        <v>80</v>
      </c>
      <c r="E88" s="514">
        <f>F87*D88/100</f>
        <v>0</v>
      </c>
      <c r="F88" s="514">
        <f>E88</f>
        <v>0</v>
      </c>
    </row>
    <row r="89" spans="2:7" x14ac:dyDescent="0.2">
      <c r="B89" s="193" t="s">
        <v>488</v>
      </c>
      <c r="C89" s="212" t="s">
        <v>489</v>
      </c>
      <c r="D89" s="193">
        <v>60</v>
      </c>
      <c r="E89" s="514"/>
      <c r="F89" s="514">
        <f>F88/D89</f>
        <v>0</v>
      </c>
    </row>
    <row r="90" spans="2:7" x14ac:dyDescent="0.2">
      <c r="G90" s="213">
        <f>F89</f>
        <v>0</v>
      </c>
    </row>
    <row r="91" spans="2:7" x14ac:dyDescent="0.2">
      <c r="B91" s="183" t="s">
        <v>501</v>
      </c>
    </row>
    <row r="92" spans="2:7" x14ac:dyDescent="0.2">
      <c r="B92" s="203" t="s">
        <v>469</v>
      </c>
      <c r="C92" s="203" t="s">
        <v>2</v>
      </c>
      <c r="D92" s="203" t="s">
        <v>44</v>
      </c>
      <c r="E92" s="526" t="s">
        <v>470</v>
      </c>
      <c r="F92" s="526" t="s">
        <v>471</v>
      </c>
      <c r="G92" s="204" t="s">
        <v>472</v>
      </c>
    </row>
    <row r="93" spans="2:7" x14ac:dyDescent="0.2">
      <c r="B93" s="193" t="s">
        <v>491</v>
      </c>
      <c r="C93" s="209" t="s">
        <v>487</v>
      </c>
      <c r="D93" s="209">
        <f>100-D88</f>
        <v>20</v>
      </c>
      <c r="E93" s="513">
        <f>E87*D14</f>
        <v>0</v>
      </c>
      <c r="F93" s="513">
        <f>E93*D93/100</f>
        <v>0</v>
      </c>
      <c r="G93" s="221"/>
    </row>
    <row r="94" spans="2:7" x14ac:dyDescent="0.2">
      <c r="B94" s="193" t="s">
        <v>492</v>
      </c>
      <c r="C94" s="209" t="s">
        <v>493</v>
      </c>
      <c r="D94" s="209">
        <v>5</v>
      </c>
      <c r="E94" s="513"/>
      <c r="F94" s="513">
        <f>((E93-F93)*(D94+1)/(2*D94))+F93</f>
        <v>0</v>
      </c>
      <c r="G94" s="221"/>
    </row>
    <row r="95" spans="2:7" x14ac:dyDescent="0.2">
      <c r="B95" s="193" t="s">
        <v>494</v>
      </c>
      <c r="C95" s="209" t="s">
        <v>495</v>
      </c>
      <c r="D95" s="209">
        <f>D73</f>
        <v>14.75</v>
      </c>
      <c r="E95" s="513">
        <f>F94</f>
        <v>0</v>
      </c>
      <c r="F95" s="513">
        <f>TRUNC(D95*E95/100/12,2)</f>
        <v>0</v>
      </c>
      <c r="G95" s="221"/>
    </row>
    <row r="96" spans="2:7" x14ac:dyDescent="0.2">
      <c r="B96" s="222"/>
      <c r="C96" s="222"/>
      <c r="D96" s="222"/>
      <c r="E96" s="517"/>
      <c r="F96" s="517"/>
      <c r="G96" s="504">
        <f>F95</f>
        <v>0</v>
      </c>
    </row>
    <row r="97" spans="2:7" x14ac:dyDescent="0.2">
      <c r="B97" s="183" t="s">
        <v>502</v>
      </c>
      <c r="C97" s="222"/>
      <c r="D97" s="222"/>
      <c r="E97" s="517"/>
      <c r="F97" s="517"/>
      <c r="G97" s="221"/>
    </row>
    <row r="98" spans="2:7" x14ac:dyDescent="0.2">
      <c r="B98" s="203" t="s">
        <v>469</v>
      </c>
      <c r="C98" s="203" t="s">
        <v>2</v>
      </c>
      <c r="D98" s="203" t="s">
        <v>44</v>
      </c>
      <c r="E98" s="526" t="s">
        <v>470</v>
      </c>
      <c r="F98" s="526" t="s">
        <v>471</v>
      </c>
      <c r="G98" s="204" t="s">
        <v>472</v>
      </c>
    </row>
    <row r="99" spans="2:7" x14ac:dyDescent="0.2">
      <c r="B99" s="219" t="s">
        <v>485</v>
      </c>
      <c r="C99" s="206" t="s">
        <v>289</v>
      </c>
      <c r="D99" s="206">
        <f>D87</f>
        <v>0</v>
      </c>
      <c r="E99" s="512">
        <f>E87</f>
        <v>24150.58</v>
      </c>
      <c r="F99" s="512">
        <f>E99*D99</f>
        <v>0</v>
      </c>
      <c r="G99" s="221"/>
    </row>
    <row r="100" spans="2:7" x14ac:dyDescent="0.2">
      <c r="B100" s="193" t="s">
        <v>497</v>
      </c>
      <c r="C100" s="209" t="s">
        <v>487</v>
      </c>
      <c r="D100" s="209">
        <v>85</v>
      </c>
      <c r="E100" s="513">
        <f>F99</f>
        <v>0</v>
      </c>
      <c r="F100" s="513">
        <f>TRUNC(E100*D100/100,2)</f>
        <v>0</v>
      </c>
      <c r="G100" s="221"/>
    </row>
    <row r="101" spans="2:7" x14ac:dyDescent="0.2">
      <c r="B101" s="223" t="s">
        <v>498</v>
      </c>
      <c r="C101" s="209" t="s">
        <v>207</v>
      </c>
      <c r="D101" s="209">
        <v>60</v>
      </c>
      <c r="E101" s="513">
        <f>F100</f>
        <v>0</v>
      </c>
      <c r="F101" s="513">
        <f>E101/D101</f>
        <v>0</v>
      </c>
      <c r="G101" s="221"/>
    </row>
    <row r="102" spans="2:7" x14ac:dyDescent="0.2">
      <c r="B102" s="224"/>
      <c r="C102" s="222"/>
      <c r="D102" s="222"/>
      <c r="E102" s="517"/>
      <c r="F102" s="517"/>
      <c r="G102" s="504">
        <f>F101</f>
        <v>0</v>
      </c>
    </row>
    <row r="103" spans="2:7" ht="13.5" thickBot="1" x14ac:dyDescent="0.25">
      <c r="B103" s="224"/>
      <c r="C103" s="222"/>
      <c r="D103" s="222"/>
      <c r="E103" s="517"/>
      <c r="F103" s="517"/>
      <c r="G103" s="221"/>
    </row>
    <row r="104" spans="2:7" ht="13.5" thickBot="1" x14ac:dyDescent="0.25">
      <c r="B104" s="225" t="s">
        <v>961</v>
      </c>
      <c r="C104" s="226"/>
      <c r="D104" s="226"/>
      <c r="E104" s="518"/>
      <c r="F104" s="518"/>
      <c r="G104" s="227">
        <f>G102+G96+G90</f>
        <v>0</v>
      </c>
    </row>
    <row r="105" spans="2:7" x14ac:dyDescent="0.2">
      <c r="B105" s="224"/>
      <c r="C105" s="222"/>
      <c r="D105" s="222"/>
      <c r="E105" s="517"/>
      <c r="F105" s="517"/>
      <c r="G105" s="221"/>
    </row>
    <row r="106" spans="2:7" x14ac:dyDescent="0.2">
      <c r="B106" s="183" t="s">
        <v>503</v>
      </c>
    </row>
    <row r="107" spans="2:7" x14ac:dyDescent="0.2">
      <c r="B107" s="183" t="s">
        <v>504</v>
      </c>
    </row>
    <row r="108" spans="2:7" x14ac:dyDescent="0.2">
      <c r="B108" s="203" t="s">
        <v>469</v>
      </c>
      <c r="C108" s="203" t="s">
        <v>2</v>
      </c>
      <c r="D108" s="203" t="s">
        <v>44</v>
      </c>
      <c r="E108" s="526" t="s">
        <v>470</v>
      </c>
      <c r="F108" s="526" t="s">
        <v>471</v>
      </c>
      <c r="G108" s="204" t="s">
        <v>472</v>
      </c>
    </row>
    <row r="109" spans="2:7" x14ac:dyDescent="0.2">
      <c r="B109" s="193" t="s">
        <v>485</v>
      </c>
      <c r="C109" s="212" t="s">
        <v>289</v>
      </c>
      <c r="D109" s="193">
        <f>C15</f>
        <v>1</v>
      </c>
      <c r="E109" s="514">
        <f>'MAPA DE PREÇOS'!M57</f>
        <v>6369.77</v>
      </c>
      <c r="F109" s="525">
        <f>E109*D109</f>
        <v>6369.77</v>
      </c>
    </row>
    <row r="110" spans="2:7" x14ac:dyDescent="0.2">
      <c r="B110" s="193" t="s">
        <v>486</v>
      </c>
      <c r="C110" s="212" t="s">
        <v>487</v>
      </c>
      <c r="D110" s="193">
        <v>80</v>
      </c>
      <c r="E110" s="514">
        <f>F109*D110/100</f>
        <v>5095.8160000000007</v>
      </c>
      <c r="F110" s="514">
        <f>E110</f>
        <v>5095.8160000000007</v>
      </c>
    </row>
    <row r="111" spans="2:7" x14ac:dyDescent="0.2">
      <c r="B111" s="193" t="s">
        <v>488</v>
      </c>
      <c r="C111" s="212" t="s">
        <v>489</v>
      </c>
      <c r="D111" s="193">
        <v>60</v>
      </c>
      <c r="E111" s="514"/>
      <c r="F111" s="514">
        <f>F110/D111</f>
        <v>84.930266666666682</v>
      </c>
    </row>
    <row r="112" spans="2:7" x14ac:dyDescent="0.2">
      <c r="G112" s="213">
        <f>F111</f>
        <v>84.930266666666682</v>
      </c>
    </row>
    <row r="113" spans="2:7" x14ac:dyDescent="0.2">
      <c r="B113" s="183" t="s">
        <v>505</v>
      </c>
    </row>
    <row r="114" spans="2:7" x14ac:dyDescent="0.2">
      <c r="B114" s="203" t="s">
        <v>469</v>
      </c>
      <c r="C114" s="203" t="s">
        <v>2</v>
      </c>
      <c r="D114" s="203" t="s">
        <v>44</v>
      </c>
      <c r="E114" s="526" t="s">
        <v>470</v>
      </c>
      <c r="F114" s="526" t="s">
        <v>471</v>
      </c>
      <c r="G114" s="204" t="s">
        <v>472</v>
      </c>
    </row>
    <row r="115" spans="2:7" x14ac:dyDescent="0.2">
      <c r="B115" s="193" t="s">
        <v>491</v>
      </c>
      <c r="C115" s="209" t="s">
        <v>487</v>
      </c>
      <c r="D115" s="209">
        <f>100-D110</f>
        <v>20</v>
      </c>
      <c r="E115" s="513">
        <f>E109*D15</f>
        <v>6369.77</v>
      </c>
      <c r="F115" s="513">
        <f>E115*D115/100</f>
        <v>1273.9540000000002</v>
      </c>
      <c r="G115" s="221"/>
    </row>
    <row r="116" spans="2:7" x14ac:dyDescent="0.2">
      <c r="B116" s="193" t="s">
        <v>492</v>
      </c>
      <c r="C116" s="209" t="s">
        <v>493</v>
      </c>
      <c r="D116" s="209">
        <v>5</v>
      </c>
      <c r="E116" s="513"/>
      <c r="F116" s="513">
        <f>((E115-F115)*(D116+1)/(2*D116))+F115</f>
        <v>4331.4436000000005</v>
      </c>
      <c r="G116" s="221"/>
    </row>
    <row r="117" spans="2:7" x14ac:dyDescent="0.2">
      <c r="B117" s="193" t="s">
        <v>494</v>
      </c>
      <c r="C117" s="209" t="s">
        <v>495</v>
      </c>
      <c r="D117" s="209">
        <f>D73</f>
        <v>14.75</v>
      </c>
      <c r="E117" s="513">
        <f>F116</f>
        <v>4331.4436000000005</v>
      </c>
      <c r="F117" s="513">
        <f>TRUNC(D117*E117/100/12,2)</f>
        <v>53.24</v>
      </c>
      <c r="G117" s="221"/>
    </row>
    <row r="118" spans="2:7" x14ac:dyDescent="0.2">
      <c r="B118" s="222"/>
      <c r="C118" s="222"/>
      <c r="D118" s="222"/>
      <c r="E118" s="517"/>
      <c r="F118" s="517"/>
      <c r="G118" s="504">
        <f>F117</f>
        <v>53.24</v>
      </c>
    </row>
    <row r="119" spans="2:7" x14ac:dyDescent="0.2">
      <c r="B119" s="228" t="s">
        <v>506</v>
      </c>
      <c r="C119" s="222"/>
      <c r="D119" s="222"/>
      <c r="E119" s="517"/>
      <c r="F119" s="517"/>
      <c r="G119" s="221"/>
    </row>
    <row r="120" spans="2:7" x14ac:dyDescent="0.2">
      <c r="B120" s="203" t="s">
        <v>469</v>
      </c>
      <c r="C120" s="203" t="s">
        <v>2</v>
      </c>
      <c r="D120" s="203" t="s">
        <v>44</v>
      </c>
      <c r="E120" s="526" t="s">
        <v>470</v>
      </c>
      <c r="F120" s="526" t="s">
        <v>471</v>
      </c>
      <c r="G120" s="204" t="s">
        <v>472</v>
      </c>
    </row>
    <row r="121" spans="2:7" x14ac:dyDescent="0.2">
      <c r="B121" s="219" t="s">
        <v>485</v>
      </c>
      <c r="C121" s="206" t="s">
        <v>289</v>
      </c>
      <c r="D121" s="206">
        <f>D109</f>
        <v>1</v>
      </c>
      <c r="E121" s="512">
        <f>E109</f>
        <v>6369.77</v>
      </c>
      <c r="F121" s="512">
        <f>E121*D121</f>
        <v>6369.77</v>
      </c>
      <c r="G121" s="221"/>
    </row>
    <row r="122" spans="2:7" x14ac:dyDescent="0.2">
      <c r="B122" s="193" t="s">
        <v>497</v>
      </c>
      <c r="C122" s="209" t="s">
        <v>487</v>
      </c>
      <c r="D122" s="209">
        <v>85</v>
      </c>
      <c r="E122" s="513">
        <f>F121</f>
        <v>6369.77</v>
      </c>
      <c r="F122" s="513">
        <f>TRUNC(E122*D122/100,2)</f>
        <v>5414.3</v>
      </c>
      <c r="G122" s="221"/>
    </row>
    <row r="123" spans="2:7" x14ac:dyDescent="0.2">
      <c r="B123" s="223" t="s">
        <v>498</v>
      </c>
      <c r="C123" s="209" t="s">
        <v>207</v>
      </c>
      <c r="D123" s="209">
        <v>60</v>
      </c>
      <c r="E123" s="513">
        <f>F122</f>
        <v>5414.3</v>
      </c>
      <c r="F123" s="513">
        <f>E123/D123</f>
        <v>90.23833333333333</v>
      </c>
      <c r="G123" s="221"/>
    </row>
    <row r="124" spans="2:7" ht="15.75" customHeight="1" x14ac:dyDescent="0.2">
      <c r="B124" s="224"/>
      <c r="C124" s="222"/>
      <c r="D124" s="222"/>
      <c r="E124" s="517"/>
      <c r="F124" s="517"/>
      <c r="G124" s="504">
        <f>F123</f>
        <v>90.23833333333333</v>
      </c>
    </row>
    <row r="125" spans="2:7" ht="15.75" customHeight="1" thickBot="1" x14ac:dyDescent="0.25">
      <c r="B125" s="224"/>
      <c r="C125" s="222"/>
      <c r="D125" s="222"/>
      <c r="E125" s="517"/>
      <c r="F125" s="517"/>
      <c r="G125" s="221"/>
    </row>
    <row r="126" spans="2:7" ht="13.5" thickBot="1" x14ac:dyDescent="0.25">
      <c r="B126" s="225" t="s">
        <v>960</v>
      </c>
      <c r="C126" s="226"/>
      <c r="D126" s="226"/>
      <c r="E126" s="518"/>
      <c r="F126" s="518"/>
      <c r="G126" s="227">
        <f>G124+G118+G112</f>
        <v>228.40860000000001</v>
      </c>
    </row>
    <row r="127" spans="2:7" x14ac:dyDescent="0.2">
      <c r="B127" s="224"/>
      <c r="C127" s="222"/>
      <c r="D127" s="222"/>
      <c r="E127" s="517"/>
      <c r="F127" s="517"/>
      <c r="G127" s="221"/>
    </row>
    <row r="128" spans="2:7" x14ac:dyDescent="0.2">
      <c r="B128" s="183" t="s">
        <v>507</v>
      </c>
    </row>
    <row r="129" spans="2:7" x14ac:dyDescent="0.2">
      <c r="B129" s="183" t="s">
        <v>508</v>
      </c>
    </row>
    <row r="130" spans="2:7" x14ac:dyDescent="0.2">
      <c r="B130" s="203" t="s">
        <v>469</v>
      </c>
      <c r="C130" s="203" t="s">
        <v>2</v>
      </c>
      <c r="D130" s="203" t="s">
        <v>44</v>
      </c>
      <c r="E130" s="526" t="s">
        <v>470</v>
      </c>
      <c r="F130" s="526" t="s">
        <v>471</v>
      </c>
      <c r="G130" s="204" t="s">
        <v>472</v>
      </c>
    </row>
    <row r="131" spans="2:7" x14ac:dyDescent="0.2">
      <c r="B131" s="193" t="s">
        <v>485</v>
      </c>
      <c r="C131" s="212" t="s">
        <v>289</v>
      </c>
      <c r="D131" s="193">
        <f>C16</f>
        <v>1</v>
      </c>
      <c r="E131" s="514">
        <f>'MAPA DE PREÇOS'!M78</f>
        <v>6350.65</v>
      </c>
      <c r="F131" s="525">
        <f>E131*D131</f>
        <v>6350.65</v>
      </c>
    </row>
    <row r="132" spans="2:7" x14ac:dyDescent="0.2">
      <c r="B132" s="193" t="s">
        <v>486</v>
      </c>
      <c r="C132" s="212" t="s">
        <v>487</v>
      </c>
      <c r="D132" s="193">
        <v>80</v>
      </c>
      <c r="E132" s="514">
        <f>F131*D132/100</f>
        <v>5080.5200000000004</v>
      </c>
      <c r="F132" s="514">
        <f>E132</f>
        <v>5080.5200000000004</v>
      </c>
    </row>
    <row r="133" spans="2:7" x14ac:dyDescent="0.2">
      <c r="B133" s="193" t="s">
        <v>488</v>
      </c>
      <c r="C133" s="212" t="s">
        <v>489</v>
      </c>
      <c r="D133" s="193">
        <v>60</v>
      </c>
      <c r="E133" s="514"/>
      <c r="F133" s="514">
        <f>F132/D133</f>
        <v>84.675333333333342</v>
      </c>
    </row>
    <row r="134" spans="2:7" x14ac:dyDescent="0.2">
      <c r="G134" s="213">
        <f>F133</f>
        <v>84.675333333333342</v>
      </c>
    </row>
    <row r="135" spans="2:7" x14ac:dyDescent="0.2">
      <c r="B135" s="183" t="s">
        <v>509</v>
      </c>
    </row>
    <row r="136" spans="2:7" x14ac:dyDescent="0.2">
      <c r="B136" s="203" t="s">
        <v>469</v>
      </c>
      <c r="C136" s="203" t="s">
        <v>2</v>
      </c>
      <c r="D136" s="203" t="s">
        <v>44</v>
      </c>
      <c r="E136" s="526" t="s">
        <v>470</v>
      </c>
      <c r="F136" s="526" t="s">
        <v>471</v>
      </c>
      <c r="G136" s="204" t="s">
        <v>472</v>
      </c>
    </row>
    <row r="137" spans="2:7" x14ac:dyDescent="0.2">
      <c r="B137" s="193" t="s">
        <v>491</v>
      </c>
      <c r="C137" s="209" t="s">
        <v>487</v>
      </c>
      <c r="D137" s="209">
        <f>100-D132</f>
        <v>20</v>
      </c>
      <c r="E137" s="513">
        <f>E131*D16</f>
        <v>6350.65</v>
      </c>
      <c r="F137" s="513">
        <f>E137*D137/100</f>
        <v>1270.1300000000001</v>
      </c>
      <c r="G137" s="221"/>
    </row>
    <row r="138" spans="2:7" x14ac:dyDescent="0.2">
      <c r="B138" s="193" t="s">
        <v>492</v>
      </c>
      <c r="C138" s="209" t="s">
        <v>493</v>
      </c>
      <c r="D138" s="209">
        <v>5</v>
      </c>
      <c r="E138" s="513"/>
      <c r="F138" s="513">
        <f>((E137-F137)*(D138+1)/(2*D138))+F137</f>
        <v>4318.4419999999991</v>
      </c>
      <c r="G138" s="221"/>
    </row>
    <row r="139" spans="2:7" x14ac:dyDescent="0.2">
      <c r="B139" s="193" t="s">
        <v>494</v>
      </c>
      <c r="C139" s="209" t="s">
        <v>495</v>
      </c>
      <c r="D139" s="209">
        <f>D73</f>
        <v>14.75</v>
      </c>
      <c r="E139" s="513">
        <f>F138</f>
        <v>4318.4419999999991</v>
      </c>
      <c r="F139" s="513">
        <f>TRUNC(D139*E139/100/12,2)</f>
        <v>53.08</v>
      </c>
      <c r="G139" s="221"/>
    </row>
    <row r="140" spans="2:7" x14ac:dyDescent="0.2">
      <c r="B140" s="222"/>
      <c r="C140" s="222"/>
      <c r="D140" s="222"/>
      <c r="E140" s="517"/>
      <c r="F140" s="517"/>
      <c r="G140" s="504">
        <f>F139</f>
        <v>53.08</v>
      </c>
    </row>
    <row r="141" spans="2:7" x14ac:dyDescent="0.2">
      <c r="B141" s="228" t="s">
        <v>510</v>
      </c>
      <c r="C141" s="222"/>
      <c r="D141" s="222"/>
      <c r="E141" s="517"/>
      <c r="F141" s="517"/>
      <c r="G141" s="221"/>
    </row>
    <row r="142" spans="2:7" x14ac:dyDescent="0.2">
      <c r="B142" s="203" t="s">
        <v>469</v>
      </c>
      <c r="C142" s="203" t="s">
        <v>2</v>
      </c>
      <c r="D142" s="203" t="s">
        <v>44</v>
      </c>
      <c r="E142" s="526" t="s">
        <v>470</v>
      </c>
      <c r="F142" s="526" t="s">
        <v>471</v>
      </c>
      <c r="G142" s="204" t="s">
        <v>472</v>
      </c>
    </row>
    <row r="143" spans="2:7" x14ac:dyDescent="0.2">
      <c r="B143" s="219" t="s">
        <v>485</v>
      </c>
      <c r="C143" s="206" t="s">
        <v>289</v>
      </c>
      <c r="D143" s="206">
        <f>D131</f>
        <v>1</v>
      </c>
      <c r="E143" s="512">
        <f>E131</f>
        <v>6350.65</v>
      </c>
      <c r="F143" s="512">
        <f>E143*D143</f>
        <v>6350.65</v>
      </c>
      <c r="G143" s="221"/>
    </row>
    <row r="144" spans="2:7" x14ac:dyDescent="0.2">
      <c r="B144" s="193" t="s">
        <v>497</v>
      </c>
      <c r="C144" s="209" t="s">
        <v>487</v>
      </c>
      <c r="D144" s="209">
        <v>85</v>
      </c>
      <c r="E144" s="513">
        <f>F143</f>
        <v>6350.65</v>
      </c>
      <c r="F144" s="513">
        <f>TRUNC(E144*D144/100,2)</f>
        <v>5398.05</v>
      </c>
      <c r="G144" s="221"/>
    </row>
    <row r="145" spans="2:7" x14ac:dyDescent="0.2">
      <c r="B145" s="223" t="s">
        <v>498</v>
      </c>
      <c r="C145" s="209" t="s">
        <v>207</v>
      </c>
      <c r="D145" s="209">
        <v>60</v>
      </c>
      <c r="E145" s="513">
        <f>F144</f>
        <v>5398.05</v>
      </c>
      <c r="F145" s="513">
        <f>E145/D145</f>
        <v>89.967500000000001</v>
      </c>
      <c r="G145" s="221"/>
    </row>
    <row r="146" spans="2:7" x14ac:dyDescent="0.2">
      <c r="B146" s="224"/>
      <c r="C146" s="222"/>
      <c r="D146" s="222"/>
      <c r="E146" s="517"/>
      <c r="F146" s="517"/>
      <c r="G146" s="504">
        <f>F145</f>
        <v>89.967500000000001</v>
      </c>
    </row>
    <row r="147" spans="2:7" ht="13.5" thickBot="1" x14ac:dyDescent="0.25">
      <c r="B147" s="224"/>
      <c r="C147" s="222"/>
      <c r="D147" s="222"/>
      <c r="E147" s="517"/>
      <c r="F147" s="517"/>
      <c r="G147" s="221"/>
    </row>
    <row r="148" spans="2:7" ht="13.5" thickBot="1" x14ac:dyDescent="0.25">
      <c r="B148" s="225" t="s">
        <v>511</v>
      </c>
      <c r="C148" s="226"/>
      <c r="D148" s="226"/>
      <c r="E148" s="518"/>
      <c r="F148" s="518"/>
      <c r="G148" s="227">
        <f>G146+G140+G134</f>
        <v>227.72283333333337</v>
      </c>
    </row>
    <row r="149" spans="2:7" x14ac:dyDescent="0.2">
      <c r="B149" s="228"/>
      <c r="C149" s="222"/>
      <c r="D149" s="222"/>
      <c r="E149" s="517"/>
      <c r="F149" s="517"/>
      <c r="G149" s="221"/>
    </row>
    <row r="150" spans="2:7" x14ac:dyDescent="0.2">
      <c r="B150" s="183" t="s">
        <v>512</v>
      </c>
    </row>
    <row r="151" spans="2:7" x14ac:dyDescent="0.2">
      <c r="B151" s="183" t="s">
        <v>513</v>
      </c>
    </row>
    <row r="152" spans="2:7" x14ac:dyDescent="0.2">
      <c r="B152" s="203" t="s">
        <v>469</v>
      </c>
      <c r="C152" s="203" t="s">
        <v>2</v>
      </c>
      <c r="D152" s="203" t="s">
        <v>44</v>
      </c>
      <c r="E152" s="526" t="s">
        <v>470</v>
      </c>
      <c r="F152" s="526" t="s">
        <v>471</v>
      </c>
      <c r="G152" s="204" t="s">
        <v>472</v>
      </c>
    </row>
    <row r="153" spans="2:7" x14ac:dyDescent="0.2">
      <c r="B153" s="193" t="s">
        <v>485</v>
      </c>
      <c r="C153" s="212" t="s">
        <v>289</v>
      </c>
      <c r="D153" s="213">
        <f>C17</f>
        <v>2</v>
      </c>
      <c r="E153" s="514">
        <f>'MAPA DE PREÇOS'!M99</f>
        <v>1733.93</v>
      </c>
      <c r="F153" s="525">
        <f>E153*D153</f>
        <v>3467.86</v>
      </c>
    </row>
    <row r="154" spans="2:7" x14ac:dyDescent="0.2">
      <c r="B154" s="193" t="s">
        <v>486</v>
      </c>
      <c r="C154" s="212" t="s">
        <v>487</v>
      </c>
      <c r="D154" s="193">
        <v>100</v>
      </c>
      <c r="E154" s="514">
        <f>F153*D154/100</f>
        <v>3467.86</v>
      </c>
      <c r="F154" s="514">
        <f>E154</f>
        <v>3467.86</v>
      </c>
    </row>
    <row r="155" spans="2:7" x14ac:dyDescent="0.2">
      <c r="B155" s="193" t="s">
        <v>488</v>
      </c>
      <c r="C155" s="212" t="s">
        <v>489</v>
      </c>
      <c r="D155" s="193">
        <v>24</v>
      </c>
      <c r="E155" s="514"/>
      <c r="F155" s="514">
        <f>F154/D155</f>
        <v>144.49416666666667</v>
      </c>
    </row>
    <row r="156" spans="2:7" x14ac:dyDescent="0.2">
      <c r="G156" s="213">
        <f>F155</f>
        <v>144.49416666666667</v>
      </c>
    </row>
    <row r="157" spans="2:7" x14ac:dyDescent="0.2">
      <c r="B157" s="183" t="s">
        <v>514</v>
      </c>
    </row>
    <row r="158" spans="2:7" x14ac:dyDescent="0.2">
      <c r="B158" s="203" t="s">
        <v>469</v>
      </c>
      <c r="C158" s="203" t="s">
        <v>2</v>
      </c>
      <c r="D158" s="203" t="s">
        <v>44</v>
      </c>
      <c r="E158" s="526" t="s">
        <v>470</v>
      </c>
      <c r="F158" s="526" t="s">
        <v>471</v>
      </c>
      <c r="G158" s="204" t="s">
        <v>472</v>
      </c>
    </row>
    <row r="159" spans="2:7" x14ac:dyDescent="0.2">
      <c r="B159" s="193" t="s">
        <v>491</v>
      </c>
      <c r="C159" s="209" t="s">
        <v>487</v>
      </c>
      <c r="D159" s="209">
        <f>100-D154</f>
        <v>0</v>
      </c>
      <c r="E159" s="513">
        <f>E153*D17</f>
        <v>1733.93</v>
      </c>
      <c r="F159" s="513">
        <f>E159*D159/100</f>
        <v>0</v>
      </c>
      <c r="G159" s="221"/>
    </row>
    <row r="160" spans="2:7" x14ac:dyDescent="0.2">
      <c r="B160" s="193" t="s">
        <v>492</v>
      </c>
      <c r="C160" s="209" t="s">
        <v>493</v>
      </c>
      <c r="D160" s="209">
        <v>2</v>
      </c>
      <c r="E160" s="513"/>
      <c r="F160" s="513">
        <f>((E159-F159)*(D160+1)/(2*D160))+F159</f>
        <v>1300.4475</v>
      </c>
      <c r="G160" s="221"/>
    </row>
    <row r="161" spans="2:7" x14ac:dyDescent="0.2">
      <c r="B161" s="193" t="s">
        <v>494</v>
      </c>
      <c r="C161" s="209" t="s">
        <v>495</v>
      </c>
      <c r="D161" s="209">
        <f>D73</f>
        <v>14.75</v>
      </c>
      <c r="E161" s="513">
        <f>F160</f>
        <v>1300.4475</v>
      </c>
      <c r="F161" s="513">
        <f>TRUNC(D161*E161/100/12,2)</f>
        <v>15.98</v>
      </c>
      <c r="G161" s="221"/>
    </row>
    <row r="162" spans="2:7" x14ac:dyDescent="0.2">
      <c r="B162" s="222"/>
      <c r="C162" s="222"/>
      <c r="D162" s="222"/>
      <c r="E162" s="517"/>
      <c r="F162" s="517"/>
      <c r="G162" s="504">
        <f>F161</f>
        <v>15.98</v>
      </c>
    </row>
    <row r="163" spans="2:7" x14ac:dyDescent="0.2">
      <c r="B163" s="228" t="s">
        <v>515</v>
      </c>
      <c r="C163" s="222"/>
      <c r="D163" s="222"/>
      <c r="E163" s="517"/>
      <c r="F163" s="517"/>
      <c r="G163" s="221"/>
    </row>
    <row r="164" spans="2:7" x14ac:dyDescent="0.2">
      <c r="B164" s="203" t="s">
        <v>469</v>
      </c>
      <c r="C164" s="203" t="s">
        <v>2</v>
      </c>
      <c r="D164" s="203" t="s">
        <v>44</v>
      </c>
      <c r="E164" s="526" t="s">
        <v>470</v>
      </c>
      <c r="F164" s="526" t="s">
        <v>471</v>
      </c>
      <c r="G164" s="204" t="s">
        <v>472</v>
      </c>
    </row>
    <row r="165" spans="2:7" x14ac:dyDescent="0.2">
      <c r="B165" s="219" t="s">
        <v>485</v>
      </c>
      <c r="C165" s="206" t="s">
        <v>289</v>
      </c>
      <c r="D165" s="206">
        <f>D153</f>
        <v>2</v>
      </c>
      <c r="E165" s="512">
        <f>E153</f>
        <v>1733.93</v>
      </c>
      <c r="F165" s="512">
        <f>E165*D165</f>
        <v>3467.86</v>
      </c>
      <c r="G165" s="221"/>
    </row>
    <row r="166" spans="2:7" x14ac:dyDescent="0.2">
      <c r="B166" s="193" t="s">
        <v>497</v>
      </c>
      <c r="C166" s="209" t="s">
        <v>487</v>
      </c>
      <c r="D166" s="209">
        <v>10</v>
      </c>
      <c r="E166" s="513">
        <f>F165</f>
        <v>3467.86</v>
      </c>
      <c r="F166" s="513">
        <f>TRUNC(E166*D166/100,2)</f>
        <v>346.78</v>
      </c>
      <c r="G166" s="221"/>
    </row>
    <row r="167" spans="2:7" x14ac:dyDescent="0.2">
      <c r="B167" s="223" t="s">
        <v>498</v>
      </c>
      <c r="C167" s="209" t="s">
        <v>207</v>
      </c>
      <c r="D167" s="209">
        <v>60</v>
      </c>
      <c r="E167" s="513">
        <f>F166</f>
        <v>346.78</v>
      </c>
      <c r="F167" s="513">
        <f>E167/D167</f>
        <v>5.7796666666666665</v>
      </c>
      <c r="G167" s="221"/>
    </row>
    <row r="168" spans="2:7" x14ac:dyDescent="0.2">
      <c r="B168" s="224"/>
      <c r="C168" s="222"/>
      <c r="D168" s="222"/>
      <c r="E168" s="517"/>
      <c r="F168" s="517"/>
      <c r="G168" s="504">
        <f>F167</f>
        <v>5.7796666666666665</v>
      </c>
    </row>
    <row r="169" spans="2:7" ht="13.5" thickBot="1" x14ac:dyDescent="0.25">
      <c r="B169" s="228"/>
      <c r="C169" s="222"/>
      <c r="D169" s="222"/>
      <c r="E169" s="517"/>
      <c r="F169" s="517"/>
      <c r="G169" s="221"/>
    </row>
    <row r="170" spans="2:7" ht="13.5" thickBot="1" x14ac:dyDescent="0.25">
      <c r="B170" s="225" t="s">
        <v>854</v>
      </c>
      <c r="C170" s="226"/>
      <c r="D170" s="226"/>
      <c r="E170" s="518"/>
      <c r="F170" s="518"/>
      <c r="G170" s="227">
        <f>G168+G162+G156</f>
        <v>166.25383333333335</v>
      </c>
    </row>
    <row r="171" spans="2:7" ht="13.5" thickBot="1" x14ac:dyDescent="0.25">
      <c r="B171" s="228"/>
      <c r="C171" s="222"/>
      <c r="D171" s="222"/>
      <c r="E171" s="517"/>
      <c r="F171" s="517"/>
      <c r="G171" s="221"/>
    </row>
    <row r="172" spans="2:7" ht="16.5" thickBot="1" x14ac:dyDescent="0.25">
      <c r="B172" s="229" t="s">
        <v>516</v>
      </c>
      <c r="C172" s="230"/>
      <c r="D172" s="230"/>
      <c r="E172" s="519"/>
      <c r="F172" s="519"/>
      <c r="G172" s="231">
        <f>G82+G104+G126+G148+G170</f>
        <v>2347.0199333333335</v>
      </c>
    </row>
    <row r="174" spans="2:7" ht="15.75" x14ac:dyDescent="0.25">
      <c r="B174" s="201" t="s">
        <v>517</v>
      </c>
      <c r="C174" s="222"/>
      <c r="D174" s="222"/>
      <c r="E174" s="517"/>
      <c r="F174" s="517"/>
      <c r="G174" s="221"/>
    </row>
    <row r="175" spans="2:7" x14ac:dyDescent="0.2">
      <c r="B175" s="203" t="s">
        <v>469</v>
      </c>
      <c r="C175" s="203" t="s">
        <v>2</v>
      </c>
      <c r="D175" s="203" t="s">
        <v>44</v>
      </c>
      <c r="E175" s="526" t="s">
        <v>470</v>
      </c>
      <c r="F175" s="526" t="s">
        <v>471</v>
      </c>
      <c r="G175" s="204" t="s">
        <v>472</v>
      </c>
    </row>
    <row r="176" spans="2:7" x14ac:dyDescent="0.2">
      <c r="B176" s="223" t="s">
        <v>518</v>
      </c>
      <c r="C176" s="209" t="s">
        <v>519</v>
      </c>
      <c r="D176" s="434">
        <f>'PARÂMETROS - MESA'!D25</f>
        <v>832.08</v>
      </c>
      <c r="E176" s="513">
        <f>'MAPA DE PREÇOS'!M120</f>
        <v>1299.3599999999999</v>
      </c>
      <c r="F176" s="513">
        <f>E176*D176</f>
        <v>1081171.4687999999</v>
      </c>
      <c r="G176" s="221"/>
    </row>
    <row r="177" spans="2:11" x14ac:dyDescent="0.2">
      <c r="B177" s="223" t="s">
        <v>520</v>
      </c>
      <c r="C177" s="209" t="s">
        <v>487</v>
      </c>
      <c r="D177" s="209">
        <v>10</v>
      </c>
      <c r="E177" s="513">
        <f>F176</f>
        <v>1081171.4687999999</v>
      </c>
      <c r="F177" s="513">
        <f>E177*D177/100</f>
        <v>108117.14687999999</v>
      </c>
      <c r="G177" s="221"/>
    </row>
    <row r="178" spans="2:11" x14ac:dyDescent="0.2">
      <c r="B178" s="223" t="s">
        <v>521</v>
      </c>
      <c r="C178" s="209" t="s">
        <v>207</v>
      </c>
      <c r="D178" s="209">
        <v>60</v>
      </c>
      <c r="E178" s="513">
        <f>F177</f>
        <v>108117.14687999999</v>
      </c>
      <c r="F178" s="513">
        <f>E178/D178</f>
        <v>1801.9524479999998</v>
      </c>
      <c r="G178" s="221"/>
    </row>
    <row r="179" spans="2:11" x14ac:dyDescent="0.2">
      <c r="B179" s="224"/>
      <c r="C179" s="222"/>
      <c r="D179" s="222"/>
      <c r="E179" s="517"/>
      <c r="F179" s="517"/>
      <c r="G179" s="504">
        <f>F178</f>
        <v>1801.9524479999998</v>
      </c>
    </row>
    <row r="180" spans="2:11" ht="13.5" thickBot="1" x14ac:dyDescent="0.25">
      <c r="B180" s="224"/>
      <c r="C180" s="222"/>
      <c r="D180" s="222"/>
      <c r="E180" s="517"/>
      <c r="F180" s="517"/>
      <c r="G180" s="221"/>
    </row>
    <row r="181" spans="2:11" ht="16.5" thickBot="1" x14ac:dyDescent="0.25">
      <c r="B181" s="229" t="s">
        <v>522</v>
      </c>
      <c r="C181" s="230"/>
      <c r="D181" s="230"/>
      <c r="E181" s="519"/>
      <c r="F181" s="519"/>
      <c r="G181" s="231">
        <f>G179+G113+G91</f>
        <v>1801.9524479999998</v>
      </c>
    </row>
    <row r="182" spans="2:11" x14ac:dyDescent="0.2">
      <c r="B182" s="228"/>
      <c r="C182" s="222"/>
      <c r="D182" s="222"/>
      <c r="E182" s="517"/>
      <c r="F182" s="517"/>
      <c r="G182" s="221"/>
    </row>
    <row r="183" spans="2:11" ht="15.75" x14ac:dyDescent="0.25">
      <c r="B183" s="201" t="s">
        <v>523</v>
      </c>
    </row>
    <row r="184" spans="2:11" x14ac:dyDescent="0.2">
      <c r="B184" s="203" t="s">
        <v>469</v>
      </c>
      <c r="C184" s="203" t="s">
        <v>2</v>
      </c>
      <c r="D184" s="203" t="s">
        <v>44</v>
      </c>
      <c r="E184" s="526" t="s">
        <v>470</v>
      </c>
      <c r="F184" s="526" t="s">
        <v>471</v>
      </c>
      <c r="G184" s="204" t="s">
        <v>472</v>
      </c>
    </row>
    <row r="185" spans="2:11" x14ac:dyDescent="0.2">
      <c r="B185" s="232" t="s">
        <v>524</v>
      </c>
      <c r="C185" s="233" t="s">
        <v>207</v>
      </c>
      <c r="D185" s="502">
        <v>1</v>
      </c>
      <c r="E185" s="520">
        <f>'Energia Elétrica - MESA'!H45</f>
        <v>1691.3369737967105</v>
      </c>
      <c r="F185" s="514">
        <f>E185*D185</f>
        <v>1691.3369737967105</v>
      </c>
      <c r="J185" s="234"/>
      <c r="K185" s="234"/>
    </row>
    <row r="186" spans="2:11" x14ac:dyDescent="0.2">
      <c r="B186" s="232" t="s">
        <v>525</v>
      </c>
      <c r="C186" s="233" t="s">
        <v>526</v>
      </c>
      <c r="D186" s="502">
        <f>'Consumíveis - MESA'!C58</f>
        <v>42.478746093749997</v>
      </c>
      <c r="E186" s="520">
        <f>'MAPA DE PREÇOS'!M624</f>
        <v>11.8</v>
      </c>
      <c r="F186" s="514">
        <f>E186*D186</f>
        <v>501.24920390624999</v>
      </c>
      <c r="J186" s="234"/>
      <c r="K186" s="234"/>
    </row>
    <row r="187" spans="2:11" x14ac:dyDescent="0.2">
      <c r="B187" s="232" t="s">
        <v>302</v>
      </c>
      <c r="C187" s="233" t="s">
        <v>207</v>
      </c>
      <c r="D187" s="502">
        <v>1</v>
      </c>
      <c r="E187" s="520">
        <f>'MAPA DE PREÇOS'!M309</f>
        <v>93.53</v>
      </c>
      <c r="F187" s="514">
        <f>E187</f>
        <v>93.53</v>
      </c>
      <c r="J187" s="234"/>
      <c r="K187" s="234"/>
    </row>
    <row r="188" spans="2:11" x14ac:dyDescent="0.2">
      <c r="B188" s="232" t="s">
        <v>829</v>
      </c>
      <c r="C188" s="233" t="s">
        <v>289</v>
      </c>
      <c r="D188" s="502">
        <v>1</v>
      </c>
      <c r="E188" s="520">
        <f>'MAPA DE PREÇOS'!M498</f>
        <v>2682.93</v>
      </c>
      <c r="F188" s="514"/>
      <c r="J188" s="234"/>
      <c r="K188" s="234"/>
    </row>
    <row r="189" spans="2:11" x14ac:dyDescent="0.2">
      <c r="B189" s="232" t="s">
        <v>830</v>
      </c>
      <c r="C189" s="233" t="s">
        <v>207</v>
      </c>
      <c r="D189" s="502">
        <v>60</v>
      </c>
      <c r="E189" s="520">
        <f>E188/D189</f>
        <v>44.715499999999999</v>
      </c>
      <c r="F189" s="514">
        <f>E189*D188</f>
        <v>44.715499999999999</v>
      </c>
      <c r="I189" s="197"/>
      <c r="J189" s="234"/>
      <c r="K189" s="234"/>
    </row>
    <row r="190" spans="2:11" x14ac:dyDescent="0.2">
      <c r="B190" s="232" t="s">
        <v>780</v>
      </c>
      <c r="C190" s="233" t="s">
        <v>782</v>
      </c>
      <c r="D190" s="502">
        <f>'Consumíveis - MESA'!E16</f>
        <v>29.485420272000002</v>
      </c>
      <c r="E190" s="520">
        <f>'MAPA DE PREÇOS'!M456</f>
        <v>1.94</v>
      </c>
      <c r="F190" s="514">
        <f>E190*D190</f>
        <v>57.201715327680006</v>
      </c>
      <c r="K190" s="234"/>
    </row>
    <row r="191" spans="2:11" x14ac:dyDescent="0.2">
      <c r="B191" s="495" t="s">
        <v>781</v>
      </c>
      <c r="C191" s="496" t="s">
        <v>782</v>
      </c>
      <c r="D191" s="503">
        <f>'Consumíveis - MESA'!G13</f>
        <v>19.552500000000002</v>
      </c>
      <c r="E191" s="521">
        <f>'MAPA DE PREÇOS'!M477</f>
        <v>5.48</v>
      </c>
      <c r="F191" s="516">
        <f>D191*E191</f>
        <v>107.14770000000001</v>
      </c>
      <c r="K191" s="234"/>
    </row>
    <row r="192" spans="2:11" x14ac:dyDescent="0.2">
      <c r="B192" s="236" t="s">
        <v>527</v>
      </c>
      <c r="C192" s="206" t="s">
        <v>289</v>
      </c>
      <c r="D192" s="237">
        <f>'Consumíveis - MESA'!C42</f>
        <v>84</v>
      </c>
      <c r="E192" s="512">
        <f>'MAPA DE PREÇOS'!M330</f>
        <v>40</v>
      </c>
      <c r="F192" s="512"/>
      <c r="J192" s="238"/>
      <c r="K192" s="234"/>
    </row>
    <row r="193" spans="2:11" x14ac:dyDescent="0.2">
      <c r="B193" s="236" t="s">
        <v>783</v>
      </c>
      <c r="C193" s="206" t="s">
        <v>207</v>
      </c>
      <c r="D193" s="239">
        <v>8.3333333333333329E-2</v>
      </c>
      <c r="E193" s="512">
        <f>E192*D192</f>
        <v>3360</v>
      </c>
      <c r="F193" s="512">
        <f>D193*E193</f>
        <v>280</v>
      </c>
      <c r="J193" s="238"/>
      <c r="K193" s="234"/>
    </row>
    <row r="194" spans="2:11" x14ac:dyDescent="0.2">
      <c r="B194" s="223" t="s">
        <v>528</v>
      </c>
      <c r="C194" s="209" t="s">
        <v>289</v>
      </c>
      <c r="D194" s="239">
        <f>'Consumíveis - MESA'!C28</f>
        <v>51</v>
      </c>
      <c r="E194" s="513">
        <f>'MAPA DE PREÇOS'!M351</f>
        <v>225.55</v>
      </c>
      <c r="F194" s="513"/>
      <c r="J194" s="238"/>
      <c r="K194" s="234"/>
    </row>
    <row r="195" spans="2:11" x14ac:dyDescent="0.2">
      <c r="B195" s="223" t="s">
        <v>778</v>
      </c>
      <c r="C195" s="209" t="s">
        <v>207</v>
      </c>
      <c r="D195" s="239">
        <v>30</v>
      </c>
      <c r="E195" s="513">
        <f>E194*D194/D195</f>
        <v>383.43500000000006</v>
      </c>
      <c r="F195" s="513">
        <f>E195</f>
        <v>383.43500000000006</v>
      </c>
      <c r="J195" s="238"/>
      <c r="K195" s="234"/>
    </row>
    <row r="196" spans="2:11" x14ac:dyDescent="0.2">
      <c r="B196" s="223" t="s">
        <v>529</v>
      </c>
      <c r="C196" s="209" t="s">
        <v>530</v>
      </c>
      <c r="D196" s="239">
        <f>'Consumíveis - MESA'!C51</f>
        <v>16.118360817292707</v>
      </c>
      <c r="E196" s="513">
        <f>'MAPA DE PREÇOS'!M372</f>
        <v>15.25</v>
      </c>
      <c r="F196" s="513">
        <f>E196*D196</f>
        <v>245.80500246371378</v>
      </c>
      <c r="J196" s="238"/>
      <c r="K196" s="234"/>
    </row>
    <row r="197" spans="2:11" x14ac:dyDescent="0.2">
      <c r="G197" s="240">
        <f>SUM(F185:F196)</f>
        <v>3404.4210954943542</v>
      </c>
    </row>
    <row r="198" spans="2:11" ht="13.5" thickBot="1" x14ac:dyDescent="0.25"/>
    <row r="199" spans="2:11" ht="16.5" thickBot="1" x14ac:dyDescent="0.25">
      <c r="B199" s="229" t="s">
        <v>963</v>
      </c>
      <c r="C199" s="230"/>
      <c r="D199" s="230"/>
      <c r="E199" s="519"/>
      <c r="F199" s="519"/>
      <c r="G199" s="231">
        <f>G197</f>
        <v>3404.4210954943542</v>
      </c>
    </row>
    <row r="201" spans="2:11" ht="15.75" x14ac:dyDescent="0.25">
      <c r="B201" s="201" t="s">
        <v>531</v>
      </c>
    </row>
    <row r="202" spans="2:11" x14ac:dyDescent="0.2">
      <c r="B202" s="203" t="s">
        <v>469</v>
      </c>
      <c r="C202" s="203" t="s">
        <v>2</v>
      </c>
      <c r="D202" s="203" t="s">
        <v>44</v>
      </c>
      <c r="E202" s="526" t="s">
        <v>470</v>
      </c>
      <c r="F202" s="526" t="s">
        <v>471</v>
      </c>
      <c r="G202" s="204" t="s">
        <v>472</v>
      </c>
    </row>
    <row r="203" spans="2:11" x14ac:dyDescent="0.2">
      <c r="B203" s="232" t="s">
        <v>751</v>
      </c>
      <c r="C203" s="233" t="s">
        <v>207</v>
      </c>
      <c r="D203" s="232">
        <v>1</v>
      </c>
      <c r="E203" s="520">
        <f>'MAPA DE PREÇOS'!M519</f>
        <v>1462.08</v>
      </c>
      <c r="F203" s="514">
        <f>E203*D203</f>
        <v>1462.08</v>
      </c>
    </row>
    <row r="204" spans="2:11" x14ac:dyDescent="0.2">
      <c r="B204" s="232" t="s">
        <v>532</v>
      </c>
      <c r="C204" s="233" t="s">
        <v>207</v>
      </c>
      <c r="D204" s="232">
        <v>1</v>
      </c>
      <c r="E204" s="520">
        <f>'MAPA DE PREÇOS'!M582</f>
        <v>2431.67</v>
      </c>
      <c r="F204" s="514">
        <f>E204*D204</f>
        <v>2431.67</v>
      </c>
    </row>
    <row r="205" spans="2:11" x14ac:dyDescent="0.2">
      <c r="B205" s="232" t="s">
        <v>771</v>
      </c>
      <c r="C205" s="233" t="s">
        <v>519</v>
      </c>
      <c r="D205" s="235">
        <f>'PARÂMETROS - MESA'!D32</f>
        <v>2686.28</v>
      </c>
      <c r="E205" s="520">
        <f>'MAPA DE PREÇOS'!M603</f>
        <v>1.3</v>
      </c>
      <c r="F205" s="514"/>
    </row>
    <row r="206" spans="2:11" x14ac:dyDescent="0.2">
      <c r="B206" s="232" t="s">
        <v>771</v>
      </c>
      <c r="C206" s="233" t="s">
        <v>289</v>
      </c>
      <c r="D206" s="210">
        <f>1/6</f>
        <v>0.16666666666666666</v>
      </c>
      <c r="E206" s="520">
        <f>E205*D205</f>
        <v>3492.1640000000002</v>
      </c>
      <c r="F206" s="514">
        <f>D206*E206</f>
        <v>582.02733333333333</v>
      </c>
    </row>
    <row r="207" spans="2:11" x14ac:dyDescent="0.2">
      <c r="G207" s="240">
        <f>SUM(F203:F206)</f>
        <v>4475.7773333333334</v>
      </c>
    </row>
    <row r="208" spans="2:11" ht="13.5" thickBot="1" x14ac:dyDescent="0.25">
      <c r="G208" s="200"/>
    </row>
    <row r="209" spans="2:7" ht="16.5" thickBot="1" x14ac:dyDescent="0.25">
      <c r="B209" s="229" t="s">
        <v>957</v>
      </c>
      <c r="C209" s="230"/>
      <c r="D209" s="230"/>
      <c r="E209" s="519"/>
      <c r="F209" s="519"/>
      <c r="G209" s="231">
        <f>G207</f>
        <v>4475.7773333333334</v>
      </c>
    </row>
    <row r="210" spans="2:7" ht="13.5" thickBot="1" x14ac:dyDescent="0.25"/>
    <row r="211" spans="2:7" ht="16.5" thickBot="1" x14ac:dyDescent="0.3">
      <c r="B211" s="241" t="s">
        <v>533</v>
      </c>
      <c r="C211" s="242"/>
      <c r="D211" s="243"/>
      <c r="E211" s="522"/>
      <c r="F211" s="522"/>
      <c r="G211" s="244">
        <f>G209+G199+G181+G172+G59</f>
        <v>13350.40192127213</v>
      </c>
    </row>
    <row r="213" spans="2:7" ht="15.75" x14ac:dyDescent="0.25">
      <c r="B213" s="201" t="s">
        <v>534</v>
      </c>
    </row>
    <row r="214" spans="2:7" x14ac:dyDescent="0.2">
      <c r="B214" s="203" t="s">
        <v>469</v>
      </c>
      <c r="C214" s="203" t="s">
        <v>2</v>
      </c>
      <c r="D214" s="203" t="s">
        <v>44</v>
      </c>
      <c r="E214" s="526" t="s">
        <v>470</v>
      </c>
      <c r="F214" s="526" t="s">
        <v>471</v>
      </c>
      <c r="G214" s="204" t="s">
        <v>472</v>
      </c>
    </row>
    <row r="215" spans="2:7" x14ac:dyDescent="0.2">
      <c r="B215" s="232" t="s">
        <v>535</v>
      </c>
      <c r="C215" s="233" t="s">
        <v>487</v>
      </c>
      <c r="D215" s="245">
        <f>C229</f>
        <v>0.132381</v>
      </c>
      <c r="E215" s="520">
        <f>G211</f>
        <v>13350.40192127213</v>
      </c>
      <c r="F215" s="514">
        <f>G211/(1-D215)-E215</f>
        <v>2036.9996009076858</v>
      </c>
    </row>
    <row r="216" spans="2:7" x14ac:dyDescent="0.2">
      <c r="G216" s="240">
        <f>SUM(F215:F215)</f>
        <v>2036.9996009076858</v>
      </c>
    </row>
    <row r="217" spans="2:7" ht="13.5" thickBot="1" x14ac:dyDescent="0.25"/>
    <row r="218" spans="2:7" ht="16.5" thickBot="1" x14ac:dyDescent="0.3">
      <c r="B218" s="241" t="s">
        <v>536</v>
      </c>
      <c r="C218" s="242"/>
      <c r="D218" s="243"/>
      <c r="E218" s="522"/>
      <c r="F218" s="522"/>
      <c r="G218" s="244">
        <f>G216</f>
        <v>2036.9996009076858</v>
      </c>
    </row>
    <row r="219" spans="2:7" ht="15.75" x14ac:dyDescent="0.25">
      <c r="B219" s="201"/>
      <c r="C219" s="246"/>
      <c r="D219" s="201"/>
      <c r="E219" s="523"/>
      <c r="F219" s="523"/>
      <c r="G219" s="247"/>
    </row>
    <row r="220" spans="2:7" ht="13.5" thickBot="1" x14ac:dyDescent="0.25"/>
    <row r="221" spans="2:7" ht="19.5" thickBot="1" x14ac:dyDescent="0.35">
      <c r="B221" s="248" t="s">
        <v>537</v>
      </c>
      <c r="C221" s="249"/>
      <c r="D221" s="250"/>
      <c r="E221" s="524"/>
      <c r="F221" s="524"/>
      <c r="G221" s="251">
        <f>G211+G218</f>
        <v>15387.401522179816</v>
      </c>
    </row>
    <row r="222" spans="2:7" x14ac:dyDescent="0.2">
      <c r="G222" s="252"/>
    </row>
    <row r="224" spans="2:7" ht="13.5" thickBot="1" x14ac:dyDescent="0.25">
      <c r="G224" s="252"/>
    </row>
    <row r="225" spans="2:7" ht="15" x14ac:dyDescent="0.25">
      <c r="B225" s="253" t="s">
        <v>538</v>
      </c>
      <c r="C225" s="254"/>
      <c r="G225" s="252"/>
    </row>
    <row r="226" spans="2:7" ht="15" x14ac:dyDescent="0.25">
      <c r="B226" s="255" t="s">
        <v>958</v>
      </c>
      <c r="C226" s="256">
        <v>2.5000000000000001E-3</v>
      </c>
    </row>
    <row r="227" spans="2:7" ht="15" x14ac:dyDescent="0.25">
      <c r="B227" s="255" t="s">
        <v>959</v>
      </c>
      <c r="C227" s="659">
        <v>9.3381000000000006E-2</v>
      </c>
    </row>
    <row r="228" spans="2:7" ht="15" x14ac:dyDescent="0.25">
      <c r="B228" s="255" t="s">
        <v>539</v>
      </c>
      <c r="C228" s="256">
        <v>3.6499999999999998E-2</v>
      </c>
    </row>
    <row r="229" spans="2:7" ht="15.75" thickBot="1" x14ac:dyDescent="0.3">
      <c r="B229" s="257" t="s">
        <v>540</v>
      </c>
      <c r="C229" s="258">
        <f>SUM(C226:C228)</f>
        <v>0.132381</v>
      </c>
    </row>
  </sheetData>
  <mergeCells count="2">
    <mergeCell ref="B1:G1"/>
    <mergeCell ref="B6:C6"/>
  </mergeCells>
  <pageMargins left="0.511811024" right="0.511811024" top="0.78740157499999996" bottom="0.78740157499999996" header="0.31496062000000002" footer="0.314960620000000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8"/>
  <dimension ref="A1:M229"/>
  <sheetViews>
    <sheetView workbookViewId="0">
      <selection activeCell="B200" sqref="B200"/>
    </sheetView>
  </sheetViews>
  <sheetFormatPr defaultColWidth="9.140625" defaultRowHeight="12.75" x14ac:dyDescent="0.2"/>
  <cols>
    <col min="1" max="1" width="11.42578125" style="183" customWidth="1"/>
    <col min="2" max="2" width="51.42578125" style="183" customWidth="1"/>
    <col min="3" max="3" width="11.85546875" style="199" customWidth="1"/>
    <col min="4" max="4" width="13.140625" style="183" customWidth="1"/>
    <col min="5" max="5" width="14.42578125" style="510" customWidth="1"/>
    <col min="6" max="6" width="14.7109375" style="510" customWidth="1"/>
    <col min="7" max="7" width="18.7109375" style="183" customWidth="1"/>
    <col min="8" max="8" width="15.7109375" style="183" hidden="1" customWidth="1"/>
    <col min="9" max="9" width="16.140625" style="183" customWidth="1"/>
    <col min="10" max="10" width="15.5703125" style="183" customWidth="1"/>
    <col min="11" max="12" width="13.85546875" style="183" customWidth="1"/>
    <col min="13" max="13" width="18.140625" style="183" customWidth="1"/>
    <col min="14" max="16384" width="9.140625" style="183"/>
  </cols>
  <sheetData>
    <row r="1" spans="1:13" ht="68.25" customHeight="1" x14ac:dyDescent="0.2">
      <c r="B1" s="701"/>
      <c r="C1" s="701"/>
      <c r="D1" s="701"/>
      <c r="E1" s="701"/>
      <c r="F1" s="701"/>
      <c r="G1" s="701"/>
    </row>
    <row r="2" spans="1:13" x14ac:dyDescent="0.2">
      <c r="A2" s="184"/>
      <c r="B2" s="184"/>
      <c r="C2" s="185"/>
      <c r="D2" s="184"/>
      <c r="E2" s="505"/>
      <c r="F2" s="505"/>
      <c r="G2" s="184"/>
    </row>
    <row r="3" spans="1:13" ht="15.75" x14ac:dyDescent="0.25">
      <c r="B3" s="201" t="s">
        <v>455</v>
      </c>
      <c r="C3" s="187"/>
      <c r="D3" s="186"/>
      <c r="E3" s="506"/>
      <c r="F3" s="506"/>
      <c r="G3" s="186"/>
    </row>
    <row r="4" spans="1:13" ht="15.75" x14ac:dyDescent="0.25">
      <c r="B4" s="201" t="s">
        <v>952</v>
      </c>
      <c r="C4" s="187"/>
      <c r="D4" s="186"/>
      <c r="E4" s="506"/>
      <c r="F4" s="506"/>
      <c r="G4" s="186"/>
    </row>
    <row r="5" spans="1:13" ht="15" customHeight="1" thickBot="1" x14ac:dyDescent="0.25">
      <c r="B5" s="186"/>
      <c r="C5" s="187"/>
      <c r="D5" s="186"/>
      <c r="E5" s="506"/>
      <c r="F5" s="506"/>
      <c r="G5" s="186"/>
    </row>
    <row r="6" spans="1:13" ht="15" customHeight="1" x14ac:dyDescent="0.2">
      <c r="B6" s="702" t="s">
        <v>456</v>
      </c>
      <c r="C6" s="703"/>
      <c r="D6" s="186"/>
      <c r="E6" s="506"/>
      <c r="F6" s="506"/>
      <c r="G6" s="186"/>
    </row>
    <row r="7" spans="1:13" ht="15" customHeight="1" x14ac:dyDescent="0.2">
      <c r="B7" s="188" t="s">
        <v>457</v>
      </c>
      <c r="C7" s="435">
        <f>'PARÂMETROS - EST'!D25</f>
        <v>832.08</v>
      </c>
      <c r="D7" s="186"/>
      <c r="E7" s="506"/>
      <c r="F7" s="506"/>
      <c r="G7" s="186"/>
    </row>
    <row r="8" spans="1:13" ht="15" customHeight="1" x14ac:dyDescent="0.2">
      <c r="B8" s="189" t="s">
        <v>458</v>
      </c>
      <c r="C8" s="433">
        <f>'PARÂMETROS - EST'!D8</f>
        <v>106.28625</v>
      </c>
      <c r="D8" s="186"/>
      <c r="E8" s="506"/>
      <c r="F8" s="506"/>
      <c r="G8" s="186"/>
    </row>
    <row r="9" spans="1:13" ht="15" customHeight="1" x14ac:dyDescent="0.2">
      <c r="B9" s="189" t="s">
        <v>459</v>
      </c>
      <c r="C9" s="433">
        <f>'PARÂMETROS - EST'!D7</f>
        <v>4</v>
      </c>
      <c r="D9" s="186"/>
      <c r="E9" s="506"/>
      <c r="F9" s="506"/>
      <c r="G9" s="186"/>
    </row>
    <row r="10" spans="1:13" ht="15" customHeight="1" x14ac:dyDescent="0.2">
      <c r="B10" s="189" t="s">
        <v>460</v>
      </c>
      <c r="C10" s="190">
        <v>0.33333333333333331</v>
      </c>
      <c r="D10" s="186"/>
      <c r="E10" s="506"/>
      <c r="F10" s="506"/>
      <c r="G10" s="186"/>
    </row>
    <row r="11" spans="1:13" ht="15" customHeight="1" thickBot="1" x14ac:dyDescent="0.25">
      <c r="B11" s="189" t="s">
        <v>461</v>
      </c>
      <c r="C11" s="190">
        <f>'PARÂMETROS - EST'!D40</f>
        <v>0.3125</v>
      </c>
      <c r="D11" s="186"/>
      <c r="E11" s="506"/>
      <c r="F11" s="506"/>
      <c r="G11" s="186"/>
    </row>
    <row r="12" spans="1:13" ht="15" customHeight="1" x14ac:dyDescent="0.2">
      <c r="B12" s="189" t="s">
        <v>462</v>
      </c>
      <c r="C12" s="190">
        <f>'PARÂMETROS - EST'!D41</f>
        <v>0.68749999999999989</v>
      </c>
      <c r="D12" s="191" t="s">
        <v>463</v>
      </c>
      <c r="E12" s="507" t="s">
        <v>464</v>
      </c>
      <c r="F12" s="506"/>
      <c r="G12" s="186"/>
      <c r="H12" s="193" t="s">
        <v>465</v>
      </c>
    </row>
    <row r="13" spans="1:13" ht="15" customHeight="1" x14ac:dyDescent="0.2">
      <c r="B13" s="189" t="s">
        <v>797</v>
      </c>
      <c r="C13" s="527">
        <f>'PARÂMETROS - EST'!D17</f>
        <v>2</v>
      </c>
      <c r="D13" s="192">
        <v>1</v>
      </c>
      <c r="E13" s="508">
        <v>0</v>
      </c>
      <c r="G13" s="186"/>
      <c r="H13" s="482">
        <f>IF(C13&gt;0,1,0)</f>
        <v>1</v>
      </c>
    </row>
    <row r="14" spans="1:13" ht="15" customHeight="1" x14ac:dyDescent="0.2">
      <c r="B14" s="189" t="s">
        <v>831</v>
      </c>
      <c r="C14" s="527">
        <f>'PARÂMETROS - EST'!D19</f>
        <v>2</v>
      </c>
      <c r="D14" s="194">
        <v>1</v>
      </c>
      <c r="E14" s="509">
        <v>0</v>
      </c>
      <c r="H14" s="482">
        <f t="shared" ref="H14:H16" si="0">IF(C14&gt;0,1,0)</f>
        <v>1</v>
      </c>
    </row>
    <row r="15" spans="1:13" ht="15" customHeight="1" x14ac:dyDescent="0.2">
      <c r="B15" s="189" t="s">
        <v>851</v>
      </c>
      <c r="C15" s="527">
        <f>'PARÂMETROS - EST'!D21</f>
        <v>1</v>
      </c>
      <c r="D15" s="194">
        <v>1</v>
      </c>
      <c r="E15" s="509">
        <v>0</v>
      </c>
      <c r="H15" s="482">
        <f t="shared" si="0"/>
        <v>1</v>
      </c>
      <c r="K15" s="195"/>
      <c r="L15" s="196"/>
      <c r="M15" s="197"/>
    </row>
    <row r="16" spans="1:13" ht="15" customHeight="1" x14ac:dyDescent="0.2">
      <c r="B16" s="189" t="s">
        <v>466</v>
      </c>
      <c r="C16" s="563">
        <f>'PARÂMETROS - EST'!D22</f>
        <v>1</v>
      </c>
      <c r="D16" s="194">
        <v>1</v>
      </c>
      <c r="E16" s="509">
        <v>0</v>
      </c>
      <c r="H16" s="482">
        <f t="shared" si="0"/>
        <v>1</v>
      </c>
      <c r="K16" s="195"/>
      <c r="L16" s="196"/>
      <c r="M16" s="197"/>
    </row>
    <row r="17" spans="2:13" ht="15" customHeight="1" thickBot="1" x14ac:dyDescent="0.25">
      <c r="B17" s="198" t="s">
        <v>852</v>
      </c>
      <c r="C17" s="564">
        <f>'PARÂMETROS - EST'!D23</f>
        <v>2</v>
      </c>
      <c r="D17" s="565">
        <v>1</v>
      </c>
      <c r="E17" s="566"/>
      <c r="H17" s="187"/>
      <c r="K17" s="195"/>
      <c r="L17" s="196"/>
      <c r="M17" s="197"/>
    </row>
    <row r="18" spans="2:13" ht="15" customHeight="1" x14ac:dyDescent="0.2">
      <c r="K18" s="200"/>
      <c r="L18" s="196"/>
      <c r="M18" s="197"/>
    </row>
    <row r="19" spans="2:13" ht="15.75" x14ac:dyDescent="0.25">
      <c r="B19" s="201" t="s">
        <v>467</v>
      </c>
      <c r="C19" s="187"/>
      <c r="E19" s="511"/>
      <c r="F19" s="511"/>
      <c r="K19" s="200"/>
      <c r="L19" s="202"/>
      <c r="M19" s="197"/>
    </row>
    <row r="20" spans="2:13" x14ac:dyDescent="0.2">
      <c r="B20" s="183" t="s">
        <v>468</v>
      </c>
      <c r="C20" s="187"/>
      <c r="E20" s="511"/>
      <c r="F20" s="511"/>
      <c r="K20" s="200"/>
      <c r="L20" s="202"/>
      <c r="M20" s="197"/>
    </row>
    <row r="21" spans="2:13" x14ac:dyDescent="0.2">
      <c r="B21" s="203" t="s">
        <v>469</v>
      </c>
      <c r="C21" s="203" t="s">
        <v>2</v>
      </c>
      <c r="D21" s="203" t="s">
        <v>44</v>
      </c>
      <c r="E21" s="526" t="s">
        <v>470</v>
      </c>
      <c r="F21" s="526" t="s">
        <v>471</v>
      </c>
      <c r="G21" s="204" t="s">
        <v>472</v>
      </c>
      <c r="K21" s="195"/>
    </row>
    <row r="22" spans="2:13" x14ac:dyDescent="0.2">
      <c r="B22" s="205" t="s">
        <v>473</v>
      </c>
      <c r="C22" s="206" t="s">
        <v>289</v>
      </c>
      <c r="D22" s="207">
        <v>0.16666666666666666</v>
      </c>
      <c r="E22" s="512">
        <f>'MAPA DE PREÇOS'!M267</f>
        <v>53.9</v>
      </c>
      <c r="F22" s="516">
        <f>E22*D22</f>
        <v>8.9833333333333325</v>
      </c>
      <c r="I22" s="197"/>
    </row>
    <row r="23" spans="2:13" x14ac:dyDescent="0.2">
      <c r="B23" s="208" t="s">
        <v>445</v>
      </c>
      <c r="C23" s="209" t="s">
        <v>289</v>
      </c>
      <c r="D23" s="210">
        <v>0.33333333333333331</v>
      </c>
      <c r="E23" s="513">
        <f>'MAPA DE PREÇOS'!M288</f>
        <v>32.53</v>
      </c>
      <c r="F23" s="514">
        <f t="shared" ref="F23:F28" si="1">E23*D23</f>
        <v>10.843333333333334</v>
      </c>
      <c r="I23" s="197"/>
    </row>
    <row r="24" spans="2:13" x14ac:dyDescent="0.2">
      <c r="B24" s="208" t="s">
        <v>474</v>
      </c>
      <c r="C24" s="209" t="s">
        <v>227</v>
      </c>
      <c r="D24" s="210">
        <v>0.33333333333333331</v>
      </c>
      <c r="E24" s="513">
        <f>'MAPA DE PREÇOS'!M141</f>
        <v>2.77</v>
      </c>
      <c r="F24" s="514">
        <f t="shared" si="1"/>
        <v>0.92333333333333334</v>
      </c>
      <c r="I24" s="197"/>
    </row>
    <row r="25" spans="2:13" x14ac:dyDescent="0.2">
      <c r="B25" s="208" t="s">
        <v>439</v>
      </c>
      <c r="C25" s="209" t="s">
        <v>289</v>
      </c>
      <c r="D25" s="210">
        <v>0.25</v>
      </c>
      <c r="E25" s="513">
        <f>'MAPA DE PREÇOS'!M162</f>
        <v>12.66</v>
      </c>
      <c r="F25" s="514">
        <f t="shared" si="1"/>
        <v>3.165</v>
      </c>
      <c r="I25" s="197"/>
    </row>
    <row r="26" spans="2:13" x14ac:dyDescent="0.2">
      <c r="B26" s="208" t="s">
        <v>440</v>
      </c>
      <c r="C26" s="209" t="s">
        <v>289</v>
      </c>
      <c r="D26" s="210">
        <v>0.16666666666666666</v>
      </c>
      <c r="E26" s="513">
        <f>'MAPA DE PREÇOS'!M183</f>
        <v>47.65</v>
      </c>
      <c r="F26" s="514">
        <f t="shared" si="1"/>
        <v>7.9416666666666664</v>
      </c>
      <c r="I26" s="197"/>
    </row>
    <row r="27" spans="2:13" x14ac:dyDescent="0.2">
      <c r="B27" s="208" t="s">
        <v>442</v>
      </c>
      <c r="C27" s="209" t="s">
        <v>289</v>
      </c>
      <c r="D27" s="211">
        <v>4</v>
      </c>
      <c r="E27" s="513">
        <f>'MAPA DE PREÇOS'!M225</f>
        <v>1.58</v>
      </c>
      <c r="F27" s="514">
        <f t="shared" si="1"/>
        <v>6.32</v>
      </c>
      <c r="I27" s="197"/>
    </row>
    <row r="28" spans="2:13" x14ac:dyDescent="0.2">
      <c r="B28" s="208" t="s">
        <v>443</v>
      </c>
      <c r="C28" s="209" t="s">
        <v>289</v>
      </c>
      <c r="D28" s="211">
        <v>2</v>
      </c>
      <c r="E28" s="513">
        <f>'MAPA DE PREÇOS'!M246</f>
        <v>2.65</v>
      </c>
      <c r="F28" s="514">
        <f t="shared" si="1"/>
        <v>5.3</v>
      </c>
      <c r="I28" s="197"/>
    </row>
    <row r="29" spans="2:13" x14ac:dyDescent="0.2">
      <c r="B29" s="208" t="s">
        <v>475</v>
      </c>
      <c r="C29" s="209" t="s">
        <v>476</v>
      </c>
      <c r="D29" s="212">
        <f>ROUND(C8/C9,0)</f>
        <v>27</v>
      </c>
      <c r="E29" s="514">
        <f>SUM(F22:F28)</f>
        <v>43.476666666666659</v>
      </c>
      <c r="F29" s="514">
        <f>E29*D29</f>
        <v>1173.8699999999999</v>
      </c>
      <c r="I29" s="197"/>
    </row>
    <row r="30" spans="2:13" x14ac:dyDescent="0.2">
      <c r="E30" s="511"/>
      <c r="F30" s="511"/>
      <c r="G30" s="213">
        <f>F29</f>
        <v>1173.8699999999999</v>
      </c>
    </row>
    <row r="31" spans="2:13" x14ac:dyDescent="0.2">
      <c r="B31" s="183" t="s">
        <v>477</v>
      </c>
      <c r="E31" s="511"/>
      <c r="F31" s="511"/>
      <c r="G31" s="197"/>
    </row>
    <row r="32" spans="2:13" x14ac:dyDescent="0.2">
      <c r="B32" s="203" t="s">
        <v>469</v>
      </c>
      <c r="C32" s="203" t="s">
        <v>2</v>
      </c>
      <c r="D32" s="203" t="s">
        <v>44</v>
      </c>
      <c r="E32" s="526" t="s">
        <v>470</v>
      </c>
      <c r="F32" s="526" t="s">
        <v>471</v>
      </c>
      <c r="G32" s="204" t="s">
        <v>472</v>
      </c>
    </row>
    <row r="33" spans="2:9" x14ac:dyDescent="0.2">
      <c r="B33" s="205" t="s">
        <v>473</v>
      </c>
      <c r="C33" s="206" t="s">
        <v>289</v>
      </c>
      <c r="D33" s="207">
        <v>0.16666666666666666</v>
      </c>
      <c r="E33" s="512">
        <f t="shared" ref="E33:E39" si="2">E22</f>
        <v>53.9</v>
      </c>
      <c r="F33" s="516">
        <f>E33*D33</f>
        <v>8.9833333333333325</v>
      </c>
      <c r="I33" s="197"/>
    </row>
    <row r="34" spans="2:9" x14ac:dyDescent="0.2">
      <c r="B34" s="208" t="s">
        <v>445</v>
      </c>
      <c r="C34" s="209" t="s">
        <v>289</v>
      </c>
      <c r="D34" s="210">
        <v>0.33333333333333331</v>
      </c>
      <c r="E34" s="513">
        <f t="shared" si="2"/>
        <v>32.53</v>
      </c>
      <c r="F34" s="514">
        <f t="shared" ref="F34:F40" si="3">E34*D34</f>
        <v>10.843333333333334</v>
      </c>
      <c r="I34" s="197"/>
    </row>
    <row r="35" spans="2:9" x14ac:dyDescent="0.2">
      <c r="B35" s="208" t="s">
        <v>474</v>
      </c>
      <c r="C35" s="209" t="s">
        <v>227</v>
      </c>
      <c r="D35" s="210">
        <v>0.33333333333333331</v>
      </c>
      <c r="E35" s="513">
        <f t="shared" si="2"/>
        <v>2.77</v>
      </c>
      <c r="F35" s="514">
        <f t="shared" si="3"/>
        <v>0.92333333333333334</v>
      </c>
      <c r="I35" s="197"/>
    </row>
    <row r="36" spans="2:9" x14ac:dyDescent="0.2">
      <c r="B36" s="208" t="s">
        <v>439</v>
      </c>
      <c r="C36" s="209" t="s">
        <v>289</v>
      </c>
      <c r="D36" s="210">
        <v>0.25</v>
      </c>
      <c r="E36" s="513">
        <f t="shared" si="2"/>
        <v>12.66</v>
      </c>
      <c r="F36" s="514">
        <f t="shared" si="3"/>
        <v>3.165</v>
      </c>
      <c r="I36" s="197"/>
    </row>
    <row r="37" spans="2:9" x14ac:dyDescent="0.2">
      <c r="B37" s="208" t="s">
        <v>440</v>
      </c>
      <c r="C37" s="209" t="s">
        <v>289</v>
      </c>
      <c r="D37" s="210">
        <v>0.1111111111111111</v>
      </c>
      <c r="E37" s="513">
        <f t="shared" si="2"/>
        <v>47.65</v>
      </c>
      <c r="F37" s="514">
        <f t="shared" si="3"/>
        <v>5.2944444444444443</v>
      </c>
      <c r="I37" s="197"/>
    </row>
    <row r="38" spans="2:9" x14ac:dyDescent="0.2">
      <c r="B38" s="208" t="s">
        <v>442</v>
      </c>
      <c r="C38" s="209" t="s">
        <v>289</v>
      </c>
      <c r="D38" s="211">
        <v>4</v>
      </c>
      <c r="E38" s="513">
        <f t="shared" si="2"/>
        <v>1.58</v>
      </c>
      <c r="F38" s="514">
        <f t="shared" si="3"/>
        <v>6.32</v>
      </c>
      <c r="I38" s="197"/>
    </row>
    <row r="39" spans="2:9" x14ac:dyDescent="0.2">
      <c r="B39" s="208" t="s">
        <v>443</v>
      </c>
      <c r="C39" s="209" t="s">
        <v>289</v>
      </c>
      <c r="D39" s="211">
        <v>2</v>
      </c>
      <c r="E39" s="513">
        <f t="shared" si="2"/>
        <v>2.65</v>
      </c>
      <c r="F39" s="514">
        <f t="shared" si="3"/>
        <v>5.3</v>
      </c>
      <c r="I39" s="197"/>
    </row>
    <row r="40" spans="2:9" x14ac:dyDescent="0.2">
      <c r="B40" s="208" t="s">
        <v>478</v>
      </c>
      <c r="C40" s="209" t="s">
        <v>289</v>
      </c>
      <c r="D40" s="210">
        <v>0.16666666666666666</v>
      </c>
      <c r="E40" s="513">
        <f>'MAPA DE PREÇOS'!M204</f>
        <v>12.47</v>
      </c>
      <c r="F40" s="514">
        <f t="shared" si="3"/>
        <v>2.0783333333333331</v>
      </c>
      <c r="I40" s="197"/>
    </row>
    <row r="41" spans="2:9" x14ac:dyDescent="0.2">
      <c r="B41" s="208" t="s">
        <v>475</v>
      </c>
      <c r="C41" s="209" t="s">
        <v>476</v>
      </c>
      <c r="D41" s="212">
        <v>2</v>
      </c>
      <c r="E41" s="514">
        <f>SUM(F33:F40)</f>
        <v>42.907777777777774</v>
      </c>
      <c r="F41" s="514">
        <f>E41*D41</f>
        <v>85.815555555555548</v>
      </c>
      <c r="I41" s="197"/>
    </row>
    <row r="42" spans="2:9" x14ac:dyDescent="0.2">
      <c r="E42" s="511"/>
      <c r="F42" s="511"/>
      <c r="G42" s="213">
        <f>F41</f>
        <v>85.815555555555548</v>
      </c>
    </row>
    <row r="44" spans="2:9" x14ac:dyDescent="0.2">
      <c r="B44" s="183" t="s">
        <v>479</v>
      </c>
      <c r="E44" s="511"/>
      <c r="F44" s="511"/>
      <c r="G44" s="197"/>
    </row>
    <row r="45" spans="2:9" x14ac:dyDescent="0.2">
      <c r="B45" s="203" t="s">
        <v>469</v>
      </c>
      <c r="C45" s="203" t="s">
        <v>2</v>
      </c>
      <c r="D45" s="203" t="s">
        <v>44</v>
      </c>
      <c r="E45" s="526" t="s">
        <v>470</v>
      </c>
      <c r="F45" s="526" t="s">
        <v>471</v>
      </c>
      <c r="G45" s="204" t="s">
        <v>472</v>
      </c>
    </row>
    <row r="46" spans="2:9" x14ac:dyDescent="0.2">
      <c r="B46" s="205" t="s">
        <v>473</v>
      </c>
      <c r="C46" s="206" t="s">
        <v>289</v>
      </c>
      <c r="D46" s="207">
        <v>0.16666666666666666</v>
      </c>
      <c r="E46" s="512">
        <f>E35</f>
        <v>2.77</v>
      </c>
      <c r="F46" s="516">
        <f>E46*D46</f>
        <v>0.46166666666666667</v>
      </c>
    </row>
    <row r="47" spans="2:9" x14ac:dyDescent="0.2">
      <c r="B47" s="208" t="s">
        <v>445</v>
      </c>
      <c r="C47" s="209" t="s">
        <v>289</v>
      </c>
      <c r="D47" s="210">
        <v>0.33333333333333331</v>
      </c>
      <c r="E47" s="513">
        <f>E36</f>
        <v>12.66</v>
      </c>
      <c r="F47" s="514">
        <f>E47*D47</f>
        <v>4.22</v>
      </c>
    </row>
    <row r="48" spans="2:9" x14ac:dyDescent="0.2">
      <c r="B48" s="208" t="s">
        <v>474</v>
      </c>
      <c r="C48" s="209" t="s">
        <v>227</v>
      </c>
      <c r="D48" s="210">
        <v>0.33333333333333331</v>
      </c>
      <c r="E48" s="513">
        <f>E37</f>
        <v>47.65</v>
      </c>
      <c r="F48" s="514">
        <f>E48*D48</f>
        <v>15.883333333333333</v>
      </c>
    </row>
    <row r="49" spans="2:7" x14ac:dyDescent="0.2">
      <c r="B49" s="208" t="s">
        <v>440</v>
      </c>
      <c r="C49" s="209" t="s">
        <v>289</v>
      </c>
      <c r="D49" s="210">
        <v>0.1111111111111111</v>
      </c>
      <c r="E49" s="513">
        <f>E39</f>
        <v>2.65</v>
      </c>
      <c r="F49" s="514">
        <f>E49*D49</f>
        <v>0.2944444444444444</v>
      </c>
    </row>
    <row r="50" spans="2:7" x14ac:dyDescent="0.2">
      <c r="B50" s="208" t="s">
        <v>475</v>
      </c>
      <c r="C50" s="209" t="s">
        <v>476</v>
      </c>
      <c r="D50" s="212">
        <v>2</v>
      </c>
      <c r="E50" s="514">
        <f>SUM(F46:F49)</f>
        <v>20.859444444444442</v>
      </c>
      <c r="F50" s="514">
        <f>E50*D50</f>
        <v>41.718888888888884</v>
      </c>
    </row>
    <row r="51" spans="2:7" x14ac:dyDescent="0.2">
      <c r="E51" s="511"/>
      <c r="F51" s="511"/>
      <c r="G51" s="213">
        <f>F50</f>
        <v>41.718888888888884</v>
      </c>
    </row>
    <row r="52" spans="2:7" x14ac:dyDescent="0.2">
      <c r="B52" s="214" t="s">
        <v>480</v>
      </c>
    </row>
    <row r="53" spans="2:7" x14ac:dyDescent="0.2">
      <c r="B53" s="203" t="s">
        <v>469</v>
      </c>
      <c r="C53" s="203" t="s">
        <v>2</v>
      </c>
      <c r="D53" s="203" t="s">
        <v>44</v>
      </c>
      <c r="E53" s="526" t="s">
        <v>470</v>
      </c>
      <c r="F53" s="526" t="s">
        <v>471</v>
      </c>
      <c r="G53" s="204" t="s">
        <v>472</v>
      </c>
    </row>
    <row r="54" spans="2:7" x14ac:dyDescent="0.2">
      <c r="B54" s="205" t="s">
        <v>473</v>
      </c>
      <c r="C54" s="206" t="s">
        <v>289</v>
      </c>
      <c r="D54" s="207">
        <v>0.16666666666666666</v>
      </c>
      <c r="E54" s="512">
        <f>E22</f>
        <v>53.9</v>
      </c>
      <c r="F54" s="516">
        <f>E54*D54</f>
        <v>8.9833333333333325</v>
      </c>
    </row>
    <row r="55" spans="2:7" x14ac:dyDescent="0.2">
      <c r="B55" s="208" t="s">
        <v>445</v>
      </c>
      <c r="C55" s="209" t="s">
        <v>289</v>
      </c>
      <c r="D55" s="210">
        <v>0.33333333333333331</v>
      </c>
      <c r="E55" s="513">
        <f>E23</f>
        <v>32.53</v>
      </c>
      <c r="F55" s="514">
        <f>E55*D55</f>
        <v>10.843333333333334</v>
      </c>
    </row>
    <row r="56" spans="2:7" x14ac:dyDescent="0.2">
      <c r="B56" s="208" t="s">
        <v>475</v>
      </c>
      <c r="C56" s="212" t="s">
        <v>476</v>
      </c>
      <c r="D56" s="193">
        <v>1</v>
      </c>
      <c r="E56" s="514">
        <f>SUM(F54:F55)</f>
        <v>19.826666666666668</v>
      </c>
      <c r="F56" s="514">
        <f>E56*D56</f>
        <v>19.826666666666668</v>
      </c>
    </row>
    <row r="57" spans="2:7" x14ac:dyDescent="0.2">
      <c r="G57" s="213">
        <f>F56</f>
        <v>19.826666666666668</v>
      </c>
    </row>
    <row r="58" spans="2:7" ht="13.5" thickBot="1" x14ac:dyDescent="0.25"/>
    <row r="59" spans="2:7" ht="15.75" thickBot="1" x14ac:dyDescent="0.3">
      <c r="B59" s="215" t="s">
        <v>481</v>
      </c>
      <c r="C59" s="216"/>
      <c r="D59" s="217"/>
      <c r="E59" s="515"/>
      <c r="F59" s="515"/>
      <c r="G59" s="218">
        <f>G30+G42+G51+G57</f>
        <v>1321.231111111111</v>
      </c>
    </row>
    <row r="61" spans="2:7" ht="15.75" x14ac:dyDescent="0.25">
      <c r="B61" s="201" t="s">
        <v>482</v>
      </c>
    </row>
    <row r="62" spans="2:7" x14ac:dyDescent="0.2">
      <c r="B62" s="183" t="s">
        <v>483</v>
      </c>
    </row>
    <row r="63" spans="2:7" x14ac:dyDescent="0.2">
      <c r="B63" s="183" t="s">
        <v>484</v>
      </c>
    </row>
    <row r="64" spans="2:7" x14ac:dyDescent="0.2">
      <c r="B64" s="203" t="s">
        <v>469</v>
      </c>
      <c r="C64" s="203" t="s">
        <v>2</v>
      </c>
      <c r="D64" s="203" t="s">
        <v>44</v>
      </c>
      <c r="E64" s="526" t="s">
        <v>470</v>
      </c>
      <c r="F64" s="526" t="s">
        <v>471</v>
      </c>
      <c r="G64" s="204" t="s">
        <v>472</v>
      </c>
    </row>
    <row r="65" spans="2:7" x14ac:dyDescent="0.2">
      <c r="B65" s="219" t="s">
        <v>485</v>
      </c>
      <c r="C65" s="220" t="s">
        <v>289</v>
      </c>
      <c r="D65" s="219">
        <f>C13</f>
        <v>2</v>
      </c>
      <c r="E65" s="516">
        <f>'MAPA DE PREÇOS'!M15</f>
        <v>27220.45</v>
      </c>
      <c r="F65" s="516">
        <f>E65*D65</f>
        <v>54440.9</v>
      </c>
    </row>
    <row r="66" spans="2:7" x14ac:dyDescent="0.2">
      <c r="B66" s="193" t="s">
        <v>486</v>
      </c>
      <c r="C66" s="212" t="s">
        <v>487</v>
      </c>
      <c r="D66" s="193">
        <v>80</v>
      </c>
      <c r="E66" s="514">
        <f>F65*D66/100</f>
        <v>43552.72</v>
      </c>
      <c r="F66" s="514">
        <f>E66</f>
        <v>43552.72</v>
      </c>
    </row>
    <row r="67" spans="2:7" x14ac:dyDescent="0.2">
      <c r="B67" s="193" t="s">
        <v>488</v>
      </c>
      <c r="C67" s="212" t="s">
        <v>489</v>
      </c>
      <c r="D67" s="193">
        <v>60</v>
      </c>
      <c r="E67" s="514"/>
      <c r="F67" s="514">
        <f>F66/D67</f>
        <v>725.87866666666673</v>
      </c>
    </row>
    <row r="68" spans="2:7" x14ac:dyDescent="0.2">
      <c r="G68" s="213">
        <f>F67</f>
        <v>725.87866666666673</v>
      </c>
    </row>
    <row r="69" spans="2:7" x14ac:dyDescent="0.2">
      <c r="B69" s="183" t="s">
        <v>490</v>
      </c>
    </row>
    <row r="70" spans="2:7" x14ac:dyDescent="0.2">
      <c r="B70" s="203" t="s">
        <v>469</v>
      </c>
      <c r="C70" s="203" t="s">
        <v>2</v>
      </c>
      <c r="D70" s="203" t="s">
        <v>44</v>
      </c>
      <c r="E70" s="526" t="s">
        <v>470</v>
      </c>
      <c r="F70" s="526" t="s">
        <v>471</v>
      </c>
      <c r="G70" s="204" t="s">
        <v>472</v>
      </c>
    </row>
    <row r="71" spans="2:7" x14ac:dyDescent="0.2">
      <c r="B71" s="219" t="s">
        <v>491</v>
      </c>
      <c r="C71" s="206" t="s">
        <v>487</v>
      </c>
      <c r="D71" s="206">
        <f>100-D66</f>
        <v>20</v>
      </c>
      <c r="E71" s="512">
        <f>E65*D13</f>
        <v>27220.45</v>
      </c>
      <c r="F71" s="512">
        <f>E71*D71/100</f>
        <v>5444.09</v>
      </c>
      <c r="G71" s="221"/>
    </row>
    <row r="72" spans="2:7" x14ac:dyDescent="0.2">
      <c r="B72" s="193" t="s">
        <v>492</v>
      </c>
      <c r="C72" s="209" t="s">
        <v>493</v>
      </c>
      <c r="D72" s="209">
        <v>5</v>
      </c>
      <c r="E72" s="513"/>
      <c r="F72" s="513">
        <f>((E71-F71)*(D72+1)/(2*D72))+F71</f>
        <v>18509.906000000003</v>
      </c>
      <c r="G72" s="221"/>
    </row>
    <row r="73" spans="2:7" x14ac:dyDescent="0.2">
      <c r="B73" s="193" t="s">
        <v>494</v>
      </c>
      <c r="C73" s="209" t="s">
        <v>495</v>
      </c>
      <c r="D73" s="209">
        <v>14.75</v>
      </c>
      <c r="E73" s="513">
        <f>F72</f>
        <v>18509.906000000003</v>
      </c>
      <c r="F73" s="513">
        <f>TRUNC(D73*E73/100/12,2)</f>
        <v>227.51</v>
      </c>
      <c r="G73" s="221"/>
    </row>
    <row r="74" spans="2:7" x14ac:dyDescent="0.2">
      <c r="B74" s="222"/>
      <c r="C74" s="222"/>
      <c r="D74" s="222"/>
      <c r="E74" s="517"/>
      <c r="F74" s="517"/>
      <c r="G74" s="504">
        <f>F73</f>
        <v>227.51</v>
      </c>
    </row>
    <row r="75" spans="2:7" x14ac:dyDescent="0.2">
      <c r="B75" s="183" t="s">
        <v>496</v>
      </c>
      <c r="C75" s="222"/>
      <c r="D75" s="222"/>
      <c r="E75" s="517"/>
      <c r="F75" s="517"/>
      <c r="G75" s="221"/>
    </row>
    <row r="76" spans="2:7" x14ac:dyDescent="0.2">
      <c r="B76" s="203" t="s">
        <v>469</v>
      </c>
      <c r="C76" s="203" t="s">
        <v>2</v>
      </c>
      <c r="D76" s="203" t="s">
        <v>44</v>
      </c>
      <c r="E76" s="526" t="s">
        <v>470</v>
      </c>
      <c r="F76" s="526" t="s">
        <v>471</v>
      </c>
      <c r="G76" s="204" t="s">
        <v>472</v>
      </c>
    </row>
    <row r="77" spans="2:7" x14ac:dyDescent="0.2">
      <c r="B77" s="219" t="s">
        <v>485</v>
      </c>
      <c r="C77" s="206" t="s">
        <v>289</v>
      </c>
      <c r="D77" s="206">
        <f>D65</f>
        <v>2</v>
      </c>
      <c r="E77" s="512">
        <f>E65</f>
        <v>27220.45</v>
      </c>
      <c r="F77" s="512">
        <f>E77*D77</f>
        <v>54440.9</v>
      </c>
      <c r="G77" s="221"/>
    </row>
    <row r="78" spans="2:7" x14ac:dyDescent="0.2">
      <c r="B78" s="193" t="s">
        <v>497</v>
      </c>
      <c r="C78" s="209" t="s">
        <v>487</v>
      </c>
      <c r="D78" s="209">
        <v>85</v>
      </c>
      <c r="E78" s="513">
        <f>F77</f>
        <v>54440.9</v>
      </c>
      <c r="F78" s="513">
        <f>TRUNC(E78*D78/100,2)</f>
        <v>46274.76</v>
      </c>
      <c r="G78" s="221"/>
    </row>
    <row r="79" spans="2:7" x14ac:dyDescent="0.2">
      <c r="B79" s="223" t="s">
        <v>498</v>
      </c>
      <c r="C79" s="209" t="s">
        <v>207</v>
      </c>
      <c r="D79" s="209">
        <v>60</v>
      </c>
      <c r="E79" s="513">
        <f>F78</f>
        <v>46274.76</v>
      </c>
      <c r="F79" s="513">
        <f>E79/D79</f>
        <v>771.24599999999998</v>
      </c>
      <c r="G79" s="221"/>
    </row>
    <row r="80" spans="2:7" x14ac:dyDescent="0.2">
      <c r="B80" s="224"/>
      <c r="C80" s="222"/>
      <c r="D80" s="222"/>
      <c r="E80" s="517"/>
      <c r="F80" s="517"/>
      <c r="G80" s="504">
        <f>F79</f>
        <v>771.24599999999998</v>
      </c>
    </row>
    <row r="81" spans="2:7" ht="13.5" thickBot="1" x14ac:dyDescent="0.25">
      <c r="B81" s="224"/>
      <c r="C81" s="222"/>
      <c r="D81" s="222"/>
      <c r="E81" s="517"/>
      <c r="F81" s="517"/>
      <c r="G81" s="221"/>
    </row>
    <row r="82" spans="2:7" ht="13.5" thickBot="1" x14ac:dyDescent="0.25">
      <c r="B82" s="225" t="s">
        <v>962</v>
      </c>
      <c r="C82" s="226"/>
      <c r="D82" s="226"/>
      <c r="E82" s="518"/>
      <c r="F82" s="518"/>
      <c r="G82" s="227">
        <f>G80+G74+G68</f>
        <v>1724.6346666666668</v>
      </c>
    </row>
    <row r="83" spans="2:7" x14ac:dyDescent="0.2">
      <c r="C83" s="183"/>
    </row>
    <row r="84" spans="2:7" x14ac:dyDescent="0.2">
      <c r="B84" s="183" t="s">
        <v>499</v>
      </c>
    </row>
    <row r="85" spans="2:7" x14ac:dyDescent="0.2">
      <c r="B85" s="183" t="s">
        <v>500</v>
      </c>
    </row>
    <row r="86" spans="2:7" x14ac:dyDescent="0.2">
      <c r="B86" s="203" t="s">
        <v>469</v>
      </c>
      <c r="C86" s="203" t="s">
        <v>2</v>
      </c>
      <c r="D86" s="203" t="s">
        <v>44</v>
      </c>
      <c r="E86" s="526" t="s">
        <v>470</v>
      </c>
      <c r="F86" s="526" t="s">
        <v>471</v>
      </c>
      <c r="G86" s="204" t="s">
        <v>472</v>
      </c>
    </row>
    <row r="87" spans="2:7" x14ac:dyDescent="0.2">
      <c r="B87" s="193" t="s">
        <v>485</v>
      </c>
      <c r="C87" s="212" t="s">
        <v>289</v>
      </c>
      <c r="D87" s="193">
        <f>C14</f>
        <v>2</v>
      </c>
      <c r="E87" s="514">
        <f>'MAPA DE PREÇOS'!M36</f>
        <v>24150.58</v>
      </c>
      <c r="F87" s="525">
        <f>E87*D87</f>
        <v>48301.16</v>
      </c>
    </row>
    <row r="88" spans="2:7" x14ac:dyDescent="0.2">
      <c r="B88" s="193" t="s">
        <v>486</v>
      </c>
      <c r="C88" s="212" t="s">
        <v>487</v>
      </c>
      <c r="D88" s="193">
        <v>80</v>
      </c>
      <c r="E88" s="514">
        <f>F87*D88/100</f>
        <v>38640.928</v>
      </c>
      <c r="F88" s="514">
        <f>E88</f>
        <v>38640.928</v>
      </c>
    </row>
    <row r="89" spans="2:7" x14ac:dyDescent="0.2">
      <c r="B89" s="193" t="s">
        <v>488</v>
      </c>
      <c r="C89" s="212" t="s">
        <v>489</v>
      </c>
      <c r="D89" s="193">
        <v>60</v>
      </c>
      <c r="E89" s="514"/>
      <c r="F89" s="514">
        <f>F88/D89</f>
        <v>644.01546666666661</v>
      </c>
    </row>
    <row r="90" spans="2:7" x14ac:dyDescent="0.2">
      <c r="G90" s="213">
        <f>F89</f>
        <v>644.01546666666661</v>
      </c>
    </row>
    <row r="91" spans="2:7" x14ac:dyDescent="0.2">
      <c r="B91" s="183" t="s">
        <v>501</v>
      </c>
    </row>
    <row r="92" spans="2:7" x14ac:dyDescent="0.2">
      <c r="B92" s="203" t="s">
        <v>469</v>
      </c>
      <c r="C92" s="203" t="s">
        <v>2</v>
      </c>
      <c r="D92" s="203" t="s">
        <v>44</v>
      </c>
      <c r="E92" s="526" t="s">
        <v>470</v>
      </c>
      <c r="F92" s="526" t="s">
        <v>471</v>
      </c>
      <c r="G92" s="204" t="s">
        <v>472</v>
      </c>
    </row>
    <row r="93" spans="2:7" x14ac:dyDescent="0.2">
      <c r="B93" s="193" t="s">
        <v>491</v>
      </c>
      <c r="C93" s="209" t="s">
        <v>487</v>
      </c>
      <c r="D93" s="209">
        <f>100-D88</f>
        <v>20</v>
      </c>
      <c r="E93" s="513">
        <f>E87*D14</f>
        <v>24150.58</v>
      </c>
      <c r="F93" s="513">
        <f>E93*D93/100</f>
        <v>4830.116</v>
      </c>
      <c r="G93" s="221"/>
    </row>
    <row r="94" spans="2:7" x14ac:dyDescent="0.2">
      <c r="B94" s="193" t="s">
        <v>492</v>
      </c>
      <c r="C94" s="209" t="s">
        <v>493</v>
      </c>
      <c r="D94" s="209">
        <v>5</v>
      </c>
      <c r="E94" s="513"/>
      <c r="F94" s="513">
        <f>((E93-F93)*(D94+1)/(2*D94))+F93</f>
        <v>16422.394399999997</v>
      </c>
      <c r="G94" s="221"/>
    </row>
    <row r="95" spans="2:7" x14ac:dyDescent="0.2">
      <c r="B95" s="193" t="s">
        <v>494</v>
      </c>
      <c r="C95" s="209" t="s">
        <v>495</v>
      </c>
      <c r="D95" s="209">
        <f>D73</f>
        <v>14.75</v>
      </c>
      <c r="E95" s="513">
        <f>F94</f>
        <v>16422.394399999997</v>
      </c>
      <c r="F95" s="513">
        <f>TRUNC(D95*E95/100/12,2)</f>
        <v>201.85</v>
      </c>
      <c r="G95" s="221"/>
    </row>
    <row r="96" spans="2:7" x14ac:dyDescent="0.2">
      <c r="B96" s="222"/>
      <c r="C96" s="222"/>
      <c r="D96" s="222"/>
      <c r="E96" s="517"/>
      <c r="F96" s="517"/>
      <c r="G96" s="504">
        <f>F95</f>
        <v>201.85</v>
      </c>
    </row>
    <row r="97" spans="2:7" x14ac:dyDescent="0.2">
      <c r="B97" s="183" t="s">
        <v>502</v>
      </c>
      <c r="C97" s="222"/>
      <c r="D97" s="222"/>
      <c r="E97" s="517"/>
      <c r="F97" s="517"/>
      <c r="G97" s="221"/>
    </row>
    <row r="98" spans="2:7" x14ac:dyDescent="0.2">
      <c r="B98" s="203" t="s">
        <v>469</v>
      </c>
      <c r="C98" s="203" t="s">
        <v>2</v>
      </c>
      <c r="D98" s="203" t="s">
        <v>44</v>
      </c>
      <c r="E98" s="526" t="s">
        <v>470</v>
      </c>
      <c r="F98" s="526" t="s">
        <v>471</v>
      </c>
      <c r="G98" s="204" t="s">
        <v>472</v>
      </c>
    </row>
    <row r="99" spans="2:7" x14ac:dyDescent="0.2">
      <c r="B99" s="219" t="s">
        <v>485</v>
      </c>
      <c r="C99" s="206" t="s">
        <v>289</v>
      </c>
      <c r="D99" s="206">
        <f>D87</f>
        <v>2</v>
      </c>
      <c r="E99" s="512">
        <f>E87</f>
        <v>24150.58</v>
      </c>
      <c r="F99" s="512">
        <f>E99*D99</f>
        <v>48301.16</v>
      </c>
      <c r="G99" s="221"/>
    </row>
    <row r="100" spans="2:7" x14ac:dyDescent="0.2">
      <c r="B100" s="193" t="s">
        <v>497</v>
      </c>
      <c r="C100" s="209" t="s">
        <v>487</v>
      </c>
      <c r="D100" s="209">
        <v>85</v>
      </c>
      <c r="E100" s="513">
        <f>F99</f>
        <v>48301.16</v>
      </c>
      <c r="F100" s="513">
        <f>TRUNC(E100*D100/100,2)</f>
        <v>41055.980000000003</v>
      </c>
      <c r="G100" s="221"/>
    </row>
    <row r="101" spans="2:7" x14ac:dyDescent="0.2">
      <c r="B101" s="223" t="s">
        <v>498</v>
      </c>
      <c r="C101" s="209" t="s">
        <v>207</v>
      </c>
      <c r="D101" s="209">
        <v>60</v>
      </c>
      <c r="E101" s="513">
        <f>F100</f>
        <v>41055.980000000003</v>
      </c>
      <c r="F101" s="513">
        <f>E101/D101</f>
        <v>684.26633333333336</v>
      </c>
      <c r="G101" s="221"/>
    </row>
    <row r="102" spans="2:7" x14ac:dyDescent="0.2">
      <c r="B102" s="224"/>
      <c r="C102" s="222"/>
      <c r="D102" s="222"/>
      <c r="E102" s="517"/>
      <c r="F102" s="517"/>
      <c r="G102" s="504">
        <f>F101</f>
        <v>684.26633333333336</v>
      </c>
    </row>
    <row r="103" spans="2:7" ht="13.5" thickBot="1" x14ac:dyDescent="0.25">
      <c r="B103" s="224"/>
      <c r="C103" s="222"/>
      <c r="D103" s="222"/>
      <c r="E103" s="517"/>
      <c r="F103" s="517"/>
      <c r="G103" s="221"/>
    </row>
    <row r="104" spans="2:7" ht="13.5" thickBot="1" x14ac:dyDescent="0.25">
      <c r="B104" s="225" t="s">
        <v>961</v>
      </c>
      <c r="C104" s="226"/>
      <c r="D104" s="226"/>
      <c r="E104" s="518"/>
      <c r="F104" s="518"/>
      <c r="G104" s="227">
        <f>G102+G96+G90</f>
        <v>1530.1318000000001</v>
      </c>
    </row>
    <row r="105" spans="2:7" x14ac:dyDescent="0.2">
      <c r="B105" s="224"/>
      <c r="C105" s="222"/>
      <c r="D105" s="222"/>
      <c r="E105" s="517"/>
      <c r="F105" s="517"/>
      <c r="G105" s="221"/>
    </row>
    <row r="106" spans="2:7" x14ac:dyDescent="0.2">
      <c r="B106" s="183" t="s">
        <v>503</v>
      </c>
    </row>
    <row r="107" spans="2:7" x14ac:dyDescent="0.2">
      <c r="B107" s="183" t="s">
        <v>504</v>
      </c>
    </row>
    <row r="108" spans="2:7" x14ac:dyDescent="0.2">
      <c r="B108" s="203" t="s">
        <v>469</v>
      </c>
      <c r="C108" s="203" t="s">
        <v>2</v>
      </c>
      <c r="D108" s="203" t="s">
        <v>44</v>
      </c>
      <c r="E108" s="526" t="s">
        <v>470</v>
      </c>
      <c r="F108" s="526" t="s">
        <v>471</v>
      </c>
      <c r="G108" s="204" t="s">
        <v>472</v>
      </c>
    </row>
    <row r="109" spans="2:7" x14ac:dyDescent="0.2">
      <c r="B109" s="193" t="s">
        <v>485</v>
      </c>
      <c r="C109" s="212" t="s">
        <v>289</v>
      </c>
      <c r="D109" s="193">
        <f>C15</f>
        <v>1</v>
      </c>
      <c r="E109" s="514">
        <f>'MAPA DE PREÇOS'!M57</f>
        <v>6369.77</v>
      </c>
      <c r="F109" s="525">
        <f>E109*D109</f>
        <v>6369.77</v>
      </c>
    </row>
    <row r="110" spans="2:7" x14ac:dyDescent="0.2">
      <c r="B110" s="193" t="s">
        <v>486</v>
      </c>
      <c r="C110" s="212" t="s">
        <v>487</v>
      </c>
      <c r="D110" s="193">
        <v>80</v>
      </c>
      <c r="E110" s="514">
        <f>F109*D110/100</f>
        <v>5095.8160000000007</v>
      </c>
      <c r="F110" s="514">
        <f>E110</f>
        <v>5095.8160000000007</v>
      </c>
    </row>
    <row r="111" spans="2:7" x14ac:dyDescent="0.2">
      <c r="B111" s="193" t="s">
        <v>488</v>
      </c>
      <c r="C111" s="212" t="s">
        <v>489</v>
      </c>
      <c r="D111" s="193">
        <v>60</v>
      </c>
      <c r="E111" s="514"/>
      <c r="F111" s="514">
        <f>F110/D111</f>
        <v>84.930266666666682</v>
      </c>
    </row>
    <row r="112" spans="2:7" x14ac:dyDescent="0.2">
      <c r="G112" s="213">
        <f>F111</f>
        <v>84.930266666666682</v>
      </c>
    </row>
    <row r="113" spans="2:7" x14ac:dyDescent="0.2">
      <c r="B113" s="183" t="s">
        <v>505</v>
      </c>
    </row>
    <row r="114" spans="2:7" x14ac:dyDescent="0.2">
      <c r="B114" s="203" t="s">
        <v>469</v>
      </c>
      <c r="C114" s="203" t="s">
        <v>2</v>
      </c>
      <c r="D114" s="203" t="s">
        <v>44</v>
      </c>
      <c r="E114" s="526" t="s">
        <v>470</v>
      </c>
      <c r="F114" s="526" t="s">
        <v>471</v>
      </c>
      <c r="G114" s="204" t="s">
        <v>472</v>
      </c>
    </row>
    <row r="115" spans="2:7" x14ac:dyDescent="0.2">
      <c r="B115" s="193" t="s">
        <v>491</v>
      </c>
      <c r="C115" s="209" t="s">
        <v>487</v>
      </c>
      <c r="D115" s="209">
        <f>100-D110</f>
        <v>20</v>
      </c>
      <c r="E115" s="513">
        <f>E109*D15</f>
        <v>6369.77</v>
      </c>
      <c r="F115" s="513">
        <f>E115*D115/100</f>
        <v>1273.9540000000002</v>
      </c>
      <c r="G115" s="221"/>
    </row>
    <row r="116" spans="2:7" x14ac:dyDescent="0.2">
      <c r="B116" s="193" t="s">
        <v>492</v>
      </c>
      <c r="C116" s="209" t="s">
        <v>493</v>
      </c>
      <c r="D116" s="209">
        <v>5</v>
      </c>
      <c r="E116" s="513"/>
      <c r="F116" s="513">
        <f>((E115-F115)*(D116+1)/(2*D116))+F115</f>
        <v>4331.4436000000005</v>
      </c>
      <c r="G116" s="221"/>
    </row>
    <row r="117" spans="2:7" x14ac:dyDescent="0.2">
      <c r="B117" s="193" t="s">
        <v>494</v>
      </c>
      <c r="C117" s="209" t="s">
        <v>495</v>
      </c>
      <c r="D117" s="209">
        <f>D95</f>
        <v>14.75</v>
      </c>
      <c r="E117" s="513">
        <f>F116</f>
        <v>4331.4436000000005</v>
      </c>
      <c r="F117" s="513">
        <f>TRUNC(D117*E117/100/12,2)</f>
        <v>53.24</v>
      </c>
      <c r="G117" s="221"/>
    </row>
    <row r="118" spans="2:7" x14ac:dyDescent="0.2">
      <c r="B118" s="222"/>
      <c r="C118" s="222"/>
      <c r="D118" s="222"/>
      <c r="E118" s="517"/>
      <c r="F118" s="517"/>
      <c r="G118" s="504">
        <f>F117</f>
        <v>53.24</v>
      </c>
    </row>
    <row r="119" spans="2:7" x14ac:dyDescent="0.2">
      <c r="B119" s="228" t="s">
        <v>506</v>
      </c>
      <c r="C119" s="222"/>
      <c r="D119" s="222"/>
      <c r="E119" s="517"/>
      <c r="F119" s="517"/>
      <c r="G119" s="221"/>
    </row>
    <row r="120" spans="2:7" x14ac:dyDescent="0.2">
      <c r="B120" s="203" t="s">
        <v>469</v>
      </c>
      <c r="C120" s="203" t="s">
        <v>2</v>
      </c>
      <c r="D120" s="203" t="s">
        <v>44</v>
      </c>
      <c r="E120" s="526" t="s">
        <v>470</v>
      </c>
      <c r="F120" s="526" t="s">
        <v>471</v>
      </c>
      <c r="G120" s="204" t="s">
        <v>472</v>
      </c>
    </row>
    <row r="121" spans="2:7" x14ac:dyDescent="0.2">
      <c r="B121" s="219" t="s">
        <v>485</v>
      </c>
      <c r="C121" s="206" t="s">
        <v>289</v>
      </c>
      <c r="D121" s="206">
        <f>D109</f>
        <v>1</v>
      </c>
      <c r="E121" s="512">
        <f>E109</f>
        <v>6369.77</v>
      </c>
      <c r="F121" s="512">
        <f>E121*D121</f>
        <v>6369.77</v>
      </c>
      <c r="G121" s="221"/>
    </row>
    <row r="122" spans="2:7" x14ac:dyDescent="0.2">
      <c r="B122" s="193" t="s">
        <v>497</v>
      </c>
      <c r="C122" s="209" t="s">
        <v>487</v>
      </c>
      <c r="D122" s="209">
        <v>85</v>
      </c>
      <c r="E122" s="513">
        <f>F121</f>
        <v>6369.77</v>
      </c>
      <c r="F122" s="513">
        <f>TRUNC(E122*D122/100,2)</f>
        <v>5414.3</v>
      </c>
      <c r="G122" s="221"/>
    </row>
    <row r="123" spans="2:7" x14ac:dyDescent="0.2">
      <c r="B123" s="223" t="s">
        <v>498</v>
      </c>
      <c r="C123" s="209" t="s">
        <v>207</v>
      </c>
      <c r="D123" s="209">
        <v>60</v>
      </c>
      <c r="E123" s="513">
        <f>F122</f>
        <v>5414.3</v>
      </c>
      <c r="F123" s="513">
        <f>E123/D123</f>
        <v>90.23833333333333</v>
      </c>
      <c r="G123" s="221"/>
    </row>
    <row r="124" spans="2:7" ht="15.75" customHeight="1" x14ac:dyDescent="0.2">
      <c r="B124" s="224"/>
      <c r="C124" s="222"/>
      <c r="D124" s="222"/>
      <c r="E124" s="517"/>
      <c r="F124" s="517"/>
      <c r="G124" s="504">
        <f>F123</f>
        <v>90.23833333333333</v>
      </c>
    </row>
    <row r="125" spans="2:7" ht="15.75" customHeight="1" thickBot="1" x14ac:dyDescent="0.25">
      <c r="B125" s="224"/>
      <c r="C125" s="222"/>
      <c r="D125" s="222"/>
      <c r="E125" s="517"/>
      <c r="F125" s="517"/>
      <c r="G125" s="221"/>
    </row>
    <row r="126" spans="2:7" ht="13.5" thickBot="1" x14ac:dyDescent="0.25">
      <c r="B126" s="225" t="s">
        <v>960</v>
      </c>
      <c r="C126" s="226"/>
      <c r="D126" s="226"/>
      <c r="E126" s="518"/>
      <c r="F126" s="518"/>
      <c r="G126" s="227">
        <f>G124+G118+G112</f>
        <v>228.40860000000001</v>
      </c>
    </row>
    <row r="127" spans="2:7" x14ac:dyDescent="0.2">
      <c r="B127" s="224"/>
      <c r="C127" s="222"/>
      <c r="D127" s="222"/>
      <c r="E127" s="517"/>
      <c r="F127" s="517"/>
      <c r="G127" s="221"/>
    </row>
    <row r="128" spans="2:7" x14ac:dyDescent="0.2">
      <c r="B128" s="183" t="s">
        <v>507</v>
      </c>
    </row>
    <row r="129" spans="2:7" x14ac:dyDescent="0.2">
      <c r="B129" s="183" t="s">
        <v>508</v>
      </c>
    </row>
    <row r="130" spans="2:7" x14ac:dyDescent="0.2">
      <c r="B130" s="203" t="s">
        <v>469</v>
      </c>
      <c r="C130" s="203" t="s">
        <v>2</v>
      </c>
      <c r="D130" s="203" t="s">
        <v>44</v>
      </c>
      <c r="E130" s="526" t="s">
        <v>470</v>
      </c>
      <c r="F130" s="526" t="s">
        <v>471</v>
      </c>
      <c r="G130" s="204" t="s">
        <v>472</v>
      </c>
    </row>
    <row r="131" spans="2:7" x14ac:dyDescent="0.2">
      <c r="B131" s="193" t="s">
        <v>485</v>
      </c>
      <c r="C131" s="212" t="s">
        <v>289</v>
      </c>
      <c r="D131" s="193">
        <f>C16</f>
        <v>1</v>
      </c>
      <c r="E131" s="514">
        <f>'MAPA DE PREÇOS'!M78</f>
        <v>6350.65</v>
      </c>
      <c r="F131" s="525">
        <f>E131*D131</f>
        <v>6350.65</v>
      </c>
    </row>
    <row r="132" spans="2:7" x14ac:dyDescent="0.2">
      <c r="B132" s="193" t="s">
        <v>486</v>
      </c>
      <c r="C132" s="212" t="s">
        <v>487</v>
      </c>
      <c r="D132" s="193">
        <v>80</v>
      </c>
      <c r="E132" s="514">
        <f>F131*D132/100</f>
        <v>5080.5200000000004</v>
      </c>
      <c r="F132" s="514">
        <f>E132</f>
        <v>5080.5200000000004</v>
      </c>
    </row>
    <row r="133" spans="2:7" x14ac:dyDescent="0.2">
      <c r="B133" s="193" t="s">
        <v>488</v>
      </c>
      <c r="C133" s="212" t="s">
        <v>489</v>
      </c>
      <c r="D133" s="193">
        <v>60</v>
      </c>
      <c r="E133" s="514"/>
      <c r="F133" s="514">
        <f>F132/D133</f>
        <v>84.675333333333342</v>
      </c>
    </row>
    <row r="134" spans="2:7" x14ac:dyDescent="0.2">
      <c r="G134" s="213">
        <f>F133</f>
        <v>84.675333333333342</v>
      </c>
    </row>
    <row r="135" spans="2:7" x14ac:dyDescent="0.2">
      <c r="B135" s="183" t="s">
        <v>509</v>
      </c>
    </row>
    <row r="136" spans="2:7" x14ac:dyDescent="0.2">
      <c r="B136" s="203" t="s">
        <v>469</v>
      </c>
      <c r="C136" s="203" t="s">
        <v>2</v>
      </c>
      <c r="D136" s="203" t="s">
        <v>44</v>
      </c>
      <c r="E136" s="526" t="s">
        <v>470</v>
      </c>
      <c r="F136" s="526" t="s">
        <v>471</v>
      </c>
      <c r="G136" s="204" t="s">
        <v>472</v>
      </c>
    </row>
    <row r="137" spans="2:7" x14ac:dyDescent="0.2">
      <c r="B137" s="193" t="s">
        <v>491</v>
      </c>
      <c r="C137" s="209" t="s">
        <v>487</v>
      </c>
      <c r="D137" s="209">
        <f>100-D132</f>
        <v>20</v>
      </c>
      <c r="E137" s="513">
        <f>E131*D16</f>
        <v>6350.65</v>
      </c>
      <c r="F137" s="513">
        <f>E137*D137/100</f>
        <v>1270.1300000000001</v>
      </c>
      <c r="G137" s="221"/>
    </row>
    <row r="138" spans="2:7" x14ac:dyDescent="0.2">
      <c r="B138" s="193" t="s">
        <v>492</v>
      </c>
      <c r="C138" s="209" t="s">
        <v>493</v>
      </c>
      <c r="D138" s="209">
        <v>5</v>
      </c>
      <c r="E138" s="513"/>
      <c r="F138" s="513">
        <f>((E137-F137)*(D138+1)/(2*D138))+F137</f>
        <v>4318.4419999999991</v>
      </c>
      <c r="G138" s="221"/>
    </row>
    <row r="139" spans="2:7" x14ac:dyDescent="0.2">
      <c r="B139" s="193" t="s">
        <v>494</v>
      </c>
      <c r="C139" s="209" t="s">
        <v>495</v>
      </c>
      <c r="D139" s="209">
        <f>D117</f>
        <v>14.75</v>
      </c>
      <c r="E139" s="513">
        <f>F138</f>
        <v>4318.4419999999991</v>
      </c>
      <c r="F139" s="513">
        <f>TRUNC(D139*E139/100/12,2)</f>
        <v>53.08</v>
      </c>
      <c r="G139" s="221"/>
    </row>
    <row r="140" spans="2:7" x14ac:dyDescent="0.2">
      <c r="B140" s="222"/>
      <c r="C140" s="222"/>
      <c r="D140" s="222"/>
      <c r="E140" s="517"/>
      <c r="F140" s="517"/>
      <c r="G140" s="504">
        <f>F139</f>
        <v>53.08</v>
      </c>
    </row>
    <row r="141" spans="2:7" x14ac:dyDescent="0.2">
      <c r="B141" s="228" t="s">
        <v>510</v>
      </c>
      <c r="C141" s="222"/>
      <c r="D141" s="222"/>
      <c r="E141" s="517"/>
      <c r="F141" s="517"/>
      <c r="G141" s="221"/>
    </row>
    <row r="142" spans="2:7" x14ac:dyDescent="0.2">
      <c r="B142" s="203" t="s">
        <v>469</v>
      </c>
      <c r="C142" s="203" t="s">
        <v>2</v>
      </c>
      <c r="D142" s="203" t="s">
        <v>44</v>
      </c>
      <c r="E142" s="526" t="s">
        <v>470</v>
      </c>
      <c r="F142" s="526" t="s">
        <v>471</v>
      </c>
      <c r="G142" s="204" t="s">
        <v>472</v>
      </c>
    </row>
    <row r="143" spans="2:7" x14ac:dyDescent="0.2">
      <c r="B143" s="219" t="s">
        <v>485</v>
      </c>
      <c r="C143" s="206" t="s">
        <v>289</v>
      </c>
      <c r="D143" s="206">
        <f>D131</f>
        <v>1</v>
      </c>
      <c r="E143" s="512">
        <f>E131</f>
        <v>6350.65</v>
      </c>
      <c r="F143" s="512">
        <f>E143*D143</f>
        <v>6350.65</v>
      </c>
      <c r="G143" s="221"/>
    </row>
    <row r="144" spans="2:7" x14ac:dyDescent="0.2">
      <c r="B144" s="193" t="s">
        <v>497</v>
      </c>
      <c r="C144" s="209" t="s">
        <v>487</v>
      </c>
      <c r="D144" s="209">
        <v>85</v>
      </c>
      <c r="E144" s="513">
        <f>F143</f>
        <v>6350.65</v>
      </c>
      <c r="F144" s="513">
        <f>TRUNC(E144*D144/100,2)</f>
        <v>5398.05</v>
      </c>
      <c r="G144" s="221"/>
    </row>
    <row r="145" spans="2:7" x14ac:dyDescent="0.2">
      <c r="B145" s="223" t="s">
        <v>498</v>
      </c>
      <c r="C145" s="209" t="s">
        <v>207</v>
      </c>
      <c r="D145" s="209">
        <v>60</v>
      </c>
      <c r="E145" s="513">
        <f>F144</f>
        <v>5398.05</v>
      </c>
      <c r="F145" s="513">
        <f>E145/D145</f>
        <v>89.967500000000001</v>
      </c>
      <c r="G145" s="221"/>
    </row>
    <row r="146" spans="2:7" x14ac:dyDescent="0.2">
      <c r="B146" s="224"/>
      <c r="C146" s="222"/>
      <c r="D146" s="222"/>
      <c r="E146" s="517"/>
      <c r="F146" s="517"/>
      <c r="G146" s="504">
        <f>F145</f>
        <v>89.967500000000001</v>
      </c>
    </row>
    <row r="147" spans="2:7" ht="13.5" thickBot="1" x14ac:dyDescent="0.25">
      <c r="B147" s="224"/>
      <c r="C147" s="222"/>
      <c r="D147" s="222"/>
      <c r="E147" s="517"/>
      <c r="F147" s="517"/>
      <c r="G147" s="221"/>
    </row>
    <row r="148" spans="2:7" ht="13.5" thickBot="1" x14ac:dyDescent="0.25">
      <c r="B148" s="225" t="s">
        <v>511</v>
      </c>
      <c r="C148" s="226"/>
      <c r="D148" s="226"/>
      <c r="E148" s="518"/>
      <c r="F148" s="518"/>
      <c r="G148" s="227">
        <f>G146+G140+G134</f>
        <v>227.72283333333337</v>
      </c>
    </row>
    <row r="149" spans="2:7" x14ac:dyDescent="0.2">
      <c r="B149" s="228"/>
      <c r="C149" s="222"/>
      <c r="D149" s="222"/>
      <c r="E149" s="517"/>
      <c r="F149" s="517"/>
      <c r="G149" s="221"/>
    </row>
    <row r="150" spans="2:7" x14ac:dyDescent="0.2">
      <c r="B150" s="183" t="s">
        <v>512</v>
      </c>
    </row>
    <row r="151" spans="2:7" x14ac:dyDescent="0.2">
      <c r="B151" s="183" t="s">
        <v>513</v>
      </c>
    </row>
    <row r="152" spans="2:7" x14ac:dyDescent="0.2">
      <c r="B152" s="203" t="s">
        <v>469</v>
      </c>
      <c r="C152" s="203" t="s">
        <v>2</v>
      </c>
      <c r="D152" s="203" t="s">
        <v>44</v>
      </c>
      <c r="E152" s="526" t="s">
        <v>470</v>
      </c>
      <c r="F152" s="526" t="s">
        <v>471</v>
      </c>
      <c r="G152" s="204" t="s">
        <v>472</v>
      </c>
    </row>
    <row r="153" spans="2:7" x14ac:dyDescent="0.2">
      <c r="B153" s="193" t="s">
        <v>485</v>
      </c>
      <c r="C153" s="212" t="s">
        <v>289</v>
      </c>
      <c r="D153" s="213">
        <f>C17</f>
        <v>2</v>
      </c>
      <c r="E153" s="514">
        <f>'MAPA DE PREÇOS'!M99</f>
        <v>1733.93</v>
      </c>
      <c r="F153" s="525">
        <f>E153*D153</f>
        <v>3467.86</v>
      </c>
    </row>
    <row r="154" spans="2:7" x14ac:dyDescent="0.2">
      <c r="B154" s="193" t="s">
        <v>486</v>
      </c>
      <c r="C154" s="212" t="s">
        <v>487</v>
      </c>
      <c r="D154" s="193">
        <v>100</v>
      </c>
      <c r="E154" s="514">
        <f>F153*D154/100</f>
        <v>3467.86</v>
      </c>
      <c r="F154" s="514">
        <f>E154</f>
        <v>3467.86</v>
      </c>
    </row>
    <row r="155" spans="2:7" x14ac:dyDescent="0.2">
      <c r="B155" s="193" t="s">
        <v>488</v>
      </c>
      <c r="C155" s="212" t="s">
        <v>489</v>
      </c>
      <c r="D155" s="193">
        <v>24</v>
      </c>
      <c r="E155" s="514"/>
      <c r="F155" s="514">
        <f>F154/D155</f>
        <v>144.49416666666667</v>
      </c>
    </row>
    <row r="156" spans="2:7" x14ac:dyDescent="0.2">
      <c r="G156" s="213">
        <f>F155</f>
        <v>144.49416666666667</v>
      </c>
    </row>
    <row r="157" spans="2:7" x14ac:dyDescent="0.2">
      <c r="B157" s="183" t="s">
        <v>514</v>
      </c>
    </row>
    <row r="158" spans="2:7" x14ac:dyDescent="0.2">
      <c r="B158" s="203" t="s">
        <v>469</v>
      </c>
      <c r="C158" s="203" t="s">
        <v>2</v>
      </c>
      <c r="D158" s="203" t="s">
        <v>44</v>
      </c>
      <c r="E158" s="526" t="s">
        <v>470</v>
      </c>
      <c r="F158" s="526" t="s">
        <v>471</v>
      </c>
      <c r="G158" s="204" t="s">
        <v>472</v>
      </c>
    </row>
    <row r="159" spans="2:7" x14ac:dyDescent="0.2">
      <c r="B159" s="193" t="s">
        <v>491</v>
      </c>
      <c r="C159" s="209" t="s">
        <v>487</v>
      </c>
      <c r="D159" s="209">
        <f>100-D154</f>
        <v>0</v>
      </c>
      <c r="E159" s="513">
        <f>E153*D17</f>
        <v>1733.93</v>
      </c>
      <c r="F159" s="513">
        <f>E159*D159/100</f>
        <v>0</v>
      </c>
      <c r="G159" s="221"/>
    </row>
    <row r="160" spans="2:7" x14ac:dyDescent="0.2">
      <c r="B160" s="193" t="s">
        <v>492</v>
      </c>
      <c r="C160" s="209" t="s">
        <v>493</v>
      </c>
      <c r="D160" s="209">
        <v>2</v>
      </c>
      <c r="E160" s="513"/>
      <c r="F160" s="513">
        <f>((E159-F159)*(D160+1)/(2*D160))+F159</f>
        <v>1300.4475</v>
      </c>
      <c r="G160" s="221"/>
    </row>
    <row r="161" spans="2:7" x14ac:dyDescent="0.2">
      <c r="B161" s="193" t="s">
        <v>494</v>
      </c>
      <c r="C161" s="209" t="s">
        <v>495</v>
      </c>
      <c r="D161" s="209">
        <f>D139</f>
        <v>14.75</v>
      </c>
      <c r="E161" s="513">
        <f>F160</f>
        <v>1300.4475</v>
      </c>
      <c r="F161" s="513">
        <f>TRUNC(D161*E161/100/12,2)</f>
        <v>15.98</v>
      </c>
      <c r="G161" s="221"/>
    </row>
    <row r="162" spans="2:7" x14ac:dyDescent="0.2">
      <c r="B162" s="222"/>
      <c r="C162" s="222"/>
      <c r="D162" s="222"/>
      <c r="E162" s="517"/>
      <c r="F162" s="517"/>
      <c r="G162" s="504">
        <f>F161</f>
        <v>15.98</v>
      </c>
    </row>
    <row r="163" spans="2:7" x14ac:dyDescent="0.2">
      <c r="B163" s="228" t="s">
        <v>515</v>
      </c>
      <c r="C163" s="222"/>
      <c r="D163" s="222"/>
      <c r="E163" s="517"/>
      <c r="F163" s="517"/>
      <c r="G163" s="221"/>
    </row>
    <row r="164" spans="2:7" x14ac:dyDescent="0.2">
      <c r="B164" s="203" t="s">
        <v>469</v>
      </c>
      <c r="C164" s="203" t="s">
        <v>2</v>
      </c>
      <c r="D164" s="203" t="s">
        <v>44</v>
      </c>
      <c r="E164" s="526" t="s">
        <v>470</v>
      </c>
      <c r="F164" s="526" t="s">
        <v>471</v>
      </c>
      <c r="G164" s="204" t="s">
        <v>472</v>
      </c>
    </row>
    <row r="165" spans="2:7" x14ac:dyDescent="0.2">
      <c r="B165" s="219" t="s">
        <v>485</v>
      </c>
      <c r="C165" s="206" t="s">
        <v>289</v>
      </c>
      <c r="D165" s="206">
        <f>D153</f>
        <v>2</v>
      </c>
      <c r="E165" s="512">
        <f>E153</f>
        <v>1733.93</v>
      </c>
      <c r="F165" s="512">
        <f>E165*D165</f>
        <v>3467.86</v>
      </c>
      <c r="G165" s="221"/>
    </row>
    <row r="166" spans="2:7" x14ac:dyDescent="0.2">
      <c r="B166" s="193" t="s">
        <v>497</v>
      </c>
      <c r="C166" s="209" t="s">
        <v>487</v>
      </c>
      <c r="D166" s="209">
        <v>10</v>
      </c>
      <c r="E166" s="513">
        <f>F165</f>
        <v>3467.86</v>
      </c>
      <c r="F166" s="513">
        <f>TRUNC(E166*D166/100,2)</f>
        <v>346.78</v>
      </c>
      <c r="G166" s="221"/>
    </row>
    <row r="167" spans="2:7" x14ac:dyDescent="0.2">
      <c r="B167" s="223" t="s">
        <v>498</v>
      </c>
      <c r="C167" s="209" t="s">
        <v>207</v>
      </c>
      <c r="D167" s="209">
        <v>60</v>
      </c>
      <c r="E167" s="513">
        <f>F166</f>
        <v>346.78</v>
      </c>
      <c r="F167" s="513">
        <f>E167/D167</f>
        <v>5.7796666666666665</v>
      </c>
      <c r="G167" s="221"/>
    </row>
    <row r="168" spans="2:7" x14ac:dyDescent="0.2">
      <c r="B168" s="224"/>
      <c r="C168" s="222"/>
      <c r="D168" s="222"/>
      <c r="E168" s="517"/>
      <c r="F168" s="517"/>
      <c r="G168" s="504">
        <f>F167</f>
        <v>5.7796666666666665</v>
      </c>
    </row>
    <row r="169" spans="2:7" ht="13.5" thickBot="1" x14ac:dyDescent="0.25">
      <c r="B169" s="228"/>
      <c r="C169" s="222"/>
      <c r="D169" s="222"/>
      <c r="E169" s="517"/>
      <c r="F169" s="517"/>
      <c r="G169" s="221"/>
    </row>
    <row r="170" spans="2:7" ht="13.5" thickBot="1" x14ac:dyDescent="0.25">
      <c r="B170" s="225" t="s">
        <v>854</v>
      </c>
      <c r="C170" s="226"/>
      <c r="D170" s="226"/>
      <c r="E170" s="518"/>
      <c r="F170" s="518"/>
      <c r="G170" s="227">
        <f>G168+G162+G156</f>
        <v>166.25383333333335</v>
      </c>
    </row>
    <row r="171" spans="2:7" ht="13.5" thickBot="1" x14ac:dyDescent="0.25">
      <c r="B171" s="228"/>
      <c r="C171" s="222"/>
      <c r="D171" s="222"/>
      <c r="E171" s="517"/>
      <c r="F171" s="517"/>
      <c r="G171" s="221"/>
    </row>
    <row r="172" spans="2:7" ht="16.5" thickBot="1" x14ac:dyDescent="0.25">
      <c r="B172" s="229" t="s">
        <v>516</v>
      </c>
      <c r="C172" s="230"/>
      <c r="D172" s="230"/>
      <c r="E172" s="519"/>
      <c r="F172" s="519"/>
      <c r="G172" s="231">
        <f>G82+G104+G126+G148+G170</f>
        <v>3877.1517333333336</v>
      </c>
    </row>
    <row r="174" spans="2:7" ht="15.75" x14ac:dyDescent="0.25">
      <c r="B174" s="201" t="s">
        <v>517</v>
      </c>
      <c r="C174" s="222"/>
      <c r="D174" s="222"/>
      <c r="E174" s="517"/>
      <c r="F174" s="517"/>
      <c r="G174" s="221"/>
    </row>
    <row r="175" spans="2:7" x14ac:dyDescent="0.2">
      <c r="B175" s="203" t="s">
        <v>469</v>
      </c>
      <c r="C175" s="203" t="s">
        <v>2</v>
      </c>
      <c r="D175" s="203" t="s">
        <v>44</v>
      </c>
      <c r="E175" s="526" t="s">
        <v>470</v>
      </c>
      <c r="F175" s="526" t="s">
        <v>471</v>
      </c>
      <c r="G175" s="204" t="s">
        <v>472</v>
      </c>
    </row>
    <row r="176" spans="2:7" x14ac:dyDescent="0.2">
      <c r="B176" s="223" t="s">
        <v>518</v>
      </c>
      <c r="C176" s="209" t="s">
        <v>519</v>
      </c>
      <c r="D176" s="434">
        <f>'PARÂMETROS - EST'!D25</f>
        <v>832.08</v>
      </c>
      <c r="E176" s="513">
        <f>'MAPA DE PREÇOS'!M120</f>
        <v>1299.3599999999999</v>
      </c>
      <c r="F176" s="513">
        <f>E176*D176</f>
        <v>1081171.4687999999</v>
      </c>
      <c r="G176" s="221"/>
    </row>
    <row r="177" spans="2:11" x14ac:dyDescent="0.2">
      <c r="B177" s="223" t="s">
        <v>520</v>
      </c>
      <c r="C177" s="209" t="s">
        <v>487</v>
      </c>
      <c r="D177" s="209">
        <v>10</v>
      </c>
      <c r="E177" s="513">
        <f>F176</f>
        <v>1081171.4687999999</v>
      </c>
      <c r="F177" s="513">
        <f>E177*D177/100</f>
        <v>108117.14687999999</v>
      </c>
      <c r="G177" s="221"/>
    </row>
    <row r="178" spans="2:11" x14ac:dyDescent="0.2">
      <c r="B178" s="223" t="s">
        <v>521</v>
      </c>
      <c r="C178" s="209" t="s">
        <v>207</v>
      </c>
      <c r="D178" s="209">
        <v>60</v>
      </c>
      <c r="E178" s="513">
        <f>F177</f>
        <v>108117.14687999999</v>
      </c>
      <c r="F178" s="513">
        <f>E178/D178</f>
        <v>1801.9524479999998</v>
      </c>
      <c r="G178" s="221"/>
    </row>
    <row r="179" spans="2:11" x14ac:dyDescent="0.2">
      <c r="B179" s="224"/>
      <c r="C179" s="222"/>
      <c r="D179" s="222"/>
      <c r="E179" s="517"/>
      <c r="F179" s="517"/>
      <c r="G179" s="504">
        <f>F178</f>
        <v>1801.9524479999998</v>
      </c>
    </row>
    <row r="180" spans="2:11" ht="13.5" thickBot="1" x14ac:dyDescent="0.25">
      <c r="B180" s="224"/>
      <c r="C180" s="222"/>
      <c r="D180" s="222"/>
      <c r="E180" s="517"/>
      <c r="F180" s="517"/>
      <c r="G180" s="221"/>
    </row>
    <row r="181" spans="2:11" ht="16.5" thickBot="1" x14ac:dyDescent="0.25">
      <c r="B181" s="229" t="s">
        <v>522</v>
      </c>
      <c r="C181" s="230"/>
      <c r="D181" s="230"/>
      <c r="E181" s="519"/>
      <c r="F181" s="519"/>
      <c r="G181" s="231">
        <f>G179+G113+G91</f>
        <v>1801.9524479999998</v>
      </c>
    </row>
    <row r="182" spans="2:11" x14ac:dyDescent="0.2">
      <c r="B182" s="228"/>
      <c r="C182" s="222"/>
      <c r="D182" s="222"/>
      <c r="E182" s="517"/>
      <c r="F182" s="517"/>
      <c r="G182" s="221"/>
    </row>
    <row r="183" spans="2:11" ht="15.75" x14ac:dyDescent="0.25">
      <c r="B183" s="201" t="s">
        <v>523</v>
      </c>
    </row>
    <row r="184" spans="2:11" x14ac:dyDescent="0.2">
      <c r="B184" s="203" t="s">
        <v>469</v>
      </c>
      <c r="C184" s="203" t="s">
        <v>2</v>
      </c>
      <c r="D184" s="203" t="s">
        <v>44</v>
      </c>
      <c r="E184" s="526" t="s">
        <v>470</v>
      </c>
      <c r="F184" s="526" t="s">
        <v>471</v>
      </c>
      <c r="G184" s="204" t="s">
        <v>472</v>
      </c>
    </row>
    <row r="185" spans="2:11" x14ac:dyDescent="0.2">
      <c r="B185" s="232" t="s">
        <v>524</v>
      </c>
      <c r="C185" s="233" t="s">
        <v>207</v>
      </c>
      <c r="D185" s="502">
        <v>1</v>
      </c>
      <c r="E185" s="520">
        <f>'Energia Elétrica - EST'!H45</f>
        <v>1758.9167169602708</v>
      </c>
      <c r="F185" s="514">
        <f>E185*D185</f>
        <v>1758.9167169602708</v>
      </c>
      <c r="J185" s="234"/>
      <c r="K185" s="234"/>
    </row>
    <row r="186" spans="2:11" x14ac:dyDescent="0.2">
      <c r="B186" s="232" t="s">
        <v>525</v>
      </c>
      <c r="C186" s="233" t="s">
        <v>526</v>
      </c>
      <c r="D186" s="502">
        <f>'Consumíveis - EST'!C58</f>
        <v>42.478746093749997</v>
      </c>
      <c r="E186" s="520">
        <f>'MAPA DE PREÇOS'!M624</f>
        <v>11.8</v>
      </c>
      <c r="F186" s="514">
        <f>E186*D186</f>
        <v>501.24920390624999</v>
      </c>
      <c r="J186" s="234"/>
      <c r="K186" s="234"/>
    </row>
    <row r="187" spans="2:11" x14ac:dyDescent="0.2">
      <c r="B187" s="232" t="s">
        <v>302</v>
      </c>
      <c r="C187" s="233" t="s">
        <v>207</v>
      </c>
      <c r="D187" s="502">
        <v>1</v>
      </c>
      <c r="E187" s="520">
        <f>'MAPA DE PREÇOS'!M309</f>
        <v>93.53</v>
      </c>
      <c r="F187" s="514">
        <f>E187</f>
        <v>93.53</v>
      </c>
      <c r="J187" s="234"/>
      <c r="K187" s="234"/>
    </row>
    <row r="188" spans="2:11" x14ac:dyDescent="0.2">
      <c r="B188" s="232" t="s">
        <v>829</v>
      </c>
      <c r="C188" s="233" t="s">
        <v>289</v>
      </c>
      <c r="D188" s="502">
        <v>1</v>
      </c>
      <c r="E188" s="520">
        <f>'MAPA DE PREÇOS'!M498</f>
        <v>2682.93</v>
      </c>
      <c r="F188" s="514"/>
      <c r="J188" s="234"/>
      <c r="K188" s="234"/>
    </row>
    <row r="189" spans="2:11" x14ac:dyDescent="0.2">
      <c r="B189" s="232" t="s">
        <v>830</v>
      </c>
      <c r="C189" s="233" t="s">
        <v>207</v>
      </c>
      <c r="D189" s="502">
        <v>60</v>
      </c>
      <c r="E189" s="520">
        <f>E188/D189</f>
        <v>44.715499999999999</v>
      </c>
      <c r="F189" s="514">
        <f>E189*D188</f>
        <v>44.715499999999999</v>
      </c>
      <c r="I189" s="197"/>
      <c r="J189" s="234"/>
      <c r="K189" s="234"/>
    </row>
    <row r="190" spans="2:11" x14ac:dyDescent="0.2">
      <c r="B190" s="232" t="s">
        <v>780</v>
      </c>
      <c r="C190" s="233" t="s">
        <v>782</v>
      </c>
      <c r="D190" s="502">
        <f>'Consumíveis - EST'!E16</f>
        <v>29.485420272000002</v>
      </c>
      <c r="E190" s="520">
        <f>'MAPA DE PREÇOS'!M456</f>
        <v>1.94</v>
      </c>
      <c r="F190" s="514">
        <f>E190*D190</f>
        <v>57.201715327680006</v>
      </c>
      <c r="K190" s="234"/>
    </row>
    <row r="191" spans="2:11" x14ac:dyDescent="0.2">
      <c r="B191" s="495" t="s">
        <v>781</v>
      </c>
      <c r="C191" s="496" t="s">
        <v>782</v>
      </c>
      <c r="D191" s="503">
        <f>'Consumíveis - EST'!G13</f>
        <v>19.552500000000002</v>
      </c>
      <c r="E191" s="521">
        <f>'MAPA DE PREÇOS'!M477</f>
        <v>5.48</v>
      </c>
      <c r="F191" s="516">
        <f>D191*E191</f>
        <v>107.14770000000001</v>
      </c>
      <c r="K191" s="234"/>
    </row>
    <row r="192" spans="2:11" x14ac:dyDescent="0.2">
      <c r="B192" s="236" t="s">
        <v>527</v>
      </c>
      <c r="C192" s="206" t="s">
        <v>289</v>
      </c>
      <c r="D192" s="237">
        <f>'Consumíveis - EST'!C42</f>
        <v>84</v>
      </c>
      <c r="E192" s="512">
        <f>'MAPA DE PREÇOS'!M330</f>
        <v>40</v>
      </c>
      <c r="F192" s="512"/>
      <c r="J192" s="238"/>
      <c r="K192" s="234"/>
    </row>
    <row r="193" spans="2:11" x14ac:dyDescent="0.2">
      <c r="B193" s="236" t="s">
        <v>783</v>
      </c>
      <c r="C193" s="206" t="s">
        <v>207</v>
      </c>
      <c r="D193" s="239">
        <v>8.3333333333333329E-2</v>
      </c>
      <c r="E193" s="512">
        <f>E192*D192</f>
        <v>3360</v>
      </c>
      <c r="F193" s="512">
        <f>D193*E193</f>
        <v>280</v>
      </c>
      <c r="J193" s="238"/>
      <c r="K193" s="234"/>
    </row>
    <row r="194" spans="2:11" x14ac:dyDescent="0.2">
      <c r="B194" s="223" t="s">
        <v>528</v>
      </c>
      <c r="C194" s="209" t="s">
        <v>289</v>
      </c>
      <c r="D194" s="239">
        <f>'Consumíveis - EST'!C28</f>
        <v>26.571562499999999</v>
      </c>
      <c r="E194" s="513">
        <f>'MAPA DE PREÇOS'!M351</f>
        <v>225.55</v>
      </c>
      <c r="F194" s="513"/>
      <c r="J194" s="238"/>
      <c r="K194" s="234"/>
    </row>
    <row r="195" spans="2:11" x14ac:dyDescent="0.2">
      <c r="B195" s="223" t="s">
        <v>778</v>
      </c>
      <c r="C195" s="209" t="s">
        <v>207</v>
      </c>
      <c r="D195" s="239">
        <v>30</v>
      </c>
      <c r="E195" s="513">
        <f>E194*D194/D195</f>
        <v>199.7738640625</v>
      </c>
      <c r="F195" s="513">
        <f>E195</f>
        <v>199.7738640625</v>
      </c>
      <c r="J195" s="238"/>
      <c r="K195" s="234"/>
    </row>
    <row r="196" spans="2:11" x14ac:dyDescent="0.2">
      <c r="B196" s="223" t="s">
        <v>529</v>
      </c>
      <c r="C196" s="209" t="s">
        <v>530</v>
      </c>
      <c r="D196" s="239">
        <f>'Consumíveis - EST'!C51</f>
        <v>16.118360817292707</v>
      </c>
      <c r="E196" s="513">
        <f>'MAPA DE PREÇOS'!M372</f>
        <v>15.25</v>
      </c>
      <c r="F196" s="513">
        <f>E196*D196</f>
        <v>245.80500246371378</v>
      </c>
      <c r="J196" s="238"/>
      <c r="K196" s="234"/>
    </row>
    <row r="197" spans="2:11" x14ac:dyDescent="0.2">
      <c r="G197" s="240">
        <f>SUM(F185:F196)</f>
        <v>3288.3397027204146</v>
      </c>
    </row>
    <row r="198" spans="2:11" ht="13.5" thickBot="1" x14ac:dyDescent="0.25"/>
    <row r="199" spans="2:11" ht="16.5" thickBot="1" x14ac:dyDescent="0.25">
      <c r="B199" s="229" t="s">
        <v>963</v>
      </c>
      <c r="C199" s="230"/>
      <c r="D199" s="230"/>
      <c r="E199" s="519"/>
      <c r="F199" s="519"/>
      <c r="G199" s="231">
        <f>G197</f>
        <v>3288.3397027204146</v>
      </c>
    </row>
    <row r="201" spans="2:11" ht="15.75" x14ac:dyDescent="0.25">
      <c r="B201" s="201" t="s">
        <v>531</v>
      </c>
    </row>
    <row r="202" spans="2:11" x14ac:dyDescent="0.2">
      <c r="B202" s="203" t="s">
        <v>469</v>
      </c>
      <c r="C202" s="203" t="s">
        <v>2</v>
      </c>
      <c r="D202" s="203" t="s">
        <v>44</v>
      </c>
      <c r="E202" s="526" t="s">
        <v>470</v>
      </c>
      <c r="F202" s="526" t="s">
        <v>471</v>
      </c>
      <c r="G202" s="204" t="s">
        <v>472</v>
      </c>
    </row>
    <row r="203" spans="2:11" x14ac:dyDescent="0.2">
      <c r="B203" s="232" t="s">
        <v>751</v>
      </c>
      <c r="C203" s="233" t="s">
        <v>207</v>
      </c>
      <c r="D203" s="232">
        <v>1</v>
      </c>
      <c r="E203" s="520">
        <f>'MAPA DE PREÇOS'!M519</f>
        <v>1462.08</v>
      </c>
      <c r="F203" s="514">
        <f>E203*D203</f>
        <v>1462.08</v>
      </c>
    </row>
    <row r="204" spans="2:11" x14ac:dyDescent="0.2">
      <c r="B204" s="232" t="s">
        <v>532</v>
      </c>
      <c r="C204" s="233" t="s">
        <v>207</v>
      </c>
      <c r="D204" s="232">
        <v>1</v>
      </c>
      <c r="E204" s="520">
        <f>'MAPA DE PREÇOS'!M582</f>
        <v>2431.67</v>
      </c>
      <c r="F204" s="514">
        <f>E204*D204</f>
        <v>2431.67</v>
      </c>
    </row>
    <row r="205" spans="2:11" x14ac:dyDescent="0.2">
      <c r="B205" s="232" t="s">
        <v>771</v>
      </c>
      <c r="C205" s="233" t="s">
        <v>519</v>
      </c>
      <c r="D205" s="235">
        <f>'PARÂMETROS - EST'!D32</f>
        <v>2686.28</v>
      </c>
      <c r="E205" s="520">
        <f>'MAPA DE PREÇOS'!M603</f>
        <v>1.3</v>
      </c>
      <c r="F205" s="514"/>
    </row>
    <row r="206" spans="2:11" x14ac:dyDescent="0.2">
      <c r="B206" s="232" t="s">
        <v>771</v>
      </c>
      <c r="C206" s="233" t="s">
        <v>289</v>
      </c>
      <c r="D206" s="210">
        <f>1/6</f>
        <v>0.16666666666666666</v>
      </c>
      <c r="E206" s="520">
        <f>E205*D205</f>
        <v>3492.1640000000002</v>
      </c>
      <c r="F206" s="514">
        <f>D206*E206</f>
        <v>582.02733333333333</v>
      </c>
    </row>
    <row r="207" spans="2:11" x14ac:dyDescent="0.2">
      <c r="G207" s="240">
        <f>SUM(F203:F206)</f>
        <v>4475.7773333333334</v>
      </c>
    </row>
    <row r="208" spans="2:11" ht="13.5" thickBot="1" x14ac:dyDescent="0.25">
      <c r="G208" s="200"/>
    </row>
    <row r="209" spans="2:7" ht="16.5" thickBot="1" x14ac:dyDescent="0.25">
      <c r="B209" s="229" t="s">
        <v>957</v>
      </c>
      <c r="C209" s="230"/>
      <c r="D209" s="230"/>
      <c r="E209" s="519"/>
      <c r="F209" s="519"/>
      <c r="G209" s="231">
        <f>G207</f>
        <v>4475.7773333333334</v>
      </c>
    </row>
    <row r="210" spans="2:7" ht="13.5" thickBot="1" x14ac:dyDescent="0.25"/>
    <row r="211" spans="2:7" ht="16.5" thickBot="1" x14ac:dyDescent="0.3">
      <c r="B211" s="241" t="s">
        <v>533</v>
      </c>
      <c r="C211" s="242"/>
      <c r="D211" s="243"/>
      <c r="E211" s="522"/>
      <c r="F211" s="522"/>
      <c r="G211" s="244">
        <f>G209+G199+G181+G172+G59</f>
        <v>14764.452328498191</v>
      </c>
    </row>
    <row r="213" spans="2:7" ht="15.75" x14ac:dyDescent="0.25">
      <c r="B213" s="201" t="s">
        <v>534</v>
      </c>
    </row>
    <row r="214" spans="2:7" x14ac:dyDescent="0.2">
      <c r="B214" s="203" t="s">
        <v>469</v>
      </c>
      <c r="C214" s="203" t="s">
        <v>2</v>
      </c>
      <c r="D214" s="203" t="s">
        <v>44</v>
      </c>
      <c r="E214" s="526" t="s">
        <v>470</v>
      </c>
      <c r="F214" s="526" t="s">
        <v>471</v>
      </c>
      <c r="G214" s="204" t="s">
        <v>472</v>
      </c>
    </row>
    <row r="215" spans="2:7" x14ac:dyDescent="0.2">
      <c r="B215" s="232" t="s">
        <v>535</v>
      </c>
      <c r="C215" s="233" t="s">
        <v>487</v>
      </c>
      <c r="D215" s="245">
        <f>C229</f>
        <v>0.132381</v>
      </c>
      <c r="E215" s="520">
        <f>G211</f>
        <v>14764.452328498191</v>
      </c>
      <c r="F215" s="514">
        <f>G211/(1-D215)-E215</f>
        <v>2252.7549116592854</v>
      </c>
    </row>
    <row r="216" spans="2:7" x14ac:dyDescent="0.2">
      <c r="G216" s="240">
        <f>SUM(F215:F215)</f>
        <v>2252.7549116592854</v>
      </c>
    </row>
    <row r="217" spans="2:7" ht="13.5" thickBot="1" x14ac:dyDescent="0.25"/>
    <row r="218" spans="2:7" ht="16.5" thickBot="1" x14ac:dyDescent="0.3">
      <c r="B218" s="241" t="s">
        <v>536</v>
      </c>
      <c r="C218" s="242"/>
      <c r="D218" s="243"/>
      <c r="E218" s="522"/>
      <c r="F218" s="522"/>
      <c r="G218" s="244">
        <f>G216</f>
        <v>2252.7549116592854</v>
      </c>
    </row>
    <row r="219" spans="2:7" ht="15.75" x14ac:dyDescent="0.25">
      <c r="B219" s="201"/>
      <c r="C219" s="246"/>
      <c r="D219" s="201"/>
      <c r="E219" s="523"/>
      <c r="F219" s="523"/>
      <c r="G219" s="247"/>
    </row>
    <row r="220" spans="2:7" ht="13.5" thickBot="1" x14ac:dyDescent="0.25"/>
    <row r="221" spans="2:7" ht="19.5" thickBot="1" x14ac:dyDescent="0.35">
      <c r="B221" s="248" t="s">
        <v>537</v>
      </c>
      <c r="C221" s="249"/>
      <c r="D221" s="250"/>
      <c r="E221" s="524"/>
      <c r="F221" s="524"/>
      <c r="G221" s="251">
        <f>G211+G218</f>
        <v>17017.207240157477</v>
      </c>
    </row>
    <row r="222" spans="2:7" x14ac:dyDescent="0.2">
      <c r="G222" s="252"/>
    </row>
    <row r="224" spans="2:7" ht="13.5" thickBot="1" x14ac:dyDescent="0.25">
      <c r="G224" s="252"/>
    </row>
    <row r="225" spans="2:7" ht="15" x14ac:dyDescent="0.25">
      <c r="B225" s="253" t="s">
        <v>538</v>
      </c>
      <c r="C225" s="254"/>
      <c r="G225" s="252"/>
    </row>
    <row r="226" spans="2:7" ht="15" x14ac:dyDescent="0.25">
      <c r="B226" s="255" t="s">
        <v>958</v>
      </c>
      <c r="C226" s="256">
        <v>2.5000000000000001E-3</v>
      </c>
    </row>
    <row r="227" spans="2:7" ht="15" x14ac:dyDescent="0.25">
      <c r="B227" s="255" t="s">
        <v>959</v>
      </c>
      <c r="C227" s="659">
        <f>'MAT SER E DESP - MESA'!C227</f>
        <v>9.3381000000000006E-2</v>
      </c>
    </row>
    <row r="228" spans="2:7" ht="15" x14ac:dyDescent="0.25">
      <c r="B228" s="255" t="s">
        <v>539</v>
      </c>
      <c r="C228" s="256">
        <v>3.6499999999999998E-2</v>
      </c>
    </row>
    <row r="229" spans="2:7" ht="15.75" thickBot="1" x14ac:dyDescent="0.3">
      <c r="B229" s="257" t="s">
        <v>540</v>
      </c>
      <c r="C229" s="258">
        <f>SUM(C226:C228)</f>
        <v>0.132381</v>
      </c>
    </row>
  </sheetData>
  <mergeCells count="2">
    <mergeCell ref="B1:G1"/>
    <mergeCell ref="B6:C6"/>
  </mergeCells>
  <pageMargins left="0.511811024" right="0.511811024" top="0.78740157499999996" bottom="0.78740157499999996" header="0.31496062000000002" footer="0.314960620000000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C205"/>
  <sheetViews>
    <sheetView workbookViewId="0">
      <selection activeCell="K27" sqref="K27"/>
    </sheetView>
  </sheetViews>
  <sheetFormatPr defaultRowHeight="15" x14ac:dyDescent="0.25"/>
  <cols>
    <col min="1" max="2" width="5" customWidth="1"/>
    <col min="3" max="3" width="43.42578125" customWidth="1"/>
    <col min="4" max="7" width="12.140625" customWidth="1"/>
    <col min="8" max="8" width="13.85546875" customWidth="1"/>
    <col min="9" max="9" width="3.42578125" customWidth="1"/>
    <col min="10" max="10" width="9.85546875" customWidth="1"/>
    <col min="11" max="11" width="45.7109375" customWidth="1"/>
    <col min="12" max="12" width="14.5703125" customWidth="1"/>
    <col min="13" max="14" width="11.42578125" customWidth="1"/>
    <col min="15" max="15" width="33.28515625" customWidth="1"/>
    <col min="16" max="16" width="12.42578125" customWidth="1"/>
    <col min="17" max="17" width="14.28515625" customWidth="1"/>
    <col min="18" max="18" width="12.85546875" customWidth="1"/>
    <col min="19" max="19" width="9.42578125" customWidth="1"/>
    <col min="20" max="20" width="28.7109375" customWidth="1"/>
    <col min="21" max="21" width="10.140625" customWidth="1"/>
    <col min="22" max="22" width="11.28515625" customWidth="1"/>
    <col min="23" max="23" width="5.7109375" customWidth="1"/>
    <col min="24" max="24" width="21" customWidth="1"/>
    <col min="25" max="25" width="6.5703125" customWidth="1"/>
    <col min="26" max="26" width="14" customWidth="1"/>
    <col min="27" max="27" width="6.5703125" customWidth="1"/>
    <col min="28" max="28" width="13" customWidth="1"/>
    <col min="29" max="29" width="11.85546875" customWidth="1"/>
  </cols>
  <sheetData>
    <row r="2" spans="1:29" ht="15.75" customHeight="1" x14ac:dyDescent="0.25">
      <c r="A2" s="697" t="s">
        <v>945</v>
      </c>
      <c r="B2" s="697"/>
      <c r="C2" s="697"/>
      <c r="D2" s="697"/>
      <c r="E2" s="697"/>
      <c r="F2" s="697"/>
      <c r="G2" s="697"/>
      <c r="H2" s="697"/>
      <c r="X2" s="704" t="s">
        <v>597</v>
      </c>
      <c r="Y2" s="704"/>
      <c r="Z2" s="291" t="s">
        <v>693</v>
      </c>
      <c r="AA2" s="375">
        <v>4.1666666666666664E-2</v>
      </c>
      <c r="AB2" s="705" t="s">
        <v>598</v>
      </c>
      <c r="AC2" s="705"/>
    </row>
    <row r="3" spans="1:29" ht="15.75" x14ac:dyDescent="0.25">
      <c r="D3" s="322"/>
      <c r="E3" s="264"/>
      <c r="X3" s="395"/>
      <c r="Y3" s="395"/>
      <c r="Z3" s="291"/>
      <c r="AA3" s="375"/>
      <c r="AB3" s="396"/>
      <c r="AC3" s="396"/>
    </row>
    <row r="4" spans="1:29" ht="31.5" customHeight="1" x14ac:dyDescent="0.25">
      <c r="A4" s="706" t="s">
        <v>599</v>
      </c>
      <c r="B4" s="706"/>
      <c r="C4" s="445" t="s">
        <v>600</v>
      </c>
      <c r="D4" s="445" t="s">
        <v>601</v>
      </c>
      <c r="E4" s="445" t="s">
        <v>28</v>
      </c>
      <c r="F4" s="446" t="s">
        <v>602</v>
      </c>
      <c r="G4" s="39"/>
      <c r="X4" s="381" t="s">
        <v>604</v>
      </c>
      <c r="Y4" s="382" t="s">
        <v>715</v>
      </c>
      <c r="Z4" s="379" t="s">
        <v>701</v>
      </c>
      <c r="AA4" s="379" t="s">
        <v>715</v>
      </c>
      <c r="AB4" s="380" t="s">
        <v>605</v>
      </c>
      <c r="AC4" s="380" t="s">
        <v>606</v>
      </c>
    </row>
    <row r="5" spans="1:29" ht="16.5" customHeight="1" x14ac:dyDescent="0.25">
      <c r="A5" s="706"/>
      <c r="B5" s="706"/>
      <c r="C5" s="292" t="s">
        <v>524</v>
      </c>
      <c r="D5" s="293">
        <f>SUM(D7:D17)</f>
        <v>2636.9873808504581</v>
      </c>
      <c r="E5" s="294" t="s">
        <v>612</v>
      </c>
      <c r="F5" s="295"/>
      <c r="G5" s="409"/>
      <c r="T5" s="264"/>
      <c r="X5" s="384">
        <v>1</v>
      </c>
      <c r="Y5" s="385" t="s">
        <v>608</v>
      </c>
      <c r="Z5" s="386" t="str">
        <f t="shared" ref="Z5:Z68" si="0">IF(AND(X5&gt;=$V$27,X5&lt;$V$28),X5,"")</f>
        <v/>
      </c>
      <c r="AA5" s="386" t="str">
        <f t="shared" ref="AA5:AA68" si="1">IF(Z5=X5,Y5,"-")</f>
        <v>-</v>
      </c>
      <c r="AB5" s="386" t="str">
        <f t="shared" ref="AB5:AB68" si="2">IF(AND(X5&gt;=$V$29,X5&lt;$V$30),X5,"")</f>
        <v/>
      </c>
      <c r="AC5" s="387" t="str">
        <f>IF(AB5=X5,Y5,"-")</f>
        <v>-</v>
      </c>
    </row>
    <row r="6" spans="1:29" ht="15.75" x14ac:dyDescent="0.25">
      <c r="A6" s="706"/>
      <c r="B6" s="706"/>
      <c r="C6" s="268" t="s">
        <v>570</v>
      </c>
      <c r="D6" s="267"/>
      <c r="E6" s="300"/>
      <c r="F6" s="301"/>
      <c r="G6" s="259"/>
      <c r="T6" s="264"/>
      <c r="X6" s="388">
        <f t="shared" ref="X6:X69" si="3">X5+$AA$2</f>
        <v>1.0416666666666667</v>
      </c>
      <c r="Y6" s="284" t="s">
        <v>608</v>
      </c>
      <c r="Z6" s="389" t="str">
        <f t="shared" si="0"/>
        <v/>
      </c>
      <c r="AA6" s="389" t="str">
        <f t="shared" si="1"/>
        <v>-</v>
      </c>
      <c r="AB6" s="389" t="str">
        <f t="shared" si="2"/>
        <v/>
      </c>
      <c r="AC6" s="390" t="str">
        <f t="shared" ref="AC6:AC69" si="4">IF(AB6=X6,Y6,"-")</f>
        <v>-</v>
      </c>
    </row>
    <row r="7" spans="1:29" ht="15.75" customHeight="1" x14ac:dyDescent="0.25">
      <c r="A7" s="706"/>
      <c r="B7" s="706"/>
      <c r="C7" s="269" t="s">
        <v>611</v>
      </c>
      <c r="D7" s="267">
        <f>'Iluminação - MESA'!I5</f>
        <v>15.428571428571427</v>
      </c>
      <c r="E7" s="300" t="s">
        <v>612</v>
      </c>
      <c r="F7" s="301">
        <v>0</v>
      </c>
      <c r="G7" s="259"/>
      <c r="T7" s="264"/>
      <c r="X7" s="388">
        <f t="shared" si="3"/>
        <v>1.0833333333333335</v>
      </c>
      <c r="Y7" s="284" t="s">
        <v>608</v>
      </c>
      <c r="Z7" s="389" t="str">
        <f t="shared" si="0"/>
        <v/>
      </c>
      <c r="AA7" s="389" t="str">
        <f t="shared" si="1"/>
        <v>-</v>
      </c>
      <c r="AB7" s="389" t="str">
        <f t="shared" si="2"/>
        <v/>
      </c>
      <c r="AC7" s="390" t="str">
        <f t="shared" si="4"/>
        <v>-</v>
      </c>
    </row>
    <row r="8" spans="1:29" ht="15.75" x14ac:dyDescent="0.25">
      <c r="A8" s="706"/>
      <c r="B8" s="706"/>
      <c r="C8" s="269" t="s">
        <v>613</v>
      </c>
      <c r="D8" s="285">
        <f>'Iluminação - MESA'!I9</f>
        <v>202.3536</v>
      </c>
      <c r="E8" s="275" t="s">
        <v>612</v>
      </c>
      <c r="F8" s="287">
        <v>0</v>
      </c>
      <c r="T8" s="264"/>
      <c r="X8" s="388">
        <f t="shared" si="3"/>
        <v>1.1250000000000002</v>
      </c>
      <c r="Y8" s="284" t="s">
        <v>608</v>
      </c>
      <c r="Z8" s="389" t="str">
        <f t="shared" si="0"/>
        <v/>
      </c>
      <c r="AA8" s="389" t="str">
        <f t="shared" si="1"/>
        <v>-</v>
      </c>
      <c r="AB8" s="389" t="str">
        <f t="shared" si="2"/>
        <v/>
      </c>
      <c r="AC8" s="390" t="str">
        <f t="shared" si="4"/>
        <v>-</v>
      </c>
    </row>
    <row r="9" spans="1:29" ht="15.75" x14ac:dyDescent="0.25">
      <c r="A9" s="706"/>
      <c r="B9" s="706"/>
      <c r="C9" s="269" t="s">
        <v>616</v>
      </c>
      <c r="D9" s="267">
        <v>39</v>
      </c>
      <c r="E9" s="300" t="s">
        <v>612</v>
      </c>
      <c r="F9" s="301">
        <v>0</v>
      </c>
      <c r="G9" s="259"/>
      <c r="T9" s="264"/>
      <c r="X9" s="388">
        <f t="shared" si="3"/>
        <v>1.166666666666667</v>
      </c>
      <c r="Y9" s="284" t="s">
        <v>608</v>
      </c>
      <c r="Z9" s="389" t="str">
        <f t="shared" si="0"/>
        <v/>
      </c>
      <c r="AA9" s="389" t="str">
        <f t="shared" si="1"/>
        <v>-</v>
      </c>
      <c r="AB9" s="389" t="str">
        <f t="shared" si="2"/>
        <v/>
      </c>
      <c r="AC9" s="390" t="str">
        <f t="shared" si="4"/>
        <v>-</v>
      </c>
    </row>
    <row r="10" spans="1:29" ht="15.75" x14ac:dyDescent="0.25">
      <c r="A10" s="706"/>
      <c r="B10" s="706"/>
      <c r="C10" s="268" t="s">
        <v>741</v>
      </c>
      <c r="D10" s="267"/>
      <c r="E10" s="300"/>
      <c r="F10" s="301"/>
      <c r="G10" s="259"/>
      <c r="S10" s="264"/>
      <c r="T10" s="264"/>
      <c r="X10" s="388">
        <f t="shared" si="3"/>
        <v>1.2083333333333337</v>
      </c>
      <c r="Y10" s="284" t="s">
        <v>608</v>
      </c>
      <c r="Z10" s="389" t="str">
        <f t="shared" si="0"/>
        <v/>
      </c>
      <c r="AA10" s="389" t="str">
        <f t="shared" si="1"/>
        <v>-</v>
      </c>
      <c r="AB10" s="389" t="str">
        <f t="shared" si="2"/>
        <v/>
      </c>
      <c r="AC10" s="390" t="str">
        <f t="shared" si="4"/>
        <v>-</v>
      </c>
    </row>
    <row r="11" spans="1:29" ht="15.75" x14ac:dyDescent="0.25">
      <c r="A11" s="706"/>
      <c r="B11" s="706"/>
      <c r="C11" s="269" t="s">
        <v>620</v>
      </c>
      <c r="D11" s="267">
        <f>'Iluminação - MESA'!I6</f>
        <v>25.714285714285715</v>
      </c>
      <c r="E11" s="300" t="s">
        <v>612</v>
      </c>
      <c r="F11" s="301">
        <v>0</v>
      </c>
      <c r="G11" s="259"/>
      <c r="U11" s="288"/>
      <c r="V11" s="288"/>
      <c r="W11" s="288"/>
      <c r="X11" s="388">
        <f t="shared" si="3"/>
        <v>1.2500000000000004</v>
      </c>
      <c r="Y11" s="284" t="s">
        <v>608</v>
      </c>
      <c r="Z11" s="389" t="str">
        <f t="shared" si="0"/>
        <v/>
      </c>
      <c r="AA11" s="389" t="str">
        <f t="shared" si="1"/>
        <v>-</v>
      </c>
      <c r="AB11" s="389" t="str">
        <f t="shared" si="2"/>
        <v/>
      </c>
      <c r="AC11" s="390" t="str">
        <f t="shared" si="4"/>
        <v>-</v>
      </c>
    </row>
    <row r="12" spans="1:29" ht="15.75" x14ac:dyDescent="0.25">
      <c r="A12" s="706"/>
      <c r="B12" s="706"/>
      <c r="C12" s="269" t="s">
        <v>622</v>
      </c>
      <c r="D12" s="267">
        <v>94</v>
      </c>
      <c r="E12" s="300" t="s">
        <v>612</v>
      </c>
      <c r="F12" s="301">
        <v>0</v>
      </c>
      <c r="G12" s="259"/>
      <c r="X12" s="388">
        <f t="shared" si="3"/>
        <v>1.2916666666666672</v>
      </c>
      <c r="Y12" s="284" t="s">
        <v>608</v>
      </c>
      <c r="Z12" s="389" t="str">
        <f t="shared" si="0"/>
        <v/>
      </c>
      <c r="AA12" s="389" t="str">
        <f t="shared" si="1"/>
        <v>-</v>
      </c>
      <c r="AB12" s="389" t="str">
        <f t="shared" si="2"/>
        <v/>
      </c>
      <c r="AC12" s="390" t="str">
        <f t="shared" si="4"/>
        <v>-</v>
      </c>
    </row>
    <row r="13" spans="1:29" ht="15.75" x14ac:dyDescent="0.25">
      <c r="A13" s="706"/>
      <c r="B13" s="706"/>
      <c r="C13" s="269" t="s">
        <v>624</v>
      </c>
      <c r="D13" s="267">
        <v>31</v>
      </c>
      <c r="E13" s="300" t="s">
        <v>612</v>
      </c>
      <c r="F13" s="301">
        <v>0</v>
      </c>
      <c r="G13" s="259"/>
      <c r="T13" s="707" t="s">
        <v>682</v>
      </c>
      <c r="U13" s="708"/>
      <c r="V13" s="288"/>
      <c r="W13" s="288"/>
      <c r="X13" s="388">
        <f t="shared" si="3"/>
        <v>1.3333333333333339</v>
      </c>
      <c r="Y13" s="284" t="s">
        <v>608</v>
      </c>
      <c r="Z13" s="389">
        <f t="shared" si="0"/>
        <v>1.3333333333333339</v>
      </c>
      <c r="AA13" s="389" t="str">
        <f t="shared" si="1"/>
        <v>F</v>
      </c>
      <c r="AB13" s="389" t="str">
        <f t="shared" si="2"/>
        <v/>
      </c>
      <c r="AC13" s="390" t="str">
        <f t="shared" si="4"/>
        <v>-</v>
      </c>
    </row>
    <row r="14" spans="1:29" ht="15.75" x14ac:dyDescent="0.25">
      <c r="A14" s="706"/>
      <c r="B14" s="706"/>
      <c r="C14" s="268" t="s">
        <v>626</v>
      </c>
      <c r="D14" s="267"/>
      <c r="E14" s="300"/>
      <c r="F14" s="301"/>
      <c r="G14" s="259"/>
      <c r="T14" s="330">
        <f>'MAT SER E DESP - EST'!C10</f>
        <v>0.33333333333333331</v>
      </c>
      <c r="U14" s="331">
        <f>SUM(U15:U16)</f>
        <v>8</v>
      </c>
      <c r="V14" s="288"/>
      <c r="W14" s="288"/>
      <c r="X14" s="388">
        <f t="shared" si="3"/>
        <v>1.3750000000000007</v>
      </c>
      <c r="Y14" s="284" t="s">
        <v>608</v>
      </c>
      <c r="Z14" s="389">
        <f t="shared" si="0"/>
        <v>1.3750000000000007</v>
      </c>
      <c r="AA14" s="389" t="str">
        <f t="shared" si="1"/>
        <v>F</v>
      </c>
      <c r="AB14" s="389" t="str">
        <f t="shared" si="2"/>
        <v/>
      </c>
      <c r="AC14" s="390" t="str">
        <f t="shared" si="4"/>
        <v>-</v>
      </c>
    </row>
    <row r="15" spans="1:29" ht="15.75" x14ac:dyDescent="0.25">
      <c r="A15" s="706"/>
      <c r="B15" s="706"/>
      <c r="C15" s="269" t="s">
        <v>611</v>
      </c>
      <c r="D15" s="267">
        <f>'Iluminação - MESA'!I7+'Iluminação - MESA'!I8</f>
        <v>1330.8582857142858</v>
      </c>
      <c r="E15" s="300" t="s">
        <v>612</v>
      </c>
      <c r="F15" s="301">
        <v>0</v>
      </c>
      <c r="G15" s="259"/>
      <c r="T15" s="332">
        <f>HOUR(T14)</f>
        <v>8</v>
      </c>
      <c r="U15" s="333">
        <f>T15</f>
        <v>8</v>
      </c>
      <c r="V15" s="288"/>
      <c r="W15" s="288"/>
      <c r="X15" s="388">
        <f t="shared" si="3"/>
        <v>1.4166666666666674</v>
      </c>
      <c r="Y15" s="284" t="s">
        <v>608</v>
      </c>
      <c r="Z15" s="389">
        <f t="shared" si="0"/>
        <v>1.4166666666666674</v>
      </c>
      <c r="AA15" s="389" t="str">
        <f t="shared" si="1"/>
        <v>F</v>
      </c>
      <c r="AB15" s="389" t="str">
        <f t="shared" si="2"/>
        <v/>
      </c>
      <c r="AC15" s="390" t="str">
        <f t="shared" si="4"/>
        <v>-</v>
      </c>
    </row>
    <row r="16" spans="1:29" ht="15.75" x14ac:dyDescent="0.25">
      <c r="A16" s="706"/>
      <c r="B16" s="706"/>
      <c r="C16" s="269" t="s">
        <v>629</v>
      </c>
      <c r="D16" s="267">
        <f>'Equipamentos - MESA'!C18</f>
        <v>898.63263799331548</v>
      </c>
      <c r="E16" s="300" t="s">
        <v>630</v>
      </c>
      <c r="F16" s="301">
        <v>1</v>
      </c>
      <c r="G16" s="259"/>
      <c r="T16" s="334">
        <f>MINUTE(T14)</f>
        <v>0</v>
      </c>
      <c r="U16" s="335">
        <f>T16/60</f>
        <v>0</v>
      </c>
      <c r="V16" s="288"/>
      <c r="W16" s="288"/>
      <c r="X16" s="388">
        <f t="shared" si="3"/>
        <v>1.4583333333333341</v>
      </c>
      <c r="Y16" s="284" t="s">
        <v>608</v>
      </c>
      <c r="Z16" s="389">
        <f t="shared" si="0"/>
        <v>1.4583333333333341</v>
      </c>
      <c r="AA16" s="389" t="str">
        <f t="shared" si="1"/>
        <v>F</v>
      </c>
      <c r="AB16" s="389" t="str">
        <f t="shared" si="2"/>
        <v/>
      </c>
      <c r="AC16" s="390" t="str">
        <f t="shared" si="4"/>
        <v>-</v>
      </c>
    </row>
    <row r="17" spans="1:29" ht="15.75" x14ac:dyDescent="0.25">
      <c r="A17" s="706"/>
      <c r="B17" s="706"/>
      <c r="C17" s="308" t="s">
        <v>632</v>
      </c>
      <c r="D17" s="289">
        <f>'Equipamentos - MESA'!C35</f>
        <v>0</v>
      </c>
      <c r="E17" s="309" t="s">
        <v>612</v>
      </c>
      <c r="F17" s="310">
        <v>1</v>
      </c>
      <c r="G17" s="259"/>
      <c r="X17" s="388">
        <f t="shared" si="3"/>
        <v>1.5000000000000009</v>
      </c>
      <c r="Y17" s="284" t="s">
        <v>608</v>
      </c>
      <c r="Z17" s="389">
        <f t="shared" si="0"/>
        <v>1.5000000000000009</v>
      </c>
      <c r="AA17" s="389" t="str">
        <f t="shared" si="1"/>
        <v>F</v>
      </c>
      <c r="AB17" s="389" t="str">
        <f t="shared" si="2"/>
        <v/>
      </c>
      <c r="AC17" s="390" t="str">
        <f t="shared" si="4"/>
        <v>-</v>
      </c>
    </row>
    <row r="18" spans="1:29" x14ac:dyDescent="0.25">
      <c r="B18" s="455"/>
      <c r="T18" s="336" t="s">
        <v>683</v>
      </c>
      <c r="U18" s="327">
        <v>0.73549900000000001</v>
      </c>
      <c r="X18" s="388">
        <f t="shared" si="3"/>
        <v>1.5416666666666676</v>
      </c>
      <c r="Y18" s="284" t="s">
        <v>608</v>
      </c>
      <c r="Z18" s="389">
        <f t="shared" si="0"/>
        <v>1.5416666666666676</v>
      </c>
      <c r="AA18" s="389" t="str">
        <f t="shared" si="1"/>
        <v>F</v>
      </c>
      <c r="AB18" s="389" t="str">
        <f t="shared" si="2"/>
        <v/>
      </c>
      <c r="AC18" s="390" t="str">
        <f t="shared" si="4"/>
        <v>-</v>
      </c>
    </row>
    <row r="19" spans="1:29" ht="18" customHeight="1" x14ac:dyDescent="0.25">
      <c r="A19" s="706" t="s">
        <v>707</v>
      </c>
      <c r="B19" s="706"/>
      <c r="C19" s="715" t="s">
        <v>708</v>
      </c>
      <c r="D19" s="715"/>
      <c r="E19" s="368" t="s">
        <v>709</v>
      </c>
      <c r="F19" s="369" t="s">
        <v>710</v>
      </c>
      <c r="G19" s="408"/>
      <c r="X19" s="388">
        <f t="shared" si="3"/>
        <v>1.5833333333333344</v>
      </c>
      <c r="Y19" s="284" t="s">
        <v>608</v>
      </c>
      <c r="Z19" s="389">
        <f t="shared" si="0"/>
        <v>1.5833333333333344</v>
      </c>
      <c r="AA19" s="389" t="str">
        <f t="shared" si="1"/>
        <v>F</v>
      </c>
      <c r="AB19" s="389" t="str">
        <f t="shared" si="2"/>
        <v/>
      </c>
      <c r="AC19" s="390" t="str">
        <f t="shared" si="4"/>
        <v>-</v>
      </c>
    </row>
    <row r="20" spans="1:29" x14ac:dyDescent="0.25">
      <c r="A20" s="706"/>
      <c r="B20" s="706"/>
      <c r="C20" s="716" t="s">
        <v>699</v>
      </c>
      <c r="D20" s="316" t="s">
        <v>689</v>
      </c>
      <c r="E20" s="456">
        <f>'MAT SER E DESP - MESA'!C11</f>
        <v>0.3125</v>
      </c>
      <c r="F20" s="457">
        <v>1</v>
      </c>
      <c r="G20" s="410"/>
      <c r="T20" s="372" t="s">
        <v>684</v>
      </c>
      <c r="U20" s="373"/>
      <c r="V20" s="329"/>
      <c r="X20" s="388">
        <f t="shared" si="3"/>
        <v>1.6250000000000011</v>
      </c>
      <c r="Y20" s="284" t="s">
        <v>608</v>
      </c>
      <c r="Z20" s="389">
        <f t="shared" si="0"/>
        <v>1.6250000000000011</v>
      </c>
      <c r="AA20" s="389" t="str">
        <f t="shared" si="1"/>
        <v>F</v>
      </c>
      <c r="AB20" s="389" t="str">
        <f t="shared" si="2"/>
        <v/>
      </c>
      <c r="AC20" s="390" t="str">
        <f t="shared" si="4"/>
        <v>-</v>
      </c>
    </row>
    <row r="21" spans="1:29" x14ac:dyDescent="0.25">
      <c r="A21" s="706"/>
      <c r="B21" s="706"/>
      <c r="C21" s="717"/>
      <c r="D21" s="275" t="s">
        <v>690</v>
      </c>
      <c r="E21" s="459">
        <f>'MAT SER E DESP - MESA'!C12</f>
        <v>0.68749999999999989</v>
      </c>
      <c r="F21" s="460">
        <v>1</v>
      </c>
      <c r="G21" s="410"/>
      <c r="T21" s="296" t="s">
        <v>678</v>
      </c>
      <c r="U21" s="316">
        <v>91</v>
      </c>
      <c r="V21" s="298" t="s">
        <v>685</v>
      </c>
      <c r="X21" s="388">
        <f t="shared" si="3"/>
        <v>1.6666666666666679</v>
      </c>
      <c r="Y21" s="284" t="s">
        <v>608</v>
      </c>
      <c r="Z21" s="389">
        <f t="shared" si="0"/>
        <v>1.6666666666666679</v>
      </c>
      <c r="AA21" s="389" t="str">
        <f t="shared" si="1"/>
        <v>F</v>
      </c>
      <c r="AB21" s="389" t="str">
        <f t="shared" si="2"/>
        <v/>
      </c>
      <c r="AC21" s="390" t="str">
        <f t="shared" si="4"/>
        <v>-</v>
      </c>
    </row>
    <row r="22" spans="1:29" x14ac:dyDescent="0.25">
      <c r="A22" s="706"/>
      <c r="B22" s="706"/>
      <c r="C22" s="717" t="s">
        <v>700</v>
      </c>
      <c r="D22" s="275" t="s">
        <v>689</v>
      </c>
      <c r="E22" s="461">
        <v>0.79166666666666663</v>
      </c>
      <c r="F22" s="460">
        <f>F21</f>
        <v>1</v>
      </c>
      <c r="G22" s="410"/>
      <c r="T22" s="302" t="s">
        <v>679</v>
      </c>
      <c r="U22" s="275">
        <v>55</v>
      </c>
      <c r="V22" s="287" t="s">
        <v>685</v>
      </c>
      <c r="X22" s="388">
        <f t="shared" si="3"/>
        <v>1.7083333333333346</v>
      </c>
      <c r="Y22" s="284" t="s">
        <v>637</v>
      </c>
      <c r="Z22" s="389" t="str">
        <f t="shared" si="0"/>
        <v/>
      </c>
      <c r="AA22" s="389" t="str">
        <f t="shared" si="1"/>
        <v>-</v>
      </c>
      <c r="AB22" s="389" t="str">
        <f t="shared" si="2"/>
        <v/>
      </c>
      <c r="AC22" s="390" t="str">
        <f t="shared" si="4"/>
        <v>-</v>
      </c>
    </row>
    <row r="23" spans="1:29" ht="15.75" x14ac:dyDescent="0.25">
      <c r="A23" s="706"/>
      <c r="B23" s="706"/>
      <c r="C23" s="718"/>
      <c r="D23" s="279" t="s">
        <v>690</v>
      </c>
      <c r="E23" s="462">
        <v>0.29166666666666669</v>
      </c>
      <c r="F23" s="458">
        <v>2</v>
      </c>
      <c r="G23" s="410"/>
      <c r="T23" s="269" t="s">
        <v>703</v>
      </c>
      <c r="U23" s="266">
        <v>55</v>
      </c>
      <c r="V23" s="270" t="s">
        <v>685</v>
      </c>
      <c r="X23" s="388">
        <f t="shared" si="3"/>
        <v>1.7500000000000013</v>
      </c>
      <c r="Y23" s="284" t="s">
        <v>638</v>
      </c>
      <c r="Z23" s="389" t="str">
        <f t="shared" si="0"/>
        <v/>
      </c>
      <c r="AA23" s="389" t="str">
        <f t="shared" si="1"/>
        <v>-</v>
      </c>
      <c r="AB23" s="389" t="str">
        <f t="shared" si="2"/>
        <v/>
      </c>
      <c r="AC23" s="390" t="str">
        <f t="shared" si="4"/>
        <v>-</v>
      </c>
    </row>
    <row r="24" spans="1:29" ht="15.75" customHeight="1" x14ac:dyDescent="0.25">
      <c r="T24" s="308" t="s">
        <v>704</v>
      </c>
      <c r="U24" s="290">
        <v>130</v>
      </c>
      <c r="V24" s="355" t="s">
        <v>685</v>
      </c>
      <c r="X24" s="388">
        <f t="shared" si="3"/>
        <v>1.7916666666666681</v>
      </c>
      <c r="Y24" s="284" t="s">
        <v>638</v>
      </c>
      <c r="Z24" s="389" t="str">
        <f t="shared" si="0"/>
        <v/>
      </c>
      <c r="AA24" s="389" t="str">
        <f t="shared" si="1"/>
        <v>-</v>
      </c>
      <c r="AB24" s="389">
        <f t="shared" si="2"/>
        <v>1.7916666666666681</v>
      </c>
      <c r="AC24" s="390" t="str">
        <f t="shared" si="4"/>
        <v>P</v>
      </c>
    </row>
    <row r="25" spans="1:29" ht="15" customHeight="1" x14ac:dyDescent="0.25">
      <c r="A25" s="719" t="s">
        <v>712</v>
      </c>
      <c r="B25" s="454" t="s">
        <v>766</v>
      </c>
      <c r="C25" s="315" t="s">
        <v>542</v>
      </c>
      <c r="D25" s="315" t="s">
        <v>692</v>
      </c>
      <c r="E25" s="315" t="s">
        <v>487</v>
      </c>
      <c r="F25" s="315" t="s">
        <v>940</v>
      </c>
      <c r="G25" s="47"/>
      <c r="T25" s="722" t="s">
        <v>686</v>
      </c>
      <c r="U25" s="723"/>
      <c r="V25" s="724"/>
      <c r="X25" s="388">
        <f t="shared" si="3"/>
        <v>1.8333333333333348</v>
      </c>
      <c r="Y25" s="284" t="s">
        <v>638</v>
      </c>
      <c r="Z25" s="389" t="str">
        <f t="shared" si="0"/>
        <v/>
      </c>
      <c r="AA25" s="389" t="str">
        <f t="shared" si="1"/>
        <v>-</v>
      </c>
      <c r="AB25" s="389">
        <f t="shared" si="2"/>
        <v>1.8333333333333348</v>
      </c>
      <c r="AC25" s="390" t="str">
        <f t="shared" si="4"/>
        <v>P</v>
      </c>
    </row>
    <row r="26" spans="1:29" ht="15.75" customHeight="1" x14ac:dyDescent="0.25">
      <c r="A26" s="720"/>
      <c r="B26" s="719" t="s">
        <v>701</v>
      </c>
      <c r="C26" s="463" t="s">
        <v>711</v>
      </c>
      <c r="D26" s="464">
        <f>COUNTIF($AA$5:$AA$205,"&lt;&gt;-")</f>
        <v>9</v>
      </c>
      <c r="E26" s="456"/>
      <c r="F26" s="298"/>
      <c r="G26" s="47"/>
      <c r="T26" s="338" t="s">
        <v>687</v>
      </c>
      <c r="U26" s="339"/>
      <c r="V26" s="340"/>
      <c r="X26" s="388">
        <f t="shared" si="3"/>
        <v>1.8750000000000016</v>
      </c>
      <c r="Y26" s="284" t="s">
        <v>637</v>
      </c>
      <c r="Z26" s="389" t="str">
        <f t="shared" si="0"/>
        <v/>
      </c>
      <c r="AA26" s="389" t="str">
        <f t="shared" si="1"/>
        <v>-</v>
      </c>
      <c r="AB26" s="389">
        <f t="shared" si="2"/>
        <v>1.8750000000000016</v>
      </c>
      <c r="AC26" s="390" t="str">
        <f t="shared" si="4"/>
        <v>I</v>
      </c>
    </row>
    <row r="27" spans="1:29" ht="15.75" customHeight="1" x14ac:dyDescent="0.25">
      <c r="A27" s="720"/>
      <c r="B27" s="720"/>
      <c r="C27" s="465" t="s">
        <v>594</v>
      </c>
      <c r="D27" s="284">
        <f>COUNTIF($AA$5:$AA$205,"=F")</f>
        <v>9</v>
      </c>
      <c r="E27" s="466">
        <f>D27/D26</f>
        <v>1</v>
      </c>
      <c r="F27" s="312">
        <f>($D$5-$D$8)*E27</f>
        <v>2434.6337808504582</v>
      </c>
      <c r="T27" s="725" t="s">
        <v>688</v>
      </c>
      <c r="U27" s="296" t="s">
        <v>689</v>
      </c>
      <c r="V27" s="341">
        <f>E20+F20</f>
        <v>1.3125</v>
      </c>
      <c r="X27" s="388">
        <f t="shared" si="3"/>
        <v>1.9166666666666683</v>
      </c>
      <c r="Y27" s="284" t="s">
        <v>608</v>
      </c>
      <c r="Z27" s="389" t="str">
        <f t="shared" si="0"/>
        <v/>
      </c>
      <c r="AA27" s="389" t="str">
        <f t="shared" si="1"/>
        <v>-</v>
      </c>
      <c r="AB27" s="389">
        <f t="shared" si="2"/>
        <v>1.9166666666666683</v>
      </c>
      <c r="AC27" s="390" t="str">
        <f t="shared" si="4"/>
        <v>F</v>
      </c>
    </row>
    <row r="28" spans="1:29" ht="15.75" customHeight="1" x14ac:dyDescent="0.25">
      <c r="A28" s="720"/>
      <c r="B28" s="720"/>
      <c r="C28" s="465" t="s">
        <v>595</v>
      </c>
      <c r="D28" s="284">
        <f>COUNTIF($AA$5:$AA$205,"=I")</f>
        <v>0</v>
      </c>
      <c r="E28" s="466">
        <f>D28/D26</f>
        <v>0</v>
      </c>
      <c r="F28" s="312">
        <f t="shared" ref="F28:F29" si="5">($D$5-$D$8)*E28</f>
        <v>0</v>
      </c>
      <c r="G28" s="322"/>
      <c r="T28" s="726"/>
      <c r="U28" s="305" t="s">
        <v>690</v>
      </c>
      <c r="V28" s="352">
        <f>E21+F21</f>
        <v>1.6875</v>
      </c>
      <c r="X28" s="388">
        <f t="shared" si="3"/>
        <v>1.958333333333335</v>
      </c>
      <c r="Y28" s="284" t="s">
        <v>608</v>
      </c>
      <c r="Z28" s="389" t="str">
        <f t="shared" si="0"/>
        <v/>
      </c>
      <c r="AA28" s="389" t="str">
        <f t="shared" si="1"/>
        <v>-</v>
      </c>
      <c r="AB28" s="389">
        <f t="shared" si="2"/>
        <v>1.958333333333335</v>
      </c>
      <c r="AC28" s="390" t="str">
        <f t="shared" si="4"/>
        <v>F</v>
      </c>
    </row>
    <row r="29" spans="1:29" ht="15.75" customHeight="1" x14ac:dyDescent="0.25">
      <c r="A29" s="720"/>
      <c r="B29" s="720"/>
      <c r="C29" s="465" t="s">
        <v>596</v>
      </c>
      <c r="D29" s="284">
        <f>COUNTIF($AA$5:$AA$205,"=P")</f>
        <v>0</v>
      </c>
      <c r="E29" s="466">
        <f>D29/D26</f>
        <v>0</v>
      </c>
      <c r="F29" s="312">
        <f t="shared" si="5"/>
        <v>0</v>
      </c>
      <c r="G29" s="322"/>
      <c r="T29" s="727" t="s">
        <v>698</v>
      </c>
      <c r="U29" s="296" t="s">
        <v>689</v>
      </c>
      <c r="V29" s="353">
        <f>E22+F22</f>
        <v>1.7916666666666665</v>
      </c>
      <c r="X29" s="388">
        <f t="shared" si="3"/>
        <v>2.0000000000000018</v>
      </c>
      <c r="Y29" s="284" t="s">
        <v>608</v>
      </c>
      <c r="Z29" s="389" t="str">
        <f t="shared" si="0"/>
        <v/>
      </c>
      <c r="AA29" s="389" t="str">
        <f t="shared" si="1"/>
        <v>-</v>
      </c>
      <c r="AB29" s="389">
        <f t="shared" si="2"/>
        <v>2.0000000000000018</v>
      </c>
      <c r="AC29" s="390" t="str">
        <f t="shared" si="4"/>
        <v>F</v>
      </c>
    </row>
    <row r="30" spans="1:29" ht="15.75" customHeight="1" x14ac:dyDescent="0.25">
      <c r="A30" s="720"/>
      <c r="B30" s="721"/>
      <c r="C30" s="467" t="s">
        <v>733</v>
      </c>
      <c r="D30" s="468">
        <f>SUM(D27:D29)</f>
        <v>9</v>
      </c>
      <c r="E30" s="275"/>
      <c r="F30" s="312">
        <f>SUM(F27:F29)</f>
        <v>2434.6337808504582</v>
      </c>
      <c r="G30" s="322"/>
      <c r="T30" s="728"/>
      <c r="U30" s="305" t="s">
        <v>690</v>
      </c>
      <c r="V30" s="354">
        <f>E23+F23</f>
        <v>2.2916666666666665</v>
      </c>
      <c r="X30" s="388">
        <f t="shared" si="3"/>
        <v>2.0416666666666683</v>
      </c>
      <c r="Y30" s="284" t="s">
        <v>608</v>
      </c>
      <c r="Z30" s="389" t="str">
        <f t="shared" si="0"/>
        <v/>
      </c>
      <c r="AA30" s="389" t="str">
        <f t="shared" si="1"/>
        <v>-</v>
      </c>
      <c r="AB30" s="389">
        <f t="shared" si="2"/>
        <v>2.0416666666666683</v>
      </c>
      <c r="AC30" s="390" t="str">
        <f t="shared" si="4"/>
        <v>F</v>
      </c>
    </row>
    <row r="31" spans="1:29" ht="15.75" customHeight="1" x14ac:dyDescent="0.25">
      <c r="A31" s="720"/>
      <c r="B31" s="729" t="s">
        <v>702</v>
      </c>
      <c r="C31" s="465" t="s">
        <v>711</v>
      </c>
      <c r="D31" s="283">
        <f>COUNTIF($AC$5:$AC$205,"&lt;&gt;-")</f>
        <v>12</v>
      </c>
      <c r="E31" s="459"/>
      <c r="F31" s="287"/>
      <c r="X31" s="388">
        <f t="shared" si="3"/>
        <v>2.0833333333333348</v>
      </c>
      <c r="Y31" s="284" t="s">
        <v>608</v>
      </c>
      <c r="Z31" s="389" t="str">
        <f t="shared" si="0"/>
        <v/>
      </c>
      <c r="AA31" s="389" t="str">
        <f t="shared" si="1"/>
        <v>-</v>
      </c>
      <c r="AB31" s="389">
        <f t="shared" si="2"/>
        <v>2.0833333333333348</v>
      </c>
      <c r="AC31" s="390" t="str">
        <f t="shared" si="4"/>
        <v>F</v>
      </c>
    </row>
    <row r="32" spans="1:29" ht="15.75" customHeight="1" x14ac:dyDescent="0.25">
      <c r="A32" s="720"/>
      <c r="B32" s="730"/>
      <c r="C32" s="465" t="s">
        <v>594</v>
      </c>
      <c r="D32" s="284">
        <f>COUNTIF($AC$10:$AC$210,"=F")</f>
        <v>9</v>
      </c>
      <c r="E32" s="466">
        <f>D32/D31</f>
        <v>0.75</v>
      </c>
      <c r="F32" s="312">
        <f>$D$8*E32</f>
        <v>151.76519999999999</v>
      </c>
      <c r="X32" s="388">
        <f t="shared" si="3"/>
        <v>2.1250000000000013</v>
      </c>
      <c r="Y32" s="284" t="s">
        <v>608</v>
      </c>
      <c r="Z32" s="389" t="str">
        <f t="shared" si="0"/>
        <v/>
      </c>
      <c r="AA32" s="389" t="str">
        <f t="shared" si="1"/>
        <v>-</v>
      </c>
      <c r="AB32" s="389">
        <f t="shared" si="2"/>
        <v>2.1250000000000013</v>
      </c>
      <c r="AC32" s="390" t="str">
        <f t="shared" si="4"/>
        <v>F</v>
      </c>
    </row>
    <row r="33" spans="1:29" ht="15.75" customHeight="1" x14ac:dyDescent="0.25">
      <c r="A33" s="720"/>
      <c r="B33" s="730"/>
      <c r="C33" s="465" t="s">
        <v>595</v>
      </c>
      <c r="D33" s="284">
        <f>COUNTIF($AC$10:$AC$210,"=I")</f>
        <v>1</v>
      </c>
      <c r="E33" s="466">
        <f>D33/D31</f>
        <v>8.3333333333333329E-2</v>
      </c>
      <c r="F33" s="312">
        <f t="shared" ref="F33:F34" si="6">$D$8*E33</f>
        <v>16.8628</v>
      </c>
      <c r="G33" s="322"/>
      <c r="X33" s="388">
        <f t="shared" si="3"/>
        <v>2.1666666666666679</v>
      </c>
      <c r="Y33" s="284" t="s">
        <v>608</v>
      </c>
      <c r="Z33" s="389" t="str">
        <f t="shared" si="0"/>
        <v/>
      </c>
      <c r="AA33" s="389" t="str">
        <f t="shared" si="1"/>
        <v>-</v>
      </c>
      <c r="AB33" s="389">
        <f t="shared" si="2"/>
        <v>2.1666666666666679</v>
      </c>
      <c r="AC33" s="390" t="str">
        <f t="shared" si="4"/>
        <v>F</v>
      </c>
    </row>
    <row r="34" spans="1:29" ht="15.75" customHeight="1" x14ac:dyDescent="0.25">
      <c r="A34" s="720"/>
      <c r="B34" s="730"/>
      <c r="C34" s="465" t="s">
        <v>596</v>
      </c>
      <c r="D34" s="284">
        <f>COUNTIF($AC$10:$AC$210,"=P")</f>
        <v>2</v>
      </c>
      <c r="E34" s="466">
        <f>D34/D31</f>
        <v>0.16666666666666666</v>
      </c>
      <c r="F34" s="312">
        <f t="shared" si="6"/>
        <v>33.7256</v>
      </c>
      <c r="G34" s="322"/>
      <c r="X34" s="388">
        <f t="shared" si="3"/>
        <v>2.2083333333333344</v>
      </c>
      <c r="Y34" s="284" t="s">
        <v>608</v>
      </c>
      <c r="Z34" s="389" t="str">
        <f t="shared" si="0"/>
        <v/>
      </c>
      <c r="AA34" s="389" t="str">
        <f t="shared" si="1"/>
        <v>-</v>
      </c>
      <c r="AB34" s="389">
        <f t="shared" si="2"/>
        <v>2.2083333333333344</v>
      </c>
      <c r="AC34" s="390" t="str">
        <f t="shared" si="4"/>
        <v>F</v>
      </c>
    </row>
    <row r="35" spans="1:29" ht="15.75" customHeight="1" x14ac:dyDescent="0.25">
      <c r="A35" s="720"/>
      <c r="B35" s="731"/>
      <c r="C35" s="469" t="s">
        <v>733</v>
      </c>
      <c r="D35" s="470">
        <f>SUM(D32:D34)</f>
        <v>12</v>
      </c>
      <c r="E35" s="279"/>
      <c r="F35" s="313">
        <f>SUM(F32:F34)</f>
        <v>202.35359999999997</v>
      </c>
      <c r="G35" s="322"/>
      <c r="X35" s="388">
        <f t="shared" si="3"/>
        <v>2.2500000000000009</v>
      </c>
      <c r="Y35" s="284" t="s">
        <v>608</v>
      </c>
      <c r="Z35" s="389" t="str">
        <f t="shared" si="0"/>
        <v/>
      </c>
      <c r="AA35" s="389" t="str">
        <f t="shared" si="1"/>
        <v>-</v>
      </c>
      <c r="AB35" s="389">
        <f t="shared" si="2"/>
        <v>2.2500000000000009</v>
      </c>
      <c r="AC35" s="390" t="str">
        <f t="shared" si="4"/>
        <v>F</v>
      </c>
    </row>
    <row r="36" spans="1:29" ht="15.75" customHeight="1" x14ac:dyDescent="0.25">
      <c r="A36" s="721"/>
      <c r="B36" s="732" t="s">
        <v>540</v>
      </c>
      <c r="C36" s="732"/>
      <c r="D36" s="370">
        <f>D30+D35</f>
        <v>21</v>
      </c>
      <c r="E36" s="453"/>
      <c r="F36" s="370">
        <f>F30+F35</f>
        <v>2636.9873808504581</v>
      </c>
      <c r="X36" s="388">
        <f t="shared" si="3"/>
        <v>2.2916666666666674</v>
      </c>
      <c r="Y36" s="284" t="s">
        <v>608</v>
      </c>
      <c r="Z36" s="389" t="str">
        <f t="shared" si="0"/>
        <v/>
      </c>
      <c r="AA36" s="389" t="str">
        <f t="shared" si="1"/>
        <v>-</v>
      </c>
      <c r="AB36" s="389" t="str">
        <f t="shared" si="2"/>
        <v/>
      </c>
      <c r="AC36" s="390" t="str">
        <f t="shared" si="4"/>
        <v>-</v>
      </c>
    </row>
    <row r="37" spans="1:29" x14ac:dyDescent="0.25">
      <c r="X37" s="388">
        <f t="shared" si="3"/>
        <v>2.3333333333333339</v>
      </c>
      <c r="Y37" s="284" t="s">
        <v>608</v>
      </c>
      <c r="Z37" s="389" t="str">
        <f t="shared" si="0"/>
        <v/>
      </c>
      <c r="AA37" s="389" t="str">
        <f t="shared" si="1"/>
        <v>-</v>
      </c>
      <c r="AB37" s="389" t="str">
        <f t="shared" si="2"/>
        <v/>
      </c>
      <c r="AC37" s="390" t="str">
        <f t="shared" si="4"/>
        <v>-</v>
      </c>
    </row>
    <row r="38" spans="1:29" x14ac:dyDescent="0.25">
      <c r="C38" s="371" t="s">
        <v>722</v>
      </c>
      <c r="D38" s="327" t="s">
        <v>717</v>
      </c>
      <c r="E38" s="327">
        <f>VLOOKUP(D38,C48:D51,2,FALSE)</f>
        <v>4.4630000000000003E-2</v>
      </c>
      <c r="X38" s="388">
        <f t="shared" si="3"/>
        <v>2.3750000000000004</v>
      </c>
      <c r="Y38" s="284" t="s">
        <v>608</v>
      </c>
      <c r="Z38" s="389" t="str">
        <f t="shared" si="0"/>
        <v/>
      </c>
      <c r="AA38" s="389" t="str">
        <f t="shared" si="1"/>
        <v>-</v>
      </c>
      <c r="AB38" s="389" t="str">
        <f t="shared" si="2"/>
        <v/>
      </c>
      <c r="AC38" s="390" t="str">
        <f t="shared" si="4"/>
        <v>-</v>
      </c>
    </row>
    <row r="39" spans="1:29" ht="15" customHeight="1" thickBot="1" x14ac:dyDescent="0.3">
      <c r="O39" s="447"/>
      <c r="P39" s="448"/>
      <c r="S39" s="39"/>
      <c r="T39" s="39"/>
      <c r="U39" s="39"/>
      <c r="V39" s="39"/>
      <c r="W39" s="39"/>
      <c r="X39" s="388">
        <f t="shared" si="3"/>
        <v>2.416666666666667</v>
      </c>
      <c r="Y39" s="284" t="s">
        <v>608</v>
      </c>
      <c r="Z39" s="389" t="str">
        <f t="shared" si="0"/>
        <v/>
      </c>
      <c r="AA39" s="389" t="str">
        <f t="shared" si="1"/>
        <v>-</v>
      </c>
      <c r="AB39" s="389" t="str">
        <f t="shared" si="2"/>
        <v/>
      </c>
      <c r="AC39" s="390" t="str">
        <f t="shared" si="4"/>
        <v>-</v>
      </c>
    </row>
    <row r="40" spans="1:29" ht="43.5" customHeight="1" x14ac:dyDescent="0.25">
      <c r="A40" s="709" t="s">
        <v>706</v>
      </c>
      <c r="B40" s="710"/>
      <c r="C40" s="474" t="s">
        <v>705</v>
      </c>
      <c r="D40" s="474" t="s">
        <v>639</v>
      </c>
      <c r="E40" s="474" t="s">
        <v>640</v>
      </c>
      <c r="F40" s="474" t="s">
        <v>641</v>
      </c>
      <c r="G40" s="475" t="s">
        <v>723</v>
      </c>
      <c r="H40" s="476" t="s">
        <v>713</v>
      </c>
      <c r="S40" s="374"/>
      <c r="T40" s="374"/>
      <c r="U40" s="374"/>
      <c r="V40" s="374"/>
      <c r="W40" s="374"/>
      <c r="X40" s="388">
        <f t="shared" si="3"/>
        <v>2.4583333333333335</v>
      </c>
      <c r="Y40" s="284" t="s">
        <v>608</v>
      </c>
      <c r="Z40" s="389" t="str">
        <f t="shared" si="0"/>
        <v/>
      </c>
      <c r="AA40" s="389" t="str">
        <f t="shared" si="1"/>
        <v>-</v>
      </c>
      <c r="AB40" s="389" t="str">
        <f t="shared" si="2"/>
        <v/>
      </c>
      <c r="AC40" s="390" t="str">
        <f t="shared" si="4"/>
        <v>-</v>
      </c>
    </row>
    <row r="41" spans="1:29" ht="15.75" customHeight="1" x14ac:dyDescent="0.25">
      <c r="A41" s="711"/>
      <c r="B41" s="712"/>
      <c r="C41" s="365" t="s">
        <v>664</v>
      </c>
      <c r="D41" s="366">
        <f>'Energia Elétrica - MESA'!E29</f>
        <v>0</v>
      </c>
      <c r="E41" s="328">
        <f>F29+F34</f>
        <v>33.7256</v>
      </c>
      <c r="F41" s="367">
        <f>'MAPA DE PREÇOS'!P393</f>
        <v>1.40578</v>
      </c>
      <c r="G41" s="471">
        <f>E38</f>
        <v>4.4630000000000003E-2</v>
      </c>
      <c r="H41" s="403">
        <f>(F41+G41)*E41</f>
        <v>48.915947496000001</v>
      </c>
      <c r="S41" s="322"/>
      <c r="T41" s="322"/>
      <c r="U41" s="322"/>
      <c r="V41" s="322"/>
      <c r="W41" s="322"/>
      <c r="X41" s="388">
        <f t="shared" si="3"/>
        <v>2.5</v>
      </c>
      <c r="Y41" s="284" t="s">
        <v>608</v>
      </c>
      <c r="Z41" s="389" t="str">
        <f t="shared" si="0"/>
        <v/>
      </c>
      <c r="AA41" s="389" t="str">
        <f t="shared" si="1"/>
        <v>-</v>
      </c>
      <c r="AB41" s="389" t="str">
        <f t="shared" si="2"/>
        <v/>
      </c>
      <c r="AC41" s="390" t="str">
        <f t="shared" si="4"/>
        <v>-</v>
      </c>
    </row>
    <row r="42" spans="1:29" x14ac:dyDescent="0.25">
      <c r="A42" s="711"/>
      <c r="B42" s="712"/>
      <c r="C42" s="365" t="s">
        <v>666</v>
      </c>
      <c r="D42" s="366">
        <f>'Energia Elétrica - MESA'!E28</f>
        <v>0</v>
      </c>
      <c r="E42" s="328">
        <f>F33+F28</f>
        <v>16.8628</v>
      </c>
      <c r="F42" s="327">
        <f>'MAPA DE PREÇOS'!P414</f>
        <v>0.91632999999999998</v>
      </c>
      <c r="G42" s="471">
        <f>E38</f>
        <v>4.4630000000000003E-2</v>
      </c>
      <c r="H42" s="403">
        <f>(F42+G42)*E42</f>
        <v>16.204476288000002</v>
      </c>
      <c r="S42" s="322"/>
      <c r="T42" s="322"/>
      <c r="U42" s="322"/>
      <c r="V42" s="322"/>
      <c r="W42" s="322"/>
      <c r="X42" s="388">
        <f t="shared" si="3"/>
        <v>2.5416666666666665</v>
      </c>
      <c r="Y42" s="284" t="s">
        <v>608</v>
      </c>
      <c r="Z42" s="389" t="str">
        <f t="shared" si="0"/>
        <v/>
      </c>
      <c r="AA42" s="389" t="str">
        <f t="shared" si="1"/>
        <v>-</v>
      </c>
      <c r="AB42" s="389" t="str">
        <f t="shared" si="2"/>
        <v/>
      </c>
      <c r="AC42" s="390" t="str">
        <f t="shared" si="4"/>
        <v>-</v>
      </c>
    </row>
    <row r="43" spans="1:29" x14ac:dyDescent="0.25">
      <c r="A43" s="711"/>
      <c r="B43" s="712"/>
      <c r="C43" s="365" t="s">
        <v>667</v>
      </c>
      <c r="D43" s="366">
        <f>'Energia Elétrica - MESA'!E27</f>
        <v>1</v>
      </c>
      <c r="E43" s="328">
        <f>F27+F32</f>
        <v>2586.398980850458</v>
      </c>
      <c r="F43" s="327">
        <f>'MAPA DE PREÇOS'!P435</f>
        <v>0.57352000000000003</v>
      </c>
      <c r="G43" s="471">
        <f>E38</f>
        <v>4.4630000000000003E-2</v>
      </c>
      <c r="H43" s="403">
        <f>(F43+G43)*E43</f>
        <v>1598.7825300127106</v>
      </c>
      <c r="S43" s="322"/>
      <c r="T43" s="322"/>
      <c r="U43" s="322"/>
      <c r="V43" s="322"/>
      <c r="W43" s="322"/>
      <c r="X43" s="388">
        <f t="shared" si="3"/>
        <v>2.583333333333333</v>
      </c>
      <c r="Y43" s="284" t="s">
        <v>608</v>
      </c>
      <c r="Z43" s="389" t="str">
        <f t="shared" si="0"/>
        <v/>
      </c>
      <c r="AA43" s="389" t="str">
        <f t="shared" si="1"/>
        <v>-</v>
      </c>
      <c r="AB43" s="389" t="str">
        <f t="shared" si="2"/>
        <v/>
      </c>
      <c r="AC43" s="390" t="str">
        <f t="shared" si="4"/>
        <v>-</v>
      </c>
    </row>
    <row r="44" spans="1:29" x14ac:dyDescent="0.25">
      <c r="A44" s="711"/>
      <c r="B44" s="712"/>
      <c r="C44" s="365" t="s">
        <v>762</v>
      </c>
      <c r="D44" s="327"/>
      <c r="E44" s="327">
        <v>1</v>
      </c>
      <c r="F44" s="327">
        <f>'MAPA DE PREÇOS'!M540+'MAPA DE PREÇOS'!M561</f>
        <v>370.73</v>
      </c>
      <c r="G44" s="327"/>
      <c r="H44" s="452">
        <f>F44*0.074</f>
        <v>27.43402</v>
      </c>
      <c r="S44" s="322"/>
      <c r="T44" s="322"/>
      <c r="U44" s="322"/>
      <c r="V44" s="322"/>
      <c r="W44" s="322"/>
      <c r="X44" s="388">
        <f t="shared" si="3"/>
        <v>2.6249999999999996</v>
      </c>
      <c r="Y44" s="284" t="s">
        <v>608</v>
      </c>
      <c r="Z44" s="389" t="str">
        <f t="shared" si="0"/>
        <v/>
      </c>
      <c r="AA44" s="389" t="str">
        <f t="shared" si="1"/>
        <v>-</v>
      </c>
      <c r="AB44" s="389" t="str">
        <f t="shared" si="2"/>
        <v/>
      </c>
      <c r="AC44" s="390" t="str">
        <f t="shared" si="4"/>
        <v>-</v>
      </c>
    </row>
    <row r="45" spans="1:29" ht="16.5" thickBot="1" x14ac:dyDescent="0.3">
      <c r="A45" s="713"/>
      <c r="B45" s="714"/>
      <c r="C45" s="376" t="s">
        <v>694</v>
      </c>
      <c r="D45" s="376"/>
      <c r="E45" s="377">
        <f>SUM(E41:E43)</f>
        <v>2636.9873808504581</v>
      </c>
      <c r="F45" s="376"/>
      <c r="G45" s="402"/>
      <c r="H45" s="378">
        <f>SUM(H41:H44)</f>
        <v>1691.3369737967105</v>
      </c>
      <c r="S45" s="322"/>
      <c r="T45" s="322"/>
      <c r="U45" s="322"/>
      <c r="V45" s="322"/>
      <c r="W45" s="322"/>
      <c r="X45" s="388">
        <f t="shared" si="3"/>
        <v>2.6666666666666661</v>
      </c>
      <c r="Y45" s="284" t="s">
        <v>608</v>
      </c>
      <c r="Z45" s="389" t="str">
        <f t="shared" si="0"/>
        <v/>
      </c>
      <c r="AA45" s="389" t="str">
        <f t="shared" si="1"/>
        <v>-</v>
      </c>
      <c r="AB45" s="389" t="str">
        <f t="shared" si="2"/>
        <v/>
      </c>
      <c r="AC45" s="390" t="str">
        <f t="shared" si="4"/>
        <v>-</v>
      </c>
    </row>
    <row r="46" spans="1:29" ht="15" customHeight="1" x14ac:dyDescent="0.25">
      <c r="B46" s="364"/>
      <c r="C46" s="47"/>
      <c r="D46" s="47"/>
      <c r="E46" s="47"/>
      <c r="F46" s="47"/>
      <c r="G46" s="47"/>
      <c r="H46" s="47"/>
      <c r="S46" s="345"/>
      <c r="T46" s="345"/>
      <c r="U46" s="345"/>
      <c r="V46" s="345"/>
      <c r="W46" s="345"/>
      <c r="X46" s="388">
        <f t="shared" si="3"/>
        <v>2.7083333333333326</v>
      </c>
      <c r="Y46" s="284" t="s">
        <v>638</v>
      </c>
      <c r="Z46" s="389" t="str">
        <f t="shared" si="0"/>
        <v/>
      </c>
      <c r="AA46" s="389" t="str">
        <f t="shared" si="1"/>
        <v>-</v>
      </c>
      <c r="AB46" s="389" t="str">
        <f t="shared" si="2"/>
        <v/>
      </c>
      <c r="AC46" s="390" t="str">
        <f t="shared" si="4"/>
        <v>-</v>
      </c>
    </row>
    <row r="47" spans="1:29" ht="16.5" customHeight="1" x14ac:dyDescent="0.25">
      <c r="A47" s="706" t="s">
        <v>724</v>
      </c>
      <c r="B47" s="706"/>
      <c r="C47" s="397" t="s">
        <v>720</v>
      </c>
      <c r="D47" s="314" t="s">
        <v>721</v>
      </c>
      <c r="E47" s="358"/>
      <c r="X47" s="388">
        <f t="shared" si="3"/>
        <v>2.7499999999999991</v>
      </c>
      <c r="Y47" s="284" t="s">
        <v>637</v>
      </c>
      <c r="Z47" s="389" t="str">
        <f t="shared" si="0"/>
        <v/>
      </c>
      <c r="AA47" s="389" t="str">
        <f t="shared" si="1"/>
        <v>-</v>
      </c>
      <c r="AB47" s="389" t="str">
        <f t="shared" si="2"/>
        <v/>
      </c>
      <c r="AC47" s="390" t="str">
        <f t="shared" si="4"/>
        <v>-</v>
      </c>
    </row>
    <row r="48" spans="1:29" ht="14.25" customHeight="1" x14ac:dyDescent="0.25">
      <c r="A48" s="706"/>
      <c r="B48" s="706"/>
      <c r="C48" s="398" t="s">
        <v>719</v>
      </c>
      <c r="D48" s="404">
        <v>0</v>
      </c>
      <c r="E48" s="360"/>
      <c r="F48" s="361"/>
      <c r="G48" s="361"/>
      <c r="H48" s="362"/>
      <c r="X48" s="388">
        <f t="shared" si="3"/>
        <v>2.7916666666666656</v>
      </c>
      <c r="Y48" s="284" t="s">
        <v>637</v>
      </c>
      <c r="Z48" s="389" t="str">
        <f t="shared" si="0"/>
        <v/>
      </c>
      <c r="AA48" s="389" t="str">
        <f t="shared" si="1"/>
        <v>-</v>
      </c>
      <c r="AB48" s="389" t="str">
        <f t="shared" si="2"/>
        <v/>
      </c>
      <c r="AC48" s="390" t="str">
        <f t="shared" si="4"/>
        <v>-</v>
      </c>
    </row>
    <row r="49" spans="1:29" x14ac:dyDescent="0.25">
      <c r="A49" s="706"/>
      <c r="B49" s="706"/>
      <c r="C49" s="399" t="s">
        <v>716</v>
      </c>
      <c r="D49" s="405">
        <v>1.8849999999999999E-2</v>
      </c>
      <c r="E49" s="360"/>
      <c r="F49" s="363"/>
      <c r="G49" s="363"/>
      <c r="H49" s="362"/>
      <c r="X49" s="388">
        <f t="shared" si="3"/>
        <v>2.8333333333333321</v>
      </c>
      <c r="Y49" s="284" t="s">
        <v>608</v>
      </c>
      <c r="Z49" s="389" t="str">
        <f t="shared" si="0"/>
        <v/>
      </c>
      <c r="AA49" s="389" t="str">
        <f t="shared" si="1"/>
        <v>-</v>
      </c>
      <c r="AB49" s="389" t="str">
        <f t="shared" si="2"/>
        <v/>
      </c>
      <c r="AC49" s="390" t="str">
        <f t="shared" si="4"/>
        <v>-</v>
      </c>
    </row>
    <row r="50" spans="1:29" x14ac:dyDescent="0.25">
      <c r="A50" s="706"/>
      <c r="B50" s="706"/>
      <c r="C50" s="400" t="s">
        <v>717</v>
      </c>
      <c r="D50" s="406">
        <v>4.4630000000000003E-2</v>
      </c>
      <c r="E50" s="360"/>
      <c r="F50" s="357"/>
      <c r="G50" s="357"/>
      <c r="H50" s="362"/>
      <c r="X50" s="388">
        <f t="shared" si="3"/>
        <v>2.8749999999999987</v>
      </c>
      <c r="Y50" s="284" t="s">
        <v>608</v>
      </c>
      <c r="Z50" s="389" t="str">
        <f t="shared" si="0"/>
        <v/>
      </c>
      <c r="AA50" s="389" t="str">
        <f t="shared" si="1"/>
        <v>-</v>
      </c>
      <c r="AB50" s="389" t="str">
        <f t="shared" si="2"/>
        <v/>
      </c>
      <c r="AC50" s="390" t="str">
        <f t="shared" si="4"/>
        <v>-</v>
      </c>
    </row>
    <row r="51" spans="1:29" x14ac:dyDescent="0.25">
      <c r="A51" s="706"/>
      <c r="B51" s="706"/>
      <c r="C51" s="401" t="s">
        <v>718</v>
      </c>
      <c r="D51" s="407">
        <v>7.8770000000000007E-2</v>
      </c>
      <c r="E51" s="360"/>
      <c r="F51" s="357"/>
      <c r="G51" s="357"/>
      <c r="H51" s="362"/>
      <c r="X51" s="388">
        <f t="shared" si="3"/>
        <v>2.9166666666666652</v>
      </c>
      <c r="Y51" s="284" t="s">
        <v>608</v>
      </c>
      <c r="Z51" s="389" t="str">
        <f t="shared" si="0"/>
        <v/>
      </c>
      <c r="AA51" s="389" t="str">
        <f t="shared" si="1"/>
        <v>-</v>
      </c>
      <c r="AB51" s="389" t="str">
        <f t="shared" si="2"/>
        <v/>
      </c>
      <c r="AC51" s="390" t="str">
        <f t="shared" si="4"/>
        <v>-</v>
      </c>
    </row>
    <row r="52" spans="1:29" x14ac:dyDescent="0.25">
      <c r="X52" s="388">
        <f t="shared" si="3"/>
        <v>2.9583333333333317</v>
      </c>
      <c r="Y52" s="284" t="s">
        <v>608</v>
      </c>
      <c r="Z52" s="389" t="str">
        <f t="shared" si="0"/>
        <v/>
      </c>
      <c r="AA52" s="389" t="str">
        <f t="shared" si="1"/>
        <v>-</v>
      </c>
      <c r="AB52" s="389" t="str">
        <f t="shared" si="2"/>
        <v/>
      </c>
      <c r="AC52" s="390" t="str">
        <f t="shared" si="4"/>
        <v>-</v>
      </c>
    </row>
    <row r="53" spans="1:29" x14ac:dyDescent="0.25">
      <c r="B53" s="364"/>
      <c r="C53" s="98"/>
      <c r="D53" s="359"/>
      <c r="E53" s="360"/>
      <c r="F53" s="357"/>
      <c r="G53" s="357"/>
      <c r="H53" s="362"/>
      <c r="X53" s="388">
        <f t="shared" si="3"/>
        <v>2.9999999999999982</v>
      </c>
      <c r="Y53" s="284" t="s">
        <v>608</v>
      </c>
      <c r="Z53" s="389" t="str">
        <f t="shared" si="0"/>
        <v/>
      </c>
      <c r="AA53" s="389" t="str">
        <f t="shared" si="1"/>
        <v>-</v>
      </c>
      <c r="AB53" s="389" t="str">
        <f t="shared" si="2"/>
        <v/>
      </c>
      <c r="AC53" s="390" t="str">
        <f t="shared" si="4"/>
        <v>-</v>
      </c>
    </row>
    <row r="54" spans="1:29" x14ac:dyDescent="0.25">
      <c r="B54" s="364"/>
      <c r="C54" s="98"/>
      <c r="D54" s="359"/>
      <c r="E54" s="360"/>
      <c r="F54" s="363"/>
      <c r="G54" s="363"/>
      <c r="H54" s="362"/>
      <c r="X54" s="388">
        <f t="shared" si="3"/>
        <v>3.0416666666666647</v>
      </c>
      <c r="Y54" s="284" t="s">
        <v>608</v>
      </c>
      <c r="Z54" s="389" t="str">
        <f t="shared" si="0"/>
        <v/>
      </c>
      <c r="AA54" s="389" t="str">
        <f t="shared" si="1"/>
        <v>-</v>
      </c>
      <c r="AB54" s="389" t="str">
        <f t="shared" si="2"/>
        <v/>
      </c>
      <c r="AC54" s="390" t="str">
        <f t="shared" si="4"/>
        <v>-</v>
      </c>
    </row>
    <row r="55" spans="1:29" x14ac:dyDescent="0.25">
      <c r="B55" s="364"/>
      <c r="C55" s="98"/>
      <c r="D55" s="359"/>
      <c r="E55" s="360"/>
      <c r="F55" s="363"/>
      <c r="G55" s="363"/>
      <c r="H55" s="362"/>
      <c r="X55" s="388">
        <f t="shared" si="3"/>
        <v>3.0833333333333313</v>
      </c>
      <c r="Y55" s="284" t="s">
        <v>608</v>
      </c>
      <c r="Z55" s="389" t="str">
        <f t="shared" si="0"/>
        <v/>
      </c>
      <c r="AA55" s="389" t="str">
        <f t="shared" si="1"/>
        <v>-</v>
      </c>
      <c r="AB55" s="389" t="str">
        <f t="shared" si="2"/>
        <v/>
      </c>
      <c r="AC55" s="390" t="str">
        <f t="shared" si="4"/>
        <v>-</v>
      </c>
    </row>
    <row r="56" spans="1:29" x14ac:dyDescent="0.25">
      <c r="B56" s="364"/>
      <c r="C56" s="41"/>
      <c r="D56" s="41"/>
      <c r="E56" s="41"/>
      <c r="F56" s="41"/>
      <c r="G56" s="41"/>
      <c r="H56" s="41"/>
      <c r="X56" s="388">
        <f t="shared" si="3"/>
        <v>3.1249999999999978</v>
      </c>
      <c r="Y56" s="284" t="s">
        <v>608</v>
      </c>
      <c r="Z56" s="389" t="str">
        <f t="shared" si="0"/>
        <v/>
      </c>
      <c r="AA56" s="389" t="str">
        <f t="shared" si="1"/>
        <v>-</v>
      </c>
      <c r="AB56" s="389" t="str">
        <f t="shared" si="2"/>
        <v/>
      </c>
      <c r="AC56" s="390" t="str">
        <f t="shared" si="4"/>
        <v>-</v>
      </c>
    </row>
    <row r="57" spans="1:29" x14ac:dyDescent="0.25">
      <c r="B57" s="364"/>
      <c r="X57" s="388">
        <f t="shared" si="3"/>
        <v>3.1666666666666643</v>
      </c>
      <c r="Y57" s="284" t="s">
        <v>608</v>
      </c>
      <c r="Z57" s="389" t="str">
        <f t="shared" si="0"/>
        <v/>
      </c>
      <c r="AA57" s="389" t="str">
        <f t="shared" si="1"/>
        <v>-</v>
      </c>
      <c r="AB57" s="389" t="str">
        <f t="shared" si="2"/>
        <v/>
      </c>
      <c r="AC57" s="390" t="str">
        <f t="shared" si="4"/>
        <v>-</v>
      </c>
    </row>
    <row r="58" spans="1:29" x14ac:dyDescent="0.25">
      <c r="B58" s="364"/>
      <c r="X58" s="388">
        <f t="shared" si="3"/>
        <v>3.2083333333333308</v>
      </c>
      <c r="Y58" s="284" t="s">
        <v>608</v>
      </c>
      <c r="Z58" s="389" t="str">
        <f t="shared" si="0"/>
        <v/>
      </c>
      <c r="AA58" s="389" t="str">
        <f t="shared" si="1"/>
        <v>-</v>
      </c>
      <c r="AB58" s="389" t="str">
        <f t="shared" si="2"/>
        <v/>
      </c>
      <c r="AC58" s="390" t="str">
        <f t="shared" si="4"/>
        <v>-</v>
      </c>
    </row>
    <row r="59" spans="1:29" x14ac:dyDescent="0.25">
      <c r="B59" s="364"/>
      <c r="X59" s="388">
        <f t="shared" si="3"/>
        <v>3.2499999999999973</v>
      </c>
      <c r="Y59" s="284" t="s">
        <v>608</v>
      </c>
      <c r="Z59" s="389" t="str">
        <f t="shared" si="0"/>
        <v/>
      </c>
      <c r="AA59" s="389" t="str">
        <f t="shared" si="1"/>
        <v>-</v>
      </c>
      <c r="AB59" s="389" t="str">
        <f t="shared" si="2"/>
        <v/>
      </c>
      <c r="AC59" s="390" t="str">
        <f t="shared" si="4"/>
        <v>-</v>
      </c>
    </row>
    <row r="60" spans="1:29" ht="15.75" x14ac:dyDescent="0.25">
      <c r="B60" s="364"/>
      <c r="S60" s="264"/>
      <c r="T60" s="264"/>
      <c r="U60" s="264"/>
      <c r="V60" s="264"/>
      <c r="W60" s="264"/>
      <c r="X60" s="388">
        <f t="shared" si="3"/>
        <v>3.2916666666666639</v>
      </c>
      <c r="Y60" s="284" t="s">
        <v>608</v>
      </c>
      <c r="Z60" s="389" t="str">
        <f t="shared" si="0"/>
        <v/>
      </c>
      <c r="AA60" s="389" t="str">
        <f t="shared" si="1"/>
        <v>-</v>
      </c>
      <c r="AB60" s="389" t="str">
        <f t="shared" si="2"/>
        <v/>
      </c>
      <c r="AC60" s="390" t="str">
        <f t="shared" si="4"/>
        <v>-</v>
      </c>
    </row>
    <row r="61" spans="1:29" ht="15.75" x14ac:dyDescent="0.25">
      <c r="S61" s="264"/>
      <c r="V61" s="344"/>
      <c r="W61" s="383"/>
      <c r="X61" s="388">
        <f t="shared" si="3"/>
        <v>3.3333333333333304</v>
      </c>
      <c r="Y61" s="284" t="s">
        <v>608</v>
      </c>
      <c r="Z61" s="389" t="str">
        <f t="shared" si="0"/>
        <v/>
      </c>
      <c r="AA61" s="389" t="str">
        <f t="shared" si="1"/>
        <v>-</v>
      </c>
      <c r="AB61" s="389" t="str">
        <f t="shared" si="2"/>
        <v/>
      </c>
      <c r="AC61" s="390" t="str">
        <f t="shared" si="4"/>
        <v>-</v>
      </c>
    </row>
    <row r="62" spans="1:29" ht="15.75" x14ac:dyDescent="0.25">
      <c r="S62" s="264"/>
      <c r="T62" s="264"/>
      <c r="U62" s="264"/>
      <c r="V62" s="264"/>
      <c r="W62" s="264"/>
      <c r="X62" s="388">
        <f t="shared" si="3"/>
        <v>3.3749999999999969</v>
      </c>
      <c r="Y62" s="284" t="s">
        <v>608</v>
      </c>
      <c r="Z62" s="389" t="str">
        <f t="shared" si="0"/>
        <v/>
      </c>
      <c r="AA62" s="389" t="str">
        <f t="shared" si="1"/>
        <v>-</v>
      </c>
      <c r="AB62" s="389" t="str">
        <f t="shared" si="2"/>
        <v/>
      </c>
      <c r="AC62" s="390" t="str">
        <f t="shared" si="4"/>
        <v>-</v>
      </c>
    </row>
    <row r="63" spans="1:29" ht="15.75" x14ac:dyDescent="0.25">
      <c r="S63" s="264"/>
      <c r="T63" s="264"/>
      <c r="U63" s="264"/>
      <c r="V63" s="264"/>
      <c r="W63" s="264"/>
      <c r="X63" s="388">
        <f t="shared" si="3"/>
        <v>3.4166666666666634</v>
      </c>
      <c r="Y63" s="284" t="s">
        <v>608</v>
      </c>
      <c r="Z63" s="389" t="str">
        <f t="shared" si="0"/>
        <v/>
      </c>
      <c r="AA63" s="389" t="str">
        <f t="shared" si="1"/>
        <v>-</v>
      </c>
      <c r="AB63" s="389" t="str">
        <f t="shared" si="2"/>
        <v/>
      </c>
      <c r="AC63" s="390" t="str">
        <f t="shared" si="4"/>
        <v>-</v>
      </c>
    </row>
    <row r="64" spans="1:29" ht="15.75" x14ac:dyDescent="0.25">
      <c r="S64" s="264"/>
      <c r="T64" s="264"/>
      <c r="U64" s="264"/>
      <c r="V64" s="264"/>
      <c r="W64" s="264"/>
      <c r="X64" s="388">
        <f t="shared" si="3"/>
        <v>3.4583333333333299</v>
      </c>
      <c r="Y64" s="284" t="s">
        <v>608</v>
      </c>
      <c r="Z64" s="389" t="str">
        <f t="shared" si="0"/>
        <v/>
      </c>
      <c r="AA64" s="389" t="str">
        <f t="shared" si="1"/>
        <v>-</v>
      </c>
      <c r="AB64" s="389" t="str">
        <f t="shared" si="2"/>
        <v/>
      </c>
      <c r="AC64" s="390" t="str">
        <f t="shared" si="4"/>
        <v>-</v>
      </c>
    </row>
    <row r="65" spans="9:29" ht="15.75" x14ac:dyDescent="0.25">
      <c r="I65" s="337"/>
      <c r="S65" s="264"/>
      <c r="T65" s="264"/>
      <c r="U65" s="264"/>
      <c r="V65" s="264"/>
      <c r="W65" s="264"/>
      <c r="X65" s="388">
        <f t="shared" si="3"/>
        <v>3.4999999999999964</v>
      </c>
      <c r="Y65" s="284" t="s">
        <v>608</v>
      </c>
      <c r="Z65" s="389" t="str">
        <f t="shared" si="0"/>
        <v/>
      </c>
      <c r="AA65" s="389" t="str">
        <f t="shared" si="1"/>
        <v>-</v>
      </c>
      <c r="AB65" s="389" t="str">
        <f t="shared" si="2"/>
        <v/>
      </c>
      <c r="AC65" s="390" t="str">
        <f t="shared" si="4"/>
        <v>-</v>
      </c>
    </row>
    <row r="66" spans="9:29" x14ac:dyDescent="0.25">
      <c r="S66" s="41"/>
      <c r="T66" s="41"/>
      <c r="U66" s="41"/>
      <c r="V66" s="41"/>
      <c r="W66" s="41"/>
      <c r="X66" s="388">
        <f t="shared" si="3"/>
        <v>3.541666666666663</v>
      </c>
      <c r="Y66" s="284" t="s">
        <v>608</v>
      </c>
      <c r="Z66" s="389" t="str">
        <f t="shared" si="0"/>
        <v/>
      </c>
      <c r="AA66" s="389" t="str">
        <f t="shared" si="1"/>
        <v>-</v>
      </c>
      <c r="AB66" s="389" t="str">
        <f t="shared" si="2"/>
        <v/>
      </c>
      <c r="AC66" s="390" t="str">
        <f t="shared" si="4"/>
        <v>-</v>
      </c>
    </row>
    <row r="67" spans="9:29" x14ac:dyDescent="0.25">
      <c r="X67" s="388">
        <f t="shared" si="3"/>
        <v>3.5833333333333295</v>
      </c>
      <c r="Y67" s="284" t="s">
        <v>608</v>
      </c>
      <c r="Z67" s="389" t="str">
        <f t="shared" si="0"/>
        <v/>
      </c>
      <c r="AA67" s="389" t="str">
        <f t="shared" si="1"/>
        <v>-</v>
      </c>
      <c r="AB67" s="389" t="str">
        <f t="shared" si="2"/>
        <v/>
      </c>
      <c r="AC67" s="390" t="str">
        <f t="shared" si="4"/>
        <v>-</v>
      </c>
    </row>
    <row r="68" spans="9:29" x14ac:dyDescent="0.25">
      <c r="X68" s="388">
        <f t="shared" si="3"/>
        <v>3.624999999999996</v>
      </c>
      <c r="Y68" s="284" t="s">
        <v>608</v>
      </c>
      <c r="Z68" s="389" t="str">
        <f t="shared" si="0"/>
        <v/>
      </c>
      <c r="AA68" s="389" t="str">
        <f t="shared" si="1"/>
        <v>-</v>
      </c>
      <c r="AB68" s="389" t="str">
        <f t="shared" si="2"/>
        <v/>
      </c>
      <c r="AC68" s="390" t="str">
        <f t="shared" si="4"/>
        <v>-</v>
      </c>
    </row>
    <row r="69" spans="9:29" ht="15.75" x14ac:dyDescent="0.25">
      <c r="S69" s="264"/>
      <c r="T69" s="264"/>
      <c r="U69" s="264"/>
      <c r="V69" s="264"/>
      <c r="W69" s="264"/>
      <c r="X69" s="388">
        <f t="shared" si="3"/>
        <v>3.6666666666666625</v>
      </c>
      <c r="Y69" s="284" t="s">
        <v>608</v>
      </c>
      <c r="Z69" s="389" t="str">
        <f t="shared" ref="Z69:Z132" si="7">IF(AND(X69&gt;=$V$27,X69&lt;$V$28),X69,"")</f>
        <v/>
      </c>
      <c r="AA69" s="389" t="str">
        <f t="shared" ref="AA69:AA132" si="8">IF(Z69=X69,Y69,"-")</f>
        <v>-</v>
      </c>
      <c r="AB69" s="389" t="str">
        <f t="shared" ref="AB69:AB132" si="9">IF(AND(X69&gt;=$V$29,X69&lt;$V$30),X69,"")</f>
        <v/>
      </c>
      <c r="AC69" s="390" t="str">
        <f t="shared" si="4"/>
        <v>-</v>
      </c>
    </row>
    <row r="70" spans="9:29" ht="15.75" x14ac:dyDescent="0.25">
      <c r="S70" s="264"/>
      <c r="T70" s="264"/>
      <c r="U70" s="264"/>
      <c r="V70" s="264"/>
      <c r="W70" s="264"/>
      <c r="X70" s="388">
        <f t="shared" ref="X70:X133" si="10">X69+$AA$2</f>
        <v>3.708333333333329</v>
      </c>
      <c r="Y70" s="284" t="s">
        <v>608</v>
      </c>
      <c r="Z70" s="389" t="str">
        <f t="shared" si="7"/>
        <v/>
      </c>
      <c r="AA70" s="389" t="str">
        <f t="shared" si="8"/>
        <v>-</v>
      </c>
      <c r="AB70" s="389" t="str">
        <f t="shared" si="9"/>
        <v/>
      </c>
      <c r="AC70" s="390" t="str">
        <f t="shared" ref="AC70:AC133" si="11">IF(AB70=X70,Y70,"-")</f>
        <v>-</v>
      </c>
    </row>
    <row r="71" spans="9:29" x14ac:dyDescent="0.25">
      <c r="S71" s="349"/>
      <c r="T71" s="349"/>
      <c r="U71" s="349"/>
      <c r="V71" s="349"/>
      <c r="W71" s="349"/>
      <c r="X71" s="388">
        <f t="shared" si="10"/>
        <v>3.7499999999999956</v>
      </c>
      <c r="Y71" s="284" t="s">
        <v>608</v>
      </c>
      <c r="Z71" s="389" t="str">
        <f t="shared" si="7"/>
        <v/>
      </c>
      <c r="AA71" s="389" t="str">
        <f t="shared" si="8"/>
        <v>-</v>
      </c>
      <c r="AB71" s="389" t="str">
        <f t="shared" si="9"/>
        <v/>
      </c>
      <c r="AC71" s="390" t="str">
        <f t="shared" si="11"/>
        <v>-</v>
      </c>
    </row>
    <row r="72" spans="9:29" x14ac:dyDescent="0.25">
      <c r="S72" s="349"/>
      <c r="T72" s="349"/>
      <c r="U72" s="349"/>
      <c r="V72" s="349"/>
      <c r="W72" s="349"/>
      <c r="X72" s="388">
        <f t="shared" si="10"/>
        <v>3.7916666666666621</v>
      </c>
      <c r="Y72" s="284" t="s">
        <v>608</v>
      </c>
      <c r="Z72" s="389" t="str">
        <f t="shared" si="7"/>
        <v/>
      </c>
      <c r="AA72" s="389" t="str">
        <f t="shared" si="8"/>
        <v>-</v>
      </c>
      <c r="AB72" s="389" t="str">
        <f t="shared" si="9"/>
        <v/>
      </c>
      <c r="AC72" s="390" t="str">
        <f t="shared" si="11"/>
        <v>-</v>
      </c>
    </row>
    <row r="73" spans="9:29" x14ac:dyDescent="0.25">
      <c r="S73" s="350"/>
      <c r="T73" s="350"/>
      <c r="U73" s="350"/>
      <c r="V73" s="350"/>
      <c r="W73" s="350"/>
      <c r="X73" s="388">
        <f t="shared" si="10"/>
        <v>3.8333333333333286</v>
      </c>
      <c r="Y73" s="284" t="s">
        <v>608</v>
      </c>
      <c r="Z73" s="389" t="str">
        <f t="shared" si="7"/>
        <v/>
      </c>
      <c r="AA73" s="389" t="str">
        <f t="shared" si="8"/>
        <v>-</v>
      </c>
      <c r="AB73" s="389" t="str">
        <f t="shared" si="9"/>
        <v/>
      </c>
      <c r="AC73" s="390" t="str">
        <f t="shared" si="11"/>
        <v>-</v>
      </c>
    </row>
    <row r="74" spans="9:29" x14ac:dyDescent="0.25">
      <c r="S74" s="350"/>
      <c r="T74" s="350"/>
      <c r="U74" s="350"/>
      <c r="V74" s="350"/>
      <c r="W74" s="350"/>
      <c r="X74" s="388">
        <f t="shared" si="10"/>
        <v>3.8749999999999951</v>
      </c>
      <c r="Y74" s="284" t="s">
        <v>608</v>
      </c>
      <c r="Z74" s="389" t="str">
        <f t="shared" si="7"/>
        <v/>
      </c>
      <c r="AA74" s="389" t="str">
        <f t="shared" si="8"/>
        <v>-</v>
      </c>
      <c r="AB74" s="389" t="str">
        <f t="shared" si="9"/>
        <v/>
      </c>
      <c r="AC74" s="390" t="str">
        <f t="shared" si="11"/>
        <v>-</v>
      </c>
    </row>
    <row r="75" spans="9:29" x14ac:dyDescent="0.25">
      <c r="S75" s="47"/>
      <c r="T75" s="47"/>
      <c r="U75" s="47"/>
      <c r="V75" s="47"/>
      <c r="W75" s="47"/>
      <c r="X75" s="388">
        <f t="shared" si="10"/>
        <v>3.9166666666666616</v>
      </c>
      <c r="Y75" s="284" t="s">
        <v>608</v>
      </c>
      <c r="Z75" s="389" t="str">
        <f t="shared" si="7"/>
        <v/>
      </c>
      <c r="AA75" s="389" t="str">
        <f t="shared" si="8"/>
        <v>-</v>
      </c>
      <c r="AB75" s="389" t="str">
        <f t="shared" si="9"/>
        <v/>
      </c>
      <c r="AC75" s="390" t="str">
        <f t="shared" si="11"/>
        <v>-</v>
      </c>
    </row>
    <row r="76" spans="9:29" x14ac:dyDescent="0.25">
      <c r="S76" s="351"/>
      <c r="T76" s="47"/>
      <c r="U76" s="47"/>
      <c r="V76" s="47"/>
      <c r="W76" s="47"/>
      <c r="X76" s="388">
        <f t="shared" si="10"/>
        <v>3.9583333333333282</v>
      </c>
      <c r="Y76" s="284" t="s">
        <v>608</v>
      </c>
      <c r="Z76" s="389" t="str">
        <f t="shared" si="7"/>
        <v/>
      </c>
      <c r="AA76" s="389" t="str">
        <f t="shared" si="8"/>
        <v>-</v>
      </c>
      <c r="AB76" s="389" t="str">
        <f t="shared" si="9"/>
        <v/>
      </c>
      <c r="AC76" s="390" t="str">
        <f t="shared" si="11"/>
        <v>-</v>
      </c>
    </row>
    <row r="77" spans="9:29" x14ac:dyDescent="0.25">
      <c r="P77" s="342" t="s">
        <v>691</v>
      </c>
      <c r="Q77" s="343"/>
      <c r="R77" s="343"/>
      <c r="X77" s="388">
        <f t="shared" si="10"/>
        <v>3.9999999999999947</v>
      </c>
      <c r="Y77" s="284" t="s">
        <v>608</v>
      </c>
      <c r="Z77" s="389" t="str">
        <f t="shared" si="7"/>
        <v/>
      </c>
      <c r="AA77" s="389" t="str">
        <f t="shared" si="8"/>
        <v>-</v>
      </c>
      <c r="AB77" s="389" t="str">
        <f t="shared" si="9"/>
        <v/>
      </c>
      <c r="AC77" s="390" t="str">
        <f t="shared" si="11"/>
        <v>-</v>
      </c>
    </row>
    <row r="78" spans="9:29" x14ac:dyDescent="0.25">
      <c r="S78" s="346"/>
      <c r="T78" s="346"/>
      <c r="U78" s="346"/>
      <c r="V78" s="346"/>
      <c r="W78" s="346"/>
      <c r="X78" s="388">
        <f t="shared" si="10"/>
        <v>4.0416666666666616</v>
      </c>
      <c r="Y78" s="284" t="s">
        <v>608</v>
      </c>
      <c r="Z78" s="389" t="str">
        <f t="shared" si="7"/>
        <v/>
      </c>
      <c r="AA78" s="389" t="str">
        <f t="shared" si="8"/>
        <v>-</v>
      </c>
      <c r="AB78" s="389" t="str">
        <f t="shared" si="9"/>
        <v/>
      </c>
      <c r="AC78" s="390" t="str">
        <f t="shared" si="11"/>
        <v>-</v>
      </c>
    </row>
    <row r="79" spans="9:29" x14ac:dyDescent="0.25">
      <c r="S79" s="347"/>
      <c r="T79" s="347"/>
      <c r="U79" s="347"/>
      <c r="V79" s="347"/>
      <c r="W79" s="347"/>
      <c r="X79" s="388">
        <f t="shared" si="10"/>
        <v>4.0833333333333286</v>
      </c>
      <c r="Y79" s="284" t="s">
        <v>608</v>
      </c>
      <c r="Z79" s="389" t="str">
        <f t="shared" si="7"/>
        <v/>
      </c>
      <c r="AA79" s="389" t="str">
        <f t="shared" si="8"/>
        <v>-</v>
      </c>
      <c r="AB79" s="389" t="str">
        <f t="shared" si="9"/>
        <v/>
      </c>
      <c r="AC79" s="390" t="str">
        <f t="shared" si="11"/>
        <v>-</v>
      </c>
    </row>
    <row r="80" spans="9:29" x14ac:dyDescent="0.25">
      <c r="S80" s="347"/>
      <c r="T80" s="347"/>
      <c r="U80" s="347"/>
      <c r="V80" s="347"/>
      <c r="W80" s="347"/>
      <c r="X80" s="388">
        <f t="shared" si="10"/>
        <v>4.1249999999999956</v>
      </c>
      <c r="Y80" s="284" t="s">
        <v>608</v>
      </c>
      <c r="Z80" s="389" t="str">
        <f t="shared" si="7"/>
        <v/>
      </c>
      <c r="AA80" s="389" t="str">
        <f t="shared" si="8"/>
        <v>-</v>
      </c>
      <c r="AB80" s="389" t="str">
        <f t="shared" si="9"/>
        <v/>
      </c>
      <c r="AC80" s="390" t="str">
        <f t="shared" si="11"/>
        <v>-</v>
      </c>
    </row>
    <row r="81" spans="19:29" x14ac:dyDescent="0.25">
      <c r="S81" s="347"/>
      <c r="T81" s="347"/>
      <c r="U81" s="347"/>
      <c r="V81" s="347"/>
      <c r="W81" s="347"/>
      <c r="X81" s="388">
        <f t="shared" si="10"/>
        <v>4.1666666666666625</v>
      </c>
      <c r="Y81" s="284" t="s">
        <v>608</v>
      </c>
      <c r="Z81" s="389" t="str">
        <f t="shared" si="7"/>
        <v/>
      </c>
      <c r="AA81" s="389" t="str">
        <f t="shared" si="8"/>
        <v>-</v>
      </c>
      <c r="AB81" s="389" t="str">
        <f t="shared" si="9"/>
        <v/>
      </c>
      <c r="AC81" s="390" t="str">
        <f t="shared" si="11"/>
        <v>-</v>
      </c>
    </row>
    <row r="82" spans="19:29" x14ac:dyDescent="0.25">
      <c r="X82" s="388">
        <f t="shared" si="10"/>
        <v>4.2083333333333295</v>
      </c>
      <c r="Y82" s="284" t="s">
        <v>608</v>
      </c>
      <c r="Z82" s="389" t="str">
        <f t="shared" si="7"/>
        <v/>
      </c>
      <c r="AA82" s="389" t="str">
        <f t="shared" si="8"/>
        <v>-</v>
      </c>
      <c r="AB82" s="389" t="str">
        <f t="shared" si="9"/>
        <v/>
      </c>
      <c r="AC82" s="390" t="str">
        <f t="shared" si="11"/>
        <v>-</v>
      </c>
    </row>
    <row r="83" spans="19:29" x14ac:dyDescent="0.25">
      <c r="X83" s="388">
        <f t="shared" si="10"/>
        <v>4.2499999999999964</v>
      </c>
      <c r="Y83" s="284" t="s">
        <v>608</v>
      </c>
      <c r="Z83" s="389" t="str">
        <f t="shared" si="7"/>
        <v/>
      </c>
      <c r="AA83" s="389" t="str">
        <f t="shared" si="8"/>
        <v>-</v>
      </c>
      <c r="AB83" s="389" t="str">
        <f t="shared" si="9"/>
        <v/>
      </c>
      <c r="AC83" s="390" t="str">
        <f t="shared" si="11"/>
        <v>-</v>
      </c>
    </row>
    <row r="84" spans="19:29" x14ac:dyDescent="0.25">
      <c r="X84" s="388">
        <f t="shared" si="10"/>
        <v>4.2916666666666634</v>
      </c>
      <c r="Y84" s="284" t="s">
        <v>608</v>
      </c>
      <c r="Z84" s="389" t="str">
        <f t="shared" si="7"/>
        <v/>
      </c>
      <c r="AA84" s="389" t="str">
        <f t="shared" si="8"/>
        <v>-</v>
      </c>
      <c r="AB84" s="389" t="str">
        <f t="shared" si="9"/>
        <v/>
      </c>
      <c r="AC84" s="390" t="str">
        <f t="shared" si="11"/>
        <v>-</v>
      </c>
    </row>
    <row r="85" spans="19:29" x14ac:dyDescent="0.25">
      <c r="X85" s="388">
        <f t="shared" si="10"/>
        <v>4.3333333333333304</v>
      </c>
      <c r="Y85" s="284" t="s">
        <v>608</v>
      </c>
      <c r="Z85" s="389" t="str">
        <f t="shared" si="7"/>
        <v/>
      </c>
      <c r="AA85" s="389" t="str">
        <f t="shared" si="8"/>
        <v>-</v>
      </c>
      <c r="AB85" s="389" t="str">
        <f t="shared" si="9"/>
        <v/>
      </c>
      <c r="AC85" s="390" t="str">
        <f t="shared" si="11"/>
        <v>-</v>
      </c>
    </row>
    <row r="86" spans="19:29" x14ac:dyDescent="0.25">
      <c r="X86" s="388">
        <f t="shared" si="10"/>
        <v>4.3749999999999973</v>
      </c>
      <c r="Y86" s="284" t="s">
        <v>608</v>
      </c>
      <c r="Z86" s="389" t="str">
        <f t="shared" si="7"/>
        <v/>
      </c>
      <c r="AA86" s="389" t="str">
        <f t="shared" si="8"/>
        <v>-</v>
      </c>
      <c r="AB86" s="389" t="str">
        <f t="shared" si="9"/>
        <v/>
      </c>
      <c r="AC86" s="390" t="str">
        <f t="shared" si="11"/>
        <v>-</v>
      </c>
    </row>
    <row r="87" spans="19:29" x14ac:dyDescent="0.25">
      <c r="X87" s="388">
        <f t="shared" si="10"/>
        <v>4.4166666666666643</v>
      </c>
      <c r="Y87" s="284" t="s">
        <v>608</v>
      </c>
      <c r="Z87" s="389" t="str">
        <f t="shared" si="7"/>
        <v/>
      </c>
      <c r="AA87" s="389" t="str">
        <f t="shared" si="8"/>
        <v>-</v>
      </c>
      <c r="AB87" s="389" t="str">
        <f t="shared" si="9"/>
        <v/>
      </c>
      <c r="AC87" s="390" t="str">
        <f t="shared" si="11"/>
        <v>-</v>
      </c>
    </row>
    <row r="88" spans="19:29" x14ac:dyDescent="0.25">
      <c r="X88" s="388">
        <f t="shared" si="10"/>
        <v>4.4583333333333313</v>
      </c>
      <c r="Y88" s="284" t="s">
        <v>608</v>
      </c>
      <c r="Z88" s="389" t="str">
        <f t="shared" si="7"/>
        <v/>
      </c>
      <c r="AA88" s="389" t="str">
        <f t="shared" si="8"/>
        <v>-</v>
      </c>
      <c r="AB88" s="389" t="str">
        <f t="shared" si="9"/>
        <v/>
      </c>
      <c r="AC88" s="390" t="str">
        <f t="shared" si="11"/>
        <v>-</v>
      </c>
    </row>
    <row r="89" spans="19:29" x14ac:dyDescent="0.25">
      <c r="X89" s="388">
        <f t="shared" si="10"/>
        <v>4.4999999999999982</v>
      </c>
      <c r="Y89" s="284" t="s">
        <v>608</v>
      </c>
      <c r="Z89" s="389" t="str">
        <f t="shared" si="7"/>
        <v/>
      </c>
      <c r="AA89" s="389" t="str">
        <f t="shared" si="8"/>
        <v>-</v>
      </c>
      <c r="AB89" s="389" t="str">
        <f t="shared" si="9"/>
        <v/>
      </c>
      <c r="AC89" s="390" t="str">
        <f t="shared" si="11"/>
        <v>-</v>
      </c>
    </row>
    <row r="90" spans="19:29" x14ac:dyDescent="0.25">
      <c r="X90" s="388">
        <f t="shared" si="10"/>
        <v>4.5416666666666652</v>
      </c>
      <c r="Y90" s="284" t="s">
        <v>608</v>
      </c>
      <c r="Z90" s="389" t="str">
        <f t="shared" si="7"/>
        <v/>
      </c>
      <c r="AA90" s="389" t="str">
        <f t="shared" si="8"/>
        <v>-</v>
      </c>
      <c r="AB90" s="389" t="str">
        <f t="shared" si="9"/>
        <v/>
      </c>
      <c r="AC90" s="390" t="str">
        <f t="shared" si="11"/>
        <v>-</v>
      </c>
    </row>
    <row r="91" spans="19:29" x14ac:dyDescent="0.25">
      <c r="X91" s="388">
        <f t="shared" si="10"/>
        <v>4.5833333333333321</v>
      </c>
      <c r="Y91" s="284" t="s">
        <v>608</v>
      </c>
      <c r="Z91" s="389" t="str">
        <f t="shared" si="7"/>
        <v/>
      </c>
      <c r="AA91" s="389" t="str">
        <f t="shared" si="8"/>
        <v>-</v>
      </c>
      <c r="AB91" s="389" t="str">
        <f t="shared" si="9"/>
        <v/>
      </c>
      <c r="AC91" s="390" t="str">
        <f t="shared" si="11"/>
        <v>-</v>
      </c>
    </row>
    <row r="92" spans="19:29" x14ac:dyDescent="0.25">
      <c r="X92" s="388">
        <f t="shared" si="10"/>
        <v>4.6249999999999991</v>
      </c>
      <c r="Y92" s="284" t="s">
        <v>608</v>
      </c>
      <c r="Z92" s="389" t="str">
        <f t="shared" si="7"/>
        <v/>
      </c>
      <c r="AA92" s="389" t="str">
        <f t="shared" si="8"/>
        <v>-</v>
      </c>
      <c r="AB92" s="389" t="str">
        <f t="shared" si="9"/>
        <v/>
      </c>
      <c r="AC92" s="390" t="str">
        <f t="shared" si="11"/>
        <v>-</v>
      </c>
    </row>
    <row r="93" spans="19:29" x14ac:dyDescent="0.25">
      <c r="X93" s="388">
        <f t="shared" si="10"/>
        <v>4.6666666666666661</v>
      </c>
      <c r="Y93" s="284" t="s">
        <v>608</v>
      </c>
      <c r="Z93" s="389" t="str">
        <f t="shared" si="7"/>
        <v/>
      </c>
      <c r="AA93" s="389" t="str">
        <f t="shared" si="8"/>
        <v>-</v>
      </c>
      <c r="AB93" s="389" t="str">
        <f t="shared" si="9"/>
        <v/>
      </c>
      <c r="AC93" s="390" t="str">
        <f t="shared" si="11"/>
        <v>-</v>
      </c>
    </row>
    <row r="94" spans="19:29" x14ac:dyDescent="0.25">
      <c r="X94" s="388">
        <f t="shared" si="10"/>
        <v>4.708333333333333</v>
      </c>
      <c r="Y94" s="284" t="s">
        <v>608</v>
      </c>
      <c r="Z94" s="389" t="str">
        <f t="shared" si="7"/>
        <v/>
      </c>
      <c r="AA94" s="389" t="str">
        <f t="shared" si="8"/>
        <v>-</v>
      </c>
      <c r="AB94" s="389" t="str">
        <f t="shared" si="9"/>
        <v/>
      </c>
      <c r="AC94" s="390" t="str">
        <f t="shared" si="11"/>
        <v>-</v>
      </c>
    </row>
    <row r="95" spans="19:29" x14ac:dyDescent="0.25">
      <c r="X95" s="388">
        <f t="shared" si="10"/>
        <v>4.75</v>
      </c>
      <c r="Y95" s="284" t="s">
        <v>608</v>
      </c>
      <c r="Z95" s="389" t="str">
        <f t="shared" si="7"/>
        <v/>
      </c>
      <c r="AA95" s="389" t="str">
        <f t="shared" si="8"/>
        <v>-</v>
      </c>
      <c r="AB95" s="389" t="str">
        <f t="shared" si="9"/>
        <v/>
      </c>
      <c r="AC95" s="390" t="str">
        <f t="shared" si="11"/>
        <v>-</v>
      </c>
    </row>
    <row r="96" spans="19:29" x14ac:dyDescent="0.25">
      <c r="X96" s="388">
        <f t="shared" si="10"/>
        <v>4.791666666666667</v>
      </c>
      <c r="Y96" s="284" t="s">
        <v>608</v>
      </c>
      <c r="Z96" s="389" t="str">
        <f t="shared" si="7"/>
        <v/>
      </c>
      <c r="AA96" s="389" t="str">
        <f t="shared" si="8"/>
        <v>-</v>
      </c>
      <c r="AB96" s="389" t="str">
        <f t="shared" si="9"/>
        <v/>
      </c>
      <c r="AC96" s="390" t="str">
        <f t="shared" si="11"/>
        <v>-</v>
      </c>
    </row>
    <row r="97" spans="24:29" x14ac:dyDescent="0.25">
      <c r="X97" s="388">
        <f t="shared" si="10"/>
        <v>4.8333333333333339</v>
      </c>
      <c r="Y97" s="284" t="s">
        <v>608</v>
      </c>
      <c r="Z97" s="389" t="str">
        <f t="shared" si="7"/>
        <v/>
      </c>
      <c r="AA97" s="389" t="str">
        <f t="shared" si="8"/>
        <v>-</v>
      </c>
      <c r="AB97" s="389" t="str">
        <f t="shared" si="9"/>
        <v/>
      </c>
      <c r="AC97" s="390" t="str">
        <f t="shared" si="11"/>
        <v>-</v>
      </c>
    </row>
    <row r="98" spans="24:29" x14ac:dyDescent="0.25">
      <c r="X98" s="388">
        <f t="shared" si="10"/>
        <v>4.8750000000000009</v>
      </c>
      <c r="Y98" s="284" t="s">
        <v>608</v>
      </c>
      <c r="Z98" s="389" t="str">
        <f t="shared" si="7"/>
        <v/>
      </c>
      <c r="AA98" s="389" t="str">
        <f t="shared" si="8"/>
        <v>-</v>
      </c>
      <c r="AB98" s="389" t="str">
        <f t="shared" si="9"/>
        <v/>
      </c>
      <c r="AC98" s="390" t="str">
        <f t="shared" si="11"/>
        <v>-</v>
      </c>
    </row>
    <row r="99" spans="24:29" x14ac:dyDescent="0.25">
      <c r="X99" s="388">
        <f t="shared" si="10"/>
        <v>4.9166666666666679</v>
      </c>
      <c r="Y99" s="284" t="s">
        <v>608</v>
      </c>
      <c r="Z99" s="389" t="str">
        <f t="shared" si="7"/>
        <v/>
      </c>
      <c r="AA99" s="389" t="str">
        <f t="shared" si="8"/>
        <v>-</v>
      </c>
      <c r="AB99" s="389" t="str">
        <f t="shared" si="9"/>
        <v/>
      </c>
      <c r="AC99" s="390" t="str">
        <f t="shared" si="11"/>
        <v>-</v>
      </c>
    </row>
    <row r="100" spans="24:29" x14ac:dyDescent="0.25">
      <c r="X100" s="388">
        <f t="shared" si="10"/>
        <v>4.9583333333333348</v>
      </c>
      <c r="Y100" s="284" t="s">
        <v>608</v>
      </c>
      <c r="Z100" s="389" t="str">
        <f t="shared" si="7"/>
        <v/>
      </c>
      <c r="AA100" s="389" t="str">
        <f t="shared" si="8"/>
        <v>-</v>
      </c>
      <c r="AB100" s="389" t="str">
        <f t="shared" si="9"/>
        <v/>
      </c>
      <c r="AC100" s="390" t="str">
        <f t="shared" si="11"/>
        <v>-</v>
      </c>
    </row>
    <row r="101" spans="24:29" x14ac:dyDescent="0.25">
      <c r="X101" s="388">
        <f t="shared" si="10"/>
        <v>5.0000000000000018</v>
      </c>
      <c r="Y101" s="284" t="s">
        <v>608</v>
      </c>
      <c r="Z101" s="389" t="str">
        <f t="shared" si="7"/>
        <v/>
      </c>
      <c r="AA101" s="389" t="str">
        <f t="shared" si="8"/>
        <v>-</v>
      </c>
      <c r="AB101" s="389" t="str">
        <f t="shared" si="9"/>
        <v/>
      </c>
      <c r="AC101" s="390" t="str">
        <f t="shared" si="11"/>
        <v>-</v>
      </c>
    </row>
    <row r="102" spans="24:29" x14ac:dyDescent="0.25">
      <c r="X102" s="388">
        <f t="shared" si="10"/>
        <v>5.0416666666666687</v>
      </c>
      <c r="Y102" s="284" t="s">
        <v>608</v>
      </c>
      <c r="Z102" s="389" t="str">
        <f t="shared" si="7"/>
        <v/>
      </c>
      <c r="AA102" s="389" t="str">
        <f t="shared" si="8"/>
        <v>-</v>
      </c>
      <c r="AB102" s="389" t="str">
        <f t="shared" si="9"/>
        <v/>
      </c>
      <c r="AC102" s="390" t="str">
        <f t="shared" si="11"/>
        <v>-</v>
      </c>
    </row>
    <row r="103" spans="24:29" x14ac:dyDescent="0.25">
      <c r="X103" s="388">
        <f t="shared" si="10"/>
        <v>5.0833333333333357</v>
      </c>
      <c r="Y103" s="284" t="s">
        <v>608</v>
      </c>
      <c r="Z103" s="389" t="str">
        <f t="shared" si="7"/>
        <v/>
      </c>
      <c r="AA103" s="389" t="str">
        <f t="shared" si="8"/>
        <v>-</v>
      </c>
      <c r="AB103" s="389" t="str">
        <f t="shared" si="9"/>
        <v/>
      </c>
      <c r="AC103" s="390" t="str">
        <f t="shared" si="11"/>
        <v>-</v>
      </c>
    </row>
    <row r="104" spans="24:29" x14ac:dyDescent="0.25">
      <c r="X104" s="388">
        <f t="shared" si="10"/>
        <v>5.1250000000000027</v>
      </c>
      <c r="Y104" s="284" t="s">
        <v>608</v>
      </c>
      <c r="Z104" s="389" t="str">
        <f t="shared" si="7"/>
        <v/>
      </c>
      <c r="AA104" s="389" t="str">
        <f t="shared" si="8"/>
        <v>-</v>
      </c>
      <c r="AB104" s="389" t="str">
        <f t="shared" si="9"/>
        <v/>
      </c>
      <c r="AC104" s="390" t="str">
        <f t="shared" si="11"/>
        <v>-</v>
      </c>
    </row>
    <row r="105" spans="24:29" x14ac:dyDescent="0.25">
      <c r="X105" s="388">
        <f t="shared" si="10"/>
        <v>5.1666666666666696</v>
      </c>
      <c r="Y105" s="284" t="s">
        <v>608</v>
      </c>
      <c r="Z105" s="389" t="str">
        <f t="shared" si="7"/>
        <v/>
      </c>
      <c r="AA105" s="389" t="str">
        <f t="shared" si="8"/>
        <v>-</v>
      </c>
      <c r="AB105" s="389" t="str">
        <f t="shared" si="9"/>
        <v/>
      </c>
      <c r="AC105" s="390" t="str">
        <f t="shared" si="11"/>
        <v>-</v>
      </c>
    </row>
    <row r="106" spans="24:29" x14ac:dyDescent="0.25">
      <c r="X106" s="388">
        <f t="shared" si="10"/>
        <v>5.2083333333333366</v>
      </c>
      <c r="Y106" s="284" t="s">
        <v>608</v>
      </c>
      <c r="Z106" s="389" t="str">
        <f t="shared" si="7"/>
        <v/>
      </c>
      <c r="AA106" s="389" t="str">
        <f t="shared" si="8"/>
        <v>-</v>
      </c>
      <c r="AB106" s="389" t="str">
        <f t="shared" si="9"/>
        <v/>
      </c>
      <c r="AC106" s="390" t="str">
        <f t="shared" si="11"/>
        <v>-</v>
      </c>
    </row>
    <row r="107" spans="24:29" x14ac:dyDescent="0.25">
      <c r="X107" s="388">
        <f t="shared" si="10"/>
        <v>5.2500000000000036</v>
      </c>
      <c r="Y107" s="284" t="s">
        <v>608</v>
      </c>
      <c r="Z107" s="389" t="str">
        <f t="shared" si="7"/>
        <v/>
      </c>
      <c r="AA107" s="389" t="str">
        <f t="shared" si="8"/>
        <v>-</v>
      </c>
      <c r="AB107" s="389" t="str">
        <f t="shared" si="9"/>
        <v/>
      </c>
      <c r="AC107" s="390" t="str">
        <f t="shared" si="11"/>
        <v>-</v>
      </c>
    </row>
    <row r="108" spans="24:29" x14ac:dyDescent="0.25">
      <c r="X108" s="388">
        <f t="shared" si="10"/>
        <v>5.2916666666666705</v>
      </c>
      <c r="Y108" s="284" t="s">
        <v>608</v>
      </c>
      <c r="Z108" s="389" t="str">
        <f t="shared" si="7"/>
        <v/>
      </c>
      <c r="AA108" s="389" t="str">
        <f t="shared" si="8"/>
        <v>-</v>
      </c>
      <c r="AB108" s="389" t="str">
        <f t="shared" si="9"/>
        <v/>
      </c>
      <c r="AC108" s="390" t="str">
        <f t="shared" si="11"/>
        <v>-</v>
      </c>
    </row>
    <row r="109" spans="24:29" x14ac:dyDescent="0.25">
      <c r="X109" s="388">
        <f t="shared" si="10"/>
        <v>5.3333333333333375</v>
      </c>
      <c r="Y109" s="284" t="s">
        <v>608</v>
      </c>
      <c r="Z109" s="389" t="str">
        <f t="shared" si="7"/>
        <v/>
      </c>
      <c r="AA109" s="389" t="str">
        <f t="shared" si="8"/>
        <v>-</v>
      </c>
      <c r="AB109" s="389" t="str">
        <f t="shared" si="9"/>
        <v/>
      </c>
      <c r="AC109" s="390" t="str">
        <f t="shared" si="11"/>
        <v>-</v>
      </c>
    </row>
    <row r="110" spans="24:29" x14ac:dyDescent="0.25">
      <c r="X110" s="388">
        <f t="shared" si="10"/>
        <v>5.3750000000000044</v>
      </c>
      <c r="Y110" s="284" t="s">
        <v>608</v>
      </c>
      <c r="Z110" s="389" t="str">
        <f t="shared" si="7"/>
        <v/>
      </c>
      <c r="AA110" s="389" t="str">
        <f t="shared" si="8"/>
        <v>-</v>
      </c>
      <c r="AB110" s="389" t="str">
        <f t="shared" si="9"/>
        <v/>
      </c>
      <c r="AC110" s="390" t="str">
        <f t="shared" si="11"/>
        <v>-</v>
      </c>
    </row>
    <row r="111" spans="24:29" x14ac:dyDescent="0.25">
      <c r="X111" s="388">
        <f t="shared" si="10"/>
        <v>5.4166666666666714</v>
      </c>
      <c r="Y111" s="284" t="s">
        <v>608</v>
      </c>
      <c r="Z111" s="389" t="str">
        <f t="shared" si="7"/>
        <v/>
      </c>
      <c r="AA111" s="389" t="str">
        <f t="shared" si="8"/>
        <v>-</v>
      </c>
      <c r="AB111" s="389" t="str">
        <f t="shared" si="9"/>
        <v/>
      </c>
      <c r="AC111" s="390" t="str">
        <f t="shared" si="11"/>
        <v>-</v>
      </c>
    </row>
    <row r="112" spans="24:29" x14ac:dyDescent="0.25">
      <c r="X112" s="388">
        <f t="shared" si="10"/>
        <v>5.4583333333333384</v>
      </c>
      <c r="Y112" s="284" t="s">
        <v>608</v>
      </c>
      <c r="Z112" s="389" t="str">
        <f t="shared" si="7"/>
        <v/>
      </c>
      <c r="AA112" s="389" t="str">
        <f t="shared" si="8"/>
        <v>-</v>
      </c>
      <c r="AB112" s="389" t="str">
        <f t="shared" si="9"/>
        <v/>
      </c>
      <c r="AC112" s="390" t="str">
        <f t="shared" si="11"/>
        <v>-</v>
      </c>
    </row>
    <row r="113" spans="24:29" x14ac:dyDescent="0.25">
      <c r="X113" s="388">
        <f t="shared" si="10"/>
        <v>5.5000000000000053</v>
      </c>
      <c r="Y113" s="284" t="s">
        <v>608</v>
      </c>
      <c r="Z113" s="389" t="str">
        <f t="shared" si="7"/>
        <v/>
      </c>
      <c r="AA113" s="389" t="str">
        <f t="shared" si="8"/>
        <v>-</v>
      </c>
      <c r="AB113" s="389" t="str">
        <f t="shared" si="9"/>
        <v/>
      </c>
      <c r="AC113" s="390" t="str">
        <f t="shared" si="11"/>
        <v>-</v>
      </c>
    </row>
    <row r="114" spans="24:29" x14ac:dyDescent="0.25">
      <c r="X114" s="388">
        <f t="shared" si="10"/>
        <v>5.5416666666666723</v>
      </c>
      <c r="Y114" s="284" t="s">
        <v>608</v>
      </c>
      <c r="Z114" s="389" t="str">
        <f t="shared" si="7"/>
        <v/>
      </c>
      <c r="AA114" s="389" t="str">
        <f t="shared" si="8"/>
        <v>-</v>
      </c>
      <c r="AB114" s="389" t="str">
        <f t="shared" si="9"/>
        <v/>
      </c>
      <c r="AC114" s="390" t="str">
        <f t="shared" si="11"/>
        <v>-</v>
      </c>
    </row>
    <row r="115" spans="24:29" x14ac:dyDescent="0.25">
      <c r="X115" s="388">
        <f t="shared" si="10"/>
        <v>5.5833333333333393</v>
      </c>
      <c r="Y115" s="284" t="s">
        <v>608</v>
      </c>
      <c r="Z115" s="389" t="str">
        <f t="shared" si="7"/>
        <v/>
      </c>
      <c r="AA115" s="389" t="str">
        <f t="shared" si="8"/>
        <v>-</v>
      </c>
      <c r="AB115" s="389" t="str">
        <f t="shared" si="9"/>
        <v/>
      </c>
      <c r="AC115" s="390" t="str">
        <f t="shared" si="11"/>
        <v>-</v>
      </c>
    </row>
    <row r="116" spans="24:29" x14ac:dyDescent="0.25">
      <c r="X116" s="388">
        <f t="shared" si="10"/>
        <v>5.6250000000000062</v>
      </c>
      <c r="Y116" s="284" t="s">
        <v>608</v>
      </c>
      <c r="Z116" s="389" t="str">
        <f t="shared" si="7"/>
        <v/>
      </c>
      <c r="AA116" s="389" t="str">
        <f t="shared" si="8"/>
        <v>-</v>
      </c>
      <c r="AB116" s="389" t="str">
        <f t="shared" si="9"/>
        <v/>
      </c>
      <c r="AC116" s="390" t="str">
        <f t="shared" si="11"/>
        <v>-</v>
      </c>
    </row>
    <row r="117" spans="24:29" x14ac:dyDescent="0.25">
      <c r="X117" s="388">
        <f t="shared" si="10"/>
        <v>5.6666666666666732</v>
      </c>
      <c r="Y117" s="284" t="s">
        <v>608</v>
      </c>
      <c r="Z117" s="389" t="str">
        <f t="shared" si="7"/>
        <v/>
      </c>
      <c r="AA117" s="389" t="str">
        <f t="shared" si="8"/>
        <v>-</v>
      </c>
      <c r="AB117" s="389" t="str">
        <f t="shared" si="9"/>
        <v/>
      </c>
      <c r="AC117" s="390" t="str">
        <f t="shared" si="11"/>
        <v>-</v>
      </c>
    </row>
    <row r="118" spans="24:29" x14ac:dyDescent="0.25">
      <c r="X118" s="388">
        <f t="shared" si="10"/>
        <v>5.7083333333333401</v>
      </c>
      <c r="Y118" s="284" t="s">
        <v>608</v>
      </c>
      <c r="Z118" s="389" t="str">
        <f t="shared" si="7"/>
        <v/>
      </c>
      <c r="AA118" s="389" t="str">
        <f t="shared" si="8"/>
        <v>-</v>
      </c>
      <c r="AB118" s="389" t="str">
        <f t="shared" si="9"/>
        <v/>
      </c>
      <c r="AC118" s="390" t="str">
        <f t="shared" si="11"/>
        <v>-</v>
      </c>
    </row>
    <row r="119" spans="24:29" x14ac:dyDescent="0.25">
      <c r="X119" s="388">
        <f t="shared" si="10"/>
        <v>5.7500000000000071</v>
      </c>
      <c r="Y119" s="284" t="s">
        <v>608</v>
      </c>
      <c r="Z119" s="389" t="str">
        <f t="shared" si="7"/>
        <v/>
      </c>
      <c r="AA119" s="389" t="str">
        <f t="shared" si="8"/>
        <v>-</v>
      </c>
      <c r="AB119" s="389" t="str">
        <f t="shared" si="9"/>
        <v/>
      </c>
      <c r="AC119" s="390" t="str">
        <f t="shared" si="11"/>
        <v>-</v>
      </c>
    </row>
    <row r="120" spans="24:29" x14ac:dyDescent="0.25">
      <c r="X120" s="388">
        <f t="shared" si="10"/>
        <v>5.7916666666666741</v>
      </c>
      <c r="Y120" s="284" t="s">
        <v>608</v>
      </c>
      <c r="Z120" s="389" t="str">
        <f t="shared" si="7"/>
        <v/>
      </c>
      <c r="AA120" s="389" t="str">
        <f t="shared" si="8"/>
        <v>-</v>
      </c>
      <c r="AB120" s="389" t="str">
        <f t="shared" si="9"/>
        <v/>
      </c>
      <c r="AC120" s="390" t="str">
        <f t="shared" si="11"/>
        <v>-</v>
      </c>
    </row>
    <row r="121" spans="24:29" x14ac:dyDescent="0.25">
      <c r="X121" s="388">
        <f t="shared" si="10"/>
        <v>5.833333333333341</v>
      </c>
      <c r="Y121" s="284" t="s">
        <v>608</v>
      </c>
      <c r="Z121" s="389" t="str">
        <f t="shared" si="7"/>
        <v/>
      </c>
      <c r="AA121" s="389" t="str">
        <f t="shared" si="8"/>
        <v>-</v>
      </c>
      <c r="AB121" s="389" t="str">
        <f t="shared" si="9"/>
        <v/>
      </c>
      <c r="AC121" s="390" t="str">
        <f t="shared" si="11"/>
        <v>-</v>
      </c>
    </row>
    <row r="122" spans="24:29" x14ac:dyDescent="0.25">
      <c r="X122" s="388">
        <f t="shared" si="10"/>
        <v>5.875000000000008</v>
      </c>
      <c r="Y122" s="284" t="s">
        <v>608</v>
      </c>
      <c r="Z122" s="389" t="str">
        <f t="shared" si="7"/>
        <v/>
      </c>
      <c r="AA122" s="389" t="str">
        <f t="shared" si="8"/>
        <v>-</v>
      </c>
      <c r="AB122" s="389" t="str">
        <f t="shared" si="9"/>
        <v/>
      </c>
      <c r="AC122" s="390" t="str">
        <f t="shared" si="11"/>
        <v>-</v>
      </c>
    </row>
    <row r="123" spans="24:29" x14ac:dyDescent="0.25">
      <c r="X123" s="388">
        <f t="shared" si="10"/>
        <v>5.916666666666675</v>
      </c>
      <c r="Y123" s="284" t="s">
        <v>608</v>
      </c>
      <c r="Z123" s="389" t="str">
        <f t="shared" si="7"/>
        <v/>
      </c>
      <c r="AA123" s="389" t="str">
        <f t="shared" si="8"/>
        <v>-</v>
      </c>
      <c r="AB123" s="389" t="str">
        <f t="shared" si="9"/>
        <v/>
      </c>
      <c r="AC123" s="390" t="str">
        <f t="shared" si="11"/>
        <v>-</v>
      </c>
    </row>
    <row r="124" spans="24:29" x14ac:dyDescent="0.25">
      <c r="X124" s="388">
        <f t="shared" si="10"/>
        <v>5.9583333333333419</v>
      </c>
      <c r="Y124" s="284" t="s">
        <v>608</v>
      </c>
      <c r="Z124" s="389" t="str">
        <f t="shared" si="7"/>
        <v/>
      </c>
      <c r="AA124" s="389" t="str">
        <f t="shared" si="8"/>
        <v>-</v>
      </c>
      <c r="AB124" s="389" t="str">
        <f t="shared" si="9"/>
        <v/>
      </c>
      <c r="AC124" s="390" t="str">
        <f t="shared" si="11"/>
        <v>-</v>
      </c>
    </row>
    <row r="125" spans="24:29" x14ac:dyDescent="0.25">
      <c r="X125" s="388">
        <f t="shared" si="10"/>
        <v>6.0000000000000089</v>
      </c>
      <c r="Y125" s="284" t="s">
        <v>608</v>
      </c>
      <c r="Z125" s="389" t="str">
        <f t="shared" si="7"/>
        <v/>
      </c>
      <c r="AA125" s="389" t="str">
        <f t="shared" si="8"/>
        <v>-</v>
      </c>
      <c r="AB125" s="389" t="str">
        <f t="shared" si="9"/>
        <v/>
      </c>
      <c r="AC125" s="390" t="str">
        <f t="shared" si="11"/>
        <v>-</v>
      </c>
    </row>
    <row r="126" spans="24:29" x14ac:dyDescent="0.25">
      <c r="X126" s="388">
        <f t="shared" si="10"/>
        <v>6.0416666666666758</v>
      </c>
      <c r="Y126" s="284" t="s">
        <v>608</v>
      </c>
      <c r="Z126" s="389" t="str">
        <f t="shared" si="7"/>
        <v/>
      </c>
      <c r="AA126" s="389" t="str">
        <f t="shared" si="8"/>
        <v>-</v>
      </c>
      <c r="AB126" s="389" t="str">
        <f t="shared" si="9"/>
        <v/>
      </c>
      <c r="AC126" s="390" t="str">
        <f t="shared" si="11"/>
        <v>-</v>
      </c>
    </row>
    <row r="127" spans="24:29" x14ac:dyDescent="0.25">
      <c r="X127" s="388">
        <f t="shared" si="10"/>
        <v>6.0833333333333428</v>
      </c>
      <c r="Y127" s="284" t="s">
        <v>608</v>
      </c>
      <c r="Z127" s="389" t="str">
        <f t="shared" si="7"/>
        <v/>
      </c>
      <c r="AA127" s="389" t="str">
        <f t="shared" si="8"/>
        <v>-</v>
      </c>
      <c r="AB127" s="389" t="str">
        <f t="shared" si="9"/>
        <v/>
      </c>
      <c r="AC127" s="390" t="str">
        <f t="shared" si="11"/>
        <v>-</v>
      </c>
    </row>
    <row r="128" spans="24:29" x14ac:dyDescent="0.25">
      <c r="X128" s="388">
        <f t="shared" si="10"/>
        <v>6.1250000000000098</v>
      </c>
      <c r="Y128" s="284" t="s">
        <v>608</v>
      </c>
      <c r="Z128" s="389" t="str">
        <f t="shared" si="7"/>
        <v/>
      </c>
      <c r="AA128" s="389" t="str">
        <f t="shared" si="8"/>
        <v>-</v>
      </c>
      <c r="AB128" s="389" t="str">
        <f t="shared" si="9"/>
        <v/>
      </c>
      <c r="AC128" s="390" t="str">
        <f t="shared" si="11"/>
        <v>-</v>
      </c>
    </row>
    <row r="129" spans="24:29" x14ac:dyDescent="0.25">
      <c r="X129" s="388">
        <f t="shared" si="10"/>
        <v>6.1666666666666767</v>
      </c>
      <c r="Y129" s="284" t="s">
        <v>608</v>
      </c>
      <c r="Z129" s="389" t="str">
        <f t="shared" si="7"/>
        <v/>
      </c>
      <c r="AA129" s="389" t="str">
        <f t="shared" si="8"/>
        <v>-</v>
      </c>
      <c r="AB129" s="389" t="str">
        <f t="shared" si="9"/>
        <v/>
      </c>
      <c r="AC129" s="390" t="str">
        <f t="shared" si="11"/>
        <v>-</v>
      </c>
    </row>
    <row r="130" spans="24:29" x14ac:dyDescent="0.25">
      <c r="X130" s="388">
        <f t="shared" si="10"/>
        <v>6.2083333333333437</v>
      </c>
      <c r="Y130" s="284" t="s">
        <v>608</v>
      </c>
      <c r="Z130" s="389" t="str">
        <f t="shared" si="7"/>
        <v/>
      </c>
      <c r="AA130" s="389" t="str">
        <f t="shared" si="8"/>
        <v>-</v>
      </c>
      <c r="AB130" s="389" t="str">
        <f t="shared" si="9"/>
        <v/>
      </c>
      <c r="AC130" s="390" t="str">
        <f t="shared" si="11"/>
        <v>-</v>
      </c>
    </row>
    <row r="131" spans="24:29" x14ac:dyDescent="0.25">
      <c r="X131" s="388">
        <f t="shared" si="10"/>
        <v>6.2500000000000107</v>
      </c>
      <c r="Y131" s="284" t="s">
        <v>608</v>
      </c>
      <c r="Z131" s="389" t="str">
        <f t="shared" si="7"/>
        <v/>
      </c>
      <c r="AA131" s="389" t="str">
        <f t="shared" si="8"/>
        <v>-</v>
      </c>
      <c r="AB131" s="389" t="str">
        <f t="shared" si="9"/>
        <v/>
      </c>
      <c r="AC131" s="390" t="str">
        <f t="shared" si="11"/>
        <v>-</v>
      </c>
    </row>
    <row r="132" spans="24:29" x14ac:dyDescent="0.25">
      <c r="X132" s="388">
        <f t="shared" si="10"/>
        <v>6.2916666666666776</v>
      </c>
      <c r="Y132" s="284" t="s">
        <v>608</v>
      </c>
      <c r="Z132" s="389" t="str">
        <f t="shared" si="7"/>
        <v/>
      </c>
      <c r="AA132" s="389" t="str">
        <f t="shared" si="8"/>
        <v>-</v>
      </c>
      <c r="AB132" s="389" t="str">
        <f t="shared" si="9"/>
        <v/>
      </c>
      <c r="AC132" s="390" t="str">
        <f t="shared" si="11"/>
        <v>-</v>
      </c>
    </row>
    <row r="133" spans="24:29" x14ac:dyDescent="0.25">
      <c r="X133" s="388">
        <f t="shared" si="10"/>
        <v>6.3333333333333446</v>
      </c>
      <c r="Y133" s="284" t="s">
        <v>608</v>
      </c>
      <c r="Z133" s="389" t="str">
        <f t="shared" ref="Z133:Z196" si="12">IF(AND(X133&gt;=$V$27,X133&lt;$V$28),X133,"")</f>
        <v/>
      </c>
      <c r="AA133" s="389" t="str">
        <f t="shared" ref="AA133:AA196" si="13">IF(Z133=X133,Y133,"-")</f>
        <v>-</v>
      </c>
      <c r="AB133" s="389" t="str">
        <f t="shared" ref="AB133:AB196" si="14">IF(AND(X133&gt;=$V$29,X133&lt;$V$30),X133,"")</f>
        <v/>
      </c>
      <c r="AC133" s="390" t="str">
        <f t="shared" si="11"/>
        <v>-</v>
      </c>
    </row>
    <row r="134" spans="24:29" x14ac:dyDescent="0.25">
      <c r="X134" s="388">
        <f t="shared" ref="X134:X197" si="15">X133+$AA$2</f>
        <v>6.3750000000000115</v>
      </c>
      <c r="Y134" s="284" t="s">
        <v>608</v>
      </c>
      <c r="Z134" s="389" t="str">
        <f t="shared" si="12"/>
        <v/>
      </c>
      <c r="AA134" s="389" t="str">
        <f t="shared" si="13"/>
        <v>-</v>
      </c>
      <c r="AB134" s="389" t="str">
        <f t="shared" si="14"/>
        <v/>
      </c>
      <c r="AC134" s="390" t="str">
        <f t="shared" ref="AC134:AC197" si="16">IF(AB134=X134,Y134,"-")</f>
        <v>-</v>
      </c>
    </row>
    <row r="135" spans="24:29" x14ac:dyDescent="0.25">
      <c r="X135" s="388">
        <f t="shared" si="15"/>
        <v>6.4166666666666785</v>
      </c>
      <c r="Y135" s="284" t="s">
        <v>608</v>
      </c>
      <c r="Z135" s="389" t="str">
        <f t="shared" si="12"/>
        <v/>
      </c>
      <c r="AA135" s="389" t="str">
        <f t="shared" si="13"/>
        <v>-</v>
      </c>
      <c r="AB135" s="389" t="str">
        <f t="shared" si="14"/>
        <v/>
      </c>
      <c r="AC135" s="390" t="str">
        <f t="shared" si="16"/>
        <v>-</v>
      </c>
    </row>
    <row r="136" spans="24:29" x14ac:dyDescent="0.25">
      <c r="X136" s="388">
        <f t="shared" si="15"/>
        <v>6.4583333333333455</v>
      </c>
      <c r="Y136" s="284" t="s">
        <v>608</v>
      </c>
      <c r="Z136" s="389" t="str">
        <f t="shared" si="12"/>
        <v/>
      </c>
      <c r="AA136" s="389" t="str">
        <f t="shared" si="13"/>
        <v>-</v>
      </c>
      <c r="AB136" s="389" t="str">
        <f t="shared" si="14"/>
        <v/>
      </c>
      <c r="AC136" s="390" t="str">
        <f t="shared" si="16"/>
        <v>-</v>
      </c>
    </row>
    <row r="137" spans="24:29" x14ac:dyDescent="0.25">
      <c r="X137" s="388">
        <f t="shared" si="15"/>
        <v>6.5000000000000124</v>
      </c>
      <c r="Y137" s="284" t="s">
        <v>608</v>
      </c>
      <c r="Z137" s="389" t="str">
        <f t="shared" si="12"/>
        <v/>
      </c>
      <c r="AA137" s="389" t="str">
        <f t="shared" si="13"/>
        <v>-</v>
      </c>
      <c r="AB137" s="389" t="str">
        <f t="shared" si="14"/>
        <v/>
      </c>
      <c r="AC137" s="390" t="str">
        <f t="shared" si="16"/>
        <v>-</v>
      </c>
    </row>
    <row r="138" spans="24:29" x14ac:dyDescent="0.25">
      <c r="X138" s="388">
        <f t="shared" si="15"/>
        <v>6.5416666666666794</v>
      </c>
      <c r="Y138" s="284" t="s">
        <v>608</v>
      </c>
      <c r="Z138" s="389" t="str">
        <f t="shared" si="12"/>
        <v/>
      </c>
      <c r="AA138" s="389" t="str">
        <f t="shared" si="13"/>
        <v>-</v>
      </c>
      <c r="AB138" s="389" t="str">
        <f t="shared" si="14"/>
        <v/>
      </c>
      <c r="AC138" s="390" t="str">
        <f t="shared" si="16"/>
        <v>-</v>
      </c>
    </row>
    <row r="139" spans="24:29" x14ac:dyDescent="0.25">
      <c r="X139" s="388">
        <f t="shared" si="15"/>
        <v>6.5833333333333464</v>
      </c>
      <c r="Y139" s="284" t="s">
        <v>608</v>
      </c>
      <c r="Z139" s="389" t="str">
        <f t="shared" si="12"/>
        <v/>
      </c>
      <c r="AA139" s="389" t="str">
        <f t="shared" si="13"/>
        <v>-</v>
      </c>
      <c r="AB139" s="389" t="str">
        <f t="shared" si="14"/>
        <v/>
      </c>
      <c r="AC139" s="390" t="str">
        <f t="shared" si="16"/>
        <v>-</v>
      </c>
    </row>
    <row r="140" spans="24:29" x14ac:dyDescent="0.25">
      <c r="X140" s="388">
        <f t="shared" si="15"/>
        <v>6.6250000000000133</v>
      </c>
      <c r="Y140" s="284" t="s">
        <v>608</v>
      </c>
      <c r="Z140" s="389" t="str">
        <f t="shared" si="12"/>
        <v/>
      </c>
      <c r="AA140" s="389" t="str">
        <f t="shared" si="13"/>
        <v>-</v>
      </c>
      <c r="AB140" s="389" t="str">
        <f t="shared" si="14"/>
        <v/>
      </c>
      <c r="AC140" s="390" t="str">
        <f t="shared" si="16"/>
        <v>-</v>
      </c>
    </row>
    <row r="141" spans="24:29" x14ac:dyDescent="0.25">
      <c r="X141" s="388">
        <f t="shared" si="15"/>
        <v>6.6666666666666803</v>
      </c>
      <c r="Y141" s="284" t="s">
        <v>608</v>
      </c>
      <c r="Z141" s="389" t="str">
        <f t="shared" si="12"/>
        <v/>
      </c>
      <c r="AA141" s="389" t="str">
        <f t="shared" si="13"/>
        <v>-</v>
      </c>
      <c r="AB141" s="389" t="str">
        <f t="shared" si="14"/>
        <v/>
      </c>
      <c r="AC141" s="390" t="str">
        <f t="shared" si="16"/>
        <v>-</v>
      </c>
    </row>
    <row r="142" spans="24:29" x14ac:dyDescent="0.25">
      <c r="X142" s="388">
        <f t="shared" si="15"/>
        <v>6.7083333333333472</v>
      </c>
      <c r="Y142" s="284" t="s">
        <v>608</v>
      </c>
      <c r="Z142" s="389" t="str">
        <f t="shared" si="12"/>
        <v/>
      </c>
      <c r="AA142" s="389" t="str">
        <f t="shared" si="13"/>
        <v>-</v>
      </c>
      <c r="AB142" s="389" t="str">
        <f t="shared" si="14"/>
        <v/>
      </c>
      <c r="AC142" s="390" t="str">
        <f t="shared" si="16"/>
        <v>-</v>
      </c>
    </row>
    <row r="143" spans="24:29" x14ac:dyDescent="0.25">
      <c r="X143" s="388">
        <f t="shared" si="15"/>
        <v>6.7500000000000142</v>
      </c>
      <c r="Y143" s="284" t="s">
        <v>608</v>
      </c>
      <c r="Z143" s="389" t="str">
        <f t="shared" si="12"/>
        <v/>
      </c>
      <c r="AA143" s="389" t="str">
        <f t="shared" si="13"/>
        <v>-</v>
      </c>
      <c r="AB143" s="389" t="str">
        <f t="shared" si="14"/>
        <v/>
      </c>
      <c r="AC143" s="390" t="str">
        <f t="shared" si="16"/>
        <v>-</v>
      </c>
    </row>
    <row r="144" spans="24:29" x14ac:dyDescent="0.25">
      <c r="X144" s="388">
        <f t="shared" si="15"/>
        <v>6.7916666666666812</v>
      </c>
      <c r="Y144" s="284" t="s">
        <v>608</v>
      </c>
      <c r="Z144" s="389" t="str">
        <f t="shared" si="12"/>
        <v/>
      </c>
      <c r="AA144" s="389" t="str">
        <f t="shared" si="13"/>
        <v>-</v>
      </c>
      <c r="AB144" s="389" t="str">
        <f t="shared" si="14"/>
        <v/>
      </c>
      <c r="AC144" s="390" t="str">
        <f t="shared" si="16"/>
        <v>-</v>
      </c>
    </row>
    <row r="145" spans="24:29" x14ac:dyDescent="0.25">
      <c r="X145" s="388">
        <f t="shared" si="15"/>
        <v>6.8333333333333481</v>
      </c>
      <c r="Y145" s="284" t="s">
        <v>608</v>
      </c>
      <c r="Z145" s="389" t="str">
        <f t="shared" si="12"/>
        <v/>
      </c>
      <c r="AA145" s="389" t="str">
        <f t="shared" si="13"/>
        <v>-</v>
      </c>
      <c r="AB145" s="389" t="str">
        <f t="shared" si="14"/>
        <v/>
      </c>
      <c r="AC145" s="390" t="str">
        <f t="shared" si="16"/>
        <v>-</v>
      </c>
    </row>
    <row r="146" spans="24:29" x14ac:dyDescent="0.25">
      <c r="X146" s="388">
        <f t="shared" si="15"/>
        <v>6.8750000000000151</v>
      </c>
      <c r="Y146" s="284" t="s">
        <v>608</v>
      </c>
      <c r="Z146" s="389" t="str">
        <f t="shared" si="12"/>
        <v/>
      </c>
      <c r="AA146" s="389" t="str">
        <f t="shared" si="13"/>
        <v>-</v>
      </c>
      <c r="AB146" s="389" t="str">
        <f t="shared" si="14"/>
        <v/>
      </c>
      <c r="AC146" s="390" t="str">
        <f t="shared" si="16"/>
        <v>-</v>
      </c>
    </row>
    <row r="147" spans="24:29" x14ac:dyDescent="0.25">
      <c r="X147" s="388">
        <f t="shared" si="15"/>
        <v>6.9166666666666821</v>
      </c>
      <c r="Y147" s="284" t="s">
        <v>608</v>
      </c>
      <c r="Z147" s="389" t="str">
        <f t="shared" si="12"/>
        <v/>
      </c>
      <c r="AA147" s="389" t="str">
        <f t="shared" si="13"/>
        <v>-</v>
      </c>
      <c r="AB147" s="389" t="str">
        <f t="shared" si="14"/>
        <v/>
      </c>
      <c r="AC147" s="390" t="str">
        <f t="shared" si="16"/>
        <v>-</v>
      </c>
    </row>
    <row r="148" spans="24:29" x14ac:dyDescent="0.25">
      <c r="X148" s="388">
        <f t="shared" si="15"/>
        <v>6.958333333333349</v>
      </c>
      <c r="Y148" s="284" t="s">
        <v>608</v>
      </c>
      <c r="Z148" s="389" t="str">
        <f t="shared" si="12"/>
        <v/>
      </c>
      <c r="AA148" s="389" t="str">
        <f t="shared" si="13"/>
        <v>-</v>
      </c>
      <c r="AB148" s="389" t="str">
        <f t="shared" si="14"/>
        <v/>
      </c>
      <c r="AC148" s="390" t="str">
        <f t="shared" si="16"/>
        <v>-</v>
      </c>
    </row>
    <row r="149" spans="24:29" x14ac:dyDescent="0.25">
      <c r="X149" s="388">
        <f t="shared" si="15"/>
        <v>7.000000000000016</v>
      </c>
      <c r="Y149" s="284" t="s">
        <v>608</v>
      </c>
      <c r="Z149" s="389" t="str">
        <f t="shared" si="12"/>
        <v/>
      </c>
      <c r="AA149" s="389" t="str">
        <f t="shared" si="13"/>
        <v>-</v>
      </c>
      <c r="AB149" s="389" t="str">
        <f t="shared" si="14"/>
        <v/>
      </c>
      <c r="AC149" s="390" t="str">
        <f t="shared" si="16"/>
        <v>-</v>
      </c>
    </row>
    <row r="150" spans="24:29" x14ac:dyDescent="0.25">
      <c r="X150" s="388">
        <f t="shared" si="15"/>
        <v>7.0416666666666829</v>
      </c>
      <c r="Y150" s="284" t="s">
        <v>608</v>
      </c>
      <c r="Z150" s="389" t="str">
        <f t="shared" si="12"/>
        <v/>
      </c>
      <c r="AA150" s="389" t="str">
        <f t="shared" si="13"/>
        <v>-</v>
      </c>
      <c r="AB150" s="389" t="str">
        <f t="shared" si="14"/>
        <v/>
      </c>
      <c r="AC150" s="390" t="str">
        <f t="shared" si="16"/>
        <v>-</v>
      </c>
    </row>
    <row r="151" spans="24:29" x14ac:dyDescent="0.25">
      <c r="X151" s="388">
        <f t="shared" si="15"/>
        <v>7.0833333333333499</v>
      </c>
      <c r="Y151" s="284" t="s">
        <v>608</v>
      </c>
      <c r="Z151" s="389" t="str">
        <f t="shared" si="12"/>
        <v/>
      </c>
      <c r="AA151" s="389" t="str">
        <f t="shared" si="13"/>
        <v>-</v>
      </c>
      <c r="AB151" s="389" t="str">
        <f t="shared" si="14"/>
        <v/>
      </c>
      <c r="AC151" s="390" t="str">
        <f t="shared" si="16"/>
        <v>-</v>
      </c>
    </row>
    <row r="152" spans="24:29" x14ac:dyDescent="0.25">
      <c r="X152" s="388">
        <f t="shared" si="15"/>
        <v>7.1250000000000169</v>
      </c>
      <c r="Y152" s="284" t="s">
        <v>608</v>
      </c>
      <c r="Z152" s="389" t="str">
        <f t="shared" si="12"/>
        <v/>
      </c>
      <c r="AA152" s="389" t="str">
        <f t="shared" si="13"/>
        <v>-</v>
      </c>
      <c r="AB152" s="389" t="str">
        <f t="shared" si="14"/>
        <v/>
      </c>
      <c r="AC152" s="390" t="str">
        <f t="shared" si="16"/>
        <v>-</v>
      </c>
    </row>
    <row r="153" spans="24:29" x14ac:dyDescent="0.25">
      <c r="X153" s="388">
        <f t="shared" si="15"/>
        <v>7.1666666666666838</v>
      </c>
      <c r="Y153" s="284" t="s">
        <v>608</v>
      </c>
      <c r="Z153" s="389" t="str">
        <f t="shared" si="12"/>
        <v/>
      </c>
      <c r="AA153" s="389" t="str">
        <f t="shared" si="13"/>
        <v>-</v>
      </c>
      <c r="AB153" s="389" t="str">
        <f t="shared" si="14"/>
        <v/>
      </c>
      <c r="AC153" s="390" t="str">
        <f t="shared" si="16"/>
        <v>-</v>
      </c>
    </row>
    <row r="154" spans="24:29" x14ac:dyDescent="0.25">
      <c r="X154" s="388">
        <f t="shared" si="15"/>
        <v>7.2083333333333508</v>
      </c>
      <c r="Y154" s="284" t="s">
        <v>608</v>
      </c>
      <c r="Z154" s="389" t="str">
        <f t="shared" si="12"/>
        <v/>
      </c>
      <c r="AA154" s="389" t="str">
        <f t="shared" si="13"/>
        <v>-</v>
      </c>
      <c r="AB154" s="389" t="str">
        <f t="shared" si="14"/>
        <v/>
      </c>
      <c r="AC154" s="390" t="str">
        <f t="shared" si="16"/>
        <v>-</v>
      </c>
    </row>
    <row r="155" spans="24:29" x14ac:dyDescent="0.25">
      <c r="X155" s="388">
        <f t="shared" si="15"/>
        <v>7.2500000000000178</v>
      </c>
      <c r="Y155" s="284" t="s">
        <v>608</v>
      </c>
      <c r="Z155" s="389" t="str">
        <f t="shared" si="12"/>
        <v/>
      </c>
      <c r="AA155" s="389" t="str">
        <f t="shared" si="13"/>
        <v>-</v>
      </c>
      <c r="AB155" s="389" t="str">
        <f t="shared" si="14"/>
        <v/>
      </c>
      <c r="AC155" s="390" t="str">
        <f t="shared" si="16"/>
        <v>-</v>
      </c>
    </row>
    <row r="156" spans="24:29" x14ac:dyDescent="0.25">
      <c r="X156" s="388">
        <f t="shared" si="15"/>
        <v>7.2916666666666847</v>
      </c>
      <c r="Y156" s="284" t="s">
        <v>608</v>
      </c>
      <c r="Z156" s="389" t="str">
        <f t="shared" si="12"/>
        <v/>
      </c>
      <c r="AA156" s="389" t="str">
        <f t="shared" si="13"/>
        <v>-</v>
      </c>
      <c r="AB156" s="389" t="str">
        <f t="shared" si="14"/>
        <v/>
      </c>
      <c r="AC156" s="390" t="str">
        <f t="shared" si="16"/>
        <v>-</v>
      </c>
    </row>
    <row r="157" spans="24:29" x14ac:dyDescent="0.25">
      <c r="X157" s="388">
        <f t="shared" si="15"/>
        <v>7.3333333333333517</v>
      </c>
      <c r="Y157" s="284" t="s">
        <v>608</v>
      </c>
      <c r="Z157" s="389" t="str">
        <f t="shared" si="12"/>
        <v/>
      </c>
      <c r="AA157" s="389" t="str">
        <f t="shared" si="13"/>
        <v>-</v>
      </c>
      <c r="AB157" s="389" t="str">
        <f t="shared" si="14"/>
        <v/>
      </c>
      <c r="AC157" s="390" t="str">
        <f t="shared" si="16"/>
        <v>-</v>
      </c>
    </row>
    <row r="158" spans="24:29" x14ac:dyDescent="0.25">
      <c r="X158" s="388">
        <f t="shared" si="15"/>
        <v>7.3750000000000187</v>
      </c>
      <c r="Y158" s="284" t="s">
        <v>608</v>
      </c>
      <c r="Z158" s="389" t="str">
        <f t="shared" si="12"/>
        <v/>
      </c>
      <c r="AA158" s="389" t="str">
        <f t="shared" si="13"/>
        <v>-</v>
      </c>
      <c r="AB158" s="389" t="str">
        <f t="shared" si="14"/>
        <v/>
      </c>
      <c r="AC158" s="390" t="str">
        <f t="shared" si="16"/>
        <v>-</v>
      </c>
    </row>
    <row r="159" spans="24:29" x14ac:dyDescent="0.25">
      <c r="X159" s="388">
        <f t="shared" si="15"/>
        <v>7.4166666666666856</v>
      </c>
      <c r="Y159" s="284" t="s">
        <v>608</v>
      </c>
      <c r="Z159" s="389" t="str">
        <f t="shared" si="12"/>
        <v/>
      </c>
      <c r="AA159" s="389" t="str">
        <f t="shared" si="13"/>
        <v>-</v>
      </c>
      <c r="AB159" s="389" t="str">
        <f t="shared" si="14"/>
        <v/>
      </c>
      <c r="AC159" s="390" t="str">
        <f t="shared" si="16"/>
        <v>-</v>
      </c>
    </row>
    <row r="160" spans="24:29" x14ac:dyDescent="0.25">
      <c r="X160" s="388">
        <f t="shared" si="15"/>
        <v>7.4583333333333526</v>
      </c>
      <c r="Y160" s="284" t="s">
        <v>608</v>
      </c>
      <c r="Z160" s="389" t="str">
        <f t="shared" si="12"/>
        <v/>
      </c>
      <c r="AA160" s="389" t="str">
        <f t="shared" si="13"/>
        <v>-</v>
      </c>
      <c r="AB160" s="389" t="str">
        <f t="shared" si="14"/>
        <v/>
      </c>
      <c r="AC160" s="390" t="str">
        <f t="shared" si="16"/>
        <v>-</v>
      </c>
    </row>
    <row r="161" spans="24:29" x14ac:dyDescent="0.25">
      <c r="X161" s="388">
        <f t="shared" si="15"/>
        <v>7.5000000000000195</v>
      </c>
      <c r="Y161" s="284" t="s">
        <v>608</v>
      </c>
      <c r="Z161" s="389" t="str">
        <f t="shared" si="12"/>
        <v/>
      </c>
      <c r="AA161" s="389" t="str">
        <f t="shared" si="13"/>
        <v>-</v>
      </c>
      <c r="AB161" s="389" t="str">
        <f t="shared" si="14"/>
        <v/>
      </c>
      <c r="AC161" s="390" t="str">
        <f t="shared" si="16"/>
        <v>-</v>
      </c>
    </row>
    <row r="162" spans="24:29" x14ac:dyDescent="0.25">
      <c r="X162" s="388">
        <f t="shared" si="15"/>
        <v>7.5416666666666865</v>
      </c>
      <c r="Y162" s="284" t="s">
        <v>608</v>
      </c>
      <c r="Z162" s="389" t="str">
        <f t="shared" si="12"/>
        <v/>
      </c>
      <c r="AA162" s="389" t="str">
        <f t="shared" si="13"/>
        <v>-</v>
      </c>
      <c r="AB162" s="389" t="str">
        <f t="shared" si="14"/>
        <v/>
      </c>
      <c r="AC162" s="390" t="str">
        <f t="shared" si="16"/>
        <v>-</v>
      </c>
    </row>
    <row r="163" spans="24:29" x14ac:dyDescent="0.25">
      <c r="X163" s="388">
        <f t="shared" si="15"/>
        <v>7.5833333333333535</v>
      </c>
      <c r="Y163" s="284" t="s">
        <v>608</v>
      </c>
      <c r="Z163" s="389" t="str">
        <f t="shared" si="12"/>
        <v/>
      </c>
      <c r="AA163" s="389" t="str">
        <f t="shared" si="13"/>
        <v>-</v>
      </c>
      <c r="AB163" s="389" t="str">
        <f t="shared" si="14"/>
        <v/>
      </c>
      <c r="AC163" s="390" t="str">
        <f t="shared" si="16"/>
        <v>-</v>
      </c>
    </row>
    <row r="164" spans="24:29" x14ac:dyDescent="0.25">
      <c r="X164" s="388">
        <f t="shared" si="15"/>
        <v>7.6250000000000204</v>
      </c>
      <c r="Y164" s="284" t="s">
        <v>608</v>
      </c>
      <c r="Z164" s="389" t="str">
        <f t="shared" si="12"/>
        <v/>
      </c>
      <c r="AA164" s="389" t="str">
        <f t="shared" si="13"/>
        <v>-</v>
      </c>
      <c r="AB164" s="389" t="str">
        <f t="shared" si="14"/>
        <v/>
      </c>
      <c r="AC164" s="390" t="str">
        <f t="shared" si="16"/>
        <v>-</v>
      </c>
    </row>
    <row r="165" spans="24:29" x14ac:dyDescent="0.25">
      <c r="X165" s="388">
        <f t="shared" si="15"/>
        <v>7.6666666666666874</v>
      </c>
      <c r="Y165" s="284" t="s">
        <v>608</v>
      </c>
      <c r="Z165" s="389" t="str">
        <f t="shared" si="12"/>
        <v/>
      </c>
      <c r="AA165" s="389" t="str">
        <f t="shared" si="13"/>
        <v>-</v>
      </c>
      <c r="AB165" s="389" t="str">
        <f t="shared" si="14"/>
        <v/>
      </c>
      <c r="AC165" s="390" t="str">
        <f t="shared" si="16"/>
        <v>-</v>
      </c>
    </row>
    <row r="166" spans="24:29" x14ac:dyDescent="0.25">
      <c r="X166" s="388">
        <f t="shared" si="15"/>
        <v>7.7083333333333544</v>
      </c>
      <c r="Y166" s="284" t="s">
        <v>608</v>
      </c>
      <c r="Z166" s="389" t="str">
        <f t="shared" si="12"/>
        <v/>
      </c>
      <c r="AA166" s="389" t="str">
        <f t="shared" si="13"/>
        <v>-</v>
      </c>
      <c r="AB166" s="389" t="str">
        <f t="shared" si="14"/>
        <v/>
      </c>
      <c r="AC166" s="390" t="str">
        <f t="shared" si="16"/>
        <v>-</v>
      </c>
    </row>
    <row r="167" spans="24:29" x14ac:dyDescent="0.25">
      <c r="X167" s="388">
        <f t="shared" si="15"/>
        <v>7.7500000000000213</v>
      </c>
      <c r="Y167" s="284" t="s">
        <v>608</v>
      </c>
      <c r="Z167" s="389" t="str">
        <f t="shared" si="12"/>
        <v/>
      </c>
      <c r="AA167" s="389" t="str">
        <f t="shared" si="13"/>
        <v>-</v>
      </c>
      <c r="AB167" s="389" t="str">
        <f t="shared" si="14"/>
        <v/>
      </c>
      <c r="AC167" s="390" t="str">
        <f t="shared" si="16"/>
        <v>-</v>
      </c>
    </row>
    <row r="168" spans="24:29" x14ac:dyDescent="0.25">
      <c r="X168" s="388">
        <f t="shared" si="15"/>
        <v>7.7916666666666883</v>
      </c>
      <c r="Y168" s="284" t="s">
        <v>608</v>
      </c>
      <c r="Z168" s="389" t="str">
        <f t="shared" si="12"/>
        <v/>
      </c>
      <c r="AA168" s="389" t="str">
        <f t="shared" si="13"/>
        <v>-</v>
      </c>
      <c r="AB168" s="389" t="str">
        <f t="shared" si="14"/>
        <v/>
      </c>
      <c r="AC168" s="390" t="str">
        <f t="shared" si="16"/>
        <v>-</v>
      </c>
    </row>
    <row r="169" spans="24:29" x14ac:dyDescent="0.25">
      <c r="X169" s="388">
        <f t="shared" si="15"/>
        <v>7.8333333333333552</v>
      </c>
      <c r="Y169" s="284" t="s">
        <v>608</v>
      </c>
      <c r="Z169" s="389" t="str">
        <f t="shared" si="12"/>
        <v/>
      </c>
      <c r="AA169" s="389" t="str">
        <f t="shared" si="13"/>
        <v>-</v>
      </c>
      <c r="AB169" s="389" t="str">
        <f t="shared" si="14"/>
        <v/>
      </c>
      <c r="AC169" s="390" t="str">
        <f t="shared" si="16"/>
        <v>-</v>
      </c>
    </row>
    <row r="170" spans="24:29" x14ac:dyDescent="0.25">
      <c r="X170" s="388">
        <f t="shared" si="15"/>
        <v>7.8750000000000222</v>
      </c>
      <c r="Y170" s="284" t="s">
        <v>608</v>
      </c>
      <c r="Z170" s="389" t="str">
        <f t="shared" si="12"/>
        <v/>
      </c>
      <c r="AA170" s="389" t="str">
        <f t="shared" si="13"/>
        <v>-</v>
      </c>
      <c r="AB170" s="389" t="str">
        <f t="shared" si="14"/>
        <v/>
      </c>
      <c r="AC170" s="390" t="str">
        <f t="shared" si="16"/>
        <v>-</v>
      </c>
    </row>
    <row r="171" spans="24:29" x14ac:dyDescent="0.25">
      <c r="X171" s="388">
        <f t="shared" si="15"/>
        <v>7.9166666666666892</v>
      </c>
      <c r="Y171" s="284" t="s">
        <v>608</v>
      </c>
      <c r="Z171" s="389" t="str">
        <f t="shared" si="12"/>
        <v/>
      </c>
      <c r="AA171" s="389" t="str">
        <f t="shared" si="13"/>
        <v>-</v>
      </c>
      <c r="AB171" s="389" t="str">
        <f t="shared" si="14"/>
        <v/>
      </c>
      <c r="AC171" s="390" t="str">
        <f t="shared" si="16"/>
        <v>-</v>
      </c>
    </row>
    <row r="172" spans="24:29" x14ac:dyDescent="0.25">
      <c r="X172" s="388">
        <f t="shared" si="15"/>
        <v>7.9583333333333561</v>
      </c>
      <c r="Y172" s="284" t="s">
        <v>608</v>
      </c>
      <c r="Z172" s="389" t="str">
        <f t="shared" si="12"/>
        <v/>
      </c>
      <c r="AA172" s="389" t="str">
        <f t="shared" si="13"/>
        <v>-</v>
      </c>
      <c r="AB172" s="389" t="str">
        <f t="shared" si="14"/>
        <v/>
      </c>
      <c r="AC172" s="390" t="str">
        <f t="shared" si="16"/>
        <v>-</v>
      </c>
    </row>
    <row r="173" spans="24:29" x14ac:dyDescent="0.25">
      <c r="X173" s="388">
        <f t="shared" si="15"/>
        <v>8.0000000000000231</v>
      </c>
      <c r="Y173" s="284" t="s">
        <v>608</v>
      </c>
      <c r="Z173" s="389" t="str">
        <f t="shared" si="12"/>
        <v/>
      </c>
      <c r="AA173" s="389" t="str">
        <f t="shared" si="13"/>
        <v>-</v>
      </c>
      <c r="AB173" s="389" t="str">
        <f t="shared" si="14"/>
        <v/>
      </c>
      <c r="AC173" s="390" t="str">
        <f t="shared" si="16"/>
        <v>-</v>
      </c>
    </row>
    <row r="174" spans="24:29" x14ac:dyDescent="0.25">
      <c r="X174" s="388">
        <f t="shared" si="15"/>
        <v>8.0416666666666892</v>
      </c>
      <c r="Y174" s="284" t="s">
        <v>608</v>
      </c>
      <c r="Z174" s="389" t="str">
        <f t="shared" si="12"/>
        <v/>
      </c>
      <c r="AA174" s="389" t="str">
        <f t="shared" si="13"/>
        <v>-</v>
      </c>
      <c r="AB174" s="389" t="str">
        <f t="shared" si="14"/>
        <v/>
      </c>
      <c r="AC174" s="390" t="str">
        <f t="shared" si="16"/>
        <v>-</v>
      </c>
    </row>
    <row r="175" spans="24:29" x14ac:dyDescent="0.25">
      <c r="X175" s="388">
        <f t="shared" si="15"/>
        <v>8.0833333333333552</v>
      </c>
      <c r="Y175" s="284" t="s">
        <v>608</v>
      </c>
      <c r="Z175" s="389" t="str">
        <f t="shared" si="12"/>
        <v/>
      </c>
      <c r="AA175" s="389" t="str">
        <f t="shared" si="13"/>
        <v>-</v>
      </c>
      <c r="AB175" s="389" t="str">
        <f t="shared" si="14"/>
        <v/>
      </c>
      <c r="AC175" s="390" t="str">
        <f t="shared" si="16"/>
        <v>-</v>
      </c>
    </row>
    <row r="176" spans="24:29" x14ac:dyDescent="0.25">
      <c r="X176" s="388">
        <f t="shared" si="15"/>
        <v>8.1250000000000213</v>
      </c>
      <c r="Y176" s="284" t="s">
        <v>608</v>
      </c>
      <c r="Z176" s="389" t="str">
        <f t="shared" si="12"/>
        <v/>
      </c>
      <c r="AA176" s="389" t="str">
        <f t="shared" si="13"/>
        <v>-</v>
      </c>
      <c r="AB176" s="389" t="str">
        <f t="shared" si="14"/>
        <v/>
      </c>
      <c r="AC176" s="390" t="str">
        <f t="shared" si="16"/>
        <v>-</v>
      </c>
    </row>
    <row r="177" spans="24:29" x14ac:dyDescent="0.25">
      <c r="X177" s="388">
        <f t="shared" si="15"/>
        <v>8.1666666666666874</v>
      </c>
      <c r="Y177" s="284" t="s">
        <v>608</v>
      </c>
      <c r="Z177" s="389" t="str">
        <f t="shared" si="12"/>
        <v/>
      </c>
      <c r="AA177" s="389" t="str">
        <f t="shared" si="13"/>
        <v>-</v>
      </c>
      <c r="AB177" s="389" t="str">
        <f t="shared" si="14"/>
        <v/>
      </c>
      <c r="AC177" s="390" t="str">
        <f t="shared" si="16"/>
        <v>-</v>
      </c>
    </row>
    <row r="178" spans="24:29" x14ac:dyDescent="0.25">
      <c r="X178" s="388">
        <f t="shared" si="15"/>
        <v>8.2083333333333535</v>
      </c>
      <c r="Y178" s="284" t="s">
        <v>608</v>
      </c>
      <c r="Z178" s="389" t="str">
        <f t="shared" si="12"/>
        <v/>
      </c>
      <c r="AA178" s="389" t="str">
        <f t="shared" si="13"/>
        <v>-</v>
      </c>
      <c r="AB178" s="389" t="str">
        <f t="shared" si="14"/>
        <v/>
      </c>
      <c r="AC178" s="390" t="str">
        <f t="shared" si="16"/>
        <v>-</v>
      </c>
    </row>
    <row r="179" spans="24:29" x14ac:dyDescent="0.25">
      <c r="X179" s="388">
        <f t="shared" si="15"/>
        <v>8.2500000000000195</v>
      </c>
      <c r="Y179" s="284" t="s">
        <v>608</v>
      </c>
      <c r="Z179" s="389" t="str">
        <f t="shared" si="12"/>
        <v/>
      </c>
      <c r="AA179" s="389" t="str">
        <f t="shared" si="13"/>
        <v>-</v>
      </c>
      <c r="AB179" s="389" t="str">
        <f t="shared" si="14"/>
        <v/>
      </c>
      <c r="AC179" s="390" t="str">
        <f t="shared" si="16"/>
        <v>-</v>
      </c>
    </row>
    <row r="180" spans="24:29" x14ac:dyDescent="0.25">
      <c r="X180" s="388">
        <f t="shared" si="15"/>
        <v>8.2916666666666856</v>
      </c>
      <c r="Y180" s="284" t="s">
        <v>608</v>
      </c>
      <c r="Z180" s="389" t="str">
        <f t="shared" si="12"/>
        <v/>
      </c>
      <c r="AA180" s="389" t="str">
        <f t="shared" si="13"/>
        <v>-</v>
      </c>
      <c r="AB180" s="389" t="str">
        <f t="shared" si="14"/>
        <v/>
      </c>
      <c r="AC180" s="390" t="str">
        <f t="shared" si="16"/>
        <v>-</v>
      </c>
    </row>
    <row r="181" spans="24:29" x14ac:dyDescent="0.25">
      <c r="X181" s="388">
        <f t="shared" si="15"/>
        <v>8.3333333333333517</v>
      </c>
      <c r="Y181" s="284" t="s">
        <v>608</v>
      </c>
      <c r="Z181" s="389" t="str">
        <f t="shared" si="12"/>
        <v/>
      </c>
      <c r="AA181" s="389" t="str">
        <f t="shared" si="13"/>
        <v>-</v>
      </c>
      <c r="AB181" s="389" t="str">
        <f t="shared" si="14"/>
        <v/>
      </c>
      <c r="AC181" s="390" t="str">
        <f t="shared" si="16"/>
        <v>-</v>
      </c>
    </row>
    <row r="182" spans="24:29" x14ac:dyDescent="0.25">
      <c r="X182" s="388">
        <f t="shared" si="15"/>
        <v>8.3750000000000178</v>
      </c>
      <c r="Y182" s="284" t="s">
        <v>608</v>
      </c>
      <c r="Z182" s="389" t="str">
        <f t="shared" si="12"/>
        <v/>
      </c>
      <c r="AA182" s="389" t="str">
        <f t="shared" si="13"/>
        <v>-</v>
      </c>
      <c r="AB182" s="389" t="str">
        <f t="shared" si="14"/>
        <v/>
      </c>
      <c r="AC182" s="390" t="str">
        <f t="shared" si="16"/>
        <v>-</v>
      </c>
    </row>
    <row r="183" spans="24:29" x14ac:dyDescent="0.25">
      <c r="X183" s="388">
        <f t="shared" si="15"/>
        <v>8.4166666666666838</v>
      </c>
      <c r="Y183" s="284" t="s">
        <v>608</v>
      </c>
      <c r="Z183" s="389" t="str">
        <f t="shared" si="12"/>
        <v/>
      </c>
      <c r="AA183" s="389" t="str">
        <f t="shared" si="13"/>
        <v>-</v>
      </c>
      <c r="AB183" s="389" t="str">
        <f t="shared" si="14"/>
        <v/>
      </c>
      <c r="AC183" s="390" t="str">
        <f t="shared" si="16"/>
        <v>-</v>
      </c>
    </row>
    <row r="184" spans="24:29" x14ac:dyDescent="0.25">
      <c r="X184" s="388">
        <f t="shared" si="15"/>
        <v>8.4583333333333499</v>
      </c>
      <c r="Y184" s="284" t="s">
        <v>608</v>
      </c>
      <c r="Z184" s="389" t="str">
        <f t="shared" si="12"/>
        <v/>
      </c>
      <c r="AA184" s="389" t="str">
        <f t="shared" si="13"/>
        <v>-</v>
      </c>
      <c r="AB184" s="389" t="str">
        <f t="shared" si="14"/>
        <v/>
      </c>
      <c r="AC184" s="390" t="str">
        <f t="shared" si="16"/>
        <v>-</v>
      </c>
    </row>
    <row r="185" spans="24:29" x14ac:dyDescent="0.25">
      <c r="X185" s="388">
        <f t="shared" si="15"/>
        <v>8.500000000000016</v>
      </c>
      <c r="Y185" s="284" t="s">
        <v>608</v>
      </c>
      <c r="Z185" s="389" t="str">
        <f t="shared" si="12"/>
        <v/>
      </c>
      <c r="AA185" s="389" t="str">
        <f t="shared" si="13"/>
        <v>-</v>
      </c>
      <c r="AB185" s="389" t="str">
        <f t="shared" si="14"/>
        <v/>
      </c>
      <c r="AC185" s="390" t="str">
        <f t="shared" si="16"/>
        <v>-</v>
      </c>
    </row>
    <row r="186" spans="24:29" x14ac:dyDescent="0.25">
      <c r="X186" s="388">
        <f t="shared" si="15"/>
        <v>8.5416666666666821</v>
      </c>
      <c r="Y186" s="284" t="s">
        <v>608</v>
      </c>
      <c r="Z186" s="389" t="str">
        <f t="shared" si="12"/>
        <v/>
      </c>
      <c r="AA186" s="389" t="str">
        <f t="shared" si="13"/>
        <v>-</v>
      </c>
      <c r="AB186" s="389" t="str">
        <f t="shared" si="14"/>
        <v/>
      </c>
      <c r="AC186" s="390" t="str">
        <f t="shared" si="16"/>
        <v>-</v>
      </c>
    </row>
    <row r="187" spans="24:29" x14ac:dyDescent="0.25">
      <c r="X187" s="388">
        <f t="shared" si="15"/>
        <v>8.5833333333333481</v>
      </c>
      <c r="Y187" s="284" t="s">
        <v>608</v>
      </c>
      <c r="Z187" s="389" t="str">
        <f t="shared" si="12"/>
        <v/>
      </c>
      <c r="AA187" s="389" t="str">
        <f t="shared" si="13"/>
        <v>-</v>
      </c>
      <c r="AB187" s="389" t="str">
        <f t="shared" si="14"/>
        <v/>
      </c>
      <c r="AC187" s="390" t="str">
        <f t="shared" si="16"/>
        <v>-</v>
      </c>
    </row>
    <row r="188" spans="24:29" x14ac:dyDescent="0.25">
      <c r="X188" s="388">
        <f t="shared" si="15"/>
        <v>8.6250000000000142</v>
      </c>
      <c r="Y188" s="284" t="s">
        <v>608</v>
      </c>
      <c r="Z188" s="389" t="str">
        <f t="shared" si="12"/>
        <v/>
      </c>
      <c r="AA188" s="389" t="str">
        <f t="shared" si="13"/>
        <v>-</v>
      </c>
      <c r="AB188" s="389" t="str">
        <f t="shared" si="14"/>
        <v/>
      </c>
      <c r="AC188" s="390" t="str">
        <f t="shared" si="16"/>
        <v>-</v>
      </c>
    </row>
    <row r="189" spans="24:29" x14ac:dyDescent="0.25">
      <c r="X189" s="388">
        <f t="shared" si="15"/>
        <v>8.6666666666666803</v>
      </c>
      <c r="Y189" s="284" t="s">
        <v>608</v>
      </c>
      <c r="Z189" s="389" t="str">
        <f t="shared" si="12"/>
        <v/>
      </c>
      <c r="AA189" s="389" t="str">
        <f t="shared" si="13"/>
        <v>-</v>
      </c>
      <c r="AB189" s="389" t="str">
        <f t="shared" si="14"/>
        <v/>
      </c>
      <c r="AC189" s="390" t="str">
        <f t="shared" si="16"/>
        <v>-</v>
      </c>
    </row>
    <row r="190" spans="24:29" x14ac:dyDescent="0.25">
      <c r="X190" s="388">
        <f t="shared" si="15"/>
        <v>8.7083333333333464</v>
      </c>
      <c r="Y190" s="284" t="s">
        <v>608</v>
      </c>
      <c r="Z190" s="389" t="str">
        <f t="shared" si="12"/>
        <v/>
      </c>
      <c r="AA190" s="389" t="str">
        <f t="shared" si="13"/>
        <v>-</v>
      </c>
      <c r="AB190" s="389" t="str">
        <f t="shared" si="14"/>
        <v/>
      </c>
      <c r="AC190" s="390" t="str">
        <f t="shared" si="16"/>
        <v>-</v>
      </c>
    </row>
    <row r="191" spans="24:29" x14ac:dyDescent="0.25">
      <c r="X191" s="388">
        <f t="shared" si="15"/>
        <v>8.7500000000000124</v>
      </c>
      <c r="Y191" s="284" t="s">
        <v>608</v>
      </c>
      <c r="Z191" s="389" t="str">
        <f t="shared" si="12"/>
        <v/>
      </c>
      <c r="AA191" s="389" t="str">
        <f t="shared" si="13"/>
        <v>-</v>
      </c>
      <c r="AB191" s="389" t="str">
        <f t="shared" si="14"/>
        <v/>
      </c>
      <c r="AC191" s="390" t="str">
        <f t="shared" si="16"/>
        <v>-</v>
      </c>
    </row>
    <row r="192" spans="24:29" x14ac:dyDescent="0.25">
      <c r="X192" s="388">
        <f t="shared" si="15"/>
        <v>8.7916666666666785</v>
      </c>
      <c r="Y192" s="284" t="s">
        <v>608</v>
      </c>
      <c r="Z192" s="389" t="str">
        <f t="shared" si="12"/>
        <v/>
      </c>
      <c r="AA192" s="389" t="str">
        <f t="shared" si="13"/>
        <v>-</v>
      </c>
      <c r="AB192" s="389" t="str">
        <f t="shared" si="14"/>
        <v/>
      </c>
      <c r="AC192" s="390" t="str">
        <f t="shared" si="16"/>
        <v>-</v>
      </c>
    </row>
    <row r="193" spans="24:29" x14ac:dyDescent="0.25">
      <c r="X193" s="388">
        <f t="shared" si="15"/>
        <v>8.8333333333333446</v>
      </c>
      <c r="Y193" s="284" t="s">
        <v>608</v>
      </c>
      <c r="Z193" s="389" t="str">
        <f t="shared" si="12"/>
        <v/>
      </c>
      <c r="AA193" s="389" t="str">
        <f t="shared" si="13"/>
        <v>-</v>
      </c>
      <c r="AB193" s="389" t="str">
        <f t="shared" si="14"/>
        <v/>
      </c>
      <c r="AC193" s="390" t="str">
        <f t="shared" si="16"/>
        <v>-</v>
      </c>
    </row>
    <row r="194" spans="24:29" x14ac:dyDescent="0.25">
      <c r="X194" s="388">
        <f t="shared" si="15"/>
        <v>8.8750000000000107</v>
      </c>
      <c r="Y194" s="284" t="s">
        <v>608</v>
      </c>
      <c r="Z194" s="389" t="str">
        <f t="shared" si="12"/>
        <v/>
      </c>
      <c r="AA194" s="389" t="str">
        <f t="shared" si="13"/>
        <v>-</v>
      </c>
      <c r="AB194" s="389" t="str">
        <f t="shared" si="14"/>
        <v/>
      </c>
      <c r="AC194" s="390" t="str">
        <f t="shared" si="16"/>
        <v>-</v>
      </c>
    </row>
    <row r="195" spans="24:29" x14ac:dyDescent="0.25">
      <c r="X195" s="388">
        <f t="shared" si="15"/>
        <v>8.9166666666666767</v>
      </c>
      <c r="Y195" s="284" t="s">
        <v>608</v>
      </c>
      <c r="Z195" s="389" t="str">
        <f t="shared" si="12"/>
        <v/>
      </c>
      <c r="AA195" s="389" t="str">
        <f t="shared" si="13"/>
        <v>-</v>
      </c>
      <c r="AB195" s="389" t="str">
        <f t="shared" si="14"/>
        <v/>
      </c>
      <c r="AC195" s="390" t="str">
        <f t="shared" si="16"/>
        <v>-</v>
      </c>
    </row>
    <row r="196" spans="24:29" x14ac:dyDescent="0.25">
      <c r="X196" s="388">
        <f t="shared" si="15"/>
        <v>8.9583333333333428</v>
      </c>
      <c r="Y196" s="284" t="s">
        <v>608</v>
      </c>
      <c r="Z196" s="389" t="str">
        <f t="shared" si="12"/>
        <v/>
      </c>
      <c r="AA196" s="389" t="str">
        <f t="shared" si="13"/>
        <v>-</v>
      </c>
      <c r="AB196" s="389" t="str">
        <f t="shared" si="14"/>
        <v/>
      </c>
      <c r="AC196" s="390" t="str">
        <f t="shared" si="16"/>
        <v>-</v>
      </c>
    </row>
    <row r="197" spans="24:29" x14ac:dyDescent="0.25">
      <c r="X197" s="388">
        <f t="shared" si="15"/>
        <v>9.0000000000000089</v>
      </c>
      <c r="Y197" s="284" t="s">
        <v>608</v>
      </c>
      <c r="Z197" s="389" t="str">
        <f t="shared" ref="Z197:Z205" si="17">IF(AND(X197&gt;=$V$27,X197&lt;$V$28),X197,"")</f>
        <v/>
      </c>
      <c r="AA197" s="389" t="str">
        <f t="shared" ref="AA197:AA205" si="18">IF(Z197=X197,Y197,"-")</f>
        <v>-</v>
      </c>
      <c r="AB197" s="389" t="str">
        <f t="shared" ref="AB197:AB205" si="19">IF(AND(X197&gt;=$V$29,X197&lt;$V$30),X197,"")</f>
        <v/>
      </c>
      <c r="AC197" s="390" t="str">
        <f t="shared" si="16"/>
        <v>-</v>
      </c>
    </row>
    <row r="198" spans="24:29" x14ac:dyDescent="0.25">
      <c r="X198" s="388">
        <f t="shared" ref="X198:X205" si="20">X197+$AA$2</f>
        <v>9.041666666666675</v>
      </c>
      <c r="Y198" s="284" t="s">
        <v>608</v>
      </c>
      <c r="Z198" s="389" t="str">
        <f t="shared" si="17"/>
        <v/>
      </c>
      <c r="AA198" s="389" t="str">
        <f t="shared" si="18"/>
        <v>-</v>
      </c>
      <c r="AB198" s="389" t="str">
        <f t="shared" si="19"/>
        <v/>
      </c>
      <c r="AC198" s="390" t="str">
        <f t="shared" ref="AC198:AC205" si="21">IF(AB198=X198,Y198,"-")</f>
        <v>-</v>
      </c>
    </row>
    <row r="199" spans="24:29" x14ac:dyDescent="0.25">
      <c r="X199" s="388">
        <f t="shared" si="20"/>
        <v>9.083333333333341</v>
      </c>
      <c r="Y199" s="284" t="s">
        <v>608</v>
      </c>
      <c r="Z199" s="389" t="str">
        <f t="shared" si="17"/>
        <v/>
      </c>
      <c r="AA199" s="389" t="str">
        <f t="shared" si="18"/>
        <v>-</v>
      </c>
      <c r="AB199" s="389" t="str">
        <f t="shared" si="19"/>
        <v/>
      </c>
      <c r="AC199" s="390" t="str">
        <f t="shared" si="21"/>
        <v>-</v>
      </c>
    </row>
    <row r="200" spans="24:29" x14ac:dyDescent="0.25">
      <c r="X200" s="388">
        <f t="shared" si="20"/>
        <v>9.1250000000000071</v>
      </c>
      <c r="Y200" s="284" t="s">
        <v>608</v>
      </c>
      <c r="Z200" s="389" t="str">
        <f t="shared" si="17"/>
        <v/>
      </c>
      <c r="AA200" s="389" t="str">
        <f t="shared" si="18"/>
        <v>-</v>
      </c>
      <c r="AB200" s="389" t="str">
        <f t="shared" si="19"/>
        <v/>
      </c>
      <c r="AC200" s="390" t="str">
        <f t="shared" si="21"/>
        <v>-</v>
      </c>
    </row>
    <row r="201" spans="24:29" x14ac:dyDescent="0.25">
      <c r="X201" s="388">
        <f t="shared" si="20"/>
        <v>9.1666666666666732</v>
      </c>
      <c r="Y201" s="284" t="s">
        <v>608</v>
      </c>
      <c r="Z201" s="389" t="str">
        <f t="shared" si="17"/>
        <v/>
      </c>
      <c r="AA201" s="389" t="str">
        <f t="shared" si="18"/>
        <v>-</v>
      </c>
      <c r="AB201" s="389" t="str">
        <f t="shared" si="19"/>
        <v/>
      </c>
      <c r="AC201" s="390" t="str">
        <f t="shared" si="21"/>
        <v>-</v>
      </c>
    </row>
    <row r="202" spans="24:29" x14ac:dyDescent="0.25">
      <c r="X202" s="388">
        <f t="shared" si="20"/>
        <v>9.2083333333333393</v>
      </c>
      <c r="Y202" s="284" t="s">
        <v>608</v>
      </c>
      <c r="Z202" s="389" t="str">
        <f t="shared" si="17"/>
        <v/>
      </c>
      <c r="AA202" s="389" t="str">
        <f t="shared" si="18"/>
        <v>-</v>
      </c>
      <c r="AB202" s="389" t="str">
        <f t="shared" si="19"/>
        <v/>
      </c>
      <c r="AC202" s="390" t="str">
        <f t="shared" si="21"/>
        <v>-</v>
      </c>
    </row>
    <row r="203" spans="24:29" x14ac:dyDescent="0.25">
      <c r="X203" s="388">
        <f t="shared" si="20"/>
        <v>9.2500000000000053</v>
      </c>
      <c r="Y203" s="284" t="s">
        <v>608</v>
      </c>
      <c r="Z203" s="389" t="str">
        <f t="shared" si="17"/>
        <v/>
      </c>
      <c r="AA203" s="389" t="str">
        <f t="shared" si="18"/>
        <v>-</v>
      </c>
      <c r="AB203" s="389" t="str">
        <f t="shared" si="19"/>
        <v/>
      </c>
      <c r="AC203" s="390" t="str">
        <f t="shared" si="21"/>
        <v>-</v>
      </c>
    </row>
    <row r="204" spans="24:29" x14ac:dyDescent="0.25">
      <c r="X204" s="388">
        <f t="shared" si="20"/>
        <v>9.2916666666666714</v>
      </c>
      <c r="Y204" s="284" t="s">
        <v>608</v>
      </c>
      <c r="Z204" s="389" t="str">
        <f t="shared" si="17"/>
        <v/>
      </c>
      <c r="AA204" s="389" t="str">
        <f t="shared" si="18"/>
        <v>-</v>
      </c>
      <c r="AB204" s="389" t="str">
        <f t="shared" si="19"/>
        <v/>
      </c>
      <c r="AC204" s="390" t="str">
        <f t="shared" si="21"/>
        <v>-</v>
      </c>
    </row>
    <row r="205" spans="24:29" x14ac:dyDescent="0.25">
      <c r="X205" s="391">
        <f t="shared" si="20"/>
        <v>9.3333333333333375</v>
      </c>
      <c r="Y205" s="392" t="s">
        <v>608</v>
      </c>
      <c r="Z205" s="393" t="str">
        <f t="shared" si="17"/>
        <v/>
      </c>
      <c r="AA205" s="393" t="str">
        <f t="shared" si="18"/>
        <v>-</v>
      </c>
      <c r="AB205" s="393" t="str">
        <f t="shared" si="19"/>
        <v/>
      </c>
      <c r="AC205" s="394" t="str">
        <f t="shared" si="21"/>
        <v>-</v>
      </c>
    </row>
  </sheetData>
  <mergeCells count="18">
    <mergeCell ref="A47:B51"/>
    <mergeCell ref="A25:A36"/>
    <mergeCell ref="T25:V25"/>
    <mergeCell ref="B26:B30"/>
    <mergeCell ref="T27:T28"/>
    <mergeCell ref="T29:T30"/>
    <mergeCell ref="B31:B35"/>
    <mergeCell ref="B36:C36"/>
    <mergeCell ref="X2:Y2"/>
    <mergeCell ref="AB2:AC2"/>
    <mergeCell ref="A4:B17"/>
    <mergeCell ref="T13:U13"/>
    <mergeCell ref="A40:B45"/>
    <mergeCell ref="A19:B23"/>
    <mergeCell ref="C19:D19"/>
    <mergeCell ref="C20:C21"/>
    <mergeCell ref="C22:C23"/>
    <mergeCell ref="A2:H2"/>
  </mergeCells>
  <conditionalFormatting sqref="D38">
    <cfRule type="cellIs" dxfId="32" priority="1" operator="equal">
      <formula>$C$51</formula>
    </cfRule>
    <cfRule type="cellIs" dxfId="31" priority="2" operator="equal">
      <formula>$C$50</formula>
    </cfRule>
    <cfRule type="cellIs" dxfId="30" priority="3" operator="equal">
      <formula>$C$48</formula>
    </cfRule>
    <cfRule type="cellIs" dxfId="29" priority="4" operator="equal">
      <formula>$C$49</formula>
    </cfRule>
  </conditionalFormatting>
  <dataValidations count="1">
    <dataValidation type="list" allowBlank="1" showInputMessage="1" showErrorMessage="1" sqref="D38">
      <formula1>$C$48:$C$51</formula1>
    </dataValidation>
  </dataValidations>
  <pageMargins left="0.511811024" right="0.511811024" top="0.78740157499999996" bottom="0.78740157499999996" header="0.31496062000000002" footer="0.31496062000000002"/>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dimension ref="A2:AC205"/>
  <sheetViews>
    <sheetView workbookViewId="0">
      <selection activeCell="K21" sqref="K21"/>
    </sheetView>
  </sheetViews>
  <sheetFormatPr defaultRowHeight="15" x14ac:dyDescent="0.25"/>
  <cols>
    <col min="1" max="2" width="5" customWidth="1"/>
    <col min="3" max="3" width="43.42578125" customWidth="1"/>
    <col min="4" max="7" width="12.140625" customWidth="1"/>
    <col min="8" max="8" width="13.85546875" customWidth="1"/>
    <col min="9" max="9" width="3.42578125" customWidth="1"/>
    <col min="10" max="10" width="9.85546875" customWidth="1"/>
    <col min="11" max="11" width="45.7109375" customWidth="1"/>
    <col min="12" max="12" width="14.5703125" customWidth="1"/>
    <col min="13" max="14" width="11.42578125" customWidth="1"/>
    <col min="15" max="15" width="33.28515625" customWidth="1"/>
    <col min="16" max="16" width="12.42578125" customWidth="1"/>
    <col min="17" max="17" width="14.28515625" customWidth="1"/>
    <col min="18" max="18" width="12.85546875" customWidth="1"/>
    <col min="19" max="19" width="9.42578125" customWidth="1"/>
    <col min="20" max="20" width="28.7109375" customWidth="1"/>
    <col min="21" max="21" width="10.140625" customWidth="1"/>
    <col min="22" max="22" width="11.28515625" customWidth="1"/>
    <col min="23" max="23" width="5.7109375" customWidth="1"/>
    <col min="24" max="24" width="21" customWidth="1"/>
    <col min="25" max="25" width="6.5703125" customWidth="1"/>
    <col min="26" max="26" width="14" customWidth="1"/>
    <col min="27" max="27" width="6.5703125" customWidth="1"/>
    <col min="28" max="28" width="13" customWidth="1"/>
    <col min="29" max="29" width="11.85546875" customWidth="1"/>
  </cols>
  <sheetData>
    <row r="2" spans="1:29" ht="15.75" customHeight="1" x14ac:dyDescent="0.25">
      <c r="A2" s="697" t="s">
        <v>946</v>
      </c>
      <c r="B2" s="697"/>
      <c r="C2" s="697"/>
      <c r="D2" s="697"/>
      <c r="E2" s="697"/>
      <c r="F2" s="697"/>
      <c r="G2" s="697"/>
      <c r="H2" s="733"/>
      <c r="X2" s="704" t="s">
        <v>597</v>
      </c>
      <c r="Y2" s="704"/>
      <c r="Z2" s="291" t="s">
        <v>693</v>
      </c>
      <c r="AA2" s="375">
        <v>4.1666666666666664E-2</v>
      </c>
      <c r="AB2" s="705" t="s">
        <v>598</v>
      </c>
      <c r="AC2" s="705"/>
    </row>
    <row r="3" spans="1:29" ht="15.75" x14ac:dyDescent="0.25">
      <c r="D3" s="322"/>
      <c r="E3" s="264"/>
      <c r="X3" s="395"/>
      <c r="Y3" s="395"/>
      <c r="Z3" s="291"/>
      <c r="AA3" s="375"/>
      <c r="AB3" s="396"/>
      <c r="AC3" s="396"/>
    </row>
    <row r="4" spans="1:29" ht="31.5" customHeight="1" x14ac:dyDescent="0.25">
      <c r="A4" s="706" t="s">
        <v>599</v>
      </c>
      <c r="B4" s="706"/>
      <c r="C4" s="445" t="s">
        <v>600</v>
      </c>
      <c r="D4" s="445" t="s">
        <v>601</v>
      </c>
      <c r="E4" s="445" t="s">
        <v>28</v>
      </c>
      <c r="F4" s="446" t="s">
        <v>602</v>
      </c>
      <c r="G4" s="39"/>
      <c r="X4" s="381" t="s">
        <v>604</v>
      </c>
      <c r="Y4" s="382" t="s">
        <v>715</v>
      </c>
      <c r="Z4" s="379" t="s">
        <v>701</v>
      </c>
      <c r="AA4" s="379" t="s">
        <v>715</v>
      </c>
      <c r="AB4" s="380" t="s">
        <v>605</v>
      </c>
      <c r="AC4" s="380" t="s">
        <v>606</v>
      </c>
    </row>
    <row r="5" spans="1:29" ht="16.5" customHeight="1" x14ac:dyDescent="0.25">
      <c r="A5" s="706"/>
      <c r="B5" s="706"/>
      <c r="C5" s="292" t="s">
        <v>524</v>
      </c>
      <c r="D5" s="293">
        <f>SUM(D7:D17)</f>
        <v>2746.3131806782676</v>
      </c>
      <c r="E5" s="294" t="s">
        <v>612</v>
      </c>
      <c r="F5" s="295"/>
      <c r="G5" s="409"/>
      <c r="T5" s="264"/>
      <c r="X5" s="384">
        <v>1</v>
      </c>
      <c r="Y5" s="385" t="s">
        <v>608</v>
      </c>
      <c r="Z5" s="386" t="str">
        <f t="shared" ref="Z5:Z68" si="0">IF(AND(X5&gt;=$V$27,X5&lt;$V$28),X5,"")</f>
        <v/>
      </c>
      <c r="AA5" s="386" t="str">
        <f t="shared" ref="AA5:AA68" si="1">IF(Z5=X5,Y5,"-")</f>
        <v>-</v>
      </c>
      <c r="AB5" s="386" t="str">
        <f t="shared" ref="AB5:AB68" si="2">IF(AND(X5&gt;=$V$29,X5&lt;$V$30),X5,"")</f>
        <v/>
      </c>
      <c r="AC5" s="387" t="str">
        <f>IF(AB5=X5,Y5,"-")</f>
        <v>-</v>
      </c>
    </row>
    <row r="6" spans="1:29" ht="15.75" x14ac:dyDescent="0.25">
      <c r="A6" s="706"/>
      <c r="B6" s="706"/>
      <c r="C6" s="268" t="s">
        <v>570</v>
      </c>
      <c r="D6" s="267"/>
      <c r="E6" s="300"/>
      <c r="F6" s="301"/>
      <c r="G6" s="259"/>
      <c r="T6" s="264"/>
      <c r="X6" s="388">
        <f t="shared" ref="X6:X37" si="3">X5+$AA$2</f>
        <v>1.0416666666666667</v>
      </c>
      <c r="Y6" s="284" t="s">
        <v>608</v>
      </c>
      <c r="Z6" s="389" t="str">
        <f t="shared" si="0"/>
        <v/>
      </c>
      <c r="AA6" s="389" t="str">
        <f t="shared" si="1"/>
        <v>-</v>
      </c>
      <c r="AB6" s="389" t="str">
        <f t="shared" si="2"/>
        <v/>
      </c>
      <c r="AC6" s="390" t="str">
        <f t="shared" ref="AC6:AC69" si="4">IF(AB6=X6,Y6,"-")</f>
        <v>-</v>
      </c>
    </row>
    <row r="7" spans="1:29" ht="15.75" customHeight="1" x14ac:dyDescent="0.25">
      <c r="A7" s="706"/>
      <c r="B7" s="706"/>
      <c r="C7" s="269" t="s">
        <v>611</v>
      </c>
      <c r="D7" s="267">
        <f>'Iluminação - EST'!I5</f>
        <v>15.428571428571427</v>
      </c>
      <c r="E7" s="300" t="s">
        <v>612</v>
      </c>
      <c r="F7" s="301">
        <v>0</v>
      </c>
      <c r="G7" s="259"/>
      <c r="T7" s="264"/>
      <c r="X7" s="388">
        <f t="shared" si="3"/>
        <v>1.0833333333333335</v>
      </c>
      <c r="Y7" s="284" t="s">
        <v>608</v>
      </c>
      <c r="Z7" s="389" t="str">
        <f t="shared" si="0"/>
        <v/>
      </c>
      <c r="AA7" s="389" t="str">
        <f t="shared" si="1"/>
        <v>-</v>
      </c>
      <c r="AB7" s="389" t="str">
        <f t="shared" si="2"/>
        <v/>
      </c>
      <c r="AC7" s="390" t="str">
        <f t="shared" si="4"/>
        <v>-</v>
      </c>
    </row>
    <row r="8" spans="1:29" ht="15.75" x14ac:dyDescent="0.25">
      <c r="A8" s="706"/>
      <c r="B8" s="706"/>
      <c r="C8" s="269" t="s">
        <v>613</v>
      </c>
      <c r="D8" s="285">
        <f>'Iluminação - EST'!I9</f>
        <v>202.3536</v>
      </c>
      <c r="E8" s="275" t="s">
        <v>612</v>
      </c>
      <c r="F8" s="287">
        <v>0</v>
      </c>
      <c r="T8" s="264"/>
      <c r="X8" s="388">
        <f t="shared" si="3"/>
        <v>1.1250000000000002</v>
      </c>
      <c r="Y8" s="284" t="s">
        <v>608</v>
      </c>
      <c r="Z8" s="389" t="str">
        <f t="shared" si="0"/>
        <v/>
      </c>
      <c r="AA8" s="389" t="str">
        <f t="shared" si="1"/>
        <v>-</v>
      </c>
      <c r="AB8" s="389" t="str">
        <f t="shared" si="2"/>
        <v/>
      </c>
      <c r="AC8" s="390" t="str">
        <f t="shared" si="4"/>
        <v>-</v>
      </c>
    </row>
    <row r="9" spans="1:29" ht="15.75" x14ac:dyDescent="0.25">
      <c r="A9" s="706"/>
      <c r="B9" s="706"/>
      <c r="C9" s="269" t="s">
        <v>616</v>
      </c>
      <c r="D9" s="267">
        <v>39</v>
      </c>
      <c r="E9" s="300" t="s">
        <v>612</v>
      </c>
      <c r="F9" s="301">
        <v>0</v>
      </c>
      <c r="G9" s="259"/>
      <c r="T9" s="264"/>
      <c r="X9" s="388">
        <f t="shared" si="3"/>
        <v>1.166666666666667</v>
      </c>
      <c r="Y9" s="284" t="s">
        <v>608</v>
      </c>
      <c r="Z9" s="389" t="str">
        <f t="shared" si="0"/>
        <v/>
      </c>
      <c r="AA9" s="389" t="str">
        <f t="shared" si="1"/>
        <v>-</v>
      </c>
      <c r="AB9" s="389" t="str">
        <f t="shared" si="2"/>
        <v/>
      </c>
      <c r="AC9" s="390" t="str">
        <f t="shared" si="4"/>
        <v>-</v>
      </c>
    </row>
    <row r="10" spans="1:29" ht="15.75" x14ac:dyDescent="0.25">
      <c r="A10" s="706"/>
      <c r="B10" s="706"/>
      <c r="C10" s="268" t="s">
        <v>741</v>
      </c>
      <c r="D10" s="267"/>
      <c r="E10" s="300"/>
      <c r="F10" s="301"/>
      <c r="G10" s="259"/>
      <c r="S10" s="264"/>
      <c r="T10" s="264"/>
      <c r="X10" s="388">
        <f t="shared" si="3"/>
        <v>1.2083333333333337</v>
      </c>
      <c r="Y10" s="284" t="s">
        <v>608</v>
      </c>
      <c r="Z10" s="389" t="str">
        <f t="shared" si="0"/>
        <v/>
      </c>
      <c r="AA10" s="389" t="str">
        <f t="shared" si="1"/>
        <v>-</v>
      </c>
      <c r="AB10" s="389" t="str">
        <f t="shared" si="2"/>
        <v/>
      </c>
      <c r="AC10" s="390" t="str">
        <f t="shared" si="4"/>
        <v>-</v>
      </c>
    </row>
    <row r="11" spans="1:29" ht="15.75" x14ac:dyDescent="0.25">
      <c r="A11" s="706"/>
      <c r="B11" s="706"/>
      <c r="C11" s="269" t="s">
        <v>620</v>
      </c>
      <c r="D11" s="267">
        <f>'Iluminação - EST'!I6</f>
        <v>25.714285714285715</v>
      </c>
      <c r="E11" s="300" t="s">
        <v>612</v>
      </c>
      <c r="F11" s="301">
        <v>0</v>
      </c>
      <c r="G11" s="259"/>
      <c r="U11" s="288"/>
      <c r="V11" s="288"/>
      <c r="W11" s="288"/>
      <c r="X11" s="388">
        <f t="shared" si="3"/>
        <v>1.2500000000000004</v>
      </c>
      <c r="Y11" s="284" t="s">
        <v>608</v>
      </c>
      <c r="Z11" s="389" t="str">
        <f t="shared" si="0"/>
        <v/>
      </c>
      <c r="AA11" s="389" t="str">
        <f t="shared" si="1"/>
        <v>-</v>
      </c>
      <c r="AB11" s="389" t="str">
        <f t="shared" si="2"/>
        <v/>
      </c>
      <c r="AC11" s="390" t="str">
        <f t="shared" si="4"/>
        <v>-</v>
      </c>
    </row>
    <row r="12" spans="1:29" ht="15.75" x14ac:dyDescent="0.25">
      <c r="A12" s="706"/>
      <c r="B12" s="706"/>
      <c r="C12" s="269" t="s">
        <v>622</v>
      </c>
      <c r="D12" s="267">
        <v>94</v>
      </c>
      <c r="E12" s="300" t="s">
        <v>612</v>
      </c>
      <c r="F12" s="301">
        <v>0</v>
      </c>
      <c r="G12" s="259"/>
      <c r="X12" s="388">
        <f t="shared" si="3"/>
        <v>1.2916666666666672</v>
      </c>
      <c r="Y12" s="284" t="s">
        <v>608</v>
      </c>
      <c r="Z12" s="389" t="str">
        <f t="shared" si="0"/>
        <v/>
      </c>
      <c r="AA12" s="389" t="str">
        <f t="shared" si="1"/>
        <v>-</v>
      </c>
      <c r="AB12" s="389" t="str">
        <f t="shared" si="2"/>
        <v/>
      </c>
      <c r="AC12" s="390" t="str">
        <f t="shared" si="4"/>
        <v>-</v>
      </c>
    </row>
    <row r="13" spans="1:29" ht="15.75" x14ac:dyDescent="0.25">
      <c r="A13" s="706"/>
      <c r="B13" s="706"/>
      <c r="C13" s="269" t="s">
        <v>624</v>
      </c>
      <c r="D13" s="267">
        <v>31</v>
      </c>
      <c r="E13" s="300" t="s">
        <v>612</v>
      </c>
      <c r="F13" s="301">
        <v>0</v>
      </c>
      <c r="G13" s="259"/>
      <c r="T13" s="707" t="s">
        <v>682</v>
      </c>
      <c r="U13" s="708"/>
      <c r="V13" s="288"/>
      <c r="W13" s="288"/>
      <c r="X13" s="388">
        <f t="shared" si="3"/>
        <v>1.3333333333333339</v>
      </c>
      <c r="Y13" s="284" t="s">
        <v>608</v>
      </c>
      <c r="Z13" s="389">
        <f t="shared" si="0"/>
        <v>1.3333333333333339</v>
      </c>
      <c r="AA13" s="389" t="str">
        <f t="shared" si="1"/>
        <v>F</v>
      </c>
      <c r="AB13" s="389" t="str">
        <f t="shared" si="2"/>
        <v/>
      </c>
      <c r="AC13" s="390" t="str">
        <f t="shared" si="4"/>
        <v>-</v>
      </c>
    </row>
    <row r="14" spans="1:29" ht="15.75" x14ac:dyDescent="0.25">
      <c r="A14" s="706"/>
      <c r="B14" s="706"/>
      <c r="C14" s="268" t="s">
        <v>626</v>
      </c>
      <c r="D14" s="267"/>
      <c r="E14" s="300"/>
      <c r="F14" s="301"/>
      <c r="G14" s="259"/>
      <c r="T14" s="330">
        <f>'MAT SER E DESP - EST'!C10</f>
        <v>0.33333333333333331</v>
      </c>
      <c r="U14" s="331">
        <f>SUM(U15:U16)</f>
        <v>8</v>
      </c>
      <c r="V14" s="288"/>
      <c r="W14" s="288"/>
      <c r="X14" s="388">
        <f t="shared" si="3"/>
        <v>1.3750000000000007</v>
      </c>
      <c r="Y14" s="284" t="s">
        <v>608</v>
      </c>
      <c r="Z14" s="389">
        <f t="shared" si="0"/>
        <v>1.3750000000000007</v>
      </c>
      <c r="AA14" s="389" t="str">
        <f t="shared" si="1"/>
        <v>F</v>
      </c>
      <c r="AB14" s="389" t="str">
        <f t="shared" si="2"/>
        <v/>
      </c>
      <c r="AC14" s="390" t="str">
        <f t="shared" si="4"/>
        <v>-</v>
      </c>
    </row>
    <row r="15" spans="1:29" ht="15.75" x14ac:dyDescent="0.25">
      <c r="A15" s="706"/>
      <c r="B15" s="706"/>
      <c r="C15" s="269" t="s">
        <v>611</v>
      </c>
      <c r="D15" s="267">
        <f>'Iluminação - EST'!I7+'Iluminação - EST'!I8</f>
        <v>1330.8582857142858</v>
      </c>
      <c r="E15" s="300" t="s">
        <v>612</v>
      </c>
      <c r="F15" s="301">
        <v>0</v>
      </c>
      <c r="G15" s="259"/>
      <c r="T15" s="332">
        <f>HOUR(T14)</f>
        <v>8</v>
      </c>
      <c r="U15" s="333">
        <f>T15</f>
        <v>8</v>
      </c>
      <c r="V15" s="288"/>
      <c r="W15" s="288"/>
      <c r="X15" s="388">
        <f t="shared" si="3"/>
        <v>1.4166666666666674</v>
      </c>
      <c r="Y15" s="284" t="s">
        <v>608</v>
      </c>
      <c r="Z15" s="389">
        <f t="shared" si="0"/>
        <v>1.4166666666666674</v>
      </c>
      <c r="AA15" s="389" t="str">
        <f t="shared" si="1"/>
        <v>F</v>
      </c>
      <c r="AB15" s="389" t="str">
        <f t="shared" si="2"/>
        <v/>
      </c>
      <c r="AC15" s="390" t="str">
        <f t="shared" si="4"/>
        <v>-</v>
      </c>
    </row>
    <row r="16" spans="1:29" ht="15.75" x14ac:dyDescent="0.25">
      <c r="A16" s="706"/>
      <c r="B16" s="706"/>
      <c r="C16" s="269" t="s">
        <v>629</v>
      </c>
      <c r="D16" s="267">
        <f>'Equipamentos - EST'!C18</f>
        <v>898.63263799331548</v>
      </c>
      <c r="E16" s="300" t="s">
        <v>630</v>
      </c>
      <c r="F16" s="301">
        <v>1</v>
      </c>
      <c r="G16" s="259"/>
      <c r="T16" s="334">
        <f>MINUTE(T14)</f>
        <v>0</v>
      </c>
      <c r="U16" s="335">
        <f>T16/60</f>
        <v>0</v>
      </c>
      <c r="V16" s="288"/>
      <c r="W16" s="288"/>
      <c r="X16" s="388">
        <f t="shared" si="3"/>
        <v>1.4583333333333341</v>
      </c>
      <c r="Y16" s="284" t="s">
        <v>608</v>
      </c>
      <c r="Z16" s="389">
        <f t="shared" si="0"/>
        <v>1.4583333333333341</v>
      </c>
      <c r="AA16" s="389" t="str">
        <f t="shared" si="1"/>
        <v>F</v>
      </c>
      <c r="AB16" s="389" t="str">
        <f t="shared" si="2"/>
        <v/>
      </c>
      <c r="AC16" s="390" t="str">
        <f t="shared" si="4"/>
        <v>-</v>
      </c>
    </row>
    <row r="17" spans="1:29" ht="15.75" x14ac:dyDescent="0.25">
      <c r="A17" s="706"/>
      <c r="B17" s="706"/>
      <c r="C17" s="308" t="s">
        <v>632</v>
      </c>
      <c r="D17" s="289">
        <f>'Equipamentos - EST'!C35</f>
        <v>109.3257998278096</v>
      </c>
      <c r="E17" s="309" t="s">
        <v>612</v>
      </c>
      <c r="F17" s="310">
        <v>1</v>
      </c>
      <c r="G17" s="259"/>
      <c r="X17" s="388">
        <f t="shared" si="3"/>
        <v>1.5000000000000009</v>
      </c>
      <c r="Y17" s="284" t="s">
        <v>608</v>
      </c>
      <c r="Z17" s="389">
        <f t="shared" si="0"/>
        <v>1.5000000000000009</v>
      </c>
      <c r="AA17" s="389" t="str">
        <f t="shared" si="1"/>
        <v>F</v>
      </c>
      <c r="AB17" s="389" t="str">
        <f t="shared" si="2"/>
        <v/>
      </c>
      <c r="AC17" s="390" t="str">
        <f t="shared" si="4"/>
        <v>-</v>
      </c>
    </row>
    <row r="18" spans="1:29" x14ac:dyDescent="0.25">
      <c r="B18" s="455"/>
      <c r="T18" s="336" t="s">
        <v>683</v>
      </c>
      <c r="U18" s="327">
        <v>0.73549900000000001</v>
      </c>
      <c r="X18" s="388">
        <f t="shared" si="3"/>
        <v>1.5416666666666676</v>
      </c>
      <c r="Y18" s="284" t="s">
        <v>608</v>
      </c>
      <c r="Z18" s="389">
        <f t="shared" si="0"/>
        <v>1.5416666666666676</v>
      </c>
      <c r="AA18" s="389" t="str">
        <f t="shared" si="1"/>
        <v>F</v>
      </c>
      <c r="AB18" s="389" t="str">
        <f t="shared" si="2"/>
        <v/>
      </c>
      <c r="AC18" s="390" t="str">
        <f t="shared" si="4"/>
        <v>-</v>
      </c>
    </row>
    <row r="19" spans="1:29" ht="18" customHeight="1" x14ac:dyDescent="0.25">
      <c r="A19" s="706" t="s">
        <v>707</v>
      </c>
      <c r="B19" s="706"/>
      <c r="C19" s="715" t="s">
        <v>708</v>
      </c>
      <c r="D19" s="715"/>
      <c r="E19" s="368" t="s">
        <v>709</v>
      </c>
      <c r="F19" s="369" t="s">
        <v>710</v>
      </c>
      <c r="G19" s="408"/>
      <c r="X19" s="388">
        <f t="shared" si="3"/>
        <v>1.5833333333333344</v>
      </c>
      <c r="Y19" s="284" t="s">
        <v>608</v>
      </c>
      <c r="Z19" s="389">
        <f t="shared" si="0"/>
        <v>1.5833333333333344</v>
      </c>
      <c r="AA19" s="389" t="str">
        <f t="shared" si="1"/>
        <v>F</v>
      </c>
      <c r="AB19" s="389" t="str">
        <f t="shared" si="2"/>
        <v/>
      </c>
      <c r="AC19" s="390" t="str">
        <f t="shared" si="4"/>
        <v>-</v>
      </c>
    </row>
    <row r="20" spans="1:29" x14ac:dyDescent="0.25">
      <c r="A20" s="706"/>
      <c r="B20" s="706"/>
      <c r="C20" s="716" t="s">
        <v>699</v>
      </c>
      <c r="D20" s="316" t="s">
        <v>689</v>
      </c>
      <c r="E20" s="456">
        <f>'MAT SER E DESP - EST'!C11</f>
        <v>0.3125</v>
      </c>
      <c r="F20" s="457">
        <v>1</v>
      </c>
      <c r="G20" s="410"/>
      <c r="T20" s="372" t="s">
        <v>684</v>
      </c>
      <c r="U20" s="373"/>
      <c r="V20" s="329"/>
      <c r="X20" s="388">
        <f t="shared" si="3"/>
        <v>1.6250000000000011</v>
      </c>
      <c r="Y20" s="284" t="s">
        <v>608</v>
      </c>
      <c r="Z20" s="389">
        <f t="shared" si="0"/>
        <v>1.6250000000000011</v>
      </c>
      <c r="AA20" s="389" t="str">
        <f t="shared" si="1"/>
        <v>F</v>
      </c>
      <c r="AB20" s="389" t="str">
        <f t="shared" si="2"/>
        <v/>
      </c>
      <c r="AC20" s="390" t="str">
        <f t="shared" si="4"/>
        <v>-</v>
      </c>
    </row>
    <row r="21" spans="1:29" x14ac:dyDescent="0.25">
      <c r="A21" s="706"/>
      <c r="B21" s="706"/>
      <c r="C21" s="717"/>
      <c r="D21" s="275" t="s">
        <v>690</v>
      </c>
      <c r="E21" s="459">
        <f>'MAT SER E DESP - EST'!C12</f>
        <v>0.68749999999999989</v>
      </c>
      <c r="F21" s="460">
        <v>1</v>
      </c>
      <c r="G21" s="410"/>
      <c r="T21" s="296" t="s">
        <v>678</v>
      </c>
      <c r="U21" s="316">
        <v>91</v>
      </c>
      <c r="V21" s="298" t="s">
        <v>685</v>
      </c>
      <c r="X21" s="388">
        <f t="shared" si="3"/>
        <v>1.6666666666666679</v>
      </c>
      <c r="Y21" s="284" t="s">
        <v>608</v>
      </c>
      <c r="Z21" s="389">
        <f t="shared" si="0"/>
        <v>1.6666666666666679</v>
      </c>
      <c r="AA21" s="389" t="str">
        <f t="shared" si="1"/>
        <v>F</v>
      </c>
      <c r="AB21" s="389" t="str">
        <f t="shared" si="2"/>
        <v/>
      </c>
      <c r="AC21" s="390" t="str">
        <f t="shared" si="4"/>
        <v>-</v>
      </c>
    </row>
    <row r="22" spans="1:29" x14ac:dyDescent="0.25">
      <c r="A22" s="706"/>
      <c r="B22" s="706"/>
      <c r="C22" s="717" t="s">
        <v>700</v>
      </c>
      <c r="D22" s="275" t="s">
        <v>689</v>
      </c>
      <c r="E22" s="461">
        <v>0.79166666666666663</v>
      </c>
      <c r="F22" s="460">
        <f>F21</f>
        <v>1</v>
      </c>
      <c r="G22" s="410"/>
      <c r="T22" s="302" t="s">
        <v>679</v>
      </c>
      <c r="U22" s="275">
        <v>55</v>
      </c>
      <c r="V22" s="287" t="s">
        <v>685</v>
      </c>
      <c r="X22" s="388">
        <f t="shared" si="3"/>
        <v>1.7083333333333346</v>
      </c>
      <c r="Y22" s="284" t="s">
        <v>637</v>
      </c>
      <c r="Z22" s="389" t="str">
        <f t="shared" si="0"/>
        <v/>
      </c>
      <c r="AA22" s="389" t="str">
        <f t="shared" si="1"/>
        <v>-</v>
      </c>
      <c r="AB22" s="389" t="str">
        <f t="shared" si="2"/>
        <v/>
      </c>
      <c r="AC22" s="390" t="str">
        <f t="shared" si="4"/>
        <v>-</v>
      </c>
    </row>
    <row r="23" spans="1:29" ht="15.75" x14ac:dyDescent="0.25">
      <c r="A23" s="706"/>
      <c r="B23" s="706"/>
      <c r="C23" s="718"/>
      <c r="D23" s="279" t="s">
        <v>690</v>
      </c>
      <c r="E23" s="462">
        <v>0.29166666666666669</v>
      </c>
      <c r="F23" s="458">
        <v>2</v>
      </c>
      <c r="G23" s="410"/>
      <c r="T23" s="269" t="s">
        <v>703</v>
      </c>
      <c r="U23" s="266">
        <v>55</v>
      </c>
      <c r="V23" s="270" t="s">
        <v>685</v>
      </c>
      <c r="X23" s="388">
        <f t="shared" si="3"/>
        <v>1.7500000000000013</v>
      </c>
      <c r="Y23" s="284" t="s">
        <v>638</v>
      </c>
      <c r="Z23" s="389" t="str">
        <f t="shared" si="0"/>
        <v/>
      </c>
      <c r="AA23" s="389" t="str">
        <f t="shared" si="1"/>
        <v>-</v>
      </c>
      <c r="AB23" s="389" t="str">
        <f t="shared" si="2"/>
        <v/>
      </c>
      <c r="AC23" s="390" t="str">
        <f t="shared" si="4"/>
        <v>-</v>
      </c>
    </row>
    <row r="24" spans="1:29" ht="15.75" customHeight="1" x14ac:dyDescent="0.25">
      <c r="T24" s="308" t="s">
        <v>704</v>
      </c>
      <c r="U24" s="290">
        <v>130</v>
      </c>
      <c r="V24" s="355" t="s">
        <v>685</v>
      </c>
      <c r="X24" s="388">
        <f t="shared" si="3"/>
        <v>1.7916666666666681</v>
      </c>
      <c r="Y24" s="284" t="s">
        <v>638</v>
      </c>
      <c r="Z24" s="389" t="str">
        <f t="shared" si="0"/>
        <v/>
      </c>
      <c r="AA24" s="389" t="str">
        <f t="shared" si="1"/>
        <v>-</v>
      </c>
      <c r="AB24" s="389">
        <f t="shared" si="2"/>
        <v>1.7916666666666681</v>
      </c>
      <c r="AC24" s="390" t="str">
        <f t="shared" si="4"/>
        <v>P</v>
      </c>
    </row>
    <row r="25" spans="1:29" ht="15" customHeight="1" x14ac:dyDescent="0.25">
      <c r="A25" s="719" t="s">
        <v>712</v>
      </c>
      <c r="B25" s="454" t="s">
        <v>766</v>
      </c>
      <c r="C25" s="315" t="s">
        <v>542</v>
      </c>
      <c r="D25" s="315" t="s">
        <v>692</v>
      </c>
      <c r="E25" s="315" t="s">
        <v>487</v>
      </c>
      <c r="F25" s="315" t="s">
        <v>940</v>
      </c>
      <c r="G25" s="47"/>
      <c r="T25" s="722" t="s">
        <v>686</v>
      </c>
      <c r="U25" s="723"/>
      <c r="V25" s="724"/>
      <c r="X25" s="388">
        <f t="shared" si="3"/>
        <v>1.8333333333333348</v>
      </c>
      <c r="Y25" s="284" t="s">
        <v>638</v>
      </c>
      <c r="Z25" s="389" t="str">
        <f t="shared" si="0"/>
        <v/>
      </c>
      <c r="AA25" s="389" t="str">
        <f t="shared" si="1"/>
        <v>-</v>
      </c>
      <c r="AB25" s="389">
        <f t="shared" si="2"/>
        <v>1.8333333333333348</v>
      </c>
      <c r="AC25" s="390" t="str">
        <f t="shared" si="4"/>
        <v>P</v>
      </c>
    </row>
    <row r="26" spans="1:29" ht="15.75" customHeight="1" x14ac:dyDescent="0.25">
      <c r="A26" s="720"/>
      <c r="B26" s="719" t="s">
        <v>701</v>
      </c>
      <c r="C26" s="463" t="s">
        <v>711</v>
      </c>
      <c r="D26" s="464">
        <f>COUNTIF($AA$5:$AA$205,"&lt;&gt;-")</f>
        <v>9</v>
      </c>
      <c r="E26" s="456"/>
      <c r="F26" s="298"/>
      <c r="G26" s="47"/>
      <c r="T26" s="338" t="s">
        <v>687</v>
      </c>
      <c r="U26" s="339"/>
      <c r="V26" s="340"/>
      <c r="X26" s="388">
        <f t="shared" si="3"/>
        <v>1.8750000000000016</v>
      </c>
      <c r="Y26" s="284" t="s">
        <v>637</v>
      </c>
      <c r="Z26" s="389" t="str">
        <f t="shared" si="0"/>
        <v/>
      </c>
      <c r="AA26" s="389" t="str">
        <f t="shared" si="1"/>
        <v>-</v>
      </c>
      <c r="AB26" s="389">
        <f t="shared" si="2"/>
        <v>1.8750000000000016</v>
      </c>
      <c r="AC26" s="390" t="str">
        <f t="shared" si="4"/>
        <v>I</v>
      </c>
    </row>
    <row r="27" spans="1:29" ht="15.75" customHeight="1" x14ac:dyDescent="0.25">
      <c r="A27" s="720"/>
      <c r="B27" s="720"/>
      <c r="C27" s="465" t="s">
        <v>594</v>
      </c>
      <c r="D27" s="284">
        <f>COUNTIF($AA$5:$AA$205,"=F")</f>
        <v>9</v>
      </c>
      <c r="E27" s="466">
        <f>D27/D26</f>
        <v>1</v>
      </c>
      <c r="F27" s="312">
        <f>($D$5-$D$8)*E27</f>
        <v>2543.9595806782677</v>
      </c>
      <c r="T27" s="725" t="s">
        <v>688</v>
      </c>
      <c r="U27" s="296" t="s">
        <v>689</v>
      </c>
      <c r="V27" s="341">
        <f>E20+F20</f>
        <v>1.3125</v>
      </c>
      <c r="X27" s="388">
        <f t="shared" si="3"/>
        <v>1.9166666666666683</v>
      </c>
      <c r="Y27" s="284" t="s">
        <v>608</v>
      </c>
      <c r="Z27" s="389" t="str">
        <f t="shared" si="0"/>
        <v/>
      </c>
      <c r="AA27" s="389" t="str">
        <f t="shared" si="1"/>
        <v>-</v>
      </c>
      <c r="AB27" s="389">
        <f t="shared" si="2"/>
        <v>1.9166666666666683</v>
      </c>
      <c r="AC27" s="390" t="str">
        <f t="shared" si="4"/>
        <v>F</v>
      </c>
    </row>
    <row r="28" spans="1:29" ht="15.75" customHeight="1" x14ac:dyDescent="0.25">
      <c r="A28" s="720"/>
      <c r="B28" s="720"/>
      <c r="C28" s="465" t="s">
        <v>595</v>
      </c>
      <c r="D28" s="284">
        <f>COUNTIF($AA$5:$AA$205,"=I")</f>
        <v>0</v>
      </c>
      <c r="E28" s="466">
        <f>D28/D26</f>
        <v>0</v>
      </c>
      <c r="F28" s="312">
        <f t="shared" ref="F28:F29" si="5">($D$5-$D$8)*E28</f>
        <v>0</v>
      </c>
      <c r="G28" s="322"/>
      <c r="T28" s="726"/>
      <c r="U28" s="305" t="s">
        <v>690</v>
      </c>
      <c r="V28" s="352">
        <f>E21+F21</f>
        <v>1.6875</v>
      </c>
      <c r="X28" s="388">
        <f t="shared" si="3"/>
        <v>1.958333333333335</v>
      </c>
      <c r="Y28" s="284" t="s">
        <v>608</v>
      </c>
      <c r="Z28" s="389" t="str">
        <f t="shared" si="0"/>
        <v/>
      </c>
      <c r="AA28" s="389" t="str">
        <f t="shared" si="1"/>
        <v>-</v>
      </c>
      <c r="AB28" s="389">
        <f t="shared" si="2"/>
        <v>1.958333333333335</v>
      </c>
      <c r="AC28" s="390" t="str">
        <f t="shared" si="4"/>
        <v>F</v>
      </c>
    </row>
    <row r="29" spans="1:29" ht="15.75" customHeight="1" x14ac:dyDescent="0.25">
      <c r="A29" s="720"/>
      <c r="B29" s="720"/>
      <c r="C29" s="465" t="s">
        <v>596</v>
      </c>
      <c r="D29" s="284">
        <f>COUNTIF($AA$5:$AA$205,"=P")</f>
        <v>0</v>
      </c>
      <c r="E29" s="466">
        <f>D29/D26</f>
        <v>0</v>
      </c>
      <c r="F29" s="312">
        <f t="shared" si="5"/>
        <v>0</v>
      </c>
      <c r="G29" s="322"/>
      <c r="T29" s="727" t="s">
        <v>698</v>
      </c>
      <c r="U29" s="296" t="s">
        <v>689</v>
      </c>
      <c r="V29" s="353">
        <f>E22+F22</f>
        <v>1.7916666666666665</v>
      </c>
      <c r="X29" s="388">
        <f t="shared" si="3"/>
        <v>2.0000000000000018</v>
      </c>
      <c r="Y29" s="284" t="s">
        <v>608</v>
      </c>
      <c r="Z29" s="389" t="str">
        <f t="shared" si="0"/>
        <v/>
      </c>
      <c r="AA29" s="389" t="str">
        <f t="shared" si="1"/>
        <v>-</v>
      </c>
      <c r="AB29" s="389">
        <f t="shared" si="2"/>
        <v>2.0000000000000018</v>
      </c>
      <c r="AC29" s="390" t="str">
        <f t="shared" si="4"/>
        <v>F</v>
      </c>
    </row>
    <row r="30" spans="1:29" ht="15.75" customHeight="1" x14ac:dyDescent="0.25">
      <c r="A30" s="720"/>
      <c r="B30" s="721"/>
      <c r="C30" s="467" t="s">
        <v>733</v>
      </c>
      <c r="D30" s="468">
        <f>SUM(D27:D29)</f>
        <v>9</v>
      </c>
      <c r="E30" s="275"/>
      <c r="F30" s="312">
        <f>SUM(F27:F29)</f>
        <v>2543.9595806782677</v>
      </c>
      <c r="G30" s="322"/>
      <c r="T30" s="728"/>
      <c r="U30" s="305" t="s">
        <v>690</v>
      </c>
      <c r="V30" s="354">
        <f>E23+F23</f>
        <v>2.2916666666666665</v>
      </c>
      <c r="X30" s="388">
        <f t="shared" si="3"/>
        <v>2.0416666666666683</v>
      </c>
      <c r="Y30" s="284" t="s">
        <v>608</v>
      </c>
      <c r="Z30" s="389" t="str">
        <f t="shared" si="0"/>
        <v/>
      </c>
      <c r="AA30" s="389" t="str">
        <f t="shared" si="1"/>
        <v>-</v>
      </c>
      <c r="AB30" s="389">
        <f t="shared" si="2"/>
        <v>2.0416666666666683</v>
      </c>
      <c r="AC30" s="390" t="str">
        <f t="shared" si="4"/>
        <v>F</v>
      </c>
    </row>
    <row r="31" spans="1:29" ht="15.75" customHeight="1" x14ac:dyDescent="0.25">
      <c r="A31" s="720"/>
      <c r="B31" s="729" t="s">
        <v>702</v>
      </c>
      <c r="C31" s="465" t="s">
        <v>711</v>
      </c>
      <c r="D31" s="283">
        <f>COUNTIF($AC$5:$AC$205,"&lt;&gt;-")</f>
        <v>12</v>
      </c>
      <c r="E31" s="459"/>
      <c r="F31" s="287"/>
      <c r="X31" s="388">
        <f t="shared" si="3"/>
        <v>2.0833333333333348</v>
      </c>
      <c r="Y31" s="284" t="s">
        <v>608</v>
      </c>
      <c r="Z31" s="389" t="str">
        <f t="shared" si="0"/>
        <v/>
      </c>
      <c r="AA31" s="389" t="str">
        <f t="shared" si="1"/>
        <v>-</v>
      </c>
      <c r="AB31" s="389">
        <f t="shared" si="2"/>
        <v>2.0833333333333348</v>
      </c>
      <c r="AC31" s="390" t="str">
        <f t="shared" si="4"/>
        <v>F</v>
      </c>
    </row>
    <row r="32" spans="1:29" ht="15.75" customHeight="1" x14ac:dyDescent="0.25">
      <c r="A32" s="720"/>
      <c r="B32" s="730"/>
      <c r="C32" s="465" t="s">
        <v>594</v>
      </c>
      <c r="D32" s="284">
        <f>COUNTIF($AC$10:$AC$210,"=F")</f>
        <v>9</v>
      </c>
      <c r="E32" s="466">
        <f>D32/D31</f>
        <v>0.75</v>
      </c>
      <c r="F32" s="312">
        <f>$D$8*E32</f>
        <v>151.76519999999999</v>
      </c>
      <c r="X32" s="388">
        <f t="shared" si="3"/>
        <v>2.1250000000000013</v>
      </c>
      <c r="Y32" s="284" t="s">
        <v>608</v>
      </c>
      <c r="Z32" s="389" t="str">
        <f t="shared" si="0"/>
        <v/>
      </c>
      <c r="AA32" s="389" t="str">
        <f t="shared" si="1"/>
        <v>-</v>
      </c>
      <c r="AB32" s="389">
        <f t="shared" si="2"/>
        <v>2.1250000000000013</v>
      </c>
      <c r="AC32" s="390" t="str">
        <f t="shared" si="4"/>
        <v>F</v>
      </c>
    </row>
    <row r="33" spans="1:29" ht="15.75" customHeight="1" x14ac:dyDescent="0.25">
      <c r="A33" s="720"/>
      <c r="B33" s="730"/>
      <c r="C33" s="465" t="s">
        <v>595</v>
      </c>
      <c r="D33" s="284">
        <f>COUNTIF($AC$10:$AC$210,"=I")</f>
        <v>1</v>
      </c>
      <c r="E33" s="466">
        <f>D33/D31</f>
        <v>8.3333333333333329E-2</v>
      </c>
      <c r="F33" s="312">
        <f t="shared" ref="F33:F34" si="6">$D$8*E33</f>
        <v>16.8628</v>
      </c>
      <c r="G33" s="322"/>
      <c r="X33" s="388">
        <f t="shared" si="3"/>
        <v>2.1666666666666679</v>
      </c>
      <c r="Y33" s="284" t="s">
        <v>608</v>
      </c>
      <c r="Z33" s="389" t="str">
        <f t="shared" si="0"/>
        <v/>
      </c>
      <c r="AA33" s="389" t="str">
        <f t="shared" si="1"/>
        <v>-</v>
      </c>
      <c r="AB33" s="389">
        <f t="shared" si="2"/>
        <v>2.1666666666666679</v>
      </c>
      <c r="AC33" s="390" t="str">
        <f t="shared" si="4"/>
        <v>F</v>
      </c>
    </row>
    <row r="34" spans="1:29" ht="15.75" customHeight="1" x14ac:dyDescent="0.25">
      <c r="A34" s="720"/>
      <c r="B34" s="730"/>
      <c r="C34" s="465" t="s">
        <v>596</v>
      </c>
      <c r="D34" s="284">
        <f>COUNTIF($AC$10:$AC$210,"=P")</f>
        <v>2</v>
      </c>
      <c r="E34" s="466">
        <f>D34/D31</f>
        <v>0.16666666666666666</v>
      </c>
      <c r="F34" s="312">
        <f t="shared" si="6"/>
        <v>33.7256</v>
      </c>
      <c r="G34" s="322"/>
      <c r="X34" s="388">
        <f t="shared" si="3"/>
        <v>2.2083333333333344</v>
      </c>
      <c r="Y34" s="284" t="s">
        <v>608</v>
      </c>
      <c r="Z34" s="389" t="str">
        <f t="shared" si="0"/>
        <v/>
      </c>
      <c r="AA34" s="389" t="str">
        <f t="shared" si="1"/>
        <v>-</v>
      </c>
      <c r="AB34" s="389">
        <f t="shared" si="2"/>
        <v>2.2083333333333344</v>
      </c>
      <c r="AC34" s="390" t="str">
        <f t="shared" si="4"/>
        <v>F</v>
      </c>
    </row>
    <row r="35" spans="1:29" ht="15.75" customHeight="1" x14ac:dyDescent="0.25">
      <c r="A35" s="720"/>
      <c r="B35" s="731"/>
      <c r="C35" s="469" t="s">
        <v>733</v>
      </c>
      <c r="D35" s="470">
        <f>SUM(D32:D34)</f>
        <v>12</v>
      </c>
      <c r="E35" s="279"/>
      <c r="F35" s="313">
        <f>SUM(F32:F34)</f>
        <v>202.35359999999997</v>
      </c>
      <c r="G35" s="322"/>
      <c r="X35" s="388">
        <f t="shared" si="3"/>
        <v>2.2500000000000009</v>
      </c>
      <c r="Y35" s="284" t="s">
        <v>608</v>
      </c>
      <c r="Z35" s="389" t="str">
        <f t="shared" si="0"/>
        <v/>
      </c>
      <c r="AA35" s="389" t="str">
        <f t="shared" si="1"/>
        <v>-</v>
      </c>
      <c r="AB35" s="389">
        <f t="shared" si="2"/>
        <v>2.2500000000000009</v>
      </c>
      <c r="AC35" s="390" t="str">
        <f t="shared" si="4"/>
        <v>F</v>
      </c>
    </row>
    <row r="36" spans="1:29" ht="15.75" customHeight="1" x14ac:dyDescent="0.25">
      <c r="A36" s="721"/>
      <c r="B36" s="732" t="s">
        <v>540</v>
      </c>
      <c r="C36" s="732"/>
      <c r="D36" s="370">
        <f>D30+D35</f>
        <v>21</v>
      </c>
      <c r="E36" s="453"/>
      <c r="F36" s="370">
        <f>F30+F35</f>
        <v>2746.3131806782676</v>
      </c>
      <c r="X36" s="388">
        <f t="shared" si="3"/>
        <v>2.2916666666666674</v>
      </c>
      <c r="Y36" s="284" t="s">
        <v>608</v>
      </c>
      <c r="Z36" s="389" t="str">
        <f t="shared" si="0"/>
        <v/>
      </c>
      <c r="AA36" s="389" t="str">
        <f t="shared" si="1"/>
        <v>-</v>
      </c>
      <c r="AB36" s="389" t="str">
        <f t="shared" si="2"/>
        <v/>
      </c>
      <c r="AC36" s="390" t="str">
        <f t="shared" si="4"/>
        <v>-</v>
      </c>
    </row>
    <row r="37" spans="1:29" x14ac:dyDescent="0.25">
      <c r="X37" s="388">
        <f t="shared" si="3"/>
        <v>2.3333333333333339</v>
      </c>
      <c r="Y37" s="284" t="s">
        <v>608</v>
      </c>
      <c r="Z37" s="389" t="str">
        <f t="shared" si="0"/>
        <v/>
      </c>
      <c r="AA37" s="389" t="str">
        <f t="shared" si="1"/>
        <v>-</v>
      </c>
      <c r="AB37" s="389" t="str">
        <f t="shared" si="2"/>
        <v/>
      </c>
      <c r="AC37" s="390" t="str">
        <f t="shared" si="4"/>
        <v>-</v>
      </c>
    </row>
    <row r="38" spans="1:29" x14ac:dyDescent="0.25">
      <c r="C38" s="371" t="s">
        <v>722</v>
      </c>
      <c r="D38" s="327" t="s">
        <v>717</v>
      </c>
      <c r="E38" s="327">
        <f>VLOOKUP(D38,C48:D51,2,FALSE)</f>
        <v>4.4630000000000003E-2</v>
      </c>
      <c r="X38" s="388">
        <f t="shared" ref="X38:X69" si="7">X37+$AA$2</f>
        <v>2.3750000000000004</v>
      </c>
      <c r="Y38" s="284" t="s">
        <v>608</v>
      </c>
      <c r="Z38" s="389" t="str">
        <f t="shared" si="0"/>
        <v/>
      </c>
      <c r="AA38" s="389" t="str">
        <f t="shared" si="1"/>
        <v>-</v>
      </c>
      <c r="AB38" s="389" t="str">
        <f t="shared" si="2"/>
        <v/>
      </c>
      <c r="AC38" s="390" t="str">
        <f t="shared" si="4"/>
        <v>-</v>
      </c>
    </row>
    <row r="39" spans="1:29" ht="15" customHeight="1" thickBot="1" x14ac:dyDescent="0.3">
      <c r="O39" s="447"/>
      <c r="P39" s="448"/>
      <c r="S39" s="39"/>
      <c r="T39" s="39"/>
      <c r="U39" s="39"/>
      <c r="V39" s="39"/>
      <c r="W39" s="39"/>
      <c r="X39" s="388">
        <f t="shared" si="7"/>
        <v>2.416666666666667</v>
      </c>
      <c r="Y39" s="284" t="s">
        <v>608</v>
      </c>
      <c r="Z39" s="389" t="str">
        <f t="shared" si="0"/>
        <v/>
      </c>
      <c r="AA39" s="389" t="str">
        <f t="shared" si="1"/>
        <v>-</v>
      </c>
      <c r="AB39" s="389" t="str">
        <f t="shared" si="2"/>
        <v/>
      </c>
      <c r="AC39" s="390" t="str">
        <f t="shared" si="4"/>
        <v>-</v>
      </c>
    </row>
    <row r="40" spans="1:29" ht="43.5" customHeight="1" x14ac:dyDescent="0.25">
      <c r="A40" s="709" t="s">
        <v>706</v>
      </c>
      <c r="B40" s="710"/>
      <c r="C40" s="474" t="s">
        <v>705</v>
      </c>
      <c r="D40" s="474" t="s">
        <v>639</v>
      </c>
      <c r="E40" s="474" t="s">
        <v>640</v>
      </c>
      <c r="F40" s="474" t="s">
        <v>641</v>
      </c>
      <c r="G40" s="475" t="s">
        <v>723</v>
      </c>
      <c r="H40" s="476" t="s">
        <v>713</v>
      </c>
      <c r="S40" s="374"/>
      <c r="T40" s="374"/>
      <c r="U40" s="374"/>
      <c r="V40" s="374"/>
      <c r="W40" s="374"/>
      <c r="X40" s="388">
        <f t="shared" si="7"/>
        <v>2.4583333333333335</v>
      </c>
      <c r="Y40" s="284" t="s">
        <v>608</v>
      </c>
      <c r="Z40" s="389" t="str">
        <f t="shared" si="0"/>
        <v/>
      </c>
      <c r="AA40" s="389" t="str">
        <f t="shared" si="1"/>
        <v>-</v>
      </c>
      <c r="AB40" s="389" t="str">
        <f t="shared" si="2"/>
        <v/>
      </c>
      <c r="AC40" s="390" t="str">
        <f t="shared" si="4"/>
        <v>-</v>
      </c>
    </row>
    <row r="41" spans="1:29" ht="15.75" customHeight="1" x14ac:dyDescent="0.25">
      <c r="A41" s="711"/>
      <c r="B41" s="712"/>
      <c r="C41" s="365" t="s">
        <v>664</v>
      </c>
      <c r="D41" s="366">
        <f>'Energia Elétrica - EST'!E29</f>
        <v>0</v>
      </c>
      <c r="E41" s="328">
        <f>F29+F34</f>
        <v>33.7256</v>
      </c>
      <c r="F41" s="367">
        <f>'MAPA DE PREÇOS'!P393</f>
        <v>1.40578</v>
      </c>
      <c r="G41" s="471">
        <f>E38</f>
        <v>4.4630000000000003E-2</v>
      </c>
      <c r="H41" s="403">
        <f>(F41+G41)*E41</f>
        <v>48.915947496000001</v>
      </c>
      <c r="S41" s="322"/>
      <c r="T41" s="322"/>
      <c r="U41" s="322"/>
      <c r="V41" s="322"/>
      <c r="W41" s="322"/>
      <c r="X41" s="388">
        <f t="shared" si="7"/>
        <v>2.5</v>
      </c>
      <c r="Y41" s="284" t="s">
        <v>608</v>
      </c>
      <c r="Z41" s="389" t="str">
        <f t="shared" si="0"/>
        <v/>
      </c>
      <c r="AA41" s="389" t="str">
        <f t="shared" si="1"/>
        <v>-</v>
      </c>
      <c r="AB41" s="389" t="str">
        <f t="shared" si="2"/>
        <v/>
      </c>
      <c r="AC41" s="390" t="str">
        <f t="shared" si="4"/>
        <v>-</v>
      </c>
    </row>
    <row r="42" spans="1:29" x14ac:dyDescent="0.25">
      <c r="A42" s="711"/>
      <c r="B42" s="712"/>
      <c r="C42" s="365" t="s">
        <v>666</v>
      </c>
      <c r="D42" s="366">
        <f>'Energia Elétrica - EST'!E28</f>
        <v>0</v>
      </c>
      <c r="E42" s="328">
        <f>F33+F28</f>
        <v>16.8628</v>
      </c>
      <c r="F42" s="327">
        <f>'MAPA DE PREÇOS'!P414</f>
        <v>0.91632999999999998</v>
      </c>
      <c r="G42" s="471">
        <f>E38</f>
        <v>4.4630000000000003E-2</v>
      </c>
      <c r="H42" s="403">
        <f>(F42+G42)*E42</f>
        <v>16.204476288000002</v>
      </c>
      <c r="S42" s="322"/>
      <c r="T42" s="322"/>
      <c r="U42" s="322"/>
      <c r="V42" s="322"/>
      <c r="W42" s="322"/>
      <c r="X42" s="388">
        <f t="shared" si="7"/>
        <v>2.5416666666666665</v>
      </c>
      <c r="Y42" s="284" t="s">
        <v>608</v>
      </c>
      <c r="Z42" s="389" t="str">
        <f t="shared" si="0"/>
        <v/>
      </c>
      <c r="AA42" s="389" t="str">
        <f t="shared" si="1"/>
        <v>-</v>
      </c>
      <c r="AB42" s="389" t="str">
        <f t="shared" si="2"/>
        <v/>
      </c>
      <c r="AC42" s="390" t="str">
        <f t="shared" si="4"/>
        <v>-</v>
      </c>
    </row>
    <row r="43" spans="1:29" x14ac:dyDescent="0.25">
      <c r="A43" s="711"/>
      <c r="B43" s="712"/>
      <c r="C43" s="365" t="s">
        <v>667</v>
      </c>
      <c r="D43" s="366">
        <f>'Energia Elétrica - EST'!E27</f>
        <v>1</v>
      </c>
      <c r="E43" s="328">
        <f>F27+F32</f>
        <v>2695.7247806782675</v>
      </c>
      <c r="F43" s="327">
        <f>'MAPA DE PREÇOS'!P435</f>
        <v>0.57352000000000003</v>
      </c>
      <c r="G43" s="471">
        <f>E38</f>
        <v>4.4630000000000003E-2</v>
      </c>
      <c r="H43" s="403">
        <f>(F43+G43)*E43</f>
        <v>1666.3622731762709</v>
      </c>
      <c r="S43" s="322"/>
      <c r="T43" s="322"/>
      <c r="U43" s="322"/>
      <c r="V43" s="322"/>
      <c r="W43" s="322"/>
      <c r="X43" s="388">
        <f t="shared" si="7"/>
        <v>2.583333333333333</v>
      </c>
      <c r="Y43" s="284" t="s">
        <v>608</v>
      </c>
      <c r="Z43" s="389" t="str">
        <f t="shared" si="0"/>
        <v/>
      </c>
      <c r="AA43" s="389" t="str">
        <f t="shared" si="1"/>
        <v>-</v>
      </c>
      <c r="AB43" s="389" t="str">
        <f t="shared" si="2"/>
        <v/>
      </c>
      <c r="AC43" s="390" t="str">
        <f t="shared" si="4"/>
        <v>-</v>
      </c>
    </row>
    <row r="44" spans="1:29" x14ac:dyDescent="0.25">
      <c r="A44" s="711"/>
      <c r="B44" s="712"/>
      <c r="C44" s="365" t="s">
        <v>762</v>
      </c>
      <c r="D44" s="327"/>
      <c r="E44" s="327">
        <v>1</v>
      </c>
      <c r="F44" s="327">
        <f>'MAPA DE PREÇOS'!M540+'MAPA DE PREÇOS'!M561</f>
        <v>370.73</v>
      </c>
      <c r="G44" s="327"/>
      <c r="H44" s="452">
        <f>F44*0.074</f>
        <v>27.43402</v>
      </c>
      <c r="S44" s="322"/>
      <c r="T44" s="322"/>
      <c r="U44" s="322"/>
      <c r="V44" s="322"/>
      <c r="W44" s="322"/>
      <c r="X44" s="388">
        <f t="shared" si="7"/>
        <v>2.6249999999999996</v>
      </c>
      <c r="Y44" s="284" t="s">
        <v>608</v>
      </c>
      <c r="Z44" s="389" t="str">
        <f t="shared" si="0"/>
        <v/>
      </c>
      <c r="AA44" s="389" t="str">
        <f t="shared" si="1"/>
        <v>-</v>
      </c>
      <c r="AB44" s="389" t="str">
        <f t="shared" si="2"/>
        <v/>
      </c>
      <c r="AC44" s="390" t="str">
        <f t="shared" si="4"/>
        <v>-</v>
      </c>
    </row>
    <row r="45" spans="1:29" ht="16.5" thickBot="1" x14ac:dyDescent="0.3">
      <c r="A45" s="713"/>
      <c r="B45" s="714"/>
      <c r="C45" s="376" t="s">
        <v>694</v>
      </c>
      <c r="D45" s="376"/>
      <c r="E45" s="377">
        <f>SUM(E41:E43)</f>
        <v>2746.3131806782676</v>
      </c>
      <c r="F45" s="376"/>
      <c r="G45" s="402"/>
      <c r="H45" s="378">
        <f>SUM(H41:H44)</f>
        <v>1758.9167169602708</v>
      </c>
      <c r="S45" s="322"/>
      <c r="T45" s="322"/>
      <c r="U45" s="322"/>
      <c r="V45" s="322"/>
      <c r="W45" s="322"/>
      <c r="X45" s="388">
        <f t="shared" si="7"/>
        <v>2.6666666666666661</v>
      </c>
      <c r="Y45" s="284" t="s">
        <v>608</v>
      </c>
      <c r="Z45" s="389" t="str">
        <f t="shared" si="0"/>
        <v/>
      </c>
      <c r="AA45" s="389" t="str">
        <f t="shared" si="1"/>
        <v>-</v>
      </c>
      <c r="AB45" s="389" t="str">
        <f t="shared" si="2"/>
        <v/>
      </c>
      <c r="AC45" s="390" t="str">
        <f t="shared" si="4"/>
        <v>-</v>
      </c>
    </row>
    <row r="46" spans="1:29" ht="15" customHeight="1" x14ac:dyDescent="0.25">
      <c r="B46" s="364"/>
      <c r="C46" s="47"/>
      <c r="D46" s="47"/>
      <c r="E46" s="47"/>
      <c r="F46" s="47"/>
      <c r="G46" s="47"/>
      <c r="H46" s="47"/>
      <c r="S46" s="345"/>
      <c r="T46" s="345"/>
      <c r="U46" s="345"/>
      <c r="V46" s="345"/>
      <c r="W46" s="345"/>
      <c r="X46" s="388">
        <f t="shared" si="7"/>
        <v>2.7083333333333326</v>
      </c>
      <c r="Y46" s="284" t="s">
        <v>638</v>
      </c>
      <c r="Z46" s="389" t="str">
        <f t="shared" si="0"/>
        <v/>
      </c>
      <c r="AA46" s="389" t="str">
        <f t="shared" si="1"/>
        <v>-</v>
      </c>
      <c r="AB46" s="389" t="str">
        <f t="shared" si="2"/>
        <v/>
      </c>
      <c r="AC46" s="390" t="str">
        <f t="shared" si="4"/>
        <v>-</v>
      </c>
    </row>
    <row r="47" spans="1:29" ht="16.5" customHeight="1" x14ac:dyDescent="0.25">
      <c r="A47" s="706" t="s">
        <v>724</v>
      </c>
      <c r="B47" s="706"/>
      <c r="C47" s="397" t="s">
        <v>720</v>
      </c>
      <c r="D47" s="314" t="s">
        <v>721</v>
      </c>
      <c r="E47" s="358"/>
      <c r="X47" s="388">
        <f t="shared" si="7"/>
        <v>2.7499999999999991</v>
      </c>
      <c r="Y47" s="284" t="s">
        <v>637</v>
      </c>
      <c r="Z47" s="389" t="str">
        <f t="shared" si="0"/>
        <v/>
      </c>
      <c r="AA47" s="389" t="str">
        <f t="shared" si="1"/>
        <v>-</v>
      </c>
      <c r="AB47" s="389" t="str">
        <f t="shared" si="2"/>
        <v/>
      </c>
      <c r="AC47" s="390" t="str">
        <f t="shared" si="4"/>
        <v>-</v>
      </c>
    </row>
    <row r="48" spans="1:29" ht="14.25" customHeight="1" x14ac:dyDescent="0.25">
      <c r="A48" s="706"/>
      <c r="B48" s="706"/>
      <c r="C48" s="398" t="s">
        <v>719</v>
      </c>
      <c r="D48" s="404">
        <v>0</v>
      </c>
      <c r="E48" s="360"/>
      <c r="F48" s="361"/>
      <c r="G48" s="361"/>
      <c r="H48" s="362"/>
      <c r="X48" s="388">
        <f t="shared" si="7"/>
        <v>2.7916666666666656</v>
      </c>
      <c r="Y48" s="284" t="s">
        <v>637</v>
      </c>
      <c r="Z48" s="389" t="str">
        <f t="shared" si="0"/>
        <v/>
      </c>
      <c r="AA48" s="389" t="str">
        <f t="shared" si="1"/>
        <v>-</v>
      </c>
      <c r="AB48" s="389" t="str">
        <f t="shared" si="2"/>
        <v/>
      </c>
      <c r="AC48" s="390" t="str">
        <f t="shared" si="4"/>
        <v>-</v>
      </c>
    </row>
    <row r="49" spans="1:29" x14ac:dyDescent="0.25">
      <c r="A49" s="706"/>
      <c r="B49" s="706"/>
      <c r="C49" s="399" t="s">
        <v>716</v>
      </c>
      <c r="D49" s="405">
        <v>1.8849999999999999E-2</v>
      </c>
      <c r="E49" s="360"/>
      <c r="F49" s="363"/>
      <c r="G49" s="363"/>
      <c r="H49" s="362"/>
      <c r="X49" s="388">
        <f t="shared" si="7"/>
        <v>2.8333333333333321</v>
      </c>
      <c r="Y49" s="284" t="s">
        <v>608</v>
      </c>
      <c r="Z49" s="389" t="str">
        <f t="shared" si="0"/>
        <v/>
      </c>
      <c r="AA49" s="389" t="str">
        <f t="shared" si="1"/>
        <v>-</v>
      </c>
      <c r="AB49" s="389" t="str">
        <f t="shared" si="2"/>
        <v/>
      </c>
      <c r="AC49" s="390" t="str">
        <f t="shared" si="4"/>
        <v>-</v>
      </c>
    </row>
    <row r="50" spans="1:29" x14ac:dyDescent="0.25">
      <c r="A50" s="706"/>
      <c r="B50" s="706"/>
      <c r="C50" s="400" t="s">
        <v>717</v>
      </c>
      <c r="D50" s="406">
        <v>4.4630000000000003E-2</v>
      </c>
      <c r="E50" s="360"/>
      <c r="F50" s="357"/>
      <c r="G50" s="357"/>
      <c r="H50" s="362"/>
      <c r="X50" s="388">
        <f t="shared" si="7"/>
        <v>2.8749999999999987</v>
      </c>
      <c r="Y50" s="284" t="s">
        <v>608</v>
      </c>
      <c r="Z50" s="389" t="str">
        <f t="shared" si="0"/>
        <v/>
      </c>
      <c r="AA50" s="389" t="str">
        <f t="shared" si="1"/>
        <v>-</v>
      </c>
      <c r="AB50" s="389" t="str">
        <f t="shared" si="2"/>
        <v/>
      </c>
      <c r="AC50" s="390" t="str">
        <f t="shared" si="4"/>
        <v>-</v>
      </c>
    </row>
    <row r="51" spans="1:29" x14ac:dyDescent="0.25">
      <c r="A51" s="706"/>
      <c r="B51" s="706"/>
      <c r="C51" s="401" t="s">
        <v>718</v>
      </c>
      <c r="D51" s="407">
        <v>7.8770000000000007E-2</v>
      </c>
      <c r="E51" s="360"/>
      <c r="F51" s="357"/>
      <c r="G51" s="357"/>
      <c r="H51" s="362"/>
      <c r="X51" s="388">
        <f t="shared" si="7"/>
        <v>2.9166666666666652</v>
      </c>
      <c r="Y51" s="284" t="s">
        <v>608</v>
      </c>
      <c r="Z51" s="389" t="str">
        <f t="shared" si="0"/>
        <v/>
      </c>
      <c r="AA51" s="389" t="str">
        <f t="shared" si="1"/>
        <v>-</v>
      </c>
      <c r="AB51" s="389" t="str">
        <f t="shared" si="2"/>
        <v/>
      </c>
      <c r="AC51" s="390" t="str">
        <f t="shared" si="4"/>
        <v>-</v>
      </c>
    </row>
    <row r="52" spans="1:29" x14ac:dyDescent="0.25">
      <c r="X52" s="388">
        <f t="shared" si="7"/>
        <v>2.9583333333333317</v>
      </c>
      <c r="Y52" s="284" t="s">
        <v>608</v>
      </c>
      <c r="Z52" s="389" t="str">
        <f t="shared" si="0"/>
        <v/>
      </c>
      <c r="AA52" s="389" t="str">
        <f t="shared" si="1"/>
        <v>-</v>
      </c>
      <c r="AB52" s="389" t="str">
        <f t="shared" si="2"/>
        <v/>
      </c>
      <c r="AC52" s="390" t="str">
        <f t="shared" si="4"/>
        <v>-</v>
      </c>
    </row>
    <row r="53" spans="1:29" x14ac:dyDescent="0.25">
      <c r="B53" s="364"/>
      <c r="C53" s="98"/>
      <c r="D53" s="359"/>
      <c r="E53" s="360"/>
      <c r="F53" s="357"/>
      <c r="G53" s="357"/>
      <c r="H53" s="362"/>
      <c r="X53" s="388">
        <f t="shared" si="7"/>
        <v>2.9999999999999982</v>
      </c>
      <c r="Y53" s="284" t="s">
        <v>608</v>
      </c>
      <c r="Z53" s="389" t="str">
        <f t="shared" si="0"/>
        <v/>
      </c>
      <c r="AA53" s="389" t="str">
        <f t="shared" si="1"/>
        <v>-</v>
      </c>
      <c r="AB53" s="389" t="str">
        <f t="shared" si="2"/>
        <v/>
      </c>
      <c r="AC53" s="390" t="str">
        <f t="shared" si="4"/>
        <v>-</v>
      </c>
    </row>
    <row r="54" spans="1:29" x14ac:dyDescent="0.25">
      <c r="B54" s="364"/>
      <c r="C54" s="98"/>
      <c r="D54" s="359"/>
      <c r="E54" s="360"/>
      <c r="F54" s="363"/>
      <c r="G54" s="363"/>
      <c r="H54" s="362"/>
      <c r="X54" s="388">
        <f t="shared" si="7"/>
        <v>3.0416666666666647</v>
      </c>
      <c r="Y54" s="284" t="s">
        <v>608</v>
      </c>
      <c r="Z54" s="389" t="str">
        <f t="shared" si="0"/>
        <v/>
      </c>
      <c r="AA54" s="389" t="str">
        <f t="shared" si="1"/>
        <v>-</v>
      </c>
      <c r="AB54" s="389" t="str">
        <f t="shared" si="2"/>
        <v/>
      </c>
      <c r="AC54" s="390" t="str">
        <f t="shared" si="4"/>
        <v>-</v>
      </c>
    </row>
    <row r="55" spans="1:29" x14ac:dyDescent="0.25">
      <c r="B55" s="364"/>
      <c r="C55" s="98"/>
      <c r="D55" s="359"/>
      <c r="E55" s="360"/>
      <c r="F55" s="363"/>
      <c r="G55" s="363"/>
      <c r="H55" s="362"/>
      <c r="X55" s="388">
        <f t="shared" si="7"/>
        <v>3.0833333333333313</v>
      </c>
      <c r="Y55" s="284" t="s">
        <v>608</v>
      </c>
      <c r="Z55" s="389" t="str">
        <f t="shared" si="0"/>
        <v/>
      </c>
      <c r="AA55" s="389" t="str">
        <f t="shared" si="1"/>
        <v>-</v>
      </c>
      <c r="AB55" s="389" t="str">
        <f t="shared" si="2"/>
        <v/>
      </c>
      <c r="AC55" s="390" t="str">
        <f t="shared" si="4"/>
        <v>-</v>
      </c>
    </row>
    <row r="56" spans="1:29" x14ac:dyDescent="0.25">
      <c r="B56" s="364"/>
      <c r="C56" s="41"/>
      <c r="D56" s="41"/>
      <c r="E56" s="41"/>
      <c r="F56" s="41"/>
      <c r="G56" s="41"/>
      <c r="H56" s="41"/>
      <c r="X56" s="388">
        <f t="shared" si="7"/>
        <v>3.1249999999999978</v>
      </c>
      <c r="Y56" s="284" t="s">
        <v>608</v>
      </c>
      <c r="Z56" s="389" t="str">
        <f t="shared" si="0"/>
        <v/>
      </c>
      <c r="AA56" s="389" t="str">
        <f t="shared" si="1"/>
        <v>-</v>
      </c>
      <c r="AB56" s="389" t="str">
        <f t="shared" si="2"/>
        <v/>
      </c>
      <c r="AC56" s="390" t="str">
        <f t="shared" si="4"/>
        <v>-</v>
      </c>
    </row>
    <row r="57" spans="1:29" x14ac:dyDescent="0.25">
      <c r="B57" s="364"/>
      <c r="X57" s="388">
        <f t="shared" si="7"/>
        <v>3.1666666666666643</v>
      </c>
      <c r="Y57" s="284" t="s">
        <v>608</v>
      </c>
      <c r="Z57" s="389" t="str">
        <f t="shared" si="0"/>
        <v/>
      </c>
      <c r="AA57" s="389" t="str">
        <f t="shared" si="1"/>
        <v>-</v>
      </c>
      <c r="AB57" s="389" t="str">
        <f t="shared" si="2"/>
        <v/>
      </c>
      <c r="AC57" s="390" t="str">
        <f t="shared" si="4"/>
        <v>-</v>
      </c>
    </row>
    <row r="58" spans="1:29" x14ac:dyDescent="0.25">
      <c r="B58" s="364"/>
      <c r="X58" s="388">
        <f t="shared" si="7"/>
        <v>3.2083333333333308</v>
      </c>
      <c r="Y58" s="284" t="s">
        <v>608</v>
      </c>
      <c r="Z58" s="389" t="str">
        <f t="shared" si="0"/>
        <v/>
      </c>
      <c r="AA58" s="389" t="str">
        <f t="shared" si="1"/>
        <v>-</v>
      </c>
      <c r="AB58" s="389" t="str">
        <f t="shared" si="2"/>
        <v/>
      </c>
      <c r="AC58" s="390" t="str">
        <f t="shared" si="4"/>
        <v>-</v>
      </c>
    </row>
    <row r="59" spans="1:29" x14ac:dyDescent="0.25">
      <c r="B59" s="364"/>
      <c r="X59" s="388">
        <f t="shared" si="7"/>
        <v>3.2499999999999973</v>
      </c>
      <c r="Y59" s="284" t="s">
        <v>608</v>
      </c>
      <c r="Z59" s="389" t="str">
        <f t="shared" si="0"/>
        <v/>
      </c>
      <c r="AA59" s="389" t="str">
        <f t="shared" si="1"/>
        <v>-</v>
      </c>
      <c r="AB59" s="389" t="str">
        <f t="shared" si="2"/>
        <v/>
      </c>
      <c r="AC59" s="390" t="str">
        <f t="shared" si="4"/>
        <v>-</v>
      </c>
    </row>
    <row r="60" spans="1:29" ht="15.75" x14ac:dyDescent="0.25">
      <c r="B60" s="364"/>
      <c r="S60" s="264"/>
      <c r="T60" s="264"/>
      <c r="U60" s="264"/>
      <c r="V60" s="264"/>
      <c r="W60" s="264"/>
      <c r="X60" s="388">
        <f t="shared" si="7"/>
        <v>3.2916666666666639</v>
      </c>
      <c r="Y60" s="284" t="s">
        <v>608</v>
      </c>
      <c r="Z60" s="389" t="str">
        <f t="shared" si="0"/>
        <v/>
      </c>
      <c r="AA60" s="389" t="str">
        <f t="shared" si="1"/>
        <v>-</v>
      </c>
      <c r="AB60" s="389" t="str">
        <f t="shared" si="2"/>
        <v/>
      </c>
      <c r="AC60" s="390" t="str">
        <f t="shared" si="4"/>
        <v>-</v>
      </c>
    </row>
    <row r="61" spans="1:29" ht="15.75" x14ac:dyDescent="0.25">
      <c r="S61" s="264"/>
      <c r="V61" s="344"/>
      <c r="W61" s="383"/>
      <c r="X61" s="388">
        <f t="shared" si="7"/>
        <v>3.3333333333333304</v>
      </c>
      <c r="Y61" s="284" t="s">
        <v>608</v>
      </c>
      <c r="Z61" s="389" t="str">
        <f t="shared" si="0"/>
        <v/>
      </c>
      <c r="AA61" s="389" t="str">
        <f t="shared" si="1"/>
        <v>-</v>
      </c>
      <c r="AB61" s="389" t="str">
        <f t="shared" si="2"/>
        <v/>
      </c>
      <c r="AC61" s="390" t="str">
        <f t="shared" si="4"/>
        <v>-</v>
      </c>
    </row>
    <row r="62" spans="1:29" ht="15.75" x14ac:dyDescent="0.25">
      <c r="S62" s="264"/>
      <c r="T62" s="264"/>
      <c r="U62" s="264"/>
      <c r="V62" s="264"/>
      <c r="W62" s="264"/>
      <c r="X62" s="388">
        <f t="shared" si="7"/>
        <v>3.3749999999999969</v>
      </c>
      <c r="Y62" s="284" t="s">
        <v>608</v>
      </c>
      <c r="Z62" s="389" t="str">
        <f t="shared" si="0"/>
        <v/>
      </c>
      <c r="AA62" s="389" t="str">
        <f t="shared" si="1"/>
        <v>-</v>
      </c>
      <c r="AB62" s="389" t="str">
        <f t="shared" si="2"/>
        <v/>
      </c>
      <c r="AC62" s="390" t="str">
        <f t="shared" si="4"/>
        <v>-</v>
      </c>
    </row>
    <row r="63" spans="1:29" ht="15.75" x14ac:dyDescent="0.25">
      <c r="S63" s="264"/>
      <c r="T63" s="264"/>
      <c r="U63" s="264"/>
      <c r="V63" s="264"/>
      <c r="W63" s="264"/>
      <c r="X63" s="388">
        <f t="shared" si="7"/>
        <v>3.4166666666666634</v>
      </c>
      <c r="Y63" s="284" t="s">
        <v>608</v>
      </c>
      <c r="Z63" s="389" t="str">
        <f t="shared" si="0"/>
        <v/>
      </c>
      <c r="AA63" s="389" t="str">
        <f t="shared" si="1"/>
        <v>-</v>
      </c>
      <c r="AB63" s="389" t="str">
        <f t="shared" si="2"/>
        <v/>
      </c>
      <c r="AC63" s="390" t="str">
        <f t="shared" si="4"/>
        <v>-</v>
      </c>
    </row>
    <row r="64" spans="1:29" ht="15.75" x14ac:dyDescent="0.25">
      <c r="S64" s="264"/>
      <c r="T64" s="264"/>
      <c r="U64" s="264"/>
      <c r="V64" s="264"/>
      <c r="W64" s="264"/>
      <c r="X64" s="388">
        <f t="shared" si="7"/>
        <v>3.4583333333333299</v>
      </c>
      <c r="Y64" s="284" t="s">
        <v>608</v>
      </c>
      <c r="Z64" s="389" t="str">
        <f t="shared" si="0"/>
        <v/>
      </c>
      <c r="AA64" s="389" t="str">
        <f t="shared" si="1"/>
        <v>-</v>
      </c>
      <c r="AB64" s="389" t="str">
        <f t="shared" si="2"/>
        <v/>
      </c>
      <c r="AC64" s="390" t="str">
        <f t="shared" si="4"/>
        <v>-</v>
      </c>
    </row>
    <row r="65" spans="9:29" ht="15.75" x14ac:dyDescent="0.25">
      <c r="I65" s="337"/>
      <c r="S65" s="264"/>
      <c r="T65" s="264"/>
      <c r="U65" s="264"/>
      <c r="V65" s="264"/>
      <c r="W65" s="264"/>
      <c r="X65" s="388">
        <f t="shared" si="7"/>
        <v>3.4999999999999964</v>
      </c>
      <c r="Y65" s="284" t="s">
        <v>608</v>
      </c>
      <c r="Z65" s="389" t="str">
        <f t="shared" si="0"/>
        <v/>
      </c>
      <c r="AA65" s="389" t="str">
        <f t="shared" si="1"/>
        <v>-</v>
      </c>
      <c r="AB65" s="389" t="str">
        <f t="shared" si="2"/>
        <v/>
      </c>
      <c r="AC65" s="390" t="str">
        <f t="shared" si="4"/>
        <v>-</v>
      </c>
    </row>
    <row r="66" spans="9:29" x14ac:dyDescent="0.25">
      <c r="S66" s="41"/>
      <c r="T66" s="41"/>
      <c r="U66" s="41"/>
      <c r="V66" s="41"/>
      <c r="W66" s="41"/>
      <c r="X66" s="388">
        <f t="shared" si="7"/>
        <v>3.541666666666663</v>
      </c>
      <c r="Y66" s="284" t="s">
        <v>608</v>
      </c>
      <c r="Z66" s="389" t="str">
        <f t="shared" si="0"/>
        <v/>
      </c>
      <c r="AA66" s="389" t="str">
        <f t="shared" si="1"/>
        <v>-</v>
      </c>
      <c r="AB66" s="389" t="str">
        <f t="shared" si="2"/>
        <v/>
      </c>
      <c r="AC66" s="390" t="str">
        <f t="shared" si="4"/>
        <v>-</v>
      </c>
    </row>
    <row r="67" spans="9:29" x14ac:dyDescent="0.25">
      <c r="X67" s="388">
        <f t="shared" si="7"/>
        <v>3.5833333333333295</v>
      </c>
      <c r="Y67" s="284" t="s">
        <v>608</v>
      </c>
      <c r="Z67" s="389" t="str">
        <f t="shared" si="0"/>
        <v/>
      </c>
      <c r="AA67" s="389" t="str">
        <f t="shared" si="1"/>
        <v>-</v>
      </c>
      <c r="AB67" s="389" t="str">
        <f t="shared" si="2"/>
        <v/>
      </c>
      <c r="AC67" s="390" t="str">
        <f t="shared" si="4"/>
        <v>-</v>
      </c>
    </row>
    <row r="68" spans="9:29" x14ac:dyDescent="0.25">
      <c r="X68" s="388">
        <f t="shared" si="7"/>
        <v>3.624999999999996</v>
      </c>
      <c r="Y68" s="284" t="s">
        <v>608</v>
      </c>
      <c r="Z68" s="389" t="str">
        <f t="shared" si="0"/>
        <v/>
      </c>
      <c r="AA68" s="389" t="str">
        <f t="shared" si="1"/>
        <v>-</v>
      </c>
      <c r="AB68" s="389" t="str">
        <f t="shared" si="2"/>
        <v/>
      </c>
      <c r="AC68" s="390" t="str">
        <f t="shared" si="4"/>
        <v>-</v>
      </c>
    </row>
    <row r="69" spans="9:29" ht="15.75" x14ac:dyDescent="0.25">
      <c r="S69" s="264"/>
      <c r="T69" s="264"/>
      <c r="U69" s="264"/>
      <c r="V69" s="264"/>
      <c r="W69" s="264"/>
      <c r="X69" s="388">
        <f t="shared" si="7"/>
        <v>3.6666666666666625</v>
      </c>
      <c r="Y69" s="284" t="s">
        <v>608</v>
      </c>
      <c r="Z69" s="389" t="str">
        <f t="shared" ref="Z69:Z132" si="8">IF(AND(X69&gt;=$V$27,X69&lt;$V$28),X69,"")</f>
        <v/>
      </c>
      <c r="AA69" s="389" t="str">
        <f t="shared" ref="AA69:AA132" si="9">IF(Z69=X69,Y69,"-")</f>
        <v>-</v>
      </c>
      <c r="AB69" s="389" t="str">
        <f t="shared" ref="AB69:AB132" si="10">IF(AND(X69&gt;=$V$29,X69&lt;$V$30),X69,"")</f>
        <v/>
      </c>
      <c r="AC69" s="390" t="str">
        <f t="shared" si="4"/>
        <v>-</v>
      </c>
    </row>
    <row r="70" spans="9:29" ht="15.75" x14ac:dyDescent="0.25">
      <c r="S70" s="264"/>
      <c r="T70" s="264"/>
      <c r="U70" s="264"/>
      <c r="V70" s="264"/>
      <c r="W70" s="264"/>
      <c r="X70" s="388">
        <f t="shared" ref="X70:X101" si="11">X69+$AA$2</f>
        <v>3.708333333333329</v>
      </c>
      <c r="Y70" s="284" t="s">
        <v>608</v>
      </c>
      <c r="Z70" s="389" t="str">
        <f t="shared" si="8"/>
        <v/>
      </c>
      <c r="AA70" s="389" t="str">
        <f t="shared" si="9"/>
        <v>-</v>
      </c>
      <c r="AB70" s="389" t="str">
        <f t="shared" si="10"/>
        <v/>
      </c>
      <c r="AC70" s="390" t="str">
        <f t="shared" ref="AC70:AC133" si="12">IF(AB70=X70,Y70,"-")</f>
        <v>-</v>
      </c>
    </row>
    <row r="71" spans="9:29" x14ac:dyDescent="0.25">
      <c r="S71" s="349"/>
      <c r="T71" s="349"/>
      <c r="U71" s="349"/>
      <c r="V71" s="349"/>
      <c r="W71" s="349"/>
      <c r="X71" s="388">
        <f t="shared" si="11"/>
        <v>3.7499999999999956</v>
      </c>
      <c r="Y71" s="284" t="s">
        <v>608</v>
      </c>
      <c r="Z71" s="389" t="str">
        <f t="shared" si="8"/>
        <v/>
      </c>
      <c r="AA71" s="389" t="str">
        <f t="shared" si="9"/>
        <v>-</v>
      </c>
      <c r="AB71" s="389" t="str">
        <f t="shared" si="10"/>
        <v/>
      </c>
      <c r="AC71" s="390" t="str">
        <f t="shared" si="12"/>
        <v>-</v>
      </c>
    </row>
    <row r="72" spans="9:29" x14ac:dyDescent="0.25">
      <c r="S72" s="349"/>
      <c r="T72" s="349"/>
      <c r="U72" s="349"/>
      <c r="V72" s="349"/>
      <c r="W72" s="349"/>
      <c r="X72" s="388">
        <f t="shared" si="11"/>
        <v>3.7916666666666621</v>
      </c>
      <c r="Y72" s="284" t="s">
        <v>608</v>
      </c>
      <c r="Z72" s="389" t="str">
        <f t="shared" si="8"/>
        <v/>
      </c>
      <c r="AA72" s="389" t="str">
        <f t="shared" si="9"/>
        <v>-</v>
      </c>
      <c r="AB72" s="389" t="str">
        <f t="shared" si="10"/>
        <v/>
      </c>
      <c r="AC72" s="390" t="str">
        <f t="shared" si="12"/>
        <v>-</v>
      </c>
    </row>
    <row r="73" spans="9:29" x14ac:dyDescent="0.25">
      <c r="S73" s="350"/>
      <c r="T73" s="350"/>
      <c r="U73" s="350"/>
      <c r="V73" s="350"/>
      <c r="W73" s="350"/>
      <c r="X73" s="388">
        <f t="shared" si="11"/>
        <v>3.8333333333333286</v>
      </c>
      <c r="Y73" s="284" t="s">
        <v>608</v>
      </c>
      <c r="Z73" s="389" t="str">
        <f t="shared" si="8"/>
        <v/>
      </c>
      <c r="AA73" s="389" t="str">
        <f t="shared" si="9"/>
        <v>-</v>
      </c>
      <c r="AB73" s="389" t="str">
        <f t="shared" si="10"/>
        <v/>
      </c>
      <c r="AC73" s="390" t="str">
        <f t="shared" si="12"/>
        <v>-</v>
      </c>
    </row>
    <row r="74" spans="9:29" x14ac:dyDescent="0.25">
      <c r="S74" s="350"/>
      <c r="T74" s="350"/>
      <c r="U74" s="350"/>
      <c r="V74" s="350"/>
      <c r="W74" s="350"/>
      <c r="X74" s="388">
        <f t="shared" si="11"/>
        <v>3.8749999999999951</v>
      </c>
      <c r="Y74" s="284" t="s">
        <v>608</v>
      </c>
      <c r="Z74" s="389" t="str">
        <f t="shared" si="8"/>
        <v/>
      </c>
      <c r="AA74" s="389" t="str">
        <f t="shared" si="9"/>
        <v>-</v>
      </c>
      <c r="AB74" s="389" t="str">
        <f t="shared" si="10"/>
        <v/>
      </c>
      <c r="AC74" s="390" t="str">
        <f t="shared" si="12"/>
        <v>-</v>
      </c>
    </row>
    <row r="75" spans="9:29" x14ac:dyDescent="0.25">
      <c r="S75" s="47"/>
      <c r="T75" s="47"/>
      <c r="U75" s="47"/>
      <c r="V75" s="47"/>
      <c r="W75" s="47"/>
      <c r="X75" s="388">
        <f t="shared" si="11"/>
        <v>3.9166666666666616</v>
      </c>
      <c r="Y75" s="284" t="s">
        <v>608</v>
      </c>
      <c r="Z75" s="389" t="str">
        <f t="shared" si="8"/>
        <v/>
      </c>
      <c r="AA75" s="389" t="str">
        <f t="shared" si="9"/>
        <v>-</v>
      </c>
      <c r="AB75" s="389" t="str">
        <f t="shared" si="10"/>
        <v/>
      </c>
      <c r="AC75" s="390" t="str">
        <f t="shared" si="12"/>
        <v>-</v>
      </c>
    </row>
    <row r="76" spans="9:29" x14ac:dyDescent="0.25">
      <c r="S76" s="351"/>
      <c r="T76" s="47"/>
      <c r="U76" s="47"/>
      <c r="V76" s="47"/>
      <c r="W76" s="47"/>
      <c r="X76" s="388">
        <f t="shared" si="11"/>
        <v>3.9583333333333282</v>
      </c>
      <c r="Y76" s="284" t="s">
        <v>608</v>
      </c>
      <c r="Z76" s="389" t="str">
        <f t="shared" si="8"/>
        <v/>
      </c>
      <c r="AA76" s="389" t="str">
        <f t="shared" si="9"/>
        <v>-</v>
      </c>
      <c r="AB76" s="389" t="str">
        <f t="shared" si="10"/>
        <v/>
      </c>
      <c r="AC76" s="390" t="str">
        <f t="shared" si="12"/>
        <v>-</v>
      </c>
    </row>
    <row r="77" spans="9:29" x14ac:dyDescent="0.25">
      <c r="P77" s="342" t="s">
        <v>691</v>
      </c>
      <c r="Q77" s="343"/>
      <c r="R77" s="343"/>
      <c r="X77" s="388">
        <f t="shared" si="11"/>
        <v>3.9999999999999947</v>
      </c>
      <c r="Y77" s="284" t="s">
        <v>608</v>
      </c>
      <c r="Z77" s="389" t="str">
        <f t="shared" si="8"/>
        <v/>
      </c>
      <c r="AA77" s="389" t="str">
        <f t="shared" si="9"/>
        <v>-</v>
      </c>
      <c r="AB77" s="389" t="str">
        <f t="shared" si="10"/>
        <v/>
      </c>
      <c r="AC77" s="390" t="str">
        <f t="shared" si="12"/>
        <v>-</v>
      </c>
    </row>
    <row r="78" spans="9:29" x14ac:dyDescent="0.25">
      <c r="S78" s="346"/>
      <c r="T78" s="346"/>
      <c r="U78" s="346"/>
      <c r="V78" s="346"/>
      <c r="W78" s="346"/>
      <c r="X78" s="388">
        <f t="shared" si="11"/>
        <v>4.0416666666666616</v>
      </c>
      <c r="Y78" s="284" t="s">
        <v>608</v>
      </c>
      <c r="Z78" s="389" t="str">
        <f t="shared" si="8"/>
        <v/>
      </c>
      <c r="AA78" s="389" t="str">
        <f t="shared" si="9"/>
        <v>-</v>
      </c>
      <c r="AB78" s="389" t="str">
        <f t="shared" si="10"/>
        <v/>
      </c>
      <c r="AC78" s="390" t="str">
        <f t="shared" si="12"/>
        <v>-</v>
      </c>
    </row>
    <row r="79" spans="9:29" x14ac:dyDescent="0.25">
      <c r="S79" s="347"/>
      <c r="T79" s="347"/>
      <c r="U79" s="347"/>
      <c r="V79" s="347"/>
      <c r="W79" s="347"/>
      <c r="X79" s="388">
        <f t="shared" si="11"/>
        <v>4.0833333333333286</v>
      </c>
      <c r="Y79" s="284" t="s">
        <v>608</v>
      </c>
      <c r="Z79" s="389" t="str">
        <f t="shared" si="8"/>
        <v/>
      </c>
      <c r="AA79" s="389" t="str">
        <f t="shared" si="9"/>
        <v>-</v>
      </c>
      <c r="AB79" s="389" t="str">
        <f t="shared" si="10"/>
        <v/>
      </c>
      <c r="AC79" s="390" t="str">
        <f t="shared" si="12"/>
        <v>-</v>
      </c>
    </row>
    <row r="80" spans="9:29" x14ac:dyDescent="0.25">
      <c r="S80" s="347"/>
      <c r="T80" s="347"/>
      <c r="U80" s="347"/>
      <c r="V80" s="347"/>
      <c r="W80" s="347"/>
      <c r="X80" s="388">
        <f t="shared" si="11"/>
        <v>4.1249999999999956</v>
      </c>
      <c r="Y80" s="284" t="s">
        <v>608</v>
      </c>
      <c r="Z80" s="389" t="str">
        <f t="shared" si="8"/>
        <v/>
      </c>
      <c r="AA80" s="389" t="str">
        <f t="shared" si="9"/>
        <v>-</v>
      </c>
      <c r="AB80" s="389" t="str">
        <f t="shared" si="10"/>
        <v/>
      </c>
      <c r="AC80" s="390" t="str">
        <f t="shared" si="12"/>
        <v>-</v>
      </c>
    </row>
    <row r="81" spans="19:29" x14ac:dyDescent="0.25">
      <c r="S81" s="347"/>
      <c r="T81" s="347"/>
      <c r="U81" s="347"/>
      <c r="V81" s="347"/>
      <c r="W81" s="347"/>
      <c r="X81" s="388">
        <f t="shared" si="11"/>
        <v>4.1666666666666625</v>
      </c>
      <c r="Y81" s="284" t="s">
        <v>608</v>
      </c>
      <c r="Z81" s="389" t="str">
        <f t="shared" si="8"/>
        <v/>
      </c>
      <c r="AA81" s="389" t="str">
        <f t="shared" si="9"/>
        <v>-</v>
      </c>
      <c r="AB81" s="389" t="str">
        <f t="shared" si="10"/>
        <v/>
      </c>
      <c r="AC81" s="390" t="str">
        <f t="shared" si="12"/>
        <v>-</v>
      </c>
    </row>
    <row r="82" spans="19:29" x14ac:dyDescent="0.25">
      <c r="X82" s="388">
        <f t="shared" si="11"/>
        <v>4.2083333333333295</v>
      </c>
      <c r="Y82" s="284" t="s">
        <v>608</v>
      </c>
      <c r="Z82" s="389" t="str">
        <f t="shared" si="8"/>
        <v/>
      </c>
      <c r="AA82" s="389" t="str">
        <f t="shared" si="9"/>
        <v>-</v>
      </c>
      <c r="AB82" s="389" t="str">
        <f t="shared" si="10"/>
        <v/>
      </c>
      <c r="AC82" s="390" t="str">
        <f t="shared" si="12"/>
        <v>-</v>
      </c>
    </row>
    <row r="83" spans="19:29" x14ac:dyDescent="0.25">
      <c r="X83" s="388">
        <f t="shared" si="11"/>
        <v>4.2499999999999964</v>
      </c>
      <c r="Y83" s="284" t="s">
        <v>608</v>
      </c>
      <c r="Z83" s="389" t="str">
        <f t="shared" si="8"/>
        <v/>
      </c>
      <c r="AA83" s="389" t="str">
        <f t="shared" si="9"/>
        <v>-</v>
      </c>
      <c r="AB83" s="389" t="str">
        <f t="shared" si="10"/>
        <v/>
      </c>
      <c r="AC83" s="390" t="str">
        <f t="shared" si="12"/>
        <v>-</v>
      </c>
    </row>
    <row r="84" spans="19:29" x14ac:dyDescent="0.25">
      <c r="X84" s="388">
        <f t="shared" si="11"/>
        <v>4.2916666666666634</v>
      </c>
      <c r="Y84" s="284" t="s">
        <v>608</v>
      </c>
      <c r="Z84" s="389" t="str">
        <f t="shared" si="8"/>
        <v/>
      </c>
      <c r="AA84" s="389" t="str">
        <f t="shared" si="9"/>
        <v>-</v>
      </c>
      <c r="AB84" s="389" t="str">
        <f t="shared" si="10"/>
        <v/>
      </c>
      <c r="AC84" s="390" t="str">
        <f t="shared" si="12"/>
        <v>-</v>
      </c>
    </row>
    <row r="85" spans="19:29" x14ac:dyDescent="0.25">
      <c r="X85" s="388">
        <f t="shared" si="11"/>
        <v>4.3333333333333304</v>
      </c>
      <c r="Y85" s="284" t="s">
        <v>608</v>
      </c>
      <c r="Z85" s="389" t="str">
        <f t="shared" si="8"/>
        <v/>
      </c>
      <c r="AA85" s="389" t="str">
        <f t="shared" si="9"/>
        <v>-</v>
      </c>
      <c r="AB85" s="389" t="str">
        <f t="shared" si="10"/>
        <v/>
      </c>
      <c r="AC85" s="390" t="str">
        <f t="shared" si="12"/>
        <v>-</v>
      </c>
    </row>
    <row r="86" spans="19:29" x14ac:dyDescent="0.25">
      <c r="X86" s="388">
        <f t="shared" si="11"/>
        <v>4.3749999999999973</v>
      </c>
      <c r="Y86" s="284" t="s">
        <v>608</v>
      </c>
      <c r="Z86" s="389" t="str">
        <f t="shared" si="8"/>
        <v/>
      </c>
      <c r="AA86" s="389" t="str">
        <f t="shared" si="9"/>
        <v>-</v>
      </c>
      <c r="AB86" s="389" t="str">
        <f t="shared" si="10"/>
        <v/>
      </c>
      <c r="AC86" s="390" t="str">
        <f t="shared" si="12"/>
        <v>-</v>
      </c>
    </row>
    <row r="87" spans="19:29" x14ac:dyDescent="0.25">
      <c r="X87" s="388">
        <f t="shared" si="11"/>
        <v>4.4166666666666643</v>
      </c>
      <c r="Y87" s="284" t="s">
        <v>608</v>
      </c>
      <c r="Z87" s="389" t="str">
        <f t="shared" si="8"/>
        <v/>
      </c>
      <c r="AA87" s="389" t="str">
        <f t="shared" si="9"/>
        <v>-</v>
      </c>
      <c r="AB87" s="389" t="str">
        <f t="shared" si="10"/>
        <v/>
      </c>
      <c r="AC87" s="390" t="str">
        <f t="shared" si="12"/>
        <v>-</v>
      </c>
    </row>
    <row r="88" spans="19:29" x14ac:dyDescent="0.25">
      <c r="X88" s="388">
        <f t="shared" si="11"/>
        <v>4.4583333333333313</v>
      </c>
      <c r="Y88" s="284" t="s">
        <v>608</v>
      </c>
      <c r="Z88" s="389" t="str">
        <f t="shared" si="8"/>
        <v/>
      </c>
      <c r="AA88" s="389" t="str">
        <f t="shared" si="9"/>
        <v>-</v>
      </c>
      <c r="AB88" s="389" t="str">
        <f t="shared" si="10"/>
        <v/>
      </c>
      <c r="AC88" s="390" t="str">
        <f t="shared" si="12"/>
        <v>-</v>
      </c>
    </row>
    <row r="89" spans="19:29" x14ac:dyDescent="0.25">
      <c r="X89" s="388">
        <f t="shared" si="11"/>
        <v>4.4999999999999982</v>
      </c>
      <c r="Y89" s="284" t="s">
        <v>608</v>
      </c>
      <c r="Z89" s="389" t="str">
        <f t="shared" si="8"/>
        <v/>
      </c>
      <c r="AA89" s="389" t="str">
        <f t="shared" si="9"/>
        <v>-</v>
      </c>
      <c r="AB89" s="389" t="str">
        <f t="shared" si="10"/>
        <v/>
      </c>
      <c r="AC89" s="390" t="str">
        <f t="shared" si="12"/>
        <v>-</v>
      </c>
    </row>
    <row r="90" spans="19:29" x14ac:dyDescent="0.25">
      <c r="X90" s="388">
        <f t="shared" si="11"/>
        <v>4.5416666666666652</v>
      </c>
      <c r="Y90" s="284" t="s">
        <v>608</v>
      </c>
      <c r="Z90" s="389" t="str">
        <f t="shared" si="8"/>
        <v/>
      </c>
      <c r="AA90" s="389" t="str">
        <f t="shared" si="9"/>
        <v>-</v>
      </c>
      <c r="AB90" s="389" t="str">
        <f t="shared" si="10"/>
        <v/>
      </c>
      <c r="AC90" s="390" t="str">
        <f t="shared" si="12"/>
        <v>-</v>
      </c>
    </row>
    <row r="91" spans="19:29" x14ac:dyDescent="0.25">
      <c r="X91" s="388">
        <f t="shared" si="11"/>
        <v>4.5833333333333321</v>
      </c>
      <c r="Y91" s="284" t="s">
        <v>608</v>
      </c>
      <c r="Z91" s="389" t="str">
        <f t="shared" si="8"/>
        <v/>
      </c>
      <c r="AA91" s="389" t="str">
        <f t="shared" si="9"/>
        <v>-</v>
      </c>
      <c r="AB91" s="389" t="str">
        <f t="shared" si="10"/>
        <v/>
      </c>
      <c r="AC91" s="390" t="str">
        <f t="shared" si="12"/>
        <v>-</v>
      </c>
    </row>
    <row r="92" spans="19:29" x14ac:dyDescent="0.25">
      <c r="X92" s="388">
        <f t="shared" si="11"/>
        <v>4.6249999999999991</v>
      </c>
      <c r="Y92" s="284" t="s">
        <v>608</v>
      </c>
      <c r="Z92" s="389" t="str">
        <f t="shared" si="8"/>
        <v/>
      </c>
      <c r="AA92" s="389" t="str">
        <f t="shared" si="9"/>
        <v>-</v>
      </c>
      <c r="AB92" s="389" t="str">
        <f t="shared" si="10"/>
        <v/>
      </c>
      <c r="AC92" s="390" t="str">
        <f t="shared" si="12"/>
        <v>-</v>
      </c>
    </row>
    <row r="93" spans="19:29" x14ac:dyDescent="0.25">
      <c r="X93" s="388">
        <f t="shared" si="11"/>
        <v>4.6666666666666661</v>
      </c>
      <c r="Y93" s="284" t="s">
        <v>608</v>
      </c>
      <c r="Z93" s="389" t="str">
        <f t="shared" si="8"/>
        <v/>
      </c>
      <c r="AA93" s="389" t="str">
        <f t="shared" si="9"/>
        <v>-</v>
      </c>
      <c r="AB93" s="389" t="str">
        <f t="shared" si="10"/>
        <v/>
      </c>
      <c r="AC93" s="390" t="str">
        <f t="shared" si="12"/>
        <v>-</v>
      </c>
    </row>
    <row r="94" spans="19:29" x14ac:dyDescent="0.25">
      <c r="X94" s="388">
        <f t="shared" si="11"/>
        <v>4.708333333333333</v>
      </c>
      <c r="Y94" s="284" t="s">
        <v>608</v>
      </c>
      <c r="Z94" s="389" t="str">
        <f t="shared" si="8"/>
        <v/>
      </c>
      <c r="AA94" s="389" t="str">
        <f t="shared" si="9"/>
        <v>-</v>
      </c>
      <c r="AB94" s="389" t="str">
        <f t="shared" si="10"/>
        <v/>
      </c>
      <c r="AC94" s="390" t="str">
        <f t="shared" si="12"/>
        <v>-</v>
      </c>
    </row>
    <row r="95" spans="19:29" x14ac:dyDescent="0.25">
      <c r="X95" s="388">
        <f t="shared" si="11"/>
        <v>4.75</v>
      </c>
      <c r="Y95" s="284" t="s">
        <v>608</v>
      </c>
      <c r="Z95" s="389" t="str">
        <f t="shared" si="8"/>
        <v/>
      </c>
      <c r="AA95" s="389" t="str">
        <f t="shared" si="9"/>
        <v>-</v>
      </c>
      <c r="AB95" s="389" t="str">
        <f t="shared" si="10"/>
        <v/>
      </c>
      <c r="AC95" s="390" t="str">
        <f t="shared" si="12"/>
        <v>-</v>
      </c>
    </row>
    <row r="96" spans="19:29" x14ac:dyDescent="0.25">
      <c r="X96" s="388">
        <f t="shared" si="11"/>
        <v>4.791666666666667</v>
      </c>
      <c r="Y96" s="284" t="s">
        <v>608</v>
      </c>
      <c r="Z96" s="389" t="str">
        <f t="shared" si="8"/>
        <v/>
      </c>
      <c r="AA96" s="389" t="str">
        <f t="shared" si="9"/>
        <v>-</v>
      </c>
      <c r="AB96" s="389" t="str">
        <f t="shared" si="10"/>
        <v/>
      </c>
      <c r="AC96" s="390" t="str">
        <f t="shared" si="12"/>
        <v>-</v>
      </c>
    </row>
    <row r="97" spans="24:29" x14ac:dyDescent="0.25">
      <c r="X97" s="388">
        <f t="shared" si="11"/>
        <v>4.8333333333333339</v>
      </c>
      <c r="Y97" s="284" t="s">
        <v>608</v>
      </c>
      <c r="Z97" s="389" t="str">
        <f t="shared" si="8"/>
        <v/>
      </c>
      <c r="AA97" s="389" t="str">
        <f t="shared" si="9"/>
        <v>-</v>
      </c>
      <c r="AB97" s="389" t="str">
        <f t="shared" si="10"/>
        <v/>
      </c>
      <c r="AC97" s="390" t="str">
        <f t="shared" si="12"/>
        <v>-</v>
      </c>
    </row>
    <row r="98" spans="24:29" x14ac:dyDescent="0.25">
      <c r="X98" s="388">
        <f t="shared" si="11"/>
        <v>4.8750000000000009</v>
      </c>
      <c r="Y98" s="284" t="s">
        <v>608</v>
      </c>
      <c r="Z98" s="389" t="str">
        <f t="shared" si="8"/>
        <v/>
      </c>
      <c r="AA98" s="389" t="str">
        <f t="shared" si="9"/>
        <v>-</v>
      </c>
      <c r="AB98" s="389" t="str">
        <f t="shared" si="10"/>
        <v/>
      </c>
      <c r="AC98" s="390" t="str">
        <f t="shared" si="12"/>
        <v>-</v>
      </c>
    </row>
    <row r="99" spans="24:29" x14ac:dyDescent="0.25">
      <c r="X99" s="388">
        <f t="shared" si="11"/>
        <v>4.9166666666666679</v>
      </c>
      <c r="Y99" s="284" t="s">
        <v>608</v>
      </c>
      <c r="Z99" s="389" t="str">
        <f t="shared" si="8"/>
        <v/>
      </c>
      <c r="AA99" s="389" t="str">
        <f t="shared" si="9"/>
        <v>-</v>
      </c>
      <c r="AB99" s="389" t="str">
        <f t="shared" si="10"/>
        <v/>
      </c>
      <c r="AC99" s="390" t="str">
        <f t="shared" si="12"/>
        <v>-</v>
      </c>
    </row>
    <row r="100" spans="24:29" x14ac:dyDescent="0.25">
      <c r="X100" s="388">
        <f t="shared" si="11"/>
        <v>4.9583333333333348</v>
      </c>
      <c r="Y100" s="284" t="s">
        <v>608</v>
      </c>
      <c r="Z100" s="389" t="str">
        <f t="shared" si="8"/>
        <v/>
      </c>
      <c r="AA100" s="389" t="str">
        <f t="shared" si="9"/>
        <v>-</v>
      </c>
      <c r="AB100" s="389" t="str">
        <f t="shared" si="10"/>
        <v/>
      </c>
      <c r="AC100" s="390" t="str">
        <f t="shared" si="12"/>
        <v>-</v>
      </c>
    </row>
    <row r="101" spans="24:29" x14ac:dyDescent="0.25">
      <c r="X101" s="388">
        <f t="shared" si="11"/>
        <v>5.0000000000000018</v>
      </c>
      <c r="Y101" s="284" t="s">
        <v>608</v>
      </c>
      <c r="Z101" s="389" t="str">
        <f t="shared" si="8"/>
        <v/>
      </c>
      <c r="AA101" s="389" t="str">
        <f t="shared" si="9"/>
        <v>-</v>
      </c>
      <c r="AB101" s="389" t="str">
        <f t="shared" si="10"/>
        <v/>
      </c>
      <c r="AC101" s="390" t="str">
        <f t="shared" si="12"/>
        <v>-</v>
      </c>
    </row>
    <row r="102" spans="24:29" x14ac:dyDescent="0.25">
      <c r="X102" s="388">
        <f t="shared" ref="X102:X133" si="13">X101+$AA$2</f>
        <v>5.0416666666666687</v>
      </c>
      <c r="Y102" s="284" t="s">
        <v>608</v>
      </c>
      <c r="Z102" s="389" t="str">
        <f t="shared" si="8"/>
        <v/>
      </c>
      <c r="AA102" s="389" t="str">
        <f t="shared" si="9"/>
        <v>-</v>
      </c>
      <c r="AB102" s="389" t="str">
        <f t="shared" si="10"/>
        <v/>
      </c>
      <c r="AC102" s="390" t="str">
        <f t="shared" si="12"/>
        <v>-</v>
      </c>
    </row>
    <row r="103" spans="24:29" x14ac:dyDescent="0.25">
      <c r="X103" s="388">
        <f t="shared" si="13"/>
        <v>5.0833333333333357</v>
      </c>
      <c r="Y103" s="284" t="s">
        <v>608</v>
      </c>
      <c r="Z103" s="389" t="str">
        <f t="shared" si="8"/>
        <v/>
      </c>
      <c r="AA103" s="389" t="str">
        <f t="shared" si="9"/>
        <v>-</v>
      </c>
      <c r="AB103" s="389" t="str">
        <f t="shared" si="10"/>
        <v/>
      </c>
      <c r="AC103" s="390" t="str">
        <f t="shared" si="12"/>
        <v>-</v>
      </c>
    </row>
    <row r="104" spans="24:29" x14ac:dyDescent="0.25">
      <c r="X104" s="388">
        <f t="shared" si="13"/>
        <v>5.1250000000000027</v>
      </c>
      <c r="Y104" s="284" t="s">
        <v>608</v>
      </c>
      <c r="Z104" s="389" t="str">
        <f t="shared" si="8"/>
        <v/>
      </c>
      <c r="AA104" s="389" t="str">
        <f t="shared" si="9"/>
        <v>-</v>
      </c>
      <c r="AB104" s="389" t="str">
        <f t="shared" si="10"/>
        <v/>
      </c>
      <c r="AC104" s="390" t="str">
        <f t="shared" si="12"/>
        <v>-</v>
      </c>
    </row>
    <row r="105" spans="24:29" x14ac:dyDescent="0.25">
      <c r="X105" s="388">
        <f t="shared" si="13"/>
        <v>5.1666666666666696</v>
      </c>
      <c r="Y105" s="284" t="s">
        <v>608</v>
      </c>
      <c r="Z105" s="389" t="str">
        <f t="shared" si="8"/>
        <v/>
      </c>
      <c r="AA105" s="389" t="str">
        <f t="shared" si="9"/>
        <v>-</v>
      </c>
      <c r="AB105" s="389" t="str">
        <f t="shared" si="10"/>
        <v/>
      </c>
      <c r="AC105" s="390" t="str">
        <f t="shared" si="12"/>
        <v>-</v>
      </c>
    </row>
    <row r="106" spans="24:29" x14ac:dyDescent="0.25">
      <c r="X106" s="388">
        <f t="shared" si="13"/>
        <v>5.2083333333333366</v>
      </c>
      <c r="Y106" s="284" t="s">
        <v>608</v>
      </c>
      <c r="Z106" s="389" t="str">
        <f t="shared" si="8"/>
        <v/>
      </c>
      <c r="AA106" s="389" t="str">
        <f t="shared" si="9"/>
        <v>-</v>
      </c>
      <c r="AB106" s="389" t="str">
        <f t="shared" si="10"/>
        <v/>
      </c>
      <c r="AC106" s="390" t="str">
        <f t="shared" si="12"/>
        <v>-</v>
      </c>
    </row>
    <row r="107" spans="24:29" x14ac:dyDescent="0.25">
      <c r="X107" s="388">
        <f t="shared" si="13"/>
        <v>5.2500000000000036</v>
      </c>
      <c r="Y107" s="284" t="s">
        <v>608</v>
      </c>
      <c r="Z107" s="389" t="str">
        <f t="shared" si="8"/>
        <v/>
      </c>
      <c r="AA107" s="389" t="str">
        <f t="shared" si="9"/>
        <v>-</v>
      </c>
      <c r="AB107" s="389" t="str">
        <f t="shared" si="10"/>
        <v/>
      </c>
      <c r="AC107" s="390" t="str">
        <f t="shared" si="12"/>
        <v>-</v>
      </c>
    </row>
    <row r="108" spans="24:29" x14ac:dyDescent="0.25">
      <c r="X108" s="388">
        <f t="shared" si="13"/>
        <v>5.2916666666666705</v>
      </c>
      <c r="Y108" s="284" t="s">
        <v>608</v>
      </c>
      <c r="Z108" s="389" t="str">
        <f t="shared" si="8"/>
        <v/>
      </c>
      <c r="AA108" s="389" t="str">
        <f t="shared" si="9"/>
        <v>-</v>
      </c>
      <c r="AB108" s="389" t="str">
        <f t="shared" si="10"/>
        <v/>
      </c>
      <c r="AC108" s="390" t="str">
        <f t="shared" si="12"/>
        <v>-</v>
      </c>
    </row>
    <row r="109" spans="24:29" x14ac:dyDescent="0.25">
      <c r="X109" s="388">
        <f t="shared" si="13"/>
        <v>5.3333333333333375</v>
      </c>
      <c r="Y109" s="284" t="s">
        <v>608</v>
      </c>
      <c r="Z109" s="389" t="str">
        <f t="shared" si="8"/>
        <v/>
      </c>
      <c r="AA109" s="389" t="str">
        <f t="shared" si="9"/>
        <v>-</v>
      </c>
      <c r="AB109" s="389" t="str">
        <f t="shared" si="10"/>
        <v/>
      </c>
      <c r="AC109" s="390" t="str">
        <f t="shared" si="12"/>
        <v>-</v>
      </c>
    </row>
    <row r="110" spans="24:29" x14ac:dyDescent="0.25">
      <c r="X110" s="388">
        <f t="shared" si="13"/>
        <v>5.3750000000000044</v>
      </c>
      <c r="Y110" s="284" t="s">
        <v>608</v>
      </c>
      <c r="Z110" s="389" t="str">
        <f t="shared" si="8"/>
        <v/>
      </c>
      <c r="AA110" s="389" t="str">
        <f t="shared" si="9"/>
        <v>-</v>
      </c>
      <c r="AB110" s="389" t="str">
        <f t="shared" si="10"/>
        <v/>
      </c>
      <c r="AC110" s="390" t="str">
        <f t="shared" si="12"/>
        <v>-</v>
      </c>
    </row>
    <row r="111" spans="24:29" x14ac:dyDescent="0.25">
      <c r="X111" s="388">
        <f t="shared" si="13"/>
        <v>5.4166666666666714</v>
      </c>
      <c r="Y111" s="284" t="s">
        <v>608</v>
      </c>
      <c r="Z111" s="389" t="str">
        <f t="shared" si="8"/>
        <v/>
      </c>
      <c r="AA111" s="389" t="str">
        <f t="shared" si="9"/>
        <v>-</v>
      </c>
      <c r="AB111" s="389" t="str">
        <f t="shared" si="10"/>
        <v/>
      </c>
      <c r="AC111" s="390" t="str">
        <f t="shared" si="12"/>
        <v>-</v>
      </c>
    </row>
    <row r="112" spans="24:29" x14ac:dyDescent="0.25">
      <c r="X112" s="388">
        <f t="shared" si="13"/>
        <v>5.4583333333333384</v>
      </c>
      <c r="Y112" s="284" t="s">
        <v>608</v>
      </c>
      <c r="Z112" s="389" t="str">
        <f t="shared" si="8"/>
        <v/>
      </c>
      <c r="AA112" s="389" t="str">
        <f t="shared" si="9"/>
        <v>-</v>
      </c>
      <c r="AB112" s="389" t="str">
        <f t="shared" si="10"/>
        <v/>
      </c>
      <c r="AC112" s="390" t="str">
        <f t="shared" si="12"/>
        <v>-</v>
      </c>
    </row>
    <row r="113" spans="24:29" x14ac:dyDescent="0.25">
      <c r="X113" s="388">
        <f t="shared" si="13"/>
        <v>5.5000000000000053</v>
      </c>
      <c r="Y113" s="284" t="s">
        <v>608</v>
      </c>
      <c r="Z113" s="389" t="str">
        <f t="shared" si="8"/>
        <v/>
      </c>
      <c r="AA113" s="389" t="str">
        <f t="shared" si="9"/>
        <v>-</v>
      </c>
      <c r="AB113" s="389" t="str">
        <f t="shared" si="10"/>
        <v/>
      </c>
      <c r="AC113" s="390" t="str">
        <f t="shared" si="12"/>
        <v>-</v>
      </c>
    </row>
    <row r="114" spans="24:29" x14ac:dyDescent="0.25">
      <c r="X114" s="388">
        <f t="shared" si="13"/>
        <v>5.5416666666666723</v>
      </c>
      <c r="Y114" s="284" t="s">
        <v>608</v>
      </c>
      <c r="Z114" s="389" t="str">
        <f t="shared" si="8"/>
        <v/>
      </c>
      <c r="AA114" s="389" t="str">
        <f t="shared" si="9"/>
        <v>-</v>
      </c>
      <c r="AB114" s="389" t="str">
        <f t="shared" si="10"/>
        <v/>
      </c>
      <c r="AC114" s="390" t="str">
        <f t="shared" si="12"/>
        <v>-</v>
      </c>
    </row>
    <row r="115" spans="24:29" x14ac:dyDescent="0.25">
      <c r="X115" s="388">
        <f t="shared" si="13"/>
        <v>5.5833333333333393</v>
      </c>
      <c r="Y115" s="284" t="s">
        <v>608</v>
      </c>
      <c r="Z115" s="389" t="str">
        <f t="shared" si="8"/>
        <v/>
      </c>
      <c r="AA115" s="389" t="str">
        <f t="shared" si="9"/>
        <v>-</v>
      </c>
      <c r="AB115" s="389" t="str">
        <f t="shared" si="10"/>
        <v/>
      </c>
      <c r="AC115" s="390" t="str">
        <f t="shared" si="12"/>
        <v>-</v>
      </c>
    </row>
    <row r="116" spans="24:29" x14ac:dyDescent="0.25">
      <c r="X116" s="388">
        <f t="shared" si="13"/>
        <v>5.6250000000000062</v>
      </c>
      <c r="Y116" s="284" t="s">
        <v>608</v>
      </c>
      <c r="Z116" s="389" t="str">
        <f t="shared" si="8"/>
        <v/>
      </c>
      <c r="AA116" s="389" t="str">
        <f t="shared" si="9"/>
        <v>-</v>
      </c>
      <c r="AB116" s="389" t="str">
        <f t="shared" si="10"/>
        <v/>
      </c>
      <c r="AC116" s="390" t="str">
        <f t="shared" si="12"/>
        <v>-</v>
      </c>
    </row>
    <row r="117" spans="24:29" x14ac:dyDescent="0.25">
      <c r="X117" s="388">
        <f t="shared" si="13"/>
        <v>5.6666666666666732</v>
      </c>
      <c r="Y117" s="284" t="s">
        <v>608</v>
      </c>
      <c r="Z117" s="389" t="str">
        <f t="shared" si="8"/>
        <v/>
      </c>
      <c r="AA117" s="389" t="str">
        <f t="shared" si="9"/>
        <v>-</v>
      </c>
      <c r="AB117" s="389" t="str">
        <f t="shared" si="10"/>
        <v/>
      </c>
      <c r="AC117" s="390" t="str">
        <f t="shared" si="12"/>
        <v>-</v>
      </c>
    </row>
    <row r="118" spans="24:29" x14ac:dyDescent="0.25">
      <c r="X118" s="388">
        <f t="shared" si="13"/>
        <v>5.7083333333333401</v>
      </c>
      <c r="Y118" s="284" t="s">
        <v>608</v>
      </c>
      <c r="Z118" s="389" t="str">
        <f t="shared" si="8"/>
        <v/>
      </c>
      <c r="AA118" s="389" t="str">
        <f t="shared" si="9"/>
        <v>-</v>
      </c>
      <c r="AB118" s="389" t="str">
        <f t="shared" si="10"/>
        <v/>
      </c>
      <c r="AC118" s="390" t="str">
        <f t="shared" si="12"/>
        <v>-</v>
      </c>
    </row>
    <row r="119" spans="24:29" x14ac:dyDescent="0.25">
      <c r="X119" s="388">
        <f t="shared" si="13"/>
        <v>5.7500000000000071</v>
      </c>
      <c r="Y119" s="284" t="s">
        <v>608</v>
      </c>
      <c r="Z119" s="389" t="str">
        <f t="shared" si="8"/>
        <v/>
      </c>
      <c r="AA119" s="389" t="str">
        <f t="shared" si="9"/>
        <v>-</v>
      </c>
      <c r="AB119" s="389" t="str">
        <f t="shared" si="10"/>
        <v/>
      </c>
      <c r="AC119" s="390" t="str">
        <f t="shared" si="12"/>
        <v>-</v>
      </c>
    </row>
    <row r="120" spans="24:29" x14ac:dyDescent="0.25">
      <c r="X120" s="388">
        <f t="shared" si="13"/>
        <v>5.7916666666666741</v>
      </c>
      <c r="Y120" s="284" t="s">
        <v>608</v>
      </c>
      <c r="Z120" s="389" t="str">
        <f t="shared" si="8"/>
        <v/>
      </c>
      <c r="AA120" s="389" t="str">
        <f t="shared" si="9"/>
        <v>-</v>
      </c>
      <c r="AB120" s="389" t="str">
        <f t="shared" si="10"/>
        <v/>
      </c>
      <c r="AC120" s="390" t="str">
        <f t="shared" si="12"/>
        <v>-</v>
      </c>
    </row>
    <row r="121" spans="24:29" x14ac:dyDescent="0.25">
      <c r="X121" s="388">
        <f t="shared" si="13"/>
        <v>5.833333333333341</v>
      </c>
      <c r="Y121" s="284" t="s">
        <v>608</v>
      </c>
      <c r="Z121" s="389" t="str">
        <f t="shared" si="8"/>
        <v/>
      </c>
      <c r="AA121" s="389" t="str">
        <f t="shared" si="9"/>
        <v>-</v>
      </c>
      <c r="AB121" s="389" t="str">
        <f t="shared" si="10"/>
        <v/>
      </c>
      <c r="AC121" s="390" t="str">
        <f t="shared" si="12"/>
        <v>-</v>
      </c>
    </row>
    <row r="122" spans="24:29" x14ac:dyDescent="0.25">
      <c r="X122" s="388">
        <f t="shared" si="13"/>
        <v>5.875000000000008</v>
      </c>
      <c r="Y122" s="284" t="s">
        <v>608</v>
      </c>
      <c r="Z122" s="389" t="str">
        <f t="shared" si="8"/>
        <v/>
      </c>
      <c r="AA122" s="389" t="str">
        <f t="shared" si="9"/>
        <v>-</v>
      </c>
      <c r="AB122" s="389" t="str">
        <f t="shared" si="10"/>
        <v/>
      </c>
      <c r="AC122" s="390" t="str">
        <f t="shared" si="12"/>
        <v>-</v>
      </c>
    </row>
    <row r="123" spans="24:29" x14ac:dyDescent="0.25">
      <c r="X123" s="388">
        <f t="shared" si="13"/>
        <v>5.916666666666675</v>
      </c>
      <c r="Y123" s="284" t="s">
        <v>608</v>
      </c>
      <c r="Z123" s="389" t="str">
        <f t="shared" si="8"/>
        <v/>
      </c>
      <c r="AA123" s="389" t="str">
        <f t="shared" si="9"/>
        <v>-</v>
      </c>
      <c r="AB123" s="389" t="str">
        <f t="shared" si="10"/>
        <v/>
      </c>
      <c r="AC123" s="390" t="str">
        <f t="shared" si="12"/>
        <v>-</v>
      </c>
    </row>
    <row r="124" spans="24:29" x14ac:dyDescent="0.25">
      <c r="X124" s="388">
        <f t="shared" si="13"/>
        <v>5.9583333333333419</v>
      </c>
      <c r="Y124" s="284" t="s">
        <v>608</v>
      </c>
      <c r="Z124" s="389" t="str">
        <f t="shared" si="8"/>
        <v/>
      </c>
      <c r="AA124" s="389" t="str">
        <f t="shared" si="9"/>
        <v>-</v>
      </c>
      <c r="AB124" s="389" t="str">
        <f t="shared" si="10"/>
        <v/>
      </c>
      <c r="AC124" s="390" t="str">
        <f t="shared" si="12"/>
        <v>-</v>
      </c>
    </row>
    <row r="125" spans="24:29" x14ac:dyDescent="0.25">
      <c r="X125" s="388">
        <f t="shared" si="13"/>
        <v>6.0000000000000089</v>
      </c>
      <c r="Y125" s="284" t="s">
        <v>608</v>
      </c>
      <c r="Z125" s="389" t="str">
        <f t="shared" si="8"/>
        <v/>
      </c>
      <c r="AA125" s="389" t="str">
        <f t="shared" si="9"/>
        <v>-</v>
      </c>
      <c r="AB125" s="389" t="str">
        <f t="shared" si="10"/>
        <v/>
      </c>
      <c r="AC125" s="390" t="str">
        <f t="shared" si="12"/>
        <v>-</v>
      </c>
    </row>
    <row r="126" spans="24:29" x14ac:dyDescent="0.25">
      <c r="X126" s="388">
        <f t="shared" si="13"/>
        <v>6.0416666666666758</v>
      </c>
      <c r="Y126" s="284" t="s">
        <v>608</v>
      </c>
      <c r="Z126" s="389" t="str">
        <f t="shared" si="8"/>
        <v/>
      </c>
      <c r="AA126" s="389" t="str">
        <f t="shared" si="9"/>
        <v>-</v>
      </c>
      <c r="AB126" s="389" t="str">
        <f t="shared" si="10"/>
        <v/>
      </c>
      <c r="AC126" s="390" t="str">
        <f t="shared" si="12"/>
        <v>-</v>
      </c>
    </row>
    <row r="127" spans="24:29" x14ac:dyDescent="0.25">
      <c r="X127" s="388">
        <f t="shared" si="13"/>
        <v>6.0833333333333428</v>
      </c>
      <c r="Y127" s="284" t="s">
        <v>608</v>
      </c>
      <c r="Z127" s="389" t="str">
        <f t="shared" si="8"/>
        <v/>
      </c>
      <c r="AA127" s="389" t="str">
        <f t="shared" si="9"/>
        <v>-</v>
      </c>
      <c r="AB127" s="389" t="str">
        <f t="shared" si="10"/>
        <v/>
      </c>
      <c r="AC127" s="390" t="str">
        <f t="shared" si="12"/>
        <v>-</v>
      </c>
    </row>
    <row r="128" spans="24:29" x14ac:dyDescent="0.25">
      <c r="X128" s="388">
        <f t="shared" si="13"/>
        <v>6.1250000000000098</v>
      </c>
      <c r="Y128" s="284" t="s">
        <v>608</v>
      </c>
      <c r="Z128" s="389" t="str">
        <f t="shared" si="8"/>
        <v/>
      </c>
      <c r="AA128" s="389" t="str">
        <f t="shared" si="9"/>
        <v>-</v>
      </c>
      <c r="AB128" s="389" t="str">
        <f t="shared" si="10"/>
        <v/>
      </c>
      <c r="AC128" s="390" t="str">
        <f t="shared" si="12"/>
        <v>-</v>
      </c>
    </row>
    <row r="129" spans="24:29" x14ac:dyDescent="0.25">
      <c r="X129" s="388">
        <f t="shared" si="13"/>
        <v>6.1666666666666767</v>
      </c>
      <c r="Y129" s="284" t="s">
        <v>608</v>
      </c>
      <c r="Z129" s="389" t="str">
        <f t="shared" si="8"/>
        <v/>
      </c>
      <c r="AA129" s="389" t="str">
        <f t="shared" si="9"/>
        <v>-</v>
      </c>
      <c r="AB129" s="389" t="str">
        <f t="shared" si="10"/>
        <v/>
      </c>
      <c r="AC129" s="390" t="str">
        <f t="shared" si="12"/>
        <v>-</v>
      </c>
    </row>
    <row r="130" spans="24:29" x14ac:dyDescent="0.25">
      <c r="X130" s="388">
        <f t="shared" si="13"/>
        <v>6.2083333333333437</v>
      </c>
      <c r="Y130" s="284" t="s">
        <v>608</v>
      </c>
      <c r="Z130" s="389" t="str">
        <f t="shared" si="8"/>
        <v/>
      </c>
      <c r="AA130" s="389" t="str">
        <f t="shared" si="9"/>
        <v>-</v>
      </c>
      <c r="AB130" s="389" t="str">
        <f t="shared" si="10"/>
        <v/>
      </c>
      <c r="AC130" s="390" t="str">
        <f t="shared" si="12"/>
        <v>-</v>
      </c>
    </row>
    <row r="131" spans="24:29" x14ac:dyDescent="0.25">
      <c r="X131" s="388">
        <f t="shared" si="13"/>
        <v>6.2500000000000107</v>
      </c>
      <c r="Y131" s="284" t="s">
        <v>608</v>
      </c>
      <c r="Z131" s="389" t="str">
        <f t="shared" si="8"/>
        <v/>
      </c>
      <c r="AA131" s="389" t="str">
        <f t="shared" si="9"/>
        <v>-</v>
      </c>
      <c r="AB131" s="389" t="str">
        <f t="shared" si="10"/>
        <v/>
      </c>
      <c r="AC131" s="390" t="str">
        <f t="shared" si="12"/>
        <v>-</v>
      </c>
    </row>
    <row r="132" spans="24:29" x14ac:dyDescent="0.25">
      <c r="X132" s="388">
        <f t="shared" si="13"/>
        <v>6.2916666666666776</v>
      </c>
      <c r="Y132" s="284" t="s">
        <v>608</v>
      </c>
      <c r="Z132" s="389" t="str">
        <f t="shared" si="8"/>
        <v/>
      </c>
      <c r="AA132" s="389" t="str">
        <f t="shared" si="9"/>
        <v>-</v>
      </c>
      <c r="AB132" s="389" t="str">
        <f t="shared" si="10"/>
        <v/>
      </c>
      <c r="AC132" s="390" t="str">
        <f t="shared" si="12"/>
        <v>-</v>
      </c>
    </row>
    <row r="133" spans="24:29" x14ac:dyDescent="0.25">
      <c r="X133" s="388">
        <f t="shared" si="13"/>
        <v>6.3333333333333446</v>
      </c>
      <c r="Y133" s="284" t="s">
        <v>608</v>
      </c>
      <c r="Z133" s="389" t="str">
        <f t="shared" ref="Z133:Z196" si="14">IF(AND(X133&gt;=$V$27,X133&lt;$V$28),X133,"")</f>
        <v/>
      </c>
      <c r="AA133" s="389" t="str">
        <f t="shared" ref="AA133:AA196" si="15">IF(Z133=X133,Y133,"-")</f>
        <v>-</v>
      </c>
      <c r="AB133" s="389" t="str">
        <f t="shared" ref="AB133:AB196" si="16">IF(AND(X133&gt;=$V$29,X133&lt;$V$30),X133,"")</f>
        <v/>
      </c>
      <c r="AC133" s="390" t="str">
        <f t="shared" si="12"/>
        <v>-</v>
      </c>
    </row>
    <row r="134" spans="24:29" x14ac:dyDescent="0.25">
      <c r="X134" s="388">
        <f t="shared" ref="X134:X165" si="17">X133+$AA$2</f>
        <v>6.3750000000000115</v>
      </c>
      <c r="Y134" s="284" t="s">
        <v>608</v>
      </c>
      <c r="Z134" s="389" t="str">
        <f t="shared" si="14"/>
        <v/>
      </c>
      <c r="AA134" s="389" t="str">
        <f t="shared" si="15"/>
        <v>-</v>
      </c>
      <c r="AB134" s="389" t="str">
        <f t="shared" si="16"/>
        <v/>
      </c>
      <c r="AC134" s="390" t="str">
        <f t="shared" ref="AC134:AC197" si="18">IF(AB134=X134,Y134,"-")</f>
        <v>-</v>
      </c>
    </row>
    <row r="135" spans="24:29" x14ac:dyDescent="0.25">
      <c r="X135" s="388">
        <f t="shared" si="17"/>
        <v>6.4166666666666785</v>
      </c>
      <c r="Y135" s="284" t="s">
        <v>608</v>
      </c>
      <c r="Z135" s="389" t="str">
        <f t="shared" si="14"/>
        <v/>
      </c>
      <c r="AA135" s="389" t="str">
        <f t="shared" si="15"/>
        <v>-</v>
      </c>
      <c r="AB135" s="389" t="str">
        <f t="shared" si="16"/>
        <v/>
      </c>
      <c r="AC135" s="390" t="str">
        <f t="shared" si="18"/>
        <v>-</v>
      </c>
    </row>
    <row r="136" spans="24:29" x14ac:dyDescent="0.25">
      <c r="X136" s="388">
        <f t="shared" si="17"/>
        <v>6.4583333333333455</v>
      </c>
      <c r="Y136" s="284" t="s">
        <v>608</v>
      </c>
      <c r="Z136" s="389" t="str">
        <f t="shared" si="14"/>
        <v/>
      </c>
      <c r="AA136" s="389" t="str">
        <f t="shared" si="15"/>
        <v>-</v>
      </c>
      <c r="AB136" s="389" t="str">
        <f t="shared" si="16"/>
        <v/>
      </c>
      <c r="AC136" s="390" t="str">
        <f t="shared" si="18"/>
        <v>-</v>
      </c>
    </row>
    <row r="137" spans="24:29" x14ac:dyDescent="0.25">
      <c r="X137" s="388">
        <f t="shared" si="17"/>
        <v>6.5000000000000124</v>
      </c>
      <c r="Y137" s="284" t="s">
        <v>608</v>
      </c>
      <c r="Z137" s="389" t="str">
        <f t="shared" si="14"/>
        <v/>
      </c>
      <c r="AA137" s="389" t="str">
        <f t="shared" si="15"/>
        <v>-</v>
      </c>
      <c r="AB137" s="389" t="str">
        <f t="shared" si="16"/>
        <v/>
      </c>
      <c r="AC137" s="390" t="str">
        <f t="shared" si="18"/>
        <v>-</v>
      </c>
    </row>
    <row r="138" spans="24:29" x14ac:dyDescent="0.25">
      <c r="X138" s="388">
        <f t="shared" si="17"/>
        <v>6.5416666666666794</v>
      </c>
      <c r="Y138" s="284" t="s">
        <v>608</v>
      </c>
      <c r="Z138" s="389" t="str">
        <f t="shared" si="14"/>
        <v/>
      </c>
      <c r="AA138" s="389" t="str">
        <f t="shared" si="15"/>
        <v>-</v>
      </c>
      <c r="AB138" s="389" t="str">
        <f t="shared" si="16"/>
        <v/>
      </c>
      <c r="AC138" s="390" t="str">
        <f t="shared" si="18"/>
        <v>-</v>
      </c>
    </row>
    <row r="139" spans="24:29" x14ac:dyDescent="0.25">
      <c r="X139" s="388">
        <f t="shared" si="17"/>
        <v>6.5833333333333464</v>
      </c>
      <c r="Y139" s="284" t="s">
        <v>608</v>
      </c>
      <c r="Z139" s="389" t="str">
        <f t="shared" si="14"/>
        <v/>
      </c>
      <c r="AA139" s="389" t="str">
        <f t="shared" si="15"/>
        <v>-</v>
      </c>
      <c r="AB139" s="389" t="str">
        <f t="shared" si="16"/>
        <v/>
      </c>
      <c r="AC139" s="390" t="str">
        <f t="shared" si="18"/>
        <v>-</v>
      </c>
    </row>
    <row r="140" spans="24:29" x14ac:dyDescent="0.25">
      <c r="X140" s="388">
        <f t="shared" si="17"/>
        <v>6.6250000000000133</v>
      </c>
      <c r="Y140" s="284" t="s">
        <v>608</v>
      </c>
      <c r="Z140" s="389" t="str">
        <f t="shared" si="14"/>
        <v/>
      </c>
      <c r="AA140" s="389" t="str">
        <f t="shared" si="15"/>
        <v>-</v>
      </c>
      <c r="AB140" s="389" t="str">
        <f t="shared" si="16"/>
        <v/>
      </c>
      <c r="AC140" s="390" t="str">
        <f t="shared" si="18"/>
        <v>-</v>
      </c>
    </row>
    <row r="141" spans="24:29" x14ac:dyDescent="0.25">
      <c r="X141" s="388">
        <f t="shared" si="17"/>
        <v>6.6666666666666803</v>
      </c>
      <c r="Y141" s="284" t="s">
        <v>608</v>
      </c>
      <c r="Z141" s="389" t="str">
        <f t="shared" si="14"/>
        <v/>
      </c>
      <c r="AA141" s="389" t="str">
        <f t="shared" si="15"/>
        <v>-</v>
      </c>
      <c r="AB141" s="389" t="str">
        <f t="shared" si="16"/>
        <v/>
      </c>
      <c r="AC141" s="390" t="str">
        <f t="shared" si="18"/>
        <v>-</v>
      </c>
    </row>
    <row r="142" spans="24:29" x14ac:dyDescent="0.25">
      <c r="X142" s="388">
        <f t="shared" si="17"/>
        <v>6.7083333333333472</v>
      </c>
      <c r="Y142" s="284" t="s">
        <v>608</v>
      </c>
      <c r="Z142" s="389" t="str">
        <f t="shared" si="14"/>
        <v/>
      </c>
      <c r="AA142" s="389" t="str">
        <f t="shared" si="15"/>
        <v>-</v>
      </c>
      <c r="AB142" s="389" t="str">
        <f t="shared" si="16"/>
        <v/>
      </c>
      <c r="AC142" s="390" t="str">
        <f t="shared" si="18"/>
        <v>-</v>
      </c>
    </row>
    <row r="143" spans="24:29" x14ac:dyDescent="0.25">
      <c r="X143" s="388">
        <f t="shared" si="17"/>
        <v>6.7500000000000142</v>
      </c>
      <c r="Y143" s="284" t="s">
        <v>608</v>
      </c>
      <c r="Z143" s="389" t="str">
        <f t="shared" si="14"/>
        <v/>
      </c>
      <c r="AA143" s="389" t="str">
        <f t="shared" si="15"/>
        <v>-</v>
      </c>
      <c r="AB143" s="389" t="str">
        <f t="shared" si="16"/>
        <v/>
      </c>
      <c r="AC143" s="390" t="str">
        <f t="shared" si="18"/>
        <v>-</v>
      </c>
    </row>
    <row r="144" spans="24:29" x14ac:dyDescent="0.25">
      <c r="X144" s="388">
        <f t="shared" si="17"/>
        <v>6.7916666666666812</v>
      </c>
      <c r="Y144" s="284" t="s">
        <v>608</v>
      </c>
      <c r="Z144" s="389" t="str">
        <f t="shared" si="14"/>
        <v/>
      </c>
      <c r="AA144" s="389" t="str">
        <f t="shared" si="15"/>
        <v>-</v>
      </c>
      <c r="AB144" s="389" t="str">
        <f t="shared" si="16"/>
        <v/>
      </c>
      <c r="AC144" s="390" t="str">
        <f t="shared" si="18"/>
        <v>-</v>
      </c>
    </row>
    <row r="145" spans="24:29" x14ac:dyDescent="0.25">
      <c r="X145" s="388">
        <f t="shared" si="17"/>
        <v>6.8333333333333481</v>
      </c>
      <c r="Y145" s="284" t="s">
        <v>608</v>
      </c>
      <c r="Z145" s="389" t="str">
        <f t="shared" si="14"/>
        <v/>
      </c>
      <c r="AA145" s="389" t="str">
        <f t="shared" si="15"/>
        <v>-</v>
      </c>
      <c r="AB145" s="389" t="str">
        <f t="shared" si="16"/>
        <v/>
      </c>
      <c r="AC145" s="390" t="str">
        <f t="shared" si="18"/>
        <v>-</v>
      </c>
    </row>
    <row r="146" spans="24:29" x14ac:dyDescent="0.25">
      <c r="X146" s="388">
        <f t="shared" si="17"/>
        <v>6.8750000000000151</v>
      </c>
      <c r="Y146" s="284" t="s">
        <v>608</v>
      </c>
      <c r="Z146" s="389" t="str">
        <f t="shared" si="14"/>
        <v/>
      </c>
      <c r="AA146" s="389" t="str">
        <f t="shared" si="15"/>
        <v>-</v>
      </c>
      <c r="AB146" s="389" t="str">
        <f t="shared" si="16"/>
        <v/>
      </c>
      <c r="AC146" s="390" t="str">
        <f t="shared" si="18"/>
        <v>-</v>
      </c>
    </row>
    <row r="147" spans="24:29" x14ac:dyDescent="0.25">
      <c r="X147" s="388">
        <f t="shared" si="17"/>
        <v>6.9166666666666821</v>
      </c>
      <c r="Y147" s="284" t="s">
        <v>608</v>
      </c>
      <c r="Z147" s="389" t="str">
        <f t="shared" si="14"/>
        <v/>
      </c>
      <c r="AA147" s="389" t="str">
        <f t="shared" si="15"/>
        <v>-</v>
      </c>
      <c r="AB147" s="389" t="str">
        <f t="shared" si="16"/>
        <v/>
      </c>
      <c r="AC147" s="390" t="str">
        <f t="shared" si="18"/>
        <v>-</v>
      </c>
    </row>
    <row r="148" spans="24:29" x14ac:dyDescent="0.25">
      <c r="X148" s="388">
        <f t="shared" si="17"/>
        <v>6.958333333333349</v>
      </c>
      <c r="Y148" s="284" t="s">
        <v>608</v>
      </c>
      <c r="Z148" s="389" t="str">
        <f t="shared" si="14"/>
        <v/>
      </c>
      <c r="AA148" s="389" t="str">
        <f t="shared" si="15"/>
        <v>-</v>
      </c>
      <c r="AB148" s="389" t="str">
        <f t="shared" si="16"/>
        <v/>
      </c>
      <c r="AC148" s="390" t="str">
        <f t="shared" si="18"/>
        <v>-</v>
      </c>
    </row>
    <row r="149" spans="24:29" x14ac:dyDescent="0.25">
      <c r="X149" s="388">
        <f t="shared" si="17"/>
        <v>7.000000000000016</v>
      </c>
      <c r="Y149" s="284" t="s">
        <v>608</v>
      </c>
      <c r="Z149" s="389" t="str">
        <f t="shared" si="14"/>
        <v/>
      </c>
      <c r="AA149" s="389" t="str">
        <f t="shared" si="15"/>
        <v>-</v>
      </c>
      <c r="AB149" s="389" t="str">
        <f t="shared" si="16"/>
        <v/>
      </c>
      <c r="AC149" s="390" t="str">
        <f t="shared" si="18"/>
        <v>-</v>
      </c>
    </row>
    <row r="150" spans="24:29" x14ac:dyDescent="0.25">
      <c r="X150" s="388">
        <f t="shared" si="17"/>
        <v>7.0416666666666829</v>
      </c>
      <c r="Y150" s="284" t="s">
        <v>608</v>
      </c>
      <c r="Z150" s="389" t="str">
        <f t="shared" si="14"/>
        <v/>
      </c>
      <c r="AA150" s="389" t="str">
        <f t="shared" si="15"/>
        <v>-</v>
      </c>
      <c r="AB150" s="389" t="str">
        <f t="shared" si="16"/>
        <v/>
      </c>
      <c r="AC150" s="390" t="str">
        <f t="shared" si="18"/>
        <v>-</v>
      </c>
    </row>
    <row r="151" spans="24:29" x14ac:dyDescent="0.25">
      <c r="X151" s="388">
        <f t="shared" si="17"/>
        <v>7.0833333333333499</v>
      </c>
      <c r="Y151" s="284" t="s">
        <v>608</v>
      </c>
      <c r="Z151" s="389" t="str">
        <f t="shared" si="14"/>
        <v/>
      </c>
      <c r="AA151" s="389" t="str">
        <f t="shared" si="15"/>
        <v>-</v>
      </c>
      <c r="AB151" s="389" t="str">
        <f t="shared" si="16"/>
        <v/>
      </c>
      <c r="AC151" s="390" t="str">
        <f t="shared" si="18"/>
        <v>-</v>
      </c>
    </row>
    <row r="152" spans="24:29" x14ac:dyDescent="0.25">
      <c r="X152" s="388">
        <f t="shared" si="17"/>
        <v>7.1250000000000169</v>
      </c>
      <c r="Y152" s="284" t="s">
        <v>608</v>
      </c>
      <c r="Z152" s="389" t="str">
        <f t="shared" si="14"/>
        <v/>
      </c>
      <c r="AA152" s="389" t="str">
        <f t="shared" si="15"/>
        <v>-</v>
      </c>
      <c r="AB152" s="389" t="str">
        <f t="shared" si="16"/>
        <v/>
      </c>
      <c r="AC152" s="390" t="str">
        <f t="shared" si="18"/>
        <v>-</v>
      </c>
    </row>
    <row r="153" spans="24:29" x14ac:dyDescent="0.25">
      <c r="X153" s="388">
        <f t="shared" si="17"/>
        <v>7.1666666666666838</v>
      </c>
      <c r="Y153" s="284" t="s">
        <v>608</v>
      </c>
      <c r="Z153" s="389" t="str">
        <f t="shared" si="14"/>
        <v/>
      </c>
      <c r="AA153" s="389" t="str">
        <f t="shared" si="15"/>
        <v>-</v>
      </c>
      <c r="AB153" s="389" t="str">
        <f t="shared" si="16"/>
        <v/>
      </c>
      <c r="AC153" s="390" t="str">
        <f t="shared" si="18"/>
        <v>-</v>
      </c>
    </row>
    <row r="154" spans="24:29" x14ac:dyDescent="0.25">
      <c r="X154" s="388">
        <f t="shared" si="17"/>
        <v>7.2083333333333508</v>
      </c>
      <c r="Y154" s="284" t="s">
        <v>608</v>
      </c>
      <c r="Z154" s="389" t="str">
        <f t="shared" si="14"/>
        <v/>
      </c>
      <c r="AA154" s="389" t="str">
        <f t="shared" si="15"/>
        <v>-</v>
      </c>
      <c r="AB154" s="389" t="str">
        <f t="shared" si="16"/>
        <v/>
      </c>
      <c r="AC154" s="390" t="str">
        <f t="shared" si="18"/>
        <v>-</v>
      </c>
    </row>
    <row r="155" spans="24:29" x14ac:dyDescent="0.25">
      <c r="X155" s="388">
        <f t="shared" si="17"/>
        <v>7.2500000000000178</v>
      </c>
      <c r="Y155" s="284" t="s">
        <v>608</v>
      </c>
      <c r="Z155" s="389" t="str">
        <f t="shared" si="14"/>
        <v/>
      </c>
      <c r="AA155" s="389" t="str">
        <f t="shared" si="15"/>
        <v>-</v>
      </c>
      <c r="AB155" s="389" t="str">
        <f t="shared" si="16"/>
        <v/>
      </c>
      <c r="AC155" s="390" t="str">
        <f t="shared" si="18"/>
        <v>-</v>
      </c>
    </row>
    <row r="156" spans="24:29" x14ac:dyDescent="0.25">
      <c r="X156" s="388">
        <f t="shared" si="17"/>
        <v>7.2916666666666847</v>
      </c>
      <c r="Y156" s="284" t="s">
        <v>608</v>
      </c>
      <c r="Z156" s="389" t="str">
        <f t="shared" si="14"/>
        <v/>
      </c>
      <c r="AA156" s="389" t="str">
        <f t="shared" si="15"/>
        <v>-</v>
      </c>
      <c r="AB156" s="389" t="str">
        <f t="shared" si="16"/>
        <v/>
      </c>
      <c r="AC156" s="390" t="str">
        <f t="shared" si="18"/>
        <v>-</v>
      </c>
    </row>
    <row r="157" spans="24:29" x14ac:dyDescent="0.25">
      <c r="X157" s="388">
        <f t="shared" si="17"/>
        <v>7.3333333333333517</v>
      </c>
      <c r="Y157" s="284" t="s">
        <v>608</v>
      </c>
      <c r="Z157" s="389" t="str">
        <f t="shared" si="14"/>
        <v/>
      </c>
      <c r="AA157" s="389" t="str">
        <f t="shared" si="15"/>
        <v>-</v>
      </c>
      <c r="AB157" s="389" t="str">
        <f t="shared" si="16"/>
        <v/>
      </c>
      <c r="AC157" s="390" t="str">
        <f t="shared" si="18"/>
        <v>-</v>
      </c>
    </row>
    <row r="158" spans="24:29" x14ac:dyDescent="0.25">
      <c r="X158" s="388">
        <f t="shared" si="17"/>
        <v>7.3750000000000187</v>
      </c>
      <c r="Y158" s="284" t="s">
        <v>608</v>
      </c>
      <c r="Z158" s="389" t="str">
        <f t="shared" si="14"/>
        <v/>
      </c>
      <c r="AA158" s="389" t="str">
        <f t="shared" si="15"/>
        <v>-</v>
      </c>
      <c r="AB158" s="389" t="str">
        <f t="shared" si="16"/>
        <v/>
      </c>
      <c r="AC158" s="390" t="str">
        <f t="shared" si="18"/>
        <v>-</v>
      </c>
    </row>
    <row r="159" spans="24:29" x14ac:dyDescent="0.25">
      <c r="X159" s="388">
        <f t="shared" si="17"/>
        <v>7.4166666666666856</v>
      </c>
      <c r="Y159" s="284" t="s">
        <v>608</v>
      </c>
      <c r="Z159" s="389" t="str">
        <f t="shared" si="14"/>
        <v/>
      </c>
      <c r="AA159" s="389" t="str">
        <f t="shared" si="15"/>
        <v>-</v>
      </c>
      <c r="AB159" s="389" t="str">
        <f t="shared" si="16"/>
        <v/>
      </c>
      <c r="AC159" s="390" t="str">
        <f t="shared" si="18"/>
        <v>-</v>
      </c>
    </row>
    <row r="160" spans="24:29" x14ac:dyDescent="0.25">
      <c r="X160" s="388">
        <f t="shared" si="17"/>
        <v>7.4583333333333526</v>
      </c>
      <c r="Y160" s="284" t="s">
        <v>608</v>
      </c>
      <c r="Z160" s="389" t="str">
        <f t="shared" si="14"/>
        <v/>
      </c>
      <c r="AA160" s="389" t="str">
        <f t="shared" si="15"/>
        <v>-</v>
      </c>
      <c r="AB160" s="389" t="str">
        <f t="shared" si="16"/>
        <v/>
      </c>
      <c r="AC160" s="390" t="str">
        <f t="shared" si="18"/>
        <v>-</v>
      </c>
    </row>
    <row r="161" spans="24:29" x14ac:dyDescent="0.25">
      <c r="X161" s="388">
        <f t="shared" si="17"/>
        <v>7.5000000000000195</v>
      </c>
      <c r="Y161" s="284" t="s">
        <v>608</v>
      </c>
      <c r="Z161" s="389" t="str">
        <f t="shared" si="14"/>
        <v/>
      </c>
      <c r="AA161" s="389" t="str">
        <f t="shared" si="15"/>
        <v>-</v>
      </c>
      <c r="AB161" s="389" t="str">
        <f t="shared" si="16"/>
        <v/>
      </c>
      <c r="AC161" s="390" t="str">
        <f t="shared" si="18"/>
        <v>-</v>
      </c>
    </row>
    <row r="162" spans="24:29" x14ac:dyDescent="0.25">
      <c r="X162" s="388">
        <f t="shared" si="17"/>
        <v>7.5416666666666865</v>
      </c>
      <c r="Y162" s="284" t="s">
        <v>608</v>
      </c>
      <c r="Z162" s="389" t="str">
        <f t="shared" si="14"/>
        <v/>
      </c>
      <c r="AA162" s="389" t="str">
        <f t="shared" si="15"/>
        <v>-</v>
      </c>
      <c r="AB162" s="389" t="str">
        <f t="shared" si="16"/>
        <v/>
      </c>
      <c r="AC162" s="390" t="str">
        <f t="shared" si="18"/>
        <v>-</v>
      </c>
    </row>
    <row r="163" spans="24:29" x14ac:dyDescent="0.25">
      <c r="X163" s="388">
        <f t="shared" si="17"/>
        <v>7.5833333333333535</v>
      </c>
      <c r="Y163" s="284" t="s">
        <v>608</v>
      </c>
      <c r="Z163" s="389" t="str">
        <f t="shared" si="14"/>
        <v/>
      </c>
      <c r="AA163" s="389" t="str">
        <f t="shared" si="15"/>
        <v>-</v>
      </c>
      <c r="AB163" s="389" t="str">
        <f t="shared" si="16"/>
        <v/>
      </c>
      <c r="AC163" s="390" t="str">
        <f t="shared" si="18"/>
        <v>-</v>
      </c>
    </row>
    <row r="164" spans="24:29" x14ac:dyDescent="0.25">
      <c r="X164" s="388">
        <f t="shared" si="17"/>
        <v>7.6250000000000204</v>
      </c>
      <c r="Y164" s="284" t="s">
        <v>608</v>
      </c>
      <c r="Z164" s="389" t="str">
        <f t="shared" si="14"/>
        <v/>
      </c>
      <c r="AA164" s="389" t="str">
        <f t="shared" si="15"/>
        <v>-</v>
      </c>
      <c r="AB164" s="389" t="str">
        <f t="shared" si="16"/>
        <v/>
      </c>
      <c r="AC164" s="390" t="str">
        <f t="shared" si="18"/>
        <v>-</v>
      </c>
    </row>
    <row r="165" spans="24:29" x14ac:dyDescent="0.25">
      <c r="X165" s="388">
        <f t="shared" si="17"/>
        <v>7.6666666666666874</v>
      </c>
      <c r="Y165" s="284" t="s">
        <v>608</v>
      </c>
      <c r="Z165" s="389" t="str">
        <f t="shared" si="14"/>
        <v/>
      </c>
      <c r="AA165" s="389" t="str">
        <f t="shared" si="15"/>
        <v>-</v>
      </c>
      <c r="AB165" s="389" t="str">
        <f t="shared" si="16"/>
        <v/>
      </c>
      <c r="AC165" s="390" t="str">
        <f t="shared" si="18"/>
        <v>-</v>
      </c>
    </row>
    <row r="166" spans="24:29" x14ac:dyDescent="0.25">
      <c r="X166" s="388">
        <f t="shared" ref="X166:X197" si="19">X165+$AA$2</f>
        <v>7.7083333333333544</v>
      </c>
      <c r="Y166" s="284" t="s">
        <v>608</v>
      </c>
      <c r="Z166" s="389" t="str">
        <f t="shared" si="14"/>
        <v/>
      </c>
      <c r="AA166" s="389" t="str">
        <f t="shared" si="15"/>
        <v>-</v>
      </c>
      <c r="AB166" s="389" t="str">
        <f t="shared" si="16"/>
        <v/>
      </c>
      <c r="AC166" s="390" t="str">
        <f t="shared" si="18"/>
        <v>-</v>
      </c>
    </row>
    <row r="167" spans="24:29" x14ac:dyDescent="0.25">
      <c r="X167" s="388">
        <f t="shared" si="19"/>
        <v>7.7500000000000213</v>
      </c>
      <c r="Y167" s="284" t="s">
        <v>608</v>
      </c>
      <c r="Z167" s="389" t="str">
        <f t="shared" si="14"/>
        <v/>
      </c>
      <c r="AA167" s="389" t="str">
        <f t="shared" si="15"/>
        <v>-</v>
      </c>
      <c r="AB167" s="389" t="str">
        <f t="shared" si="16"/>
        <v/>
      </c>
      <c r="AC167" s="390" t="str">
        <f t="shared" si="18"/>
        <v>-</v>
      </c>
    </row>
    <row r="168" spans="24:29" x14ac:dyDescent="0.25">
      <c r="X168" s="388">
        <f t="shared" si="19"/>
        <v>7.7916666666666883</v>
      </c>
      <c r="Y168" s="284" t="s">
        <v>608</v>
      </c>
      <c r="Z168" s="389" t="str">
        <f t="shared" si="14"/>
        <v/>
      </c>
      <c r="AA168" s="389" t="str">
        <f t="shared" si="15"/>
        <v>-</v>
      </c>
      <c r="AB168" s="389" t="str">
        <f t="shared" si="16"/>
        <v/>
      </c>
      <c r="AC168" s="390" t="str">
        <f t="shared" si="18"/>
        <v>-</v>
      </c>
    </row>
    <row r="169" spans="24:29" x14ac:dyDescent="0.25">
      <c r="X169" s="388">
        <f t="shared" si="19"/>
        <v>7.8333333333333552</v>
      </c>
      <c r="Y169" s="284" t="s">
        <v>608</v>
      </c>
      <c r="Z169" s="389" t="str">
        <f t="shared" si="14"/>
        <v/>
      </c>
      <c r="AA169" s="389" t="str">
        <f t="shared" si="15"/>
        <v>-</v>
      </c>
      <c r="AB169" s="389" t="str">
        <f t="shared" si="16"/>
        <v/>
      </c>
      <c r="AC169" s="390" t="str">
        <f t="shared" si="18"/>
        <v>-</v>
      </c>
    </row>
    <row r="170" spans="24:29" x14ac:dyDescent="0.25">
      <c r="X170" s="388">
        <f t="shared" si="19"/>
        <v>7.8750000000000222</v>
      </c>
      <c r="Y170" s="284" t="s">
        <v>608</v>
      </c>
      <c r="Z170" s="389" t="str">
        <f t="shared" si="14"/>
        <v/>
      </c>
      <c r="AA170" s="389" t="str">
        <f t="shared" si="15"/>
        <v>-</v>
      </c>
      <c r="AB170" s="389" t="str">
        <f t="shared" si="16"/>
        <v/>
      </c>
      <c r="AC170" s="390" t="str">
        <f t="shared" si="18"/>
        <v>-</v>
      </c>
    </row>
    <row r="171" spans="24:29" x14ac:dyDescent="0.25">
      <c r="X171" s="388">
        <f t="shared" si="19"/>
        <v>7.9166666666666892</v>
      </c>
      <c r="Y171" s="284" t="s">
        <v>608</v>
      </c>
      <c r="Z171" s="389" t="str">
        <f t="shared" si="14"/>
        <v/>
      </c>
      <c r="AA171" s="389" t="str">
        <f t="shared" si="15"/>
        <v>-</v>
      </c>
      <c r="AB171" s="389" t="str">
        <f t="shared" si="16"/>
        <v/>
      </c>
      <c r="AC171" s="390" t="str">
        <f t="shared" si="18"/>
        <v>-</v>
      </c>
    </row>
    <row r="172" spans="24:29" x14ac:dyDescent="0.25">
      <c r="X172" s="388">
        <f t="shared" si="19"/>
        <v>7.9583333333333561</v>
      </c>
      <c r="Y172" s="284" t="s">
        <v>608</v>
      </c>
      <c r="Z172" s="389" t="str">
        <f t="shared" si="14"/>
        <v/>
      </c>
      <c r="AA172" s="389" t="str">
        <f t="shared" si="15"/>
        <v>-</v>
      </c>
      <c r="AB172" s="389" t="str">
        <f t="shared" si="16"/>
        <v/>
      </c>
      <c r="AC172" s="390" t="str">
        <f t="shared" si="18"/>
        <v>-</v>
      </c>
    </row>
    <row r="173" spans="24:29" x14ac:dyDescent="0.25">
      <c r="X173" s="388">
        <f t="shared" si="19"/>
        <v>8.0000000000000231</v>
      </c>
      <c r="Y173" s="284" t="s">
        <v>608</v>
      </c>
      <c r="Z173" s="389" t="str">
        <f t="shared" si="14"/>
        <v/>
      </c>
      <c r="AA173" s="389" t="str">
        <f t="shared" si="15"/>
        <v>-</v>
      </c>
      <c r="AB173" s="389" t="str">
        <f t="shared" si="16"/>
        <v/>
      </c>
      <c r="AC173" s="390" t="str">
        <f t="shared" si="18"/>
        <v>-</v>
      </c>
    </row>
    <row r="174" spans="24:29" x14ac:dyDescent="0.25">
      <c r="X174" s="388">
        <f t="shared" si="19"/>
        <v>8.0416666666666892</v>
      </c>
      <c r="Y174" s="284" t="s">
        <v>608</v>
      </c>
      <c r="Z174" s="389" t="str">
        <f t="shared" si="14"/>
        <v/>
      </c>
      <c r="AA174" s="389" t="str">
        <f t="shared" si="15"/>
        <v>-</v>
      </c>
      <c r="AB174" s="389" t="str">
        <f t="shared" si="16"/>
        <v/>
      </c>
      <c r="AC174" s="390" t="str">
        <f t="shared" si="18"/>
        <v>-</v>
      </c>
    </row>
    <row r="175" spans="24:29" x14ac:dyDescent="0.25">
      <c r="X175" s="388">
        <f t="shared" si="19"/>
        <v>8.0833333333333552</v>
      </c>
      <c r="Y175" s="284" t="s">
        <v>608</v>
      </c>
      <c r="Z175" s="389" t="str">
        <f t="shared" si="14"/>
        <v/>
      </c>
      <c r="AA175" s="389" t="str">
        <f t="shared" si="15"/>
        <v>-</v>
      </c>
      <c r="AB175" s="389" t="str">
        <f t="shared" si="16"/>
        <v/>
      </c>
      <c r="AC175" s="390" t="str">
        <f t="shared" si="18"/>
        <v>-</v>
      </c>
    </row>
    <row r="176" spans="24:29" x14ac:dyDescent="0.25">
      <c r="X176" s="388">
        <f t="shared" si="19"/>
        <v>8.1250000000000213</v>
      </c>
      <c r="Y176" s="284" t="s">
        <v>608</v>
      </c>
      <c r="Z176" s="389" t="str">
        <f t="shared" si="14"/>
        <v/>
      </c>
      <c r="AA176" s="389" t="str">
        <f t="shared" si="15"/>
        <v>-</v>
      </c>
      <c r="AB176" s="389" t="str">
        <f t="shared" si="16"/>
        <v/>
      </c>
      <c r="AC176" s="390" t="str">
        <f t="shared" si="18"/>
        <v>-</v>
      </c>
    </row>
    <row r="177" spans="24:29" x14ac:dyDescent="0.25">
      <c r="X177" s="388">
        <f t="shared" si="19"/>
        <v>8.1666666666666874</v>
      </c>
      <c r="Y177" s="284" t="s">
        <v>608</v>
      </c>
      <c r="Z177" s="389" t="str">
        <f t="shared" si="14"/>
        <v/>
      </c>
      <c r="AA177" s="389" t="str">
        <f t="shared" si="15"/>
        <v>-</v>
      </c>
      <c r="AB177" s="389" t="str">
        <f t="shared" si="16"/>
        <v/>
      </c>
      <c r="AC177" s="390" t="str">
        <f t="shared" si="18"/>
        <v>-</v>
      </c>
    </row>
    <row r="178" spans="24:29" x14ac:dyDescent="0.25">
      <c r="X178" s="388">
        <f t="shared" si="19"/>
        <v>8.2083333333333535</v>
      </c>
      <c r="Y178" s="284" t="s">
        <v>608</v>
      </c>
      <c r="Z178" s="389" t="str">
        <f t="shared" si="14"/>
        <v/>
      </c>
      <c r="AA178" s="389" t="str">
        <f t="shared" si="15"/>
        <v>-</v>
      </c>
      <c r="AB178" s="389" t="str">
        <f t="shared" si="16"/>
        <v/>
      </c>
      <c r="AC178" s="390" t="str">
        <f t="shared" si="18"/>
        <v>-</v>
      </c>
    </row>
    <row r="179" spans="24:29" x14ac:dyDescent="0.25">
      <c r="X179" s="388">
        <f t="shared" si="19"/>
        <v>8.2500000000000195</v>
      </c>
      <c r="Y179" s="284" t="s">
        <v>608</v>
      </c>
      <c r="Z179" s="389" t="str">
        <f t="shared" si="14"/>
        <v/>
      </c>
      <c r="AA179" s="389" t="str">
        <f t="shared" si="15"/>
        <v>-</v>
      </c>
      <c r="AB179" s="389" t="str">
        <f t="shared" si="16"/>
        <v/>
      </c>
      <c r="AC179" s="390" t="str">
        <f t="shared" si="18"/>
        <v>-</v>
      </c>
    </row>
    <row r="180" spans="24:29" x14ac:dyDescent="0.25">
      <c r="X180" s="388">
        <f t="shared" si="19"/>
        <v>8.2916666666666856</v>
      </c>
      <c r="Y180" s="284" t="s">
        <v>608</v>
      </c>
      <c r="Z180" s="389" t="str">
        <f t="shared" si="14"/>
        <v/>
      </c>
      <c r="AA180" s="389" t="str">
        <f t="shared" si="15"/>
        <v>-</v>
      </c>
      <c r="AB180" s="389" t="str">
        <f t="shared" si="16"/>
        <v/>
      </c>
      <c r="AC180" s="390" t="str">
        <f t="shared" si="18"/>
        <v>-</v>
      </c>
    </row>
    <row r="181" spans="24:29" x14ac:dyDescent="0.25">
      <c r="X181" s="388">
        <f t="shared" si="19"/>
        <v>8.3333333333333517</v>
      </c>
      <c r="Y181" s="284" t="s">
        <v>608</v>
      </c>
      <c r="Z181" s="389" t="str">
        <f t="shared" si="14"/>
        <v/>
      </c>
      <c r="AA181" s="389" t="str">
        <f t="shared" si="15"/>
        <v>-</v>
      </c>
      <c r="AB181" s="389" t="str">
        <f t="shared" si="16"/>
        <v/>
      </c>
      <c r="AC181" s="390" t="str">
        <f t="shared" si="18"/>
        <v>-</v>
      </c>
    </row>
    <row r="182" spans="24:29" x14ac:dyDescent="0.25">
      <c r="X182" s="388">
        <f t="shared" si="19"/>
        <v>8.3750000000000178</v>
      </c>
      <c r="Y182" s="284" t="s">
        <v>608</v>
      </c>
      <c r="Z182" s="389" t="str">
        <f t="shared" si="14"/>
        <v/>
      </c>
      <c r="AA182" s="389" t="str">
        <f t="shared" si="15"/>
        <v>-</v>
      </c>
      <c r="AB182" s="389" t="str">
        <f t="shared" si="16"/>
        <v/>
      </c>
      <c r="AC182" s="390" t="str">
        <f t="shared" si="18"/>
        <v>-</v>
      </c>
    </row>
    <row r="183" spans="24:29" x14ac:dyDescent="0.25">
      <c r="X183" s="388">
        <f t="shared" si="19"/>
        <v>8.4166666666666838</v>
      </c>
      <c r="Y183" s="284" t="s">
        <v>608</v>
      </c>
      <c r="Z183" s="389" t="str">
        <f t="shared" si="14"/>
        <v/>
      </c>
      <c r="AA183" s="389" t="str">
        <f t="shared" si="15"/>
        <v>-</v>
      </c>
      <c r="AB183" s="389" t="str">
        <f t="shared" si="16"/>
        <v/>
      </c>
      <c r="AC183" s="390" t="str">
        <f t="shared" si="18"/>
        <v>-</v>
      </c>
    </row>
    <row r="184" spans="24:29" x14ac:dyDescent="0.25">
      <c r="X184" s="388">
        <f t="shared" si="19"/>
        <v>8.4583333333333499</v>
      </c>
      <c r="Y184" s="284" t="s">
        <v>608</v>
      </c>
      <c r="Z184" s="389" t="str">
        <f t="shared" si="14"/>
        <v/>
      </c>
      <c r="AA184" s="389" t="str">
        <f t="shared" si="15"/>
        <v>-</v>
      </c>
      <c r="AB184" s="389" t="str">
        <f t="shared" si="16"/>
        <v/>
      </c>
      <c r="AC184" s="390" t="str">
        <f t="shared" si="18"/>
        <v>-</v>
      </c>
    </row>
    <row r="185" spans="24:29" x14ac:dyDescent="0.25">
      <c r="X185" s="388">
        <f t="shared" si="19"/>
        <v>8.500000000000016</v>
      </c>
      <c r="Y185" s="284" t="s">
        <v>608</v>
      </c>
      <c r="Z185" s="389" t="str">
        <f t="shared" si="14"/>
        <v/>
      </c>
      <c r="AA185" s="389" t="str">
        <f t="shared" si="15"/>
        <v>-</v>
      </c>
      <c r="AB185" s="389" t="str">
        <f t="shared" si="16"/>
        <v/>
      </c>
      <c r="AC185" s="390" t="str">
        <f t="shared" si="18"/>
        <v>-</v>
      </c>
    </row>
    <row r="186" spans="24:29" x14ac:dyDescent="0.25">
      <c r="X186" s="388">
        <f t="shared" si="19"/>
        <v>8.5416666666666821</v>
      </c>
      <c r="Y186" s="284" t="s">
        <v>608</v>
      </c>
      <c r="Z186" s="389" t="str">
        <f t="shared" si="14"/>
        <v/>
      </c>
      <c r="AA186" s="389" t="str">
        <f t="shared" si="15"/>
        <v>-</v>
      </c>
      <c r="AB186" s="389" t="str">
        <f t="shared" si="16"/>
        <v/>
      </c>
      <c r="AC186" s="390" t="str">
        <f t="shared" si="18"/>
        <v>-</v>
      </c>
    </row>
    <row r="187" spans="24:29" x14ac:dyDescent="0.25">
      <c r="X187" s="388">
        <f t="shared" si="19"/>
        <v>8.5833333333333481</v>
      </c>
      <c r="Y187" s="284" t="s">
        <v>608</v>
      </c>
      <c r="Z187" s="389" t="str">
        <f t="shared" si="14"/>
        <v/>
      </c>
      <c r="AA187" s="389" t="str">
        <f t="shared" si="15"/>
        <v>-</v>
      </c>
      <c r="AB187" s="389" t="str">
        <f t="shared" si="16"/>
        <v/>
      </c>
      <c r="AC187" s="390" t="str">
        <f t="shared" si="18"/>
        <v>-</v>
      </c>
    </row>
    <row r="188" spans="24:29" x14ac:dyDescent="0.25">
      <c r="X188" s="388">
        <f t="shared" si="19"/>
        <v>8.6250000000000142</v>
      </c>
      <c r="Y188" s="284" t="s">
        <v>608</v>
      </c>
      <c r="Z188" s="389" t="str">
        <f t="shared" si="14"/>
        <v/>
      </c>
      <c r="AA188" s="389" t="str">
        <f t="shared" si="15"/>
        <v>-</v>
      </c>
      <c r="AB188" s="389" t="str">
        <f t="shared" si="16"/>
        <v/>
      </c>
      <c r="AC188" s="390" t="str">
        <f t="shared" si="18"/>
        <v>-</v>
      </c>
    </row>
    <row r="189" spans="24:29" x14ac:dyDescent="0.25">
      <c r="X189" s="388">
        <f t="shared" si="19"/>
        <v>8.6666666666666803</v>
      </c>
      <c r="Y189" s="284" t="s">
        <v>608</v>
      </c>
      <c r="Z189" s="389" t="str">
        <f t="shared" si="14"/>
        <v/>
      </c>
      <c r="AA189" s="389" t="str">
        <f t="shared" si="15"/>
        <v>-</v>
      </c>
      <c r="AB189" s="389" t="str">
        <f t="shared" si="16"/>
        <v/>
      </c>
      <c r="AC189" s="390" t="str">
        <f t="shared" si="18"/>
        <v>-</v>
      </c>
    </row>
    <row r="190" spans="24:29" x14ac:dyDescent="0.25">
      <c r="X190" s="388">
        <f t="shared" si="19"/>
        <v>8.7083333333333464</v>
      </c>
      <c r="Y190" s="284" t="s">
        <v>608</v>
      </c>
      <c r="Z190" s="389" t="str">
        <f t="shared" si="14"/>
        <v/>
      </c>
      <c r="AA190" s="389" t="str">
        <f t="shared" si="15"/>
        <v>-</v>
      </c>
      <c r="AB190" s="389" t="str">
        <f t="shared" si="16"/>
        <v/>
      </c>
      <c r="AC190" s="390" t="str">
        <f t="shared" si="18"/>
        <v>-</v>
      </c>
    </row>
    <row r="191" spans="24:29" x14ac:dyDescent="0.25">
      <c r="X191" s="388">
        <f t="shared" si="19"/>
        <v>8.7500000000000124</v>
      </c>
      <c r="Y191" s="284" t="s">
        <v>608</v>
      </c>
      <c r="Z191" s="389" t="str">
        <f t="shared" si="14"/>
        <v/>
      </c>
      <c r="AA191" s="389" t="str">
        <f t="shared" si="15"/>
        <v>-</v>
      </c>
      <c r="AB191" s="389" t="str">
        <f t="shared" si="16"/>
        <v/>
      </c>
      <c r="AC191" s="390" t="str">
        <f t="shared" si="18"/>
        <v>-</v>
      </c>
    </row>
    <row r="192" spans="24:29" x14ac:dyDescent="0.25">
      <c r="X192" s="388">
        <f t="shared" si="19"/>
        <v>8.7916666666666785</v>
      </c>
      <c r="Y192" s="284" t="s">
        <v>608</v>
      </c>
      <c r="Z192" s="389" t="str">
        <f t="shared" si="14"/>
        <v/>
      </c>
      <c r="AA192" s="389" t="str">
        <f t="shared" si="15"/>
        <v>-</v>
      </c>
      <c r="AB192" s="389" t="str">
        <f t="shared" si="16"/>
        <v/>
      </c>
      <c r="AC192" s="390" t="str">
        <f t="shared" si="18"/>
        <v>-</v>
      </c>
    </row>
    <row r="193" spans="24:29" x14ac:dyDescent="0.25">
      <c r="X193" s="388">
        <f t="shared" si="19"/>
        <v>8.8333333333333446</v>
      </c>
      <c r="Y193" s="284" t="s">
        <v>608</v>
      </c>
      <c r="Z193" s="389" t="str">
        <f t="shared" si="14"/>
        <v/>
      </c>
      <c r="AA193" s="389" t="str">
        <f t="shared" si="15"/>
        <v>-</v>
      </c>
      <c r="AB193" s="389" t="str">
        <f t="shared" si="16"/>
        <v/>
      </c>
      <c r="AC193" s="390" t="str">
        <f t="shared" si="18"/>
        <v>-</v>
      </c>
    </row>
    <row r="194" spans="24:29" x14ac:dyDescent="0.25">
      <c r="X194" s="388">
        <f t="shared" si="19"/>
        <v>8.8750000000000107</v>
      </c>
      <c r="Y194" s="284" t="s">
        <v>608</v>
      </c>
      <c r="Z194" s="389" t="str">
        <f t="shared" si="14"/>
        <v/>
      </c>
      <c r="AA194" s="389" t="str">
        <f t="shared" si="15"/>
        <v>-</v>
      </c>
      <c r="AB194" s="389" t="str">
        <f t="shared" si="16"/>
        <v/>
      </c>
      <c r="AC194" s="390" t="str">
        <f t="shared" si="18"/>
        <v>-</v>
      </c>
    </row>
    <row r="195" spans="24:29" x14ac:dyDescent="0.25">
      <c r="X195" s="388">
        <f t="shared" si="19"/>
        <v>8.9166666666666767</v>
      </c>
      <c r="Y195" s="284" t="s">
        <v>608</v>
      </c>
      <c r="Z195" s="389" t="str">
        <f t="shared" si="14"/>
        <v/>
      </c>
      <c r="AA195" s="389" t="str">
        <f t="shared" si="15"/>
        <v>-</v>
      </c>
      <c r="AB195" s="389" t="str">
        <f t="shared" si="16"/>
        <v/>
      </c>
      <c r="AC195" s="390" t="str">
        <f t="shared" si="18"/>
        <v>-</v>
      </c>
    </row>
    <row r="196" spans="24:29" x14ac:dyDescent="0.25">
      <c r="X196" s="388">
        <f t="shared" si="19"/>
        <v>8.9583333333333428</v>
      </c>
      <c r="Y196" s="284" t="s">
        <v>608</v>
      </c>
      <c r="Z196" s="389" t="str">
        <f t="shared" si="14"/>
        <v/>
      </c>
      <c r="AA196" s="389" t="str">
        <f t="shared" si="15"/>
        <v>-</v>
      </c>
      <c r="AB196" s="389" t="str">
        <f t="shared" si="16"/>
        <v/>
      </c>
      <c r="AC196" s="390" t="str">
        <f t="shared" si="18"/>
        <v>-</v>
      </c>
    </row>
    <row r="197" spans="24:29" x14ac:dyDescent="0.25">
      <c r="X197" s="388">
        <f t="shared" si="19"/>
        <v>9.0000000000000089</v>
      </c>
      <c r="Y197" s="284" t="s">
        <v>608</v>
      </c>
      <c r="Z197" s="389" t="str">
        <f t="shared" ref="Z197:Z205" si="20">IF(AND(X197&gt;=$V$27,X197&lt;$V$28),X197,"")</f>
        <v/>
      </c>
      <c r="AA197" s="389" t="str">
        <f t="shared" ref="AA197:AA205" si="21">IF(Z197=X197,Y197,"-")</f>
        <v>-</v>
      </c>
      <c r="AB197" s="389" t="str">
        <f t="shared" ref="AB197:AB205" si="22">IF(AND(X197&gt;=$V$29,X197&lt;$V$30),X197,"")</f>
        <v/>
      </c>
      <c r="AC197" s="390" t="str">
        <f t="shared" si="18"/>
        <v>-</v>
      </c>
    </row>
    <row r="198" spans="24:29" x14ac:dyDescent="0.25">
      <c r="X198" s="388">
        <f t="shared" ref="X198:X205" si="23">X197+$AA$2</f>
        <v>9.041666666666675</v>
      </c>
      <c r="Y198" s="284" t="s">
        <v>608</v>
      </c>
      <c r="Z198" s="389" t="str">
        <f t="shared" si="20"/>
        <v/>
      </c>
      <c r="AA198" s="389" t="str">
        <f t="shared" si="21"/>
        <v>-</v>
      </c>
      <c r="AB198" s="389" t="str">
        <f t="shared" si="22"/>
        <v/>
      </c>
      <c r="AC198" s="390" t="str">
        <f t="shared" ref="AC198:AC205" si="24">IF(AB198=X198,Y198,"-")</f>
        <v>-</v>
      </c>
    </row>
    <row r="199" spans="24:29" x14ac:dyDescent="0.25">
      <c r="X199" s="388">
        <f t="shared" si="23"/>
        <v>9.083333333333341</v>
      </c>
      <c r="Y199" s="284" t="s">
        <v>608</v>
      </c>
      <c r="Z199" s="389" t="str">
        <f t="shared" si="20"/>
        <v/>
      </c>
      <c r="AA199" s="389" t="str">
        <f t="shared" si="21"/>
        <v>-</v>
      </c>
      <c r="AB199" s="389" t="str">
        <f t="shared" si="22"/>
        <v/>
      </c>
      <c r="AC199" s="390" t="str">
        <f t="shared" si="24"/>
        <v>-</v>
      </c>
    </row>
    <row r="200" spans="24:29" x14ac:dyDescent="0.25">
      <c r="X200" s="388">
        <f t="shared" si="23"/>
        <v>9.1250000000000071</v>
      </c>
      <c r="Y200" s="284" t="s">
        <v>608</v>
      </c>
      <c r="Z200" s="389" t="str">
        <f t="shared" si="20"/>
        <v/>
      </c>
      <c r="AA200" s="389" t="str">
        <f t="shared" si="21"/>
        <v>-</v>
      </c>
      <c r="AB200" s="389" t="str">
        <f t="shared" si="22"/>
        <v/>
      </c>
      <c r="AC200" s="390" t="str">
        <f t="shared" si="24"/>
        <v>-</v>
      </c>
    </row>
    <row r="201" spans="24:29" x14ac:dyDescent="0.25">
      <c r="X201" s="388">
        <f t="shared" si="23"/>
        <v>9.1666666666666732</v>
      </c>
      <c r="Y201" s="284" t="s">
        <v>608</v>
      </c>
      <c r="Z201" s="389" t="str">
        <f t="shared" si="20"/>
        <v/>
      </c>
      <c r="AA201" s="389" t="str">
        <f t="shared" si="21"/>
        <v>-</v>
      </c>
      <c r="AB201" s="389" t="str">
        <f t="shared" si="22"/>
        <v/>
      </c>
      <c r="AC201" s="390" t="str">
        <f t="shared" si="24"/>
        <v>-</v>
      </c>
    </row>
    <row r="202" spans="24:29" x14ac:dyDescent="0.25">
      <c r="X202" s="388">
        <f t="shared" si="23"/>
        <v>9.2083333333333393</v>
      </c>
      <c r="Y202" s="284" t="s">
        <v>608</v>
      </c>
      <c r="Z202" s="389" t="str">
        <f t="shared" si="20"/>
        <v/>
      </c>
      <c r="AA202" s="389" t="str">
        <f t="shared" si="21"/>
        <v>-</v>
      </c>
      <c r="AB202" s="389" t="str">
        <f t="shared" si="22"/>
        <v/>
      </c>
      <c r="AC202" s="390" t="str">
        <f t="shared" si="24"/>
        <v>-</v>
      </c>
    </row>
    <row r="203" spans="24:29" x14ac:dyDescent="0.25">
      <c r="X203" s="388">
        <f t="shared" si="23"/>
        <v>9.2500000000000053</v>
      </c>
      <c r="Y203" s="284" t="s">
        <v>608</v>
      </c>
      <c r="Z203" s="389" t="str">
        <f t="shared" si="20"/>
        <v/>
      </c>
      <c r="AA203" s="389" t="str">
        <f t="shared" si="21"/>
        <v>-</v>
      </c>
      <c r="AB203" s="389" t="str">
        <f t="shared" si="22"/>
        <v/>
      </c>
      <c r="AC203" s="390" t="str">
        <f t="shared" si="24"/>
        <v>-</v>
      </c>
    </row>
    <row r="204" spans="24:29" x14ac:dyDescent="0.25">
      <c r="X204" s="388">
        <f t="shared" si="23"/>
        <v>9.2916666666666714</v>
      </c>
      <c r="Y204" s="284" t="s">
        <v>608</v>
      </c>
      <c r="Z204" s="389" t="str">
        <f t="shared" si="20"/>
        <v/>
      </c>
      <c r="AA204" s="389" t="str">
        <f t="shared" si="21"/>
        <v>-</v>
      </c>
      <c r="AB204" s="389" t="str">
        <f t="shared" si="22"/>
        <v/>
      </c>
      <c r="AC204" s="390" t="str">
        <f t="shared" si="24"/>
        <v>-</v>
      </c>
    </row>
    <row r="205" spans="24:29" x14ac:dyDescent="0.25">
      <c r="X205" s="391">
        <f t="shared" si="23"/>
        <v>9.3333333333333375</v>
      </c>
      <c r="Y205" s="392" t="s">
        <v>608</v>
      </c>
      <c r="Z205" s="393" t="str">
        <f t="shared" si="20"/>
        <v/>
      </c>
      <c r="AA205" s="393" t="str">
        <f t="shared" si="21"/>
        <v>-</v>
      </c>
      <c r="AB205" s="393" t="str">
        <f t="shared" si="22"/>
        <v/>
      </c>
      <c r="AC205" s="394" t="str">
        <f t="shared" si="24"/>
        <v>-</v>
      </c>
    </row>
  </sheetData>
  <mergeCells count="18">
    <mergeCell ref="A40:B45"/>
    <mergeCell ref="T29:T30"/>
    <mergeCell ref="T25:V25"/>
    <mergeCell ref="A47:B51"/>
    <mergeCell ref="B36:C36"/>
    <mergeCell ref="B31:B35"/>
    <mergeCell ref="AB2:AC2"/>
    <mergeCell ref="X2:Y2"/>
    <mergeCell ref="C19:D19"/>
    <mergeCell ref="C20:C21"/>
    <mergeCell ref="C22:C23"/>
    <mergeCell ref="A4:B17"/>
    <mergeCell ref="A19:B23"/>
    <mergeCell ref="A2:H2"/>
    <mergeCell ref="T13:U13"/>
    <mergeCell ref="T27:T28"/>
    <mergeCell ref="B26:B30"/>
    <mergeCell ref="A25:A36"/>
  </mergeCells>
  <conditionalFormatting sqref="D38">
    <cfRule type="cellIs" dxfId="28" priority="566" operator="equal">
      <formula>$C$51</formula>
    </cfRule>
    <cfRule type="cellIs" dxfId="27" priority="567" operator="equal">
      <formula>$C$50</formula>
    </cfRule>
    <cfRule type="cellIs" dxfId="26" priority="568" operator="equal">
      <formula>$C$48</formula>
    </cfRule>
    <cfRule type="cellIs" dxfId="25" priority="569" operator="equal">
      <formula>$C$49</formula>
    </cfRule>
  </conditionalFormatting>
  <dataValidations count="1">
    <dataValidation type="list" allowBlank="1" showInputMessage="1" showErrorMessage="1" sqref="D38">
      <formula1>$C$48:$C$51</formula1>
    </dataValidation>
  </dataValidations>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37"/>
  <sheetViews>
    <sheetView workbookViewId="0">
      <selection activeCell="G3" sqref="G3"/>
    </sheetView>
  </sheetViews>
  <sheetFormatPr defaultRowHeight="15" x14ac:dyDescent="0.25"/>
  <cols>
    <col min="2" max="2" width="47" customWidth="1"/>
    <col min="3" max="3" width="21.5703125" customWidth="1"/>
    <col min="6" max="6" width="34.7109375" customWidth="1"/>
    <col min="7" max="7" width="14" customWidth="1"/>
  </cols>
  <sheetData>
    <row r="2" spans="1:9" ht="15.75" x14ac:dyDescent="0.25">
      <c r="A2" s="697" t="s">
        <v>947</v>
      </c>
      <c r="B2" s="697"/>
      <c r="C2" s="697"/>
      <c r="D2" s="697"/>
      <c r="E2" s="697"/>
      <c r="F2" s="697"/>
      <c r="G2" s="697"/>
      <c r="H2" s="697"/>
      <c r="I2" s="697"/>
    </row>
    <row r="4" spans="1:9" x14ac:dyDescent="0.25">
      <c r="A4" s="729" t="s">
        <v>834</v>
      </c>
      <c r="B4" s="438" t="s">
        <v>542</v>
      </c>
      <c r="C4" s="411" t="s">
        <v>543</v>
      </c>
      <c r="E4" s="734" t="s">
        <v>813</v>
      </c>
      <c r="F4" s="734"/>
      <c r="G4" s="734"/>
    </row>
    <row r="5" spans="1:9" x14ac:dyDescent="0.25">
      <c r="A5" s="730"/>
      <c r="B5" s="428" t="s">
        <v>756</v>
      </c>
      <c r="C5" s="297">
        <v>15</v>
      </c>
      <c r="E5" s="706" t="s">
        <v>603</v>
      </c>
      <c r="F5" s="296" t="s">
        <v>607</v>
      </c>
      <c r="G5" s="298">
        <v>0.8</v>
      </c>
    </row>
    <row r="6" spans="1:9" x14ac:dyDescent="0.25">
      <c r="A6" s="730"/>
      <c r="B6" s="429" t="s">
        <v>609</v>
      </c>
      <c r="C6" s="287">
        <v>4</v>
      </c>
      <c r="E6" s="706"/>
      <c r="F6" s="303" t="s">
        <v>610</v>
      </c>
      <c r="G6" s="304">
        <v>0.6</v>
      </c>
    </row>
    <row r="7" spans="1:9" x14ac:dyDescent="0.25">
      <c r="A7" s="730"/>
      <c r="B7" s="429" t="s">
        <v>614</v>
      </c>
      <c r="C7" s="287">
        <v>5</v>
      </c>
      <c r="E7" s="706"/>
      <c r="F7" s="305" t="s">
        <v>615</v>
      </c>
      <c r="G7" s="306">
        <v>1.9</v>
      </c>
    </row>
    <row r="8" spans="1:9" x14ac:dyDescent="0.25">
      <c r="A8" s="730"/>
      <c r="B8" s="429" t="s">
        <v>617</v>
      </c>
      <c r="C8" s="287">
        <f>C7*'Energia Elétrica - MESA'!$U$18</f>
        <v>3.677495</v>
      </c>
      <c r="E8" s="706"/>
      <c r="F8" s="314" t="s">
        <v>618</v>
      </c>
      <c r="G8" s="314">
        <f>G5*G6*G7</f>
        <v>0.91199999999999992</v>
      </c>
    </row>
    <row r="9" spans="1:9" x14ac:dyDescent="0.25">
      <c r="A9" s="730"/>
      <c r="B9" s="429" t="s">
        <v>619</v>
      </c>
      <c r="C9" s="287">
        <v>0.91200000000000003</v>
      </c>
      <c r="E9" s="706" t="s">
        <v>814</v>
      </c>
      <c r="F9" s="296" t="s">
        <v>607</v>
      </c>
      <c r="G9" s="298">
        <v>0.8</v>
      </c>
    </row>
    <row r="10" spans="1:9" ht="15.75" x14ac:dyDescent="0.25">
      <c r="A10" s="730"/>
      <c r="B10" s="429" t="s">
        <v>621</v>
      </c>
      <c r="C10" s="287">
        <f>C9*C6</f>
        <v>3.6480000000000001</v>
      </c>
      <c r="E10" s="706"/>
      <c r="F10" s="303" t="s">
        <v>610</v>
      </c>
      <c r="G10" s="304">
        <v>0.6</v>
      </c>
      <c r="I10" s="264"/>
    </row>
    <row r="11" spans="1:9" x14ac:dyDescent="0.25">
      <c r="A11" s="730"/>
      <c r="B11" s="429" t="s">
        <v>623</v>
      </c>
      <c r="C11" s="287">
        <v>9.5000000000000001E-2</v>
      </c>
      <c r="E11" s="706"/>
      <c r="F11" s="305" t="s">
        <v>615</v>
      </c>
      <c r="G11" s="306">
        <v>0.7</v>
      </c>
    </row>
    <row r="12" spans="1:9" x14ac:dyDescent="0.25">
      <c r="A12" s="730"/>
      <c r="B12" s="429" t="s">
        <v>625</v>
      </c>
      <c r="C12" s="287">
        <f>C10*C11</f>
        <v>0.34656000000000003</v>
      </c>
      <c r="E12" s="706"/>
      <c r="F12" s="314" t="s">
        <v>618</v>
      </c>
      <c r="G12" s="314">
        <f>G9*G10*G11</f>
        <v>0.33599999999999997</v>
      </c>
    </row>
    <row r="13" spans="1:9" x14ac:dyDescent="0.25">
      <c r="A13" s="730"/>
      <c r="B13" s="439" t="s">
        <v>758</v>
      </c>
      <c r="C13" s="138">
        <f>'MAT SER E DESP - MESA'!H13</f>
        <v>1</v>
      </c>
      <c r="E13" s="735" t="s">
        <v>815</v>
      </c>
      <c r="F13" s="735"/>
      <c r="G13" s="327">
        <f>G8/G12</f>
        <v>2.7142857142857144</v>
      </c>
    </row>
    <row r="14" spans="1:9" x14ac:dyDescent="0.25">
      <c r="A14" s="730"/>
      <c r="B14" t="s">
        <v>627</v>
      </c>
      <c r="C14" s="567">
        <f>C8/C12</f>
        <v>10.61142370729455</v>
      </c>
      <c r="E14" s="735" t="s">
        <v>820</v>
      </c>
      <c r="F14" s="735"/>
      <c r="G14" s="453">
        <f>(G11+G9)*4+(G9+G10)*2+1</f>
        <v>9.8000000000000007</v>
      </c>
      <c r="H14" s="348"/>
    </row>
    <row r="15" spans="1:9" x14ac:dyDescent="0.25">
      <c r="A15" s="730"/>
      <c r="B15" s="440" t="s">
        <v>628</v>
      </c>
      <c r="C15" s="568">
        <f>(1-'PARÂMETROS - MESA'!D9/100)*'MAT SER E DESP - MESA'!C8</f>
        <v>105.85674726374999</v>
      </c>
      <c r="H15" s="348"/>
    </row>
    <row r="16" spans="1:9" ht="15.75" x14ac:dyDescent="0.25">
      <c r="A16" s="730"/>
      <c r="B16" s="441" t="s">
        <v>631</v>
      </c>
      <c r="C16" s="307">
        <v>0.8</v>
      </c>
      <c r="H16" s="348"/>
    </row>
    <row r="17" spans="1:7" ht="15.75" x14ac:dyDescent="0.25">
      <c r="A17" s="730"/>
      <c r="B17" s="441" t="s">
        <v>633</v>
      </c>
      <c r="C17" s="270">
        <f>C16*C15</f>
        <v>84.685397811000001</v>
      </c>
    </row>
    <row r="18" spans="1:7" ht="15.75" x14ac:dyDescent="0.25">
      <c r="A18" s="730"/>
      <c r="B18" s="442" t="s">
        <v>634</v>
      </c>
      <c r="C18" s="311">
        <f>C17*C14*C13</f>
        <v>898.63263799331548</v>
      </c>
    </row>
    <row r="19" spans="1:7" ht="15.75" x14ac:dyDescent="0.25">
      <c r="A19" s="730"/>
      <c r="B19" s="441" t="s">
        <v>635</v>
      </c>
      <c r="C19" s="270">
        <f>C17/C12</f>
        <v>244.35998906682823</v>
      </c>
    </row>
    <row r="20" spans="1:7" ht="15.75" x14ac:dyDescent="0.25">
      <c r="A20" s="730"/>
      <c r="B20" s="441" t="s">
        <v>592</v>
      </c>
      <c r="C20" s="312">
        <f>'PARÂMETROS - MESA'!D33</f>
        <v>208</v>
      </c>
    </row>
    <row r="21" spans="1:7" ht="15.75" x14ac:dyDescent="0.25">
      <c r="A21" s="730"/>
      <c r="B21" s="443" t="s">
        <v>636</v>
      </c>
      <c r="C21" s="313">
        <f>C19/C20+0.5</f>
        <v>1.6748076397443665</v>
      </c>
    </row>
    <row r="22" spans="1:7" ht="15.75" x14ac:dyDescent="0.25">
      <c r="A22" s="731"/>
      <c r="B22" s="444" t="s">
        <v>759</v>
      </c>
      <c r="C22" s="326">
        <f>ROUND(C21+0.5,0)</f>
        <v>2</v>
      </c>
    </row>
    <row r="23" spans="1:7" x14ac:dyDescent="0.25">
      <c r="A23" s="436"/>
    </row>
    <row r="24" spans="1:7" x14ac:dyDescent="0.25">
      <c r="A24" s="719" t="s">
        <v>632</v>
      </c>
      <c r="B24" s="317" t="s">
        <v>542</v>
      </c>
      <c r="C24" s="411" t="s">
        <v>543</v>
      </c>
      <c r="E24" s="729" t="s">
        <v>714</v>
      </c>
      <c r="F24" s="317" t="s">
        <v>542</v>
      </c>
      <c r="G24" s="411" t="s">
        <v>543</v>
      </c>
    </row>
    <row r="25" spans="1:7" x14ac:dyDescent="0.25">
      <c r="A25" s="720"/>
      <c r="B25" s="296" t="s">
        <v>642</v>
      </c>
      <c r="C25" s="318">
        <f>'PARÂMETROS - MESA'!D35/'PARÂMETROS - MESA'!D37</f>
        <v>13.285781249999999</v>
      </c>
      <c r="E25" s="730"/>
      <c r="F25" s="296" t="s">
        <v>643</v>
      </c>
      <c r="G25" s="497">
        <f>'MAT SER E DESP - MESA'!C8</f>
        <v>106.28625</v>
      </c>
    </row>
    <row r="26" spans="1:7" x14ac:dyDescent="0.25">
      <c r="A26" s="720"/>
      <c r="B26" s="302" t="s">
        <v>644</v>
      </c>
      <c r="C26" s="319">
        <v>1</v>
      </c>
      <c r="E26" s="730"/>
      <c r="F26" s="302" t="s">
        <v>645</v>
      </c>
      <c r="G26" s="312">
        <f>C20</f>
        <v>208</v>
      </c>
    </row>
    <row r="27" spans="1:7" x14ac:dyDescent="0.25">
      <c r="A27" s="720"/>
      <c r="B27" s="302" t="s">
        <v>646</v>
      </c>
      <c r="C27" s="287">
        <v>0.3</v>
      </c>
      <c r="E27" s="730"/>
      <c r="F27" s="302" t="s">
        <v>647</v>
      </c>
      <c r="G27" s="312">
        <f>G25/G26</f>
        <v>0.51099158653846155</v>
      </c>
    </row>
    <row r="28" spans="1:7" x14ac:dyDescent="0.25">
      <c r="A28" s="720"/>
      <c r="B28" s="302" t="s">
        <v>648</v>
      </c>
      <c r="C28" s="287">
        <f>C27*C25</f>
        <v>3.9857343749999998</v>
      </c>
      <c r="E28" s="730"/>
      <c r="F28" s="302" t="s">
        <v>649</v>
      </c>
      <c r="G28" s="320">
        <f>G27/C11</f>
        <v>5.378858805668016</v>
      </c>
    </row>
    <row r="29" spans="1:7" x14ac:dyDescent="0.25">
      <c r="A29" s="720"/>
      <c r="B29" s="302" t="s">
        <v>650</v>
      </c>
      <c r="C29" s="287">
        <v>0.73550000000000004</v>
      </c>
      <c r="E29" s="730"/>
      <c r="F29" s="302" t="s">
        <v>651</v>
      </c>
      <c r="G29" s="321">
        <v>0.05</v>
      </c>
    </row>
    <row r="30" spans="1:7" x14ac:dyDescent="0.25">
      <c r="A30" s="720"/>
      <c r="B30" s="302" t="s">
        <v>652</v>
      </c>
      <c r="C30" s="480">
        <f>ROUND(C27*C29,6)</f>
        <v>0.22065000000000001</v>
      </c>
      <c r="E30" s="730"/>
      <c r="F30" s="302" t="s">
        <v>653</v>
      </c>
      <c r="G30" s="320">
        <f>G29*C26*C25</f>
        <v>0.66428906249999997</v>
      </c>
    </row>
    <row r="31" spans="1:7" x14ac:dyDescent="0.25">
      <c r="A31" s="720"/>
      <c r="B31" s="302" t="s">
        <v>654</v>
      </c>
      <c r="C31" s="287">
        <f>C28*'Energia Elétrica - MESA'!U18</f>
        <v>2.9315036470781251</v>
      </c>
      <c r="E31" s="730"/>
      <c r="F31" s="302" t="s">
        <v>655</v>
      </c>
      <c r="G31" s="287">
        <f>G28/G30</f>
        <v>8.097165991902834</v>
      </c>
    </row>
    <row r="32" spans="1:7" x14ac:dyDescent="0.25">
      <c r="A32" s="720"/>
      <c r="B32" s="325" t="s">
        <v>760</v>
      </c>
      <c r="C32" s="138">
        <f>'MAT SER E DESP - MESA'!H14</f>
        <v>0</v>
      </c>
      <c r="E32" s="730"/>
      <c r="F32" s="302" t="s">
        <v>657</v>
      </c>
      <c r="G32" s="287">
        <v>10</v>
      </c>
    </row>
    <row r="33" spans="1:7" x14ac:dyDescent="0.25">
      <c r="A33" s="720"/>
      <c r="B33" s="302" t="s">
        <v>656</v>
      </c>
      <c r="C33" s="321">
        <f>'PARÂMETROS - MESA'!D33</f>
        <v>208</v>
      </c>
      <c r="E33" s="730"/>
      <c r="F33" s="302" t="s">
        <v>659</v>
      </c>
      <c r="G33" s="312">
        <f>C25</f>
        <v>13.285781249999999</v>
      </c>
    </row>
    <row r="34" spans="1:7" x14ac:dyDescent="0.25">
      <c r="A34" s="720"/>
      <c r="B34" s="302" t="s">
        <v>658</v>
      </c>
      <c r="C34" s="481">
        <f>G36</f>
        <v>0.1792952935222672</v>
      </c>
      <c r="E34" s="730"/>
      <c r="F34" s="302" t="s">
        <v>661</v>
      </c>
      <c r="G34" s="287">
        <f>G33/G32</f>
        <v>1.3285781249999999</v>
      </c>
    </row>
    <row r="35" spans="1:7" x14ac:dyDescent="0.25">
      <c r="A35" s="720"/>
      <c r="B35" s="323" t="s">
        <v>660</v>
      </c>
      <c r="C35" s="324">
        <f>(C34*C33*C31)*'MAT SER E DESP - MESA'!H14*C32</f>
        <v>0</v>
      </c>
      <c r="E35" s="730"/>
      <c r="F35" s="325" t="s">
        <v>663</v>
      </c>
      <c r="G35" s="138">
        <f>G31*G34</f>
        <v>10.757717611336032</v>
      </c>
    </row>
    <row r="36" spans="1:7" x14ac:dyDescent="0.25">
      <c r="A36" s="720"/>
      <c r="B36" s="305" t="s">
        <v>662</v>
      </c>
      <c r="C36" s="306">
        <v>10.5</v>
      </c>
      <c r="E36" s="731"/>
      <c r="F36" s="314" t="s">
        <v>665</v>
      </c>
      <c r="G36" s="314">
        <f>G35/60</f>
        <v>0.1792952935222672</v>
      </c>
    </row>
    <row r="37" spans="1:7" x14ac:dyDescent="0.25">
      <c r="A37" s="721"/>
      <c r="B37" s="314" t="s">
        <v>761</v>
      </c>
      <c r="C37" s="326">
        <f>ROUND((C25/C36)+0.5,0)*('PARÂMETROS - MESA'!D18='PARÂMETROS - MESA'!J7)</f>
        <v>0</v>
      </c>
    </row>
  </sheetData>
  <mergeCells count="9">
    <mergeCell ref="A24:A37"/>
    <mergeCell ref="E24:E36"/>
    <mergeCell ref="A2:I2"/>
    <mergeCell ref="A4:A22"/>
    <mergeCell ref="E4:G4"/>
    <mergeCell ref="E5:E8"/>
    <mergeCell ref="E9:E12"/>
    <mergeCell ref="E13:F13"/>
    <mergeCell ref="E14:F14"/>
  </mergeCells>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4"/>
  <dimension ref="A2:I37"/>
  <sheetViews>
    <sheetView workbookViewId="0">
      <selection activeCell="A2" sqref="A2:I2"/>
    </sheetView>
  </sheetViews>
  <sheetFormatPr defaultRowHeight="15" x14ac:dyDescent="0.25"/>
  <cols>
    <col min="2" max="2" width="47" customWidth="1"/>
    <col min="3" max="3" width="21.5703125" customWidth="1"/>
    <col min="6" max="6" width="34.7109375" customWidth="1"/>
    <col min="7" max="7" width="14" customWidth="1"/>
  </cols>
  <sheetData>
    <row r="2" spans="1:9" ht="15.75" x14ac:dyDescent="0.25">
      <c r="A2" s="697" t="s">
        <v>948</v>
      </c>
      <c r="B2" s="697"/>
      <c r="C2" s="697"/>
      <c r="D2" s="697"/>
      <c r="E2" s="697"/>
      <c r="F2" s="697"/>
      <c r="G2" s="697"/>
      <c r="H2" s="697"/>
      <c r="I2" s="697"/>
    </row>
    <row r="4" spans="1:9" x14ac:dyDescent="0.25">
      <c r="A4" s="729" t="s">
        <v>834</v>
      </c>
      <c r="B4" s="438" t="s">
        <v>542</v>
      </c>
      <c r="C4" s="411" t="s">
        <v>543</v>
      </c>
      <c r="E4" s="734" t="s">
        <v>813</v>
      </c>
      <c r="F4" s="734"/>
      <c r="G4" s="734"/>
    </row>
    <row r="5" spans="1:9" x14ac:dyDescent="0.25">
      <c r="A5" s="730"/>
      <c r="B5" s="428" t="s">
        <v>756</v>
      </c>
      <c r="C5" s="297">
        <v>15</v>
      </c>
      <c r="E5" s="706" t="s">
        <v>603</v>
      </c>
      <c r="F5" s="296" t="s">
        <v>607</v>
      </c>
      <c r="G5" s="298">
        <v>0.8</v>
      </c>
    </row>
    <row r="6" spans="1:9" x14ac:dyDescent="0.25">
      <c r="A6" s="730"/>
      <c r="B6" s="429" t="s">
        <v>609</v>
      </c>
      <c r="C6" s="287">
        <v>4</v>
      </c>
      <c r="E6" s="706"/>
      <c r="F6" s="303" t="s">
        <v>610</v>
      </c>
      <c r="G6" s="304">
        <v>0.6</v>
      </c>
    </row>
    <row r="7" spans="1:9" x14ac:dyDescent="0.25">
      <c r="A7" s="730"/>
      <c r="B7" s="429" t="s">
        <v>614</v>
      </c>
      <c r="C7" s="287">
        <v>5</v>
      </c>
      <c r="E7" s="706"/>
      <c r="F7" s="305" t="s">
        <v>615</v>
      </c>
      <c r="G7" s="306">
        <v>1.9</v>
      </c>
    </row>
    <row r="8" spans="1:9" x14ac:dyDescent="0.25">
      <c r="A8" s="730"/>
      <c r="B8" s="429" t="s">
        <v>617</v>
      </c>
      <c r="C8" s="287">
        <f>C7*'Energia Elétrica - EST'!$U$18</f>
        <v>3.677495</v>
      </c>
      <c r="E8" s="706"/>
      <c r="F8" s="314" t="s">
        <v>618</v>
      </c>
      <c r="G8" s="314">
        <f>G5*G6*G7</f>
        <v>0.91199999999999992</v>
      </c>
    </row>
    <row r="9" spans="1:9" x14ac:dyDescent="0.25">
      <c r="A9" s="730"/>
      <c r="B9" s="429" t="s">
        <v>619</v>
      </c>
      <c r="C9" s="287">
        <v>0.91200000000000003</v>
      </c>
      <c r="E9" s="706" t="s">
        <v>814</v>
      </c>
      <c r="F9" s="296" t="s">
        <v>607</v>
      </c>
      <c r="G9" s="298">
        <v>0.8</v>
      </c>
    </row>
    <row r="10" spans="1:9" ht="15.75" x14ac:dyDescent="0.25">
      <c r="A10" s="730"/>
      <c r="B10" s="429" t="s">
        <v>621</v>
      </c>
      <c r="C10" s="287">
        <f>C9*C6</f>
        <v>3.6480000000000001</v>
      </c>
      <c r="E10" s="706"/>
      <c r="F10" s="303" t="s">
        <v>610</v>
      </c>
      <c r="G10" s="304">
        <v>0.6</v>
      </c>
      <c r="I10" s="264"/>
    </row>
    <row r="11" spans="1:9" x14ac:dyDescent="0.25">
      <c r="A11" s="730"/>
      <c r="B11" s="429" t="s">
        <v>623</v>
      </c>
      <c r="C11" s="287">
        <v>9.5000000000000001E-2</v>
      </c>
      <c r="E11" s="706"/>
      <c r="F11" s="305" t="s">
        <v>615</v>
      </c>
      <c r="G11" s="306">
        <v>0.7</v>
      </c>
    </row>
    <row r="12" spans="1:9" x14ac:dyDescent="0.25">
      <c r="A12" s="730"/>
      <c r="B12" s="429" t="s">
        <v>625</v>
      </c>
      <c r="C12" s="287">
        <f>C10*C11</f>
        <v>0.34656000000000003</v>
      </c>
      <c r="E12" s="706"/>
      <c r="F12" s="314" t="s">
        <v>618</v>
      </c>
      <c r="G12" s="314">
        <f>G9*G10*G11</f>
        <v>0.33599999999999997</v>
      </c>
    </row>
    <row r="13" spans="1:9" x14ac:dyDescent="0.25">
      <c r="A13" s="730"/>
      <c r="B13" s="439" t="s">
        <v>758</v>
      </c>
      <c r="C13" s="138">
        <f>'MAT SER E DESP - EST'!H13</f>
        <v>1</v>
      </c>
      <c r="E13" s="735" t="s">
        <v>815</v>
      </c>
      <c r="F13" s="735"/>
      <c r="G13" s="327">
        <f>G8/G12</f>
        <v>2.7142857142857144</v>
      </c>
    </row>
    <row r="14" spans="1:9" x14ac:dyDescent="0.25">
      <c r="A14" s="730"/>
      <c r="B14" t="s">
        <v>627</v>
      </c>
      <c r="C14" s="567">
        <f>C8/C12</f>
        <v>10.61142370729455</v>
      </c>
      <c r="E14" s="735" t="s">
        <v>820</v>
      </c>
      <c r="F14" s="735"/>
      <c r="G14" s="453">
        <f>(G11+G9)*4+(G9+G10)*2+1</f>
        <v>9.8000000000000007</v>
      </c>
      <c r="H14" s="348"/>
    </row>
    <row r="15" spans="1:9" x14ac:dyDescent="0.25">
      <c r="A15" s="730"/>
      <c r="B15" s="440" t="s">
        <v>628</v>
      </c>
      <c r="C15" s="437">
        <f>(1-'PARÂMETROS - EST'!D9/100)*'MAT SER E DESP - EST'!C8</f>
        <v>105.85674726374999</v>
      </c>
      <c r="H15" s="348"/>
    </row>
    <row r="16" spans="1:9" ht="15.75" x14ac:dyDescent="0.25">
      <c r="A16" s="730"/>
      <c r="B16" s="441" t="s">
        <v>631</v>
      </c>
      <c r="C16" s="307">
        <v>0.8</v>
      </c>
      <c r="H16" s="348"/>
    </row>
    <row r="17" spans="1:7" ht="15.75" x14ac:dyDescent="0.25">
      <c r="A17" s="730"/>
      <c r="B17" s="441" t="s">
        <v>633</v>
      </c>
      <c r="C17" s="270">
        <f>C16*C15</f>
        <v>84.685397811000001</v>
      </c>
    </row>
    <row r="18" spans="1:7" ht="15.75" x14ac:dyDescent="0.25">
      <c r="A18" s="730"/>
      <c r="B18" s="442" t="s">
        <v>634</v>
      </c>
      <c r="C18" s="311">
        <f>C17*C14*C13</f>
        <v>898.63263799331548</v>
      </c>
    </row>
    <row r="19" spans="1:7" ht="15.75" x14ac:dyDescent="0.25">
      <c r="A19" s="730"/>
      <c r="B19" s="441" t="s">
        <v>635</v>
      </c>
      <c r="C19" s="270">
        <f>C17/C12</f>
        <v>244.35998906682823</v>
      </c>
    </row>
    <row r="20" spans="1:7" ht="15.75" x14ac:dyDescent="0.25">
      <c r="A20" s="730"/>
      <c r="B20" s="441" t="s">
        <v>592</v>
      </c>
      <c r="C20" s="312">
        <f>'PARÂMETROS - EST'!D33</f>
        <v>208</v>
      </c>
    </row>
    <row r="21" spans="1:7" ht="15.75" x14ac:dyDescent="0.25">
      <c r="A21" s="730"/>
      <c r="B21" s="443" t="s">
        <v>636</v>
      </c>
      <c r="C21" s="313">
        <f>C19/C20+0.5</f>
        <v>1.6748076397443665</v>
      </c>
    </row>
    <row r="22" spans="1:7" ht="15.75" x14ac:dyDescent="0.25">
      <c r="A22" s="731"/>
      <c r="B22" s="444" t="s">
        <v>759</v>
      </c>
      <c r="C22" s="326">
        <f>ROUND(C21+0.5,0)</f>
        <v>2</v>
      </c>
    </row>
    <row r="23" spans="1:7" x14ac:dyDescent="0.25">
      <c r="A23" s="436"/>
    </row>
    <row r="24" spans="1:7" x14ac:dyDescent="0.25">
      <c r="A24" s="719" t="s">
        <v>632</v>
      </c>
      <c r="B24" s="317" t="s">
        <v>542</v>
      </c>
      <c r="C24" s="411" t="s">
        <v>543</v>
      </c>
      <c r="E24" s="729" t="s">
        <v>714</v>
      </c>
      <c r="F24" s="317" t="s">
        <v>542</v>
      </c>
      <c r="G24" s="411" t="s">
        <v>543</v>
      </c>
    </row>
    <row r="25" spans="1:7" x14ac:dyDescent="0.25">
      <c r="A25" s="720"/>
      <c r="B25" s="296" t="s">
        <v>642</v>
      </c>
      <c r="C25" s="318">
        <f>'PARÂMETROS - EST'!D35/'PARÂMETROS - EST'!D37</f>
        <v>13.285781249999999</v>
      </c>
      <c r="E25" s="730"/>
      <c r="F25" s="296" t="s">
        <v>643</v>
      </c>
      <c r="G25" s="298">
        <f>'MAT SER E DESP - EST'!C8</f>
        <v>106.28625</v>
      </c>
    </row>
    <row r="26" spans="1:7" x14ac:dyDescent="0.25">
      <c r="A26" s="720"/>
      <c r="B26" s="302" t="s">
        <v>644</v>
      </c>
      <c r="C26" s="319">
        <v>1</v>
      </c>
      <c r="E26" s="730"/>
      <c r="F26" s="302" t="s">
        <v>645</v>
      </c>
      <c r="G26" s="312">
        <f>C20</f>
        <v>208</v>
      </c>
    </row>
    <row r="27" spans="1:7" x14ac:dyDescent="0.25">
      <c r="A27" s="720"/>
      <c r="B27" s="302" t="s">
        <v>646</v>
      </c>
      <c r="C27" s="287">
        <v>0.3</v>
      </c>
      <c r="E27" s="730"/>
      <c r="F27" s="302" t="s">
        <v>647</v>
      </c>
      <c r="G27" s="312">
        <f>G25/G26</f>
        <v>0.51099158653846155</v>
      </c>
    </row>
    <row r="28" spans="1:7" x14ac:dyDescent="0.25">
      <c r="A28" s="720"/>
      <c r="B28" s="302" t="s">
        <v>648</v>
      </c>
      <c r="C28" s="287">
        <f>C27*C25</f>
        <v>3.9857343749999998</v>
      </c>
      <c r="E28" s="730"/>
      <c r="F28" s="302" t="s">
        <v>649</v>
      </c>
      <c r="G28" s="320">
        <f>G27/C11</f>
        <v>5.378858805668016</v>
      </c>
    </row>
    <row r="29" spans="1:7" x14ac:dyDescent="0.25">
      <c r="A29" s="720"/>
      <c r="B29" s="302" t="s">
        <v>650</v>
      </c>
      <c r="C29" s="287">
        <v>0.73550000000000004</v>
      </c>
      <c r="E29" s="730"/>
      <c r="F29" s="302" t="s">
        <v>651</v>
      </c>
      <c r="G29" s="321">
        <v>0.05</v>
      </c>
    </row>
    <row r="30" spans="1:7" x14ac:dyDescent="0.25">
      <c r="A30" s="720"/>
      <c r="B30" s="302" t="s">
        <v>652</v>
      </c>
      <c r="C30" s="480">
        <f>ROUND(C27*C29,6)</f>
        <v>0.22065000000000001</v>
      </c>
      <c r="E30" s="730"/>
      <c r="F30" s="302" t="s">
        <v>653</v>
      </c>
      <c r="G30" s="320">
        <f>G29*C26*C25</f>
        <v>0.66428906249999997</v>
      </c>
    </row>
    <row r="31" spans="1:7" x14ac:dyDescent="0.25">
      <c r="A31" s="720"/>
      <c r="B31" s="302" t="s">
        <v>654</v>
      </c>
      <c r="C31" s="287">
        <f>C28*'Energia Elétrica - EST'!U18</f>
        <v>2.9315036470781251</v>
      </c>
      <c r="E31" s="730"/>
      <c r="F31" s="302" t="s">
        <v>655</v>
      </c>
      <c r="G31" s="287">
        <f>G28/G30</f>
        <v>8.097165991902834</v>
      </c>
    </row>
    <row r="32" spans="1:7" x14ac:dyDescent="0.25">
      <c r="A32" s="720"/>
      <c r="B32" s="325" t="s">
        <v>760</v>
      </c>
      <c r="C32" s="138">
        <f>'MAT SER E DESP - EST'!H14</f>
        <v>1</v>
      </c>
      <c r="E32" s="730"/>
      <c r="F32" s="302" t="s">
        <v>657</v>
      </c>
      <c r="G32" s="287">
        <v>10</v>
      </c>
    </row>
    <row r="33" spans="1:7" x14ac:dyDescent="0.25">
      <c r="A33" s="720"/>
      <c r="B33" s="302" t="s">
        <v>656</v>
      </c>
      <c r="C33" s="321">
        <f>'PARÂMETROS - EST'!D33</f>
        <v>208</v>
      </c>
      <c r="E33" s="730"/>
      <c r="F33" s="302" t="s">
        <v>659</v>
      </c>
      <c r="G33" s="312">
        <f>C25</f>
        <v>13.285781249999999</v>
      </c>
    </row>
    <row r="34" spans="1:7" x14ac:dyDescent="0.25">
      <c r="A34" s="720"/>
      <c r="B34" s="302" t="s">
        <v>658</v>
      </c>
      <c r="C34" s="481">
        <f>G36</f>
        <v>0.1792952935222672</v>
      </c>
      <c r="E34" s="730"/>
      <c r="F34" s="302" t="s">
        <v>661</v>
      </c>
      <c r="G34" s="287">
        <f>G33/G32</f>
        <v>1.3285781249999999</v>
      </c>
    </row>
    <row r="35" spans="1:7" x14ac:dyDescent="0.25">
      <c r="A35" s="720"/>
      <c r="B35" s="323" t="s">
        <v>660</v>
      </c>
      <c r="C35" s="324">
        <f>(C34*C33*C31)*'MAT SER E DESP - EST'!H14*C32</f>
        <v>109.3257998278096</v>
      </c>
      <c r="E35" s="730"/>
      <c r="F35" s="325" t="s">
        <v>663</v>
      </c>
      <c r="G35" s="138">
        <f>G31*G34</f>
        <v>10.757717611336032</v>
      </c>
    </row>
    <row r="36" spans="1:7" x14ac:dyDescent="0.25">
      <c r="A36" s="720"/>
      <c r="B36" s="305" t="s">
        <v>662</v>
      </c>
      <c r="C36" s="306">
        <v>10.5</v>
      </c>
      <c r="E36" s="731"/>
      <c r="F36" s="314" t="s">
        <v>665</v>
      </c>
      <c r="G36" s="314">
        <f>G35/60</f>
        <v>0.1792952935222672</v>
      </c>
    </row>
    <row r="37" spans="1:7" x14ac:dyDescent="0.25">
      <c r="A37" s="721"/>
      <c r="B37" s="314" t="s">
        <v>761</v>
      </c>
      <c r="C37" s="326">
        <f>ROUND((C25/C36)+0.5,0)*('PARÂMETROS - EST'!D18='PARÂMETROS - EST'!J7)</f>
        <v>2</v>
      </c>
    </row>
  </sheetData>
  <mergeCells count="9">
    <mergeCell ref="E14:F14"/>
    <mergeCell ref="A24:A37"/>
    <mergeCell ref="E24:E36"/>
    <mergeCell ref="A4:A22"/>
    <mergeCell ref="A2:I2"/>
    <mergeCell ref="E5:E8"/>
    <mergeCell ref="E9:E12"/>
    <mergeCell ref="E13:F13"/>
    <mergeCell ref="E4:G4"/>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0"/>
  <sheetViews>
    <sheetView workbookViewId="0">
      <selection activeCell="A2" sqref="A2:I2"/>
    </sheetView>
  </sheetViews>
  <sheetFormatPr defaultRowHeight="15" x14ac:dyDescent="0.25"/>
  <cols>
    <col min="2" max="2" width="40.7109375" customWidth="1"/>
    <col min="5" max="5" width="16.85546875" customWidth="1"/>
    <col min="6" max="6" width="16.28515625" customWidth="1"/>
    <col min="7" max="7" width="14" customWidth="1"/>
    <col min="9" max="9" width="12.42578125" customWidth="1"/>
  </cols>
  <sheetData>
    <row r="2" spans="1:9" ht="15.75" x14ac:dyDescent="0.25">
      <c r="A2" s="697" t="s">
        <v>949</v>
      </c>
      <c r="B2" s="697"/>
      <c r="C2" s="697"/>
      <c r="D2" s="697"/>
      <c r="E2" s="697"/>
      <c r="F2" s="697"/>
      <c r="G2" s="697"/>
      <c r="H2" s="697"/>
      <c r="I2" s="697"/>
    </row>
    <row r="4" spans="1:9" ht="60" x14ac:dyDescent="0.25">
      <c r="A4" s="729" t="s">
        <v>668</v>
      </c>
      <c r="B4" s="477" t="s">
        <v>669</v>
      </c>
      <c r="C4" s="478" t="s">
        <v>670</v>
      </c>
      <c r="D4" s="477" t="s">
        <v>671</v>
      </c>
      <c r="E4" s="477" t="s">
        <v>672</v>
      </c>
      <c r="F4" s="479" t="s">
        <v>673</v>
      </c>
      <c r="G4" s="477" t="s">
        <v>674</v>
      </c>
      <c r="H4" s="477" t="s">
        <v>675</v>
      </c>
      <c r="I4" s="478" t="s">
        <v>676</v>
      </c>
    </row>
    <row r="5" spans="1:9" x14ac:dyDescent="0.25">
      <c r="A5" s="730"/>
      <c r="B5" s="327" t="s">
        <v>677</v>
      </c>
      <c r="C5" s="449">
        <v>500</v>
      </c>
      <c r="D5" s="328">
        <f>'PARÂMETROS - MESA'!D28</f>
        <v>12</v>
      </c>
      <c r="E5" s="328">
        <f>D5*C5</f>
        <v>6000</v>
      </c>
      <c r="F5" s="450" t="s">
        <v>678</v>
      </c>
      <c r="G5" s="328">
        <f>E5/VLOOKUP(F5,'Energia Elétrica - MESA'!$T$21:$U$24,2,FALSE)</f>
        <v>65.934065934065927</v>
      </c>
      <c r="H5" s="356">
        <f>'Energia Elétrica - MESA'!D26</f>
        <v>9</v>
      </c>
      <c r="I5" s="328">
        <f>26*H5*G5/1000</f>
        <v>15.428571428571427</v>
      </c>
    </row>
    <row r="6" spans="1:9" x14ac:dyDescent="0.25">
      <c r="A6" s="730"/>
      <c r="B6" s="327" t="s">
        <v>741</v>
      </c>
      <c r="C6" s="449">
        <v>500</v>
      </c>
      <c r="D6" s="328">
        <f>'PARÂMETROS - MESA'!D29+'PARÂMETROS - MESA'!D30</f>
        <v>45</v>
      </c>
      <c r="E6" s="328">
        <f>D6*C6</f>
        <v>22500</v>
      </c>
      <c r="F6" s="450" t="s">
        <v>678</v>
      </c>
      <c r="G6" s="328">
        <f>E6/VLOOKUP(F6,'Energia Elétrica - MESA'!$T$21:$U$24,2,FALSE)</f>
        <v>247.25274725274724</v>
      </c>
      <c r="H6" s="356">
        <v>4</v>
      </c>
      <c r="I6" s="328">
        <f>26*H6*G6/1000</f>
        <v>25.714285714285715</v>
      </c>
    </row>
    <row r="7" spans="1:9" x14ac:dyDescent="0.25">
      <c r="A7" s="730"/>
      <c r="B7" s="327" t="s">
        <v>565</v>
      </c>
      <c r="C7" s="449">
        <v>700</v>
      </c>
      <c r="D7" s="328">
        <f>'PARÂMETROS - MESA'!D26</f>
        <v>725.08</v>
      </c>
      <c r="E7" s="328">
        <f>D7*C7</f>
        <v>507556</v>
      </c>
      <c r="F7" s="450" t="s">
        <v>678</v>
      </c>
      <c r="G7" s="328">
        <f>E7/VLOOKUP(F7,'Energia Elétrica - MESA'!$T$21:$U$24,2,FALSE)</f>
        <v>5577.5384615384619</v>
      </c>
      <c r="H7" s="356">
        <f>'Energia Elétrica - MESA'!D26</f>
        <v>9</v>
      </c>
      <c r="I7" s="328">
        <f>26*H7*G7/1000</f>
        <v>1305.144</v>
      </c>
    </row>
    <row r="8" spans="1:9" x14ac:dyDescent="0.25">
      <c r="A8" s="730"/>
      <c r="B8" s="327" t="s">
        <v>567</v>
      </c>
      <c r="C8" s="449">
        <v>200</v>
      </c>
      <c r="D8" s="328">
        <f>'PARÂMETROS - MESA'!D27</f>
        <v>50</v>
      </c>
      <c r="E8" s="328">
        <f>D8*C8</f>
        <v>10000</v>
      </c>
      <c r="F8" s="450" t="s">
        <v>678</v>
      </c>
      <c r="G8" s="328">
        <f>E8/VLOOKUP(F8,'Energia Elétrica - MESA'!$T$21:$U$24,2,FALSE)</f>
        <v>109.89010989010988</v>
      </c>
      <c r="H8" s="356">
        <f>'Energia Elétrica - MESA'!D26</f>
        <v>9</v>
      </c>
      <c r="I8" s="328">
        <f>26*H8*G8/1000</f>
        <v>25.714285714285715</v>
      </c>
    </row>
    <row r="9" spans="1:9" x14ac:dyDescent="0.25">
      <c r="A9" s="730"/>
      <c r="B9" s="327" t="s">
        <v>680</v>
      </c>
      <c r="C9" s="449">
        <v>200</v>
      </c>
      <c r="D9" s="299">
        <f>'PARÂMETROS - MESA'!D31</f>
        <v>421.57</v>
      </c>
      <c r="E9" s="328">
        <f>D9*C9</f>
        <v>84314</v>
      </c>
      <c r="F9" s="450" t="s">
        <v>704</v>
      </c>
      <c r="G9" s="328">
        <f>E9/VLOOKUP(F9,'Energia Elétrica - MESA'!$T$21:$U$24,2,FALSE)</f>
        <v>648.56923076923078</v>
      </c>
      <c r="H9" s="356">
        <f>COUNTIF('Energia Elétrica - MESA'!AC5:AC205,"&lt;&gt;-")</f>
        <v>12</v>
      </c>
      <c r="I9" s="328">
        <f>26*H9*G9/1000</f>
        <v>202.3536</v>
      </c>
    </row>
    <row r="10" spans="1:9" x14ac:dyDescent="0.25">
      <c r="A10" s="731"/>
      <c r="B10" s="451" t="s">
        <v>681</v>
      </c>
      <c r="C10" s="472"/>
      <c r="D10" s="472"/>
      <c r="E10" s="472"/>
      <c r="F10" s="472"/>
      <c r="G10" s="472"/>
      <c r="H10" s="473"/>
      <c r="I10" s="326">
        <f>SUM(I5:I9)</f>
        <v>1574.3547428571428</v>
      </c>
    </row>
  </sheetData>
  <mergeCells count="2">
    <mergeCell ref="A4:A10"/>
    <mergeCell ref="A2:I2"/>
  </mergeCells>
  <pageMargins left="0.511811024" right="0.511811024" top="0.78740157499999996" bottom="0.78740157499999996" header="0.31496062000000002" footer="0.31496062000000002"/>
  <extLst>
    <ext xmlns:x14="http://schemas.microsoft.com/office/spreadsheetml/2009/9/main" uri="{CCE6A557-97BC-4b89-ADB6-D9C93CAAB3DF}">
      <x14:dataValidations xmlns:xm="http://schemas.microsoft.com/office/excel/2006/main" count="1">
        <x14:dataValidation type="list" allowBlank="1" showInputMessage="1" showErrorMessage="1">
          <x14:formula1>
            <xm:f>'Energia Elétrica - MESA'!$T$21:$T$24</xm:f>
          </x14:formula1>
          <xm:sqref>F5:F9</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5"/>
  <dimension ref="A2:I10"/>
  <sheetViews>
    <sheetView workbookViewId="0">
      <selection activeCell="F5" sqref="F5"/>
    </sheetView>
  </sheetViews>
  <sheetFormatPr defaultRowHeight="15" x14ac:dyDescent="0.25"/>
  <cols>
    <col min="2" max="2" width="40.7109375" customWidth="1"/>
    <col min="5" max="5" width="16.85546875" customWidth="1"/>
    <col min="6" max="6" width="16.28515625" customWidth="1"/>
    <col min="7" max="7" width="14" customWidth="1"/>
    <col min="9" max="9" width="12.42578125" customWidth="1"/>
  </cols>
  <sheetData>
    <row r="2" spans="1:9" ht="15.75" x14ac:dyDescent="0.25">
      <c r="A2" s="697" t="s">
        <v>949</v>
      </c>
      <c r="B2" s="697"/>
      <c r="C2" s="697"/>
      <c r="D2" s="697"/>
      <c r="E2" s="697"/>
      <c r="F2" s="697"/>
      <c r="G2" s="697"/>
      <c r="H2" s="697"/>
      <c r="I2" s="697"/>
    </row>
    <row r="4" spans="1:9" ht="60" x14ac:dyDescent="0.25">
      <c r="A4" s="729" t="s">
        <v>668</v>
      </c>
      <c r="B4" s="477" t="s">
        <v>669</v>
      </c>
      <c r="C4" s="478" t="s">
        <v>670</v>
      </c>
      <c r="D4" s="477" t="s">
        <v>671</v>
      </c>
      <c r="E4" s="477" t="s">
        <v>672</v>
      </c>
      <c r="F4" s="479" t="s">
        <v>673</v>
      </c>
      <c r="G4" s="477" t="s">
        <v>674</v>
      </c>
      <c r="H4" s="477" t="s">
        <v>675</v>
      </c>
      <c r="I4" s="478" t="s">
        <v>676</v>
      </c>
    </row>
    <row r="5" spans="1:9" x14ac:dyDescent="0.25">
      <c r="A5" s="730"/>
      <c r="B5" s="327" t="s">
        <v>677</v>
      </c>
      <c r="C5" s="449">
        <v>500</v>
      </c>
      <c r="D5" s="328">
        <f>'PARÂMETROS - EST'!D28</f>
        <v>12</v>
      </c>
      <c r="E5" s="328">
        <f>D5*C5</f>
        <v>6000</v>
      </c>
      <c r="F5" s="450" t="s">
        <v>678</v>
      </c>
      <c r="G5" s="328">
        <f>E5/VLOOKUP(F5,'Energia Elétrica - EST'!$T$21:$U$24,2,FALSE)</f>
        <v>65.934065934065927</v>
      </c>
      <c r="H5" s="356">
        <f>'Energia Elétrica - EST'!D26</f>
        <v>9</v>
      </c>
      <c r="I5" s="328">
        <f>26*H5*G5/1000</f>
        <v>15.428571428571427</v>
      </c>
    </row>
    <row r="6" spans="1:9" x14ac:dyDescent="0.25">
      <c r="A6" s="730"/>
      <c r="B6" s="327" t="s">
        <v>741</v>
      </c>
      <c r="C6" s="449">
        <v>500</v>
      </c>
      <c r="D6" s="328">
        <f>'PARÂMETROS - EST'!D29+'PARÂMETROS - EST'!D30</f>
        <v>45</v>
      </c>
      <c r="E6" s="328">
        <f>D6*C6</f>
        <v>22500</v>
      </c>
      <c r="F6" s="450" t="s">
        <v>678</v>
      </c>
      <c r="G6" s="328">
        <f>E6/VLOOKUP(F6,'Energia Elétrica - EST'!$T$21:$U$24,2,FALSE)</f>
        <v>247.25274725274724</v>
      </c>
      <c r="H6" s="356">
        <v>4</v>
      </c>
      <c r="I6" s="328">
        <f>26*H6*G6/1000</f>
        <v>25.714285714285715</v>
      </c>
    </row>
    <row r="7" spans="1:9" x14ac:dyDescent="0.25">
      <c r="A7" s="730"/>
      <c r="B7" s="327" t="s">
        <v>565</v>
      </c>
      <c r="C7" s="449">
        <v>700</v>
      </c>
      <c r="D7" s="328">
        <f>'PARÂMETROS - EST'!D26</f>
        <v>725.08</v>
      </c>
      <c r="E7" s="328">
        <f>D7*C7</f>
        <v>507556</v>
      </c>
      <c r="F7" s="450" t="s">
        <v>678</v>
      </c>
      <c r="G7" s="328">
        <f>E7/VLOOKUP(F7,'Energia Elétrica - EST'!$T$21:$U$24,2,FALSE)</f>
        <v>5577.5384615384619</v>
      </c>
      <c r="H7" s="356">
        <f>'Energia Elétrica - EST'!D26</f>
        <v>9</v>
      </c>
      <c r="I7" s="328">
        <f>26*H7*G7/1000</f>
        <v>1305.144</v>
      </c>
    </row>
    <row r="8" spans="1:9" x14ac:dyDescent="0.25">
      <c r="A8" s="730"/>
      <c r="B8" s="327" t="s">
        <v>567</v>
      </c>
      <c r="C8" s="449">
        <v>200</v>
      </c>
      <c r="D8" s="328">
        <f>'PARÂMETROS - EST'!D27</f>
        <v>50</v>
      </c>
      <c r="E8" s="328">
        <f>D8*C8</f>
        <v>10000</v>
      </c>
      <c r="F8" s="450" t="s">
        <v>678</v>
      </c>
      <c r="G8" s="328">
        <f>E8/VLOOKUP(F8,'Energia Elétrica - EST'!$T$21:$U$24,2,FALSE)</f>
        <v>109.89010989010988</v>
      </c>
      <c r="H8" s="356">
        <f>'Energia Elétrica - EST'!D26</f>
        <v>9</v>
      </c>
      <c r="I8" s="328">
        <f>26*H8*G8/1000</f>
        <v>25.714285714285715</v>
      </c>
    </row>
    <row r="9" spans="1:9" x14ac:dyDescent="0.25">
      <c r="A9" s="730"/>
      <c r="B9" s="327" t="s">
        <v>680</v>
      </c>
      <c r="C9" s="449">
        <v>200</v>
      </c>
      <c r="D9" s="299">
        <f>'PARÂMETROS - EST'!D31</f>
        <v>421.57</v>
      </c>
      <c r="E9" s="328">
        <f>D9*C9</f>
        <v>84314</v>
      </c>
      <c r="F9" s="450" t="s">
        <v>704</v>
      </c>
      <c r="G9" s="328">
        <f>E9/VLOOKUP(F9,'Energia Elétrica - EST'!$T$21:$U$24,2,FALSE)</f>
        <v>648.56923076923078</v>
      </c>
      <c r="H9" s="356">
        <f>COUNTIF('Energia Elétrica - EST'!AC5:AC205,"&lt;&gt;-")</f>
        <v>12</v>
      </c>
      <c r="I9" s="328">
        <f>26*H9*G9/1000</f>
        <v>202.3536</v>
      </c>
    </row>
    <row r="10" spans="1:9" x14ac:dyDescent="0.25">
      <c r="A10" s="731"/>
      <c r="B10" s="451" t="s">
        <v>681</v>
      </c>
      <c r="C10" s="472"/>
      <c r="D10" s="472"/>
      <c r="E10" s="472"/>
      <c r="F10" s="472"/>
      <c r="G10" s="472"/>
      <c r="H10" s="473"/>
      <c r="I10" s="326">
        <f>SUM(I5:I9)</f>
        <v>1574.3547428571428</v>
      </c>
    </row>
  </sheetData>
  <mergeCells count="2">
    <mergeCell ref="A4:A10"/>
    <mergeCell ref="A2:I2"/>
  </mergeCells>
  <pageMargins left="0.511811024" right="0.511811024" top="0.78740157499999996" bottom="0.78740157499999996" header="0.31496062000000002" footer="0.31496062000000002"/>
  <extLst>
    <ext xmlns:x14="http://schemas.microsoft.com/office/spreadsheetml/2009/9/main" uri="{CCE6A557-97BC-4b89-ADB6-D9C93CAAB3DF}">
      <x14:dataValidations xmlns:xm="http://schemas.microsoft.com/office/excel/2006/main" count="1">
        <x14:dataValidation type="list" allowBlank="1" showInputMessage="1" showErrorMessage="1">
          <x14:formula1>
            <xm:f>'Energia Elétrica - EST'!$T$21:$T$24</xm:f>
          </x14:formula1>
          <xm:sqref>F5:F9</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8"/>
  <sheetViews>
    <sheetView workbookViewId="0">
      <selection activeCell="A3" sqref="A3"/>
    </sheetView>
  </sheetViews>
  <sheetFormatPr defaultRowHeight="15" x14ac:dyDescent="0.25"/>
  <cols>
    <col min="2" max="2" width="39.7109375" customWidth="1"/>
    <col min="3" max="3" width="15.140625" customWidth="1"/>
    <col min="4" max="4" width="15.28515625" customWidth="1"/>
    <col min="5" max="5" width="17.42578125" customWidth="1"/>
    <col min="6" max="6" width="13.28515625" customWidth="1"/>
    <col min="7" max="7" width="14" customWidth="1"/>
  </cols>
  <sheetData>
    <row r="2" spans="1:7" ht="15.75" x14ac:dyDescent="0.25">
      <c r="A2" s="697" t="s">
        <v>951</v>
      </c>
      <c r="B2" s="697"/>
      <c r="C2" s="697"/>
      <c r="D2" s="697"/>
      <c r="E2" s="697"/>
      <c r="F2" s="697"/>
      <c r="G2" s="697"/>
    </row>
    <row r="4" spans="1:7" ht="15" customHeight="1" x14ac:dyDescent="0.25">
      <c r="A4" s="736" t="s">
        <v>752</v>
      </c>
      <c r="B4" s="738" t="s">
        <v>779</v>
      </c>
      <c r="C4" s="738"/>
      <c r="D4" s="738"/>
      <c r="E4" s="738"/>
      <c r="F4" s="738"/>
      <c r="G4" s="739"/>
    </row>
    <row r="5" spans="1:7" ht="36.75" customHeight="1" x14ac:dyDescent="0.25">
      <c r="A5" s="736"/>
      <c r="B5" s="685" t="s">
        <v>669</v>
      </c>
      <c r="C5" s="493" t="s">
        <v>728</v>
      </c>
      <c r="D5" s="494" t="s">
        <v>735</v>
      </c>
      <c r="E5" s="493" t="s">
        <v>525</v>
      </c>
      <c r="F5" s="493" t="s">
        <v>726</v>
      </c>
      <c r="G5" s="493" t="s">
        <v>727</v>
      </c>
    </row>
    <row r="6" spans="1:7" x14ac:dyDescent="0.25">
      <c r="A6" s="736"/>
      <c r="B6" s="685"/>
      <c r="C6" s="493" t="s">
        <v>519</v>
      </c>
      <c r="D6" s="493" t="s">
        <v>729</v>
      </c>
      <c r="E6" s="493" t="s">
        <v>730</v>
      </c>
      <c r="F6" s="493" t="s">
        <v>730</v>
      </c>
      <c r="G6" s="493" t="s">
        <v>730</v>
      </c>
    </row>
    <row r="7" spans="1:7" x14ac:dyDescent="0.25">
      <c r="A7" s="736"/>
      <c r="B7" s="428" t="s">
        <v>731</v>
      </c>
      <c r="C7" s="412">
        <f>'PARÂMETROS - MESA'!D29</f>
        <v>30</v>
      </c>
      <c r="D7" s="316">
        <v>1.1000000000000001</v>
      </c>
      <c r="E7" s="413">
        <f>C7*D7</f>
        <v>33</v>
      </c>
      <c r="F7" s="414">
        <f>D7*$C$16*C7</f>
        <v>0.66</v>
      </c>
      <c r="G7" s="415"/>
    </row>
    <row r="8" spans="1:7" x14ac:dyDescent="0.25">
      <c r="A8" s="736"/>
      <c r="B8" s="429" t="s">
        <v>732</v>
      </c>
      <c r="C8" s="416">
        <f>'PARÂMETROS - MESA'!D30</f>
        <v>15</v>
      </c>
      <c r="D8" s="275">
        <v>1.1000000000000001</v>
      </c>
      <c r="E8" s="417">
        <f>C8*D8</f>
        <v>16.5</v>
      </c>
      <c r="F8" s="285">
        <f>D8*$C$16*C8</f>
        <v>0.33</v>
      </c>
      <c r="G8" s="418">
        <f>$C$17*C8</f>
        <v>0.75</v>
      </c>
    </row>
    <row r="9" spans="1:7" x14ac:dyDescent="0.25">
      <c r="A9" s="736"/>
      <c r="B9" s="429" t="s">
        <v>738</v>
      </c>
      <c r="C9" s="416">
        <f>'PARÂMETROS - MESA'!D28</f>
        <v>12</v>
      </c>
      <c r="D9" s="275">
        <v>0.2</v>
      </c>
      <c r="E9" s="417">
        <f t="shared" ref="E9:E11" si="0">C9*D9</f>
        <v>2.4000000000000004</v>
      </c>
      <c r="F9" s="285">
        <f>D9*$C$16*C9</f>
        <v>4.8000000000000001E-2</v>
      </c>
      <c r="G9" s="287"/>
    </row>
    <row r="10" spans="1:7" x14ac:dyDescent="0.25">
      <c r="A10" s="736"/>
      <c r="B10" s="429" t="s">
        <v>736</v>
      </c>
      <c r="C10" s="416">
        <f>'PARÂMETROS - MESA'!D26</f>
        <v>725.08</v>
      </c>
      <c r="D10" s="275">
        <v>6.0000000000000001E-3</v>
      </c>
      <c r="E10" s="417">
        <f t="shared" si="0"/>
        <v>4.3504800000000001</v>
      </c>
      <c r="F10" s="285">
        <f>D10*$C$16*C10</f>
        <v>8.7009600000000006E-2</v>
      </c>
      <c r="G10" s="287"/>
    </row>
    <row r="11" spans="1:7" x14ac:dyDescent="0.25">
      <c r="A11" s="736"/>
      <c r="B11" s="430" t="s">
        <v>737</v>
      </c>
      <c r="C11" s="419">
        <f>'PARÂMETROS - MESA'!D27</f>
        <v>50</v>
      </c>
      <c r="D11" s="279">
        <v>6.0000000000000001E-3</v>
      </c>
      <c r="E11" s="420">
        <f t="shared" si="0"/>
        <v>0.3</v>
      </c>
      <c r="F11" s="421">
        <f>D11*$C$16*C11</f>
        <v>6.0000000000000001E-3</v>
      </c>
      <c r="G11" s="306"/>
    </row>
    <row r="12" spans="1:7" x14ac:dyDescent="0.25">
      <c r="A12" s="736"/>
      <c r="B12" s="431" t="s">
        <v>733</v>
      </c>
      <c r="C12" s="422">
        <f>SUM(C7:C11)</f>
        <v>832.08</v>
      </c>
      <c r="D12" s="327"/>
      <c r="E12" s="423">
        <f>SUM(E7:E11)</f>
        <v>56.550479999999993</v>
      </c>
      <c r="F12" s="328">
        <f>SUM(F7:F11)</f>
        <v>1.1310096000000001</v>
      </c>
      <c r="G12" s="424">
        <f>SUM(G7:G11)</f>
        <v>0.75</v>
      </c>
    </row>
    <row r="13" spans="1:7" x14ac:dyDescent="0.25">
      <c r="A13" s="736"/>
      <c r="B13" s="431" t="s">
        <v>734</v>
      </c>
      <c r="C13" s="425">
        <v>26.07</v>
      </c>
      <c r="D13" s="327"/>
      <c r="E13" s="423">
        <f>E12*C13</f>
        <v>1474.2710135999998</v>
      </c>
      <c r="F13" s="328">
        <f>F12*C13</f>
        <v>29.485420272000002</v>
      </c>
      <c r="G13" s="327">
        <f>G12*C13</f>
        <v>19.552500000000002</v>
      </c>
    </row>
    <row r="14" spans="1:7" x14ac:dyDescent="0.25">
      <c r="A14" s="736"/>
      <c r="B14" s="740" t="s">
        <v>377</v>
      </c>
      <c r="C14" s="738"/>
      <c r="D14" s="738"/>
      <c r="E14" s="738"/>
      <c r="F14" s="739"/>
    </row>
    <row r="15" spans="1:7" x14ac:dyDescent="0.25">
      <c r="A15" s="736"/>
      <c r="B15" s="492" t="s">
        <v>599</v>
      </c>
      <c r="C15" s="454" t="s">
        <v>725</v>
      </c>
      <c r="D15" s="454" t="s">
        <v>746</v>
      </c>
      <c r="E15" s="454" t="s">
        <v>747</v>
      </c>
      <c r="F15" s="454" t="s">
        <v>748</v>
      </c>
    </row>
    <row r="16" spans="1:7" x14ac:dyDescent="0.25">
      <c r="A16" s="736"/>
      <c r="B16" s="431" t="s">
        <v>726</v>
      </c>
      <c r="C16" s="426">
        <v>0.02</v>
      </c>
      <c r="D16" s="432">
        <f>'MAPA DE PREÇOS'!M456</f>
        <v>1.94</v>
      </c>
      <c r="E16" s="299">
        <f>F13</f>
        <v>29.485420272000002</v>
      </c>
      <c r="F16" s="432">
        <f>E16*D16</f>
        <v>57.201715327680006</v>
      </c>
    </row>
    <row r="17" spans="1:6" x14ac:dyDescent="0.25">
      <c r="A17" s="736"/>
      <c r="B17" s="431" t="s">
        <v>727</v>
      </c>
      <c r="C17" s="426">
        <v>0.05</v>
      </c>
      <c r="D17" s="432">
        <f>'MAPA DE PREÇOS'!M477</f>
        <v>5.48</v>
      </c>
      <c r="E17" s="299">
        <f>G13</f>
        <v>19.552500000000002</v>
      </c>
      <c r="F17" s="432">
        <f>E17*D17</f>
        <v>107.14770000000001</v>
      </c>
    </row>
    <row r="18" spans="1:6" x14ac:dyDescent="0.25">
      <c r="A18" s="736"/>
      <c r="B18" s="741" t="s">
        <v>753</v>
      </c>
      <c r="C18" s="741"/>
      <c r="D18" s="741"/>
      <c r="E18" s="741"/>
      <c r="F18" s="328">
        <f>SUM(F16:F17)</f>
        <v>164.34941532768002</v>
      </c>
    </row>
    <row r="20" spans="1:6" x14ac:dyDescent="0.25">
      <c r="A20" s="729" t="s">
        <v>777</v>
      </c>
      <c r="B20" s="315" t="s">
        <v>542</v>
      </c>
      <c r="C20" s="315" t="s">
        <v>543</v>
      </c>
    </row>
    <row r="21" spans="1:6" x14ac:dyDescent="0.25">
      <c r="A21" s="730"/>
      <c r="B21" s="501" t="s">
        <v>754</v>
      </c>
      <c r="C21" s="437">
        <v>17</v>
      </c>
    </row>
    <row r="22" spans="1:6" x14ac:dyDescent="0.25">
      <c r="A22" s="730"/>
      <c r="B22" s="483" t="s">
        <v>772</v>
      </c>
      <c r="C22" s="484"/>
    </row>
    <row r="23" spans="1:6" x14ac:dyDescent="0.25">
      <c r="A23" s="730"/>
      <c r="B23" s="485" t="s">
        <v>755</v>
      </c>
      <c r="C23" s="484">
        <f>'PARÂMETROS - MESA'!D20</f>
        <v>3</v>
      </c>
    </row>
    <row r="24" spans="1:6" x14ac:dyDescent="0.25">
      <c r="A24" s="730"/>
      <c r="B24" s="483" t="s">
        <v>773</v>
      </c>
      <c r="C24" s="486">
        <f>C21*C23</f>
        <v>51</v>
      </c>
    </row>
    <row r="25" spans="1:6" x14ac:dyDescent="0.25">
      <c r="A25" s="730"/>
      <c r="B25" s="487" t="s">
        <v>774</v>
      </c>
      <c r="C25" s="488"/>
    </row>
    <row r="26" spans="1:6" x14ac:dyDescent="0.25">
      <c r="A26" s="730"/>
      <c r="B26" s="489" t="s">
        <v>775</v>
      </c>
      <c r="C26" s="490">
        <f>IF('PARÂMETROS - MESA'!D19&gt;0,'PARÂMETROS - MESA'!D11,0)</f>
        <v>0</v>
      </c>
    </row>
    <row r="27" spans="1:6" x14ac:dyDescent="0.25">
      <c r="A27" s="730"/>
      <c r="B27" s="487" t="s">
        <v>776</v>
      </c>
      <c r="C27" s="491">
        <f>C26</f>
        <v>0</v>
      </c>
    </row>
    <row r="28" spans="1:6" x14ac:dyDescent="0.25">
      <c r="A28" s="731"/>
      <c r="B28" s="305" t="s">
        <v>540</v>
      </c>
      <c r="C28" s="313">
        <f>C27+C24</f>
        <v>51</v>
      </c>
    </row>
    <row r="30" spans="1:6" ht="15" customHeight="1" x14ac:dyDescent="0.25">
      <c r="A30" s="736" t="s">
        <v>784</v>
      </c>
      <c r="B30" s="315" t="s">
        <v>542</v>
      </c>
      <c r="C30" s="315" t="s">
        <v>543</v>
      </c>
    </row>
    <row r="31" spans="1:6" x14ac:dyDescent="0.25">
      <c r="A31" s="736"/>
      <c r="B31" s="499" t="s">
        <v>785</v>
      </c>
      <c r="C31" s="497">
        <f>'PARÂMETROS - MESA'!D8</f>
        <v>106.28625</v>
      </c>
    </row>
    <row r="32" spans="1:6" x14ac:dyDescent="0.25">
      <c r="A32" s="736"/>
      <c r="B32" s="302" t="s">
        <v>786</v>
      </c>
      <c r="C32" s="498">
        <f>'PARÂMETROS - MESA'!D9/100</f>
        <v>4.0410000000000003E-3</v>
      </c>
    </row>
    <row r="33" spans="1:3" x14ac:dyDescent="0.25">
      <c r="A33" s="736"/>
      <c r="B33" s="302" t="s">
        <v>787</v>
      </c>
      <c r="C33" s="287">
        <f>C31*(1-C32)</f>
        <v>105.85674726374999</v>
      </c>
    </row>
    <row r="34" spans="1:3" x14ac:dyDescent="0.25">
      <c r="A34" s="736"/>
      <c r="B34" s="302" t="s">
        <v>788</v>
      </c>
      <c r="C34" s="287">
        <f>'Equipamentos - MESA'!C11</f>
        <v>9.5000000000000001E-2</v>
      </c>
    </row>
    <row r="35" spans="1:3" x14ac:dyDescent="0.25">
      <c r="A35" s="736"/>
      <c r="B35" s="302" t="s">
        <v>789</v>
      </c>
      <c r="C35" s="287">
        <f>C33/C34</f>
        <v>1114.2815501447367</v>
      </c>
    </row>
    <row r="36" spans="1:3" x14ac:dyDescent="0.25">
      <c r="A36" s="736"/>
      <c r="B36" s="302" t="s">
        <v>790</v>
      </c>
      <c r="C36" s="287">
        <v>4</v>
      </c>
    </row>
    <row r="37" spans="1:3" x14ac:dyDescent="0.25">
      <c r="A37" s="736"/>
      <c r="B37" s="302" t="s">
        <v>791</v>
      </c>
      <c r="C37" s="287">
        <f>C35/C36</f>
        <v>278.57038753618417</v>
      </c>
    </row>
    <row r="38" spans="1:3" x14ac:dyDescent="0.25">
      <c r="A38" s="736"/>
      <c r="B38" s="302" t="s">
        <v>792</v>
      </c>
      <c r="C38" s="500">
        <v>0.3</v>
      </c>
    </row>
    <row r="39" spans="1:3" x14ac:dyDescent="0.25">
      <c r="A39" s="736"/>
      <c r="B39" s="302" t="s">
        <v>793</v>
      </c>
      <c r="C39" s="287">
        <f>C37*C38</f>
        <v>83.571116260855248</v>
      </c>
    </row>
    <row r="40" spans="1:3" x14ac:dyDescent="0.25">
      <c r="A40" s="736"/>
      <c r="B40" s="302" t="s">
        <v>794</v>
      </c>
      <c r="C40" s="287">
        <v>1</v>
      </c>
    </row>
    <row r="41" spans="1:3" x14ac:dyDescent="0.25">
      <c r="A41" s="736"/>
      <c r="B41" s="305" t="s">
        <v>795</v>
      </c>
      <c r="C41" s="306">
        <f>C39/C40</f>
        <v>83.571116260855248</v>
      </c>
    </row>
    <row r="42" spans="1:3" x14ac:dyDescent="0.25">
      <c r="A42" s="736"/>
      <c r="B42" s="327" t="s">
        <v>796</v>
      </c>
      <c r="C42" s="327">
        <f>ROUND(C41,0)</f>
        <v>84</v>
      </c>
    </row>
    <row r="43" spans="1:3" ht="15" customHeight="1" x14ac:dyDescent="0.25">
      <c r="A43" s="719" t="s">
        <v>811</v>
      </c>
      <c r="B43" s="296" t="s">
        <v>812</v>
      </c>
      <c r="C43" s="298">
        <f>C35*(1-C38)</f>
        <v>779.99708510131563</v>
      </c>
    </row>
    <row r="44" spans="1:3" x14ac:dyDescent="0.25">
      <c r="A44" s="720"/>
      <c r="B44" s="302" t="s">
        <v>818</v>
      </c>
      <c r="C44" s="532">
        <f>'Equipamentos - MESA'!G13</f>
        <v>2.7142857142857144</v>
      </c>
    </row>
    <row r="45" spans="1:3" x14ac:dyDescent="0.25">
      <c r="A45" s="720"/>
      <c r="B45" s="302" t="s">
        <v>817</v>
      </c>
      <c r="C45" s="532">
        <f>C43/C44</f>
        <v>287.36734714258995</v>
      </c>
    </row>
    <row r="46" spans="1:3" x14ac:dyDescent="0.25">
      <c r="A46" s="720"/>
      <c r="B46" s="302" t="s">
        <v>816</v>
      </c>
      <c r="C46" s="532">
        <f>'Equipamentos - MESA'!G12</f>
        <v>0.33599999999999997</v>
      </c>
    </row>
    <row r="47" spans="1:3" x14ac:dyDescent="0.25">
      <c r="A47" s="720"/>
      <c r="B47" s="302" t="s">
        <v>819</v>
      </c>
      <c r="C47" s="532">
        <f>C45/C46</f>
        <v>855.25996173389876</v>
      </c>
    </row>
    <row r="48" spans="1:3" x14ac:dyDescent="0.25">
      <c r="A48" s="720"/>
      <c r="B48" s="302" t="s">
        <v>821</v>
      </c>
      <c r="C48" s="287">
        <f>'Equipamentos - MESA'!G14</f>
        <v>9.8000000000000007</v>
      </c>
    </row>
    <row r="49" spans="1:4" x14ac:dyDescent="0.25">
      <c r="A49" s="720"/>
      <c r="B49" s="302" t="s">
        <v>822</v>
      </c>
      <c r="C49" s="533">
        <f>C47*C48</f>
        <v>8381.5476249922085</v>
      </c>
    </row>
    <row r="50" spans="1:4" x14ac:dyDescent="0.25">
      <c r="A50" s="720"/>
      <c r="B50" s="302" t="s">
        <v>823</v>
      </c>
      <c r="C50" s="287">
        <v>520</v>
      </c>
    </row>
    <row r="51" spans="1:4" x14ac:dyDescent="0.25">
      <c r="A51" s="721"/>
      <c r="B51" s="305" t="s">
        <v>824</v>
      </c>
      <c r="C51" s="534">
        <f>C49/C50</f>
        <v>16.118360817292707</v>
      </c>
    </row>
    <row r="53" spans="1:4" ht="15" customHeight="1" x14ac:dyDescent="0.25">
      <c r="A53" s="737" t="s">
        <v>525</v>
      </c>
      <c r="B53" s="315" t="s">
        <v>542</v>
      </c>
      <c r="C53" s="315" t="s">
        <v>543</v>
      </c>
    </row>
    <row r="54" spans="1:4" ht="15.75" x14ac:dyDescent="0.25">
      <c r="A54" s="737"/>
      <c r="B54" s="296" t="s">
        <v>825</v>
      </c>
      <c r="C54" s="539">
        <f>50/1000</f>
        <v>0.05</v>
      </c>
      <c r="D54" s="538"/>
    </row>
    <row r="55" spans="1:4" ht="15.75" x14ac:dyDescent="0.25">
      <c r="A55" s="737"/>
      <c r="B55" s="302" t="s">
        <v>808</v>
      </c>
      <c r="C55" s="540">
        <f>'PARÂMETROS - MESA'!D10</f>
        <v>32.571562499999999</v>
      </c>
      <c r="D55" s="538"/>
    </row>
    <row r="56" spans="1:4" x14ac:dyDescent="0.25">
      <c r="A56" s="737"/>
      <c r="B56" s="302" t="s">
        <v>826</v>
      </c>
      <c r="C56" s="287">
        <f>C54*C55</f>
        <v>1.628578125</v>
      </c>
    </row>
    <row r="57" spans="1:4" x14ac:dyDescent="0.25">
      <c r="A57" s="737"/>
      <c r="B57" s="302" t="s">
        <v>827</v>
      </c>
      <c r="C57" s="541">
        <f>(365-52)/12</f>
        <v>26.083333333333332</v>
      </c>
    </row>
    <row r="58" spans="1:4" x14ac:dyDescent="0.25">
      <c r="A58" s="737"/>
      <c r="B58" s="305" t="s">
        <v>828</v>
      </c>
      <c r="C58" s="306">
        <f>C56*C57</f>
        <v>42.478746093749997</v>
      </c>
    </row>
  </sheetData>
  <mergeCells count="10">
    <mergeCell ref="A2:G2"/>
    <mergeCell ref="A30:A42"/>
    <mergeCell ref="A43:A51"/>
    <mergeCell ref="A53:A58"/>
    <mergeCell ref="A4:A18"/>
    <mergeCell ref="B4:G4"/>
    <mergeCell ref="B5:B6"/>
    <mergeCell ref="B14:F14"/>
    <mergeCell ref="B18:E18"/>
    <mergeCell ref="A20:A28"/>
  </mergeCells>
  <pageMargins left="0.511811024" right="0.511811024" top="0.78740157499999996" bottom="0.78740157499999996" header="0.31496062000000002" footer="0.31496062000000002"/>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6"/>
  <dimension ref="A2:G58"/>
  <sheetViews>
    <sheetView workbookViewId="0">
      <selection activeCell="A2" sqref="A2:G2"/>
    </sheetView>
  </sheetViews>
  <sheetFormatPr defaultRowHeight="15" x14ac:dyDescent="0.25"/>
  <cols>
    <col min="2" max="2" width="39.7109375" customWidth="1"/>
    <col min="3" max="3" width="15.140625" customWidth="1"/>
    <col min="4" max="4" width="15.28515625" customWidth="1"/>
    <col min="5" max="5" width="17.42578125" customWidth="1"/>
    <col min="6" max="6" width="13.28515625" customWidth="1"/>
    <col min="7" max="7" width="14" customWidth="1"/>
  </cols>
  <sheetData>
    <row r="2" spans="1:7" ht="15.75" x14ac:dyDescent="0.25">
      <c r="A2" s="697" t="s">
        <v>950</v>
      </c>
      <c r="B2" s="697"/>
      <c r="C2" s="697"/>
      <c r="D2" s="697"/>
      <c r="E2" s="697"/>
      <c r="F2" s="697"/>
      <c r="G2" s="697"/>
    </row>
    <row r="4" spans="1:7" ht="15" customHeight="1" x14ac:dyDescent="0.25">
      <c r="A4" s="736" t="s">
        <v>752</v>
      </c>
      <c r="B4" s="738" t="s">
        <v>779</v>
      </c>
      <c r="C4" s="738"/>
      <c r="D4" s="738"/>
      <c r="E4" s="738"/>
      <c r="F4" s="738"/>
      <c r="G4" s="739"/>
    </row>
    <row r="5" spans="1:7" ht="36.75" customHeight="1" x14ac:dyDescent="0.25">
      <c r="A5" s="736"/>
      <c r="B5" s="685" t="s">
        <v>669</v>
      </c>
      <c r="C5" s="493" t="s">
        <v>728</v>
      </c>
      <c r="D5" s="494" t="s">
        <v>735</v>
      </c>
      <c r="E5" s="493" t="s">
        <v>525</v>
      </c>
      <c r="F5" s="493" t="s">
        <v>726</v>
      </c>
      <c r="G5" s="493" t="s">
        <v>727</v>
      </c>
    </row>
    <row r="6" spans="1:7" x14ac:dyDescent="0.25">
      <c r="A6" s="736"/>
      <c r="B6" s="685"/>
      <c r="C6" s="493" t="s">
        <v>519</v>
      </c>
      <c r="D6" s="493" t="s">
        <v>729</v>
      </c>
      <c r="E6" s="493" t="s">
        <v>730</v>
      </c>
      <c r="F6" s="493" t="s">
        <v>730</v>
      </c>
      <c r="G6" s="493" t="s">
        <v>730</v>
      </c>
    </row>
    <row r="7" spans="1:7" x14ac:dyDescent="0.25">
      <c r="A7" s="736"/>
      <c r="B7" s="428" t="s">
        <v>731</v>
      </c>
      <c r="C7" s="412">
        <f>'PARÂMETROS - EST'!D29</f>
        <v>30</v>
      </c>
      <c r="D7" s="316">
        <v>1.1000000000000001</v>
      </c>
      <c r="E7" s="413">
        <f>C7*D7</f>
        <v>33</v>
      </c>
      <c r="F7" s="414">
        <f>D7*$C$16*C7</f>
        <v>0.66</v>
      </c>
      <c r="G7" s="415"/>
    </row>
    <row r="8" spans="1:7" x14ac:dyDescent="0.25">
      <c r="A8" s="736"/>
      <c r="B8" s="429" t="s">
        <v>732</v>
      </c>
      <c r="C8" s="416">
        <f>'PARÂMETROS - EST'!D30</f>
        <v>15</v>
      </c>
      <c r="D8" s="275">
        <v>1.1000000000000001</v>
      </c>
      <c r="E8" s="417">
        <f>C8*D8</f>
        <v>16.5</v>
      </c>
      <c r="F8" s="285">
        <f>D8*$C$16*C8</f>
        <v>0.33</v>
      </c>
      <c r="G8" s="418">
        <f>$C$17*C8</f>
        <v>0.75</v>
      </c>
    </row>
    <row r="9" spans="1:7" x14ac:dyDescent="0.25">
      <c r="A9" s="736"/>
      <c r="B9" s="429" t="s">
        <v>738</v>
      </c>
      <c r="C9" s="416">
        <f>'PARÂMETROS - EST'!D28</f>
        <v>12</v>
      </c>
      <c r="D9" s="275">
        <v>0.2</v>
      </c>
      <c r="E9" s="417">
        <f t="shared" ref="E9:E11" si="0">C9*D9</f>
        <v>2.4000000000000004</v>
      </c>
      <c r="F9" s="285">
        <f>D9*$C$16*C9</f>
        <v>4.8000000000000001E-2</v>
      </c>
      <c r="G9" s="287"/>
    </row>
    <row r="10" spans="1:7" x14ac:dyDescent="0.25">
      <c r="A10" s="736"/>
      <c r="B10" s="429" t="s">
        <v>736</v>
      </c>
      <c r="C10" s="416">
        <f>'PARÂMETROS - EST'!D26</f>
        <v>725.08</v>
      </c>
      <c r="D10" s="275">
        <v>6.0000000000000001E-3</v>
      </c>
      <c r="E10" s="417">
        <f t="shared" si="0"/>
        <v>4.3504800000000001</v>
      </c>
      <c r="F10" s="285">
        <f>D10*$C$16*C10</f>
        <v>8.7009600000000006E-2</v>
      </c>
      <c r="G10" s="287"/>
    </row>
    <row r="11" spans="1:7" x14ac:dyDescent="0.25">
      <c r="A11" s="736"/>
      <c r="B11" s="430" t="s">
        <v>737</v>
      </c>
      <c r="C11" s="419">
        <f>'PARÂMETROS - EST'!D27</f>
        <v>50</v>
      </c>
      <c r="D11" s="279">
        <v>6.0000000000000001E-3</v>
      </c>
      <c r="E11" s="420">
        <f t="shared" si="0"/>
        <v>0.3</v>
      </c>
      <c r="F11" s="421">
        <f>D11*$C$16*C11</f>
        <v>6.0000000000000001E-3</v>
      </c>
      <c r="G11" s="306"/>
    </row>
    <row r="12" spans="1:7" x14ac:dyDescent="0.25">
      <c r="A12" s="736"/>
      <c r="B12" s="431" t="s">
        <v>733</v>
      </c>
      <c r="C12" s="422">
        <f>SUM(C7:C11)</f>
        <v>832.08</v>
      </c>
      <c r="D12" s="327"/>
      <c r="E12" s="423">
        <f>SUM(E7:E11)</f>
        <v>56.550479999999993</v>
      </c>
      <c r="F12" s="328">
        <f>SUM(F7:F11)</f>
        <v>1.1310096000000001</v>
      </c>
      <c r="G12" s="424">
        <f>SUM(G7:G11)</f>
        <v>0.75</v>
      </c>
    </row>
    <row r="13" spans="1:7" x14ac:dyDescent="0.25">
      <c r="A13" s="736"/>
      <c r="B13" s="431" t="s">
        <v>734</v>
      </c>
      <c r="C13" s="425">
        <v>26.07</v>
      </c>
      <c r="D13" s="327"/>
      <c r="E13" s="423">
        <f>E12*C13</f>
        <v>1474.2710135999998</v>
      </c>
      <c r="F13" s="328">
        <f>F12*C13</f>
        <v>29.485420272000002</v>
      </c>
      <c r="G13" s="327">
        <f>G12*C13</f>
        <v>19.552500000000002</v>
      </c>
    </row>
    <row r="14" spans="1:7" x14ac:dyDescent="0.25">
      <c r="A14" s="736"/>
      <c r="B14" s="740" t="s">
        <v>377</v>
      </c>
      <c r="C14" s="738"/>
      <c r="D14" s="738"/>
      <c r="E14" s="738"/>
      <c r="F14" s="739"/>
    </row>
    <row r="15" spans="1:7" x14ac:dyDescent="0.25">
      <c r="A15" s="736"/>
      <c r="B15" s="492" t="s">
        <v>599</v>
      </c>
      <c r="C15" s="454" t="s">
        <v>725</v>
      </c>
      <c r="D15" s="454" t="s">
        <v>746</v>
      </c>
      <c r="E15" s="454" t="s">
        <v>747</v>
      </c>
      <c r="F15" s="454" t="s">
        <v>748</v>
      </c>
    </row>
    <row r="16" spans="1:7" x14ac:dyDescent="0.25">
      <c r="A16" s="736"/>
      <c r="B16" s="431" t="s">
        <v>726</v>
      </c>
      <c r="C16" s="426">
        <v>0.02</v>
      </c>
      <c r="D16" s="432">
        <f>'MAPA DE PREÇOS'!M456</f>
        <v>1.94</v>
      </c>
      <c r="E16" s="299">
        <f>F13</f>
        <v>29.485420272000002</v>
      </c>
      <c r="F16" s="432">
        <f>E16*D16</f>
        <v>57.201715327680006</v>
      </c>
    </row>
    <row r="17" spans="1:6" x14ac:dyDescent="0.25">
      <c r="A17" s="736"/>
      <c r="B17" s="431" t="s">
        <v>727</v>
      </c>
      <c r="C17" s="426">
        <v>0.05</v>
      </c>
      <c r="D17" s="432">
        <f>'MAPA DE PREÇOS'!M477</f>
        <v>5.48</v>
      </c>
      <c r="E17" s="299">
        <f>G13</f>
        <v>19.552500000000002</v>
      </c>
      <c r="F17" s="432">
        <f>E17*D17</f>
        <v>107.14770000000001</v>
      </c>
    </row>
    <row r="18" spans="1:6" x14ac:dyDescent="0.25">
      <c r="A18" s="736"/>
      <c r="B18" s="741" t="s">
        <v>753</v>
      </c>
      <c r="C18" s="741"/>
      <c r="D18" s="741"/>
      <c r="E18" s="741"/>
      <c r="F18" s="328">
        <f>SUM(F16:F17)</f>
        <v>164.34941532768002</v>
      </c>
    </row>
    <row r="20" spans="1:6" x14ac:dyDescent="0.25">
      <c r="A20" s="729" t="s">
        <v>777</v>
      </c>
      <c r="B20" s="315" t="s">
        <v>542</v>
      </c>
      <c r="C20" s="315" t="s">
        <v>543</v>
      </c>
    </row>
    <row r="21" spans="1:6" x14ac:dyDescent="0.25">
      <c r="A21" s="730"/>
      <c r="B21" s="501" t="s">
        <v>754</v>
      </c>
      <c r="C21" s="437">
        <v>17</v>
      </c>
    </row>
    <row r="22" spans="1:6" x14ac:dyDescent="0.25">
      <c r="A22" s="730"/>
      <c r="B22" s="483" t="s">
        <v>772</v>
      </c>
      <c r="C22" s="484"/>
    </row>
    <row r="23" spans="1:6" x14ac:dyDescent="0.25">
      <c r="A23" s="730"/>
      <c r="B23" s="485" t="s">
        <v>755</v>
      </c>
      <c r="C23" s="484">
        <f>'PARÂMETROS - EST'!D20</f>
        <v>0</v>
      </c>
    </row>
    <row r="24" spans="1:6" x14ac:dyDescent="0.25">
      <c r="A24" s="730"/>
      <c r="B24" s="483" t="s">
        <v>773</v>
      </c>
      <c r="C24" s="486">
        <f>C21*C23</f>
        <v>0</v>
      </c>
    </row>
    <row r="25" spans="1:6" x14ac:dyDescent="0.25">
      <c r="A25" s="730"/>
      <c r="B25" s="487" t="s">
        <v>774</v>
      </c>
      <c r="C25" s="488"/>
    </row>
    <row r="26" spans="1:6" x14ac:dyDescent="0.25">
      <c r="A26" s="730"/>
      <c r="B26" s="489" t="s">
        <v>775</v>
      </c>
      <c r="C26" s="490">
        <f>IF('PARÂMETROS - EST'!D19&gt;0,'PARÂMETROS - EST'!D11,0)</f>
        <v>26.571562499999999</v>
      </c>
    </row>
    <row r="27" spans="1:6" x14ac:dyDescent="0.25">
      <c r="A27" s="730"/>
      <c r="B27" s="487" t="s">
        <v>776</v>
      </c>
      <c r="C27" s="491">
        <f>C26</f>
        <v>26.571562499999999</v>
      </c>
    </row>
    <row r="28" spans="1:6" x14ac:dyDescent="0.25">
      <c r="A28" s="731"/>
      <c r="B28" s="305" t="s">
        <v>540</v>
      </c>
      <c r="C28" s="313">
        <f>C27+C24</f>
        <v>26.571562499999999</v>
      </c>
    </row>
    <row r="30" spans="1:6" ht="15" customHeight="1" x14ac:dyDescent="0.25">
      <c r="A30" s="736" t="s">
        <v>784</v>
      </c>
      <c r="B30" s="315" t="s">
        <v>542</v>
      </c>
      <c r="C30" s="315" t="s">
        <v>543</v>
      </c>
    </row>
    <row r="31" spans="1:6" x14ac:dyDescent="0.25">
      <c r="A31" s="736"/>
      <c r="B31" s="499" t="s">
        <v>785</v>
      </c>
      <c r="C31" s="497">
        <f>'PARÂMETROS - EST'!D8</f>
        <v>106.28625</v>
      </c>
    </row>
    <row r="32" spans="1:6" x14ac:dyDescent="0.25">
      <c r="A32" s="736"/>
      <c r="B32" s="302" t="s">
        <v>786</v>
      </c>
      <c r="C32" s="498">
        <f>'PARÂMETROS - EST'!D9/100</f>
        <v>4.0410000000000003E-3</v>
      </c>
    </row>
    <row r="33" spans="1:3" x14ac:dyDescent="0.25">
      <c r="A33" s="736"/>
      <c r="B33" s="302" t="s">
        <v>787</v>
      </c>
      <c r="C33" s="287">
        <f>C31*(1-C32)</f>
        <v>105.85674726374999</v>
      </c>
    </row>
    <row r="34" spans="1:3" x14ac:dyDescent="0.25">
      <c r="A34" s="736"/>
      <c r="B34" s="302" t="s">
        <v>788</v>
      </c>
      <c r="C34" s="287">
        <f>'Equipamentos - EST'!C11</f>
        <v>9.5000000000000001E-2</v>
      </c>
    </row>
    <row r="35" spans="1:3" x14ac:dyDescent="0.25">
      <c r="A35" s="736"/>
      <c r="B35" s="302" t="s">
        <v>789</v>
      </c>
      <c r="C35" s="287">
        <f>C33/C34</f>
        <v>1114.2815501447367</v>
      </c>
    </row>
    <row r="36" spans="1:3" x14ac:dyDescent="0.25">
      <c r="A36" s="736"/>
      <c r="B36" s="302" t="s">
        <v>790</v>
      </c>
      <c r="C36" s="287">
        <v>4</v>
      </c>
    </row>
    <row r="37" spans="1:3" x14ac:dyDescent="0.25">
      <c r="A37" s="736"/>
      <c r="B37" s="302" t="s">
        <v>791</v>
      </c>
      <c r="C37" s="287">
        <f>C35/C36</f>
        <v>278.57038753618417</v>
      </c>
    </row>
    <row r="38" spans="1:3" x14ac:dyDescent="0.25">
      <c r="A38" s="736"/>
      <c r="B38" s="302" t="s">
        <v>792</v>
      </c>
      <c r="C38" s="500">
        <v>0.3</v>
      </c>
    </row>
    <row r="39" spans="1:3" x14ac:dyDescent="0.25">
      <c r="A39" s="736"/>
      <c r="B39" s="302" t="s">
        <v>793</v>
      </c>
      <c r="C39" s="287">
        <f>C37*C38</f>
        <v>83.571116260855248</v>
      </c>
    </row>
    <row r="40" spans="1:3" x14ac:dyDescent="0.25">
      <c r="A40" s="736"/>
      <c r="B40" s="302" t="s">
        <v>794</v>
      </c>
      <c r="C40" s="287">
        <v>1</v>
      </c>
    </row>
    <row r="41" spans="1:3" x14ac:dyDescent="0.25">
      <c r="A41" s="736"/>
      <c r="B41" s="305" t="s">
        <v>795</v>
      </c>
      <c r="C41" s="306">
        <f>C39/C40</f>
        <v>83.571116260855248</v>
      </c>
    </row>
    <row r="42" spans="1:3" x14ac:dyDescent="0.25">
      <c r="A42" s="736"/>
      <c r="B42" s="327" t="s">
        <v>796</v>
      </c>
      <c r="C42" s="327">
        <f>ROUND(C41,0)</f>
        <v>84</v>
      </c>
    </row>
    <row r="43" spans="1:3" ht="15" customHeight="1" x14ac:dyDescent="0.25">
      <c r="A43" s="719" t="s">
        <v>811</v>
      </c>
      <c r="B43" s="296" t="s">
        <v>812</v>
      </c>
      <c r="C43" s="298">
        <f>C35*(1-C38)</f>
        <v>779.99708510131563</v>
      </c>
    </row>
    <row r="44" spans="1:3" x14ac:dyDescent="0.25">
      <c r="A44" s="720"/>
      <c r="B44" s="302" t="s">
        <v>818</v>
      </c>
      <c r="C44" s="532">
        <f>'Equipamentos - EST'!G13</f>
        <v>2.7142857142857144</v>
      </c>
    </row>
    <row r="45" spans="1:3" x14ac:dyDescent="0.25">
      <c r="A45" s="720"/>
      <c r="B45" s="302" t="s">
        <v>817</v>
      </c>
      <c r="C45" s="532">
        <f>C43/C44</f>
        <v>287.36734714258995</v>
      </c>
    </row>
    <row r="46" spans="1:3" x14ac:dyDescent="0.25">
      <c r="A46" s="720"/>
      <c r="B46" s="302" t="s">
        <v>816</v>
      </c>
      <c r="C46" s="532">
        <f>'Equipamentos - EST'!G12</f>
        <v>0.33599999999999997</v>
      </c>
    </row>
    <row r="47" spans="1:3" x14ac:dyDescent="0.25">
      <c r="A47" s="720"/>
      <c r="B47" s="302" t="s">
        <v>819</v>
      </c>
      <c r="C47" s="532">
        <f>C45/C46</f>
        <v>855.25996173389876</v>
      </c>
    </row>
    <row r="48" spans="1:3" x14ac:dyDescent="0.25">
      <c r="A48" s="720"/>
      <c r="B48" s="302" t="s">
        <v>821</v>
      </c>
      <c r="C48" s="287">
        <f>'Equipamentos - EST'!G14</f>
        <v>9.8000000000000007</v>
      </c>
    </row>
    <row r="49" spans="1:4" x14ac:dyDescent="0.25">
      <c r="A49" s="720"/>
      <c r="B49" s="302" t="s">
        <v>822</v>
      </c>
      <c r="C49" s="533">
        <f>C47*C48</f>
        <v>8381.5476249922085</v>
      </c>
    </row>
    <row r="50" spans="1:4" x14ac:dyDescent="0.25">
      <c r="A50" s="720"/>
      <c r="B50" s="302" t="s">
        <v>823</v>
      </c>
      <c r="C50" s="287">
        <v>520</v>
      </c>
    </row>
    <row r="51" spans="1:4" x14ac:dyDescent="0.25">
      <c r="A51" s="721"/>
      <c r="B51" s="305" t="s">
        <v>824</v>
      </c>
      <c r="C51" s="534">
        <f>C49/C50</f>
        <v>16.118360817292707</v>
      </c>
    </row>
    <row r="53" spans="1:4" ht="15" customHeight="1" x14ac:dyDescent="0.25">
      <c r="A53" s="737" t="s">
        <v>525</v>
      </c>
      <c r="B53" s="315" t="s">
        <v>542</v>
      </c>
      <c r="C53" s="315" t="s">
        <v>543</v>
      </c>
    </row>
    <row r="54" spans="1:4" ht="15.75" x14ac:dyDescent="0.25">
      <c r="A54" s="737"/>
      <c r="B54" s="296" t="s">
        <v>825</v>
      </c>
      <c r="C54" s="539">
        <f>50/1000</f>
        <v>0.05</v>
      </c>
      <c r="D54" s="538"/>
    </row>
    <row r="55" spans="1:4" ht="15.75" x14ac:dyDescent="0.25">
      <c r="A55" s="737"/>
      <c r="B55" s="302" t="s">
        <v>808</v>
      </c>
      <c r="C55" s="540">
        <f>'PARÂMETROS - EST'!D10</f>
        <v>32.571562499999999</v>
      </c>
      <c r="D55" s="538"/>
    </row>
    <row r="56" spans="1:4" x14ac:dyDescent="0.25">
      <c r="A56" s="737"/>
      <c r="B56" s="302" t="s">
        <v>826</v>
      </c>
      <c r="C56" s="287">
        <f>C54*C55</f>
        <v>1.628578125</v>
      </c>
    </row>
    <row r="57" spans="1:4" x14ac:dyDescent="0.25">
      <c r="A57" s="737"/>
      <c r="B57" s="302" t="s">
        <v>827</v>
      </c>
      <c r="C57" s="541">
        <f>(365-52)/12</f>
        <v>26.083333333333332</v>
      </c>
    </row>
    <row r="58" spans="1:4" x14ac:dyDescent="0.25">
      <c r="A58" s="737"/>
      <c r="B58" s="305" t="s">
        <v>828</v>
      </c>
      <c r="C58" s="306">
        <f>C56*C57</f>
        <v>42.478746093749997</v>
      </c>
    </row>
  </sheetData>
  <mergeCells count="10">
    <mergeCell ref="A2:G2"/>
    <mergeCell ref="A43:A51"/>
    <mergeCell ref="A53:A58"/>
    <mergeCell ref="B4:G4"/>
    <mergeCell ref="B5:B6"/>
    <mergeCell ref="A4:A18"/>
    <mergeCell ref="B18:E18"/>
    <mergeCell ref="A20:A28"/>
    <mergeCell ref="B14:F14"/>
    <mergeCell ref="A30:A42"/>
  </mergeCells>
  <pageMargins left="0.511811024" right="0.511811024" top="0.78740157499999996" bottom="0.78740157499999996" header="0.31496062000000002" footer="0.31496062000000002"/>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13"/>
  <sheetViews>
    <sheetView showGridLines="0" zoomScale="112" zoomScaleNormal="112" workbookViewId="0">
      <selection activeCell="H9" sqref="H9:J9"/>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19.5703125" style="3" customWidth="1"/>
    <col min="11" max="11" width="0.85546875" style="64" customWidth="1"/>
    <col min="12" max="13" width="18.140625" style="3"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779" t="str">
        <f>CONCATENATE("PREFEITURA MUNICIPAL DE PORTO ALEGRE
",H5,"
MAPA DE PREÇOS - ", UPPER(TEXT(MAX('Tabela de Apoio'!A:A),"MMM/AA")))</f>
        <v>PREFEITURA MUNICIPAL DE PORTO ALEGRE
DEPARTAMENTO MUNICIPAL DE LIMPEZA URBANA (DMLU)
MAPA DE PREÇOS - MAR/25</v>
      </c>
      <c r="F2" s="779"/>
      <c r="G2" s="779"/>
      <c r="H2" s="779"/>
      <c r="I2" s="779"/>
      <c r="J2" s="779"/>
      <c r="K2" s="779"/>
      <c r="L2" s="779"/>
      <c r="M2" s="779"/>
      <c r="N2" s="779"/>
      <c r="O2" s="779"/>
      <c r="P2" s="779"/>
      <c r="Q2" s="779"/>
      <c r="R2" s="779"/>
      <c r="S2" s="779"/>
      <c r="T2" s="779"/>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776" t="s">
        <v>326</v>
      </c>
      <c r="F4" s="777"/>
      <c r="G4" s="777"/>
      <c r="H4" s="777"/>
      <c r="I4" s="777"/>
      <c r="J4" s="778"/>
      <c r="K4" s="95"/>
      <c r="L4" s="777" t="s">
        <v>325</v>
      </c>
      <c r="M4" s="777"/>
      <c r="N4" s="777"/>
      <c r="O4" s="777"/>
      <c r="P4" s="778"/>
      <c r="Q4" s="98"/>
      <c r="R4" s="768" t="s">
        <v>14</v>
      </c>
      <c r="S4" s="768"/>
      <c r="T4" s="768"/>
      <c r="U4" s="768"/>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767" t="s">
        <v>327</v>
      </c>
      <c r="F5" s="767"/>
      <c r="G5" s="767"/>
      <c r="H5" s="780" t="s">
        <v>421</v>
      </c>
      <c r="I5" s="780"/>
      <c r="J5" s="780"/>
      <c r="K5" s="141"/>
      <c r="L5" s="766" t="s">
        <v>321</v>
      </c>
      <c r="M5" s="767"/>
      <c r="N5" s="767"/>
      <c r="O5" s="781" t="s">
        <v>452</v>
      </c>
      <c r="P5" s="782"/>
      <c r="Q5" s="98"/>
      <c r="R5" s="785" t="s">
        <v>383</v>
      </c>
      <c r="S5" s="785"/>
      <c r="T5" s="785"/>
      <c r="U5" s="785"/>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767" t="s">
        <v>320</v>
      </c>
      <c r="F6" s="767"/>
      <c r="G6" s="767"/>
      <c r="H6" s="784" t="s">
        <v>451</v>
      </c>
      <c r="I6" s="784"/>
      <c r="J6" s="784"/>
      <c r="K6" s="142"/>
      <c r="L6" s="766" t="s">
        <v>352</v>
      </c>
      <c r="M6" s="767"/>
      <c r="N6" s="767"/>
      <c r="O6" s="781" t="s">
        <v>453</v>
      </c>
      <c r="P6" s="782"/>
      <c r="Q6" s="98"/>
      <c r="R6" s="785"/>
      <c r="S6" s="785"/>
      <c r="T6" s="785"/>
      <c r="U6" s="785"/>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767" t="s">
        <v>322</v>
      </c>
      <c r="F7" s="767"/>
      <c r="G7" s="767"/>
      <c r="H7" s="780"/>
      <c r="I7" s="780"/>
      <c r="J7" s="780"/>
      <c r="K7" s="141"/>
      <c r="L7" s="766" t="s">
        <v>351</v>
      </c>
      <c r="M7" s="767"/>
      <c r="N7" s="767"/>
      <c r="O7" s="781">
        <v>664276</v>
      </c>
      <c r="P7" s="782"/>
      <c r="Q7" s="98"/>
      <c r="R7" s="785"/>
      <c r="S7" s="785"/>
      <c r="T7" s="785"/>
      <c r="U7" s="785"/>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1</v>
      </c>
      <c r="C8" s="124"/>
      <c r="D8" s="124"/>
      <c r="E8" s="767" t="s">
        <v>33</v>
      </c>
      <c r="F8" s="767"/>
      <c r="G8" s="767"/>
      <c r="H8" s="770">
        <v>30</v>
      </c>
      <c r="I8" s="771"/>
      <c r="J8" s="772"/>
      <c r="K8" s="141"/>
      <c r="L8" s="773" t="s">
        <v>301</v>
      </c>
      <c r="M8" s="774"/>
      <c r="N8" s="775"/>
      <c r="O8" s="787">
        <v>45790</v>
      </c>
      <c r="P8" s="788"/>
      <c r="Q8" s="97"/>
      <c r="R8" s="786" t="s">
        <v>379</v>
      </c>
      <c r="S8" s="786"/>
      <c r="T8" s="786"/>
      <c r="U8" s="786"/>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767" t="s">
        <v>350</v>
      </c>
      <c r="F9" s="767"/>
      <c r="G9" s="767"/>
      <c r="H9" s="769">
        <f>SUMIF(L:L,"TOTAL ITEM",M:M)</f>
        <v>4287.9000000000005</v>
      </c>
      <c r="I9" s="769"/>
      <c r="J9" s="769"/>
      <c r="K9" s="141"/>
      <c r="L9" s="776"/>
      <c r="M9" s="777"/>
      <c r="N9" s="778"/>
      <c r="O9" s="789"/>
      <c r="P9" s="790"/>
      <c r="Q9" s="97"/>
      <c r="R9" s="786"/>
      <c r="S9" s="786"/>
      <c r="T9" s="786"/>
      <c r="U9" s="786"/>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768" t="s">
        <v>314</v>
      </c>
      <c r="F11" s="65"/>
      <c r="G11" s="768" t="s">
        <v>324</v>
      </c>
      <c r="H11" s="768"/>
      <c r="I11" s="768"/>
      <c r="J11" s="768"/>
      <c r="K11" s="65"/>
      <c r="L11" s="768" t="s">
        <v>10</v>
      </c>
      <c r="M11" s="768"/>
      <c r="N11" s="68"/>
      <c r="O11" s="783"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768"/>
      <c r="F12" s="65"/>
      <c r="G12" s="768"/>
      <c r="H12" s="768"/>
      <c r="I12" s="768"/>
      <c r="J12" s="768"/>
      <c r="K12" s="65"/>
      <c r="L12" s="768"/>
      <c r="M12" s="768"/>
      <c r="N12" s="69"/>
      <c r="O12" s="783"/>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43" t="s">
        <v>16</v>
      </c>
      <c r="J15" s="6">
        <f>INDEX('BASE FORMAÇÃO'!K:K,B15+1)</f>
        <v>0</v>
      </c>
      <c r="K15" s="65"/>
      <c r="L15" s="750" t="s">
        <v>10</v>
      </c>
      <c r="M15" s="752">
        <f>IF(OR(ISBLANK($O$8),ISBLANK($O$7),ISBLANK($H$8),ISBLANK($O$6),ISBLANK($O$5),ISBLANK($H$5)),"",IFERROR(IF(VLOOKUP(L15,L21:M30,2,FALSE)&lt;1,ROUND(VLOOKUP(L15,L21:M30,2,FALSE),4),ROUND(VLOOKUP(L15,L21:M30,2,FALSE),2)),""))</f>
        <v>27220.45</v>
      </c>
      <c r="N15" s="69"/>
      <c r="O15" s="27" t="s">
        <v>17</v>
      </c>
      <c r="P15" s="113">
        <v>50038.47</v>
      </c>
      <c r="Q15" s="113">
        <v>22174</v>
      </c>
      <c r="R15" s="113">
        <v>34000</v>
      </c>
      <c r="S15" s="113">
        <v>23498.77</v>
      </c>
      <c r="T15" s="113"/>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754">
        <f>D15</f>
        <v>1</v>
      </c>
      <c r="F16" s="92"/>
      <c r="G16" s="756" t="s">
        <v>1</v>
      </c>
      <c r="H16" s="765" t="s">
        <v>432</v>
      </c>
      <c r="I16" s="759"/>
      <c r="J16" s="760"/>
      <c r="K16" s="66"/>
      <c r="L16" s="751"/>
      <c r="M16" s="753"/>
      <c r="N16" s="70"/>
      <c r="O16" s="27" t="s">
        <v>13</v>
      </c>
      <c r="P16" s="122">
        <v>45761</v>
      </c>
      <c r="Q16" s="122">
        <v>45713</v>
      </c>
      <c r="R16" s="122">
        <v>45644</v>
      </c>
      <c r="S16" s="122">
        <v>45617</v>
      </c>
      <c r="T16" s="122"/>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755"/>
      <c r="F17" s="93"/>
      <c r="G17" s="757"/>
      <c r="H17" s="761"/>
      <c r="I17" s="761"/>
      <c r="J17" s="762"/>
      <c r="K17" s="64"/>
      <c r="L17" s="130" t="s">
        <v>44</v>
      </c>
      <c r="M17" s="131">
        <f>INDEX('BASE FORMAÇÃO'!H:H,B19+1)</f>
        <v>0</v>
      </c>
      <c r="N17" s="71"/>
      <c r="O17" s="27" t="s">
        <v>380</v>
      </c>
      <c r="P17" s="114" t="s">
        <v>12</v>
      </c>
      <c r="Q17" s="114" t="s">
        <v>12</v>
      </c>
      <c r="R17" s="114" t="s">
        <v>12</v>
      </c>
      <c r="S17" s="114" t="s">
        <v>12</v>
      </c>
      <c r="T17" s="114"/>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758"/>
      <c r="H18" s="763"/>
      <c r="I18" s="763"/>
      <c r="J18" s="764"/>
      <c r="K18" s="64"/>
      <c r="L18" s="1" t="s">
        <v>2</v>
      </c>
      <c r="M18" s="6">
        <f>INDEX('BASE FORMAÇÃO'!D:D,B19+1)</f>
        <v>0</v>
      </c>
      <c r="N18" s="71"/>
      <c r="O18" s="27" t="s">
        <v>381</v>
      </c>
      <c r="P18" s="182" t="s">
        <v>450</v>
      </c>
      <c r="Q18" s="182" t="s">
        <v>450</v>
      </c>
      <c r="R18" s="182" t="s">
        <v>450</v>
      </c>
      <c r="S18" s="182" t="s">
        <v>450</v>
      </c>
      <c r="T18" s="115"/>
      <c r="U18" s="118"/>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742">
        <f>C15</f>
        <v>1</v>
      </c>
      <c r="F19" s="93"/>
      <c r="G19" s="744" t="s">
        <v>304</v>
      </c>
      <c r="H19" s="746"/>
      <c r="I19" s="747"/>
      <c r="J19" s="747"/>
      <c r="K19" s="67"/>
      <c r="L19" s="28" t="s">
        <v>303</v>
      </c>
      <c r="M19" s="133">
        <f>IFERROR(INDEX(I21:I33,MATCH(MAX(J21:J33),J21:J33,0)),"")</f>
        <v>0.20027495275952578</v>
      </c>
      <c r="N19" s="71"/>
      <c r="O19" s="27" t="s">
        <v>18</v>
      </c>
      <c r="P19" s="106">
        <f>IF(P15="","",
IF(OR(P17="Orçamento",P16="",MAX('Tabela de Apoio'!$A:$A)&lt;=P16),
P15,
(INDEX('Tabela de Apoio'!$B:$B,MATCH('MAPA DE PREÇOS'!$O$8,'Tabela de Apoio'!$A:$A,1))/INDEX('Tabela de Apoio'!$B:$B,MATCH('MAPA DE PREÇOS'!P16,'Tabela de Apoio'!$A:$A,1)-1))*P15))</f>
        <v>50038.47</v>
      </c>
      <c r="Q19" s="106">
        <f>IF(Q15="","",
IF(OR(Q17="Orçamento",Q16="",MAX('Tabela de Apoio'!$A:$A)&lt;=Q16),
Q15,
(INDEX('Tabela de Apoio'!$B:$B,MATCH('MAPA DE PREÇOS'!$O$8,'Tabela de Apoio'!$A:$A,1))/INDEX('Tabela de Apoio'!$B:$B,MATCH('MAPA DE PREÇOS'!Q16,'Tabela de Apoio'!$A:$A,1)-1))*Q15))</f>
        <v>22590.300725829813</v>
      </c>
      <c r="R19" s="106">
        <f>IF(R15="","",
IF(OR(R17="Orçamento",R16="",MAX('Tabela de Apoio'!$A:$A)&lt;=R16),
R15,
(INDEX('Tabela de Apoio'!$B:$B,MATCH('MAPA DE PREÇOS'!$O$8,'Tabela de Apoio'!$A:$A,1))/INDEX('Tabela de Apoio'!$B:$B,MATCH('MAPA DE PREÇOS'!R16,'Tabela de Apoio'!$A:$A,1)-1))*R15))</f>
        <v>34874.142278131934</v>
      </c>
      <c r="S19" s="106">
        <f>IF(S15="","",
IF(OR(S17="Orçamento",S16="",MAX('Tabela de Apoio'!$A:$A)&lt;=S16),
S15,
(INDEX('Tabela de Apoio'!$B:$B,MATCH('MAPA DE PREÇOS'!$O$8,'Tabela de Apoio'!$A:$A,1))/INDEX('Tabela de Apoio'!$B:$B,MATCH('MAPA DE PREÇOS'!S16,'Tabela de Apoio'!$A:$A,1)-1))*S15))</f>
        <v>24196.920579705613</v>
      </c>
      <c r="T19" s="106" t="str">
        <f>IF(T15="","",
IF(OR(T17="Orçamento",T16="",MAX('Tabela de Apoio'!$A:$A)&lt;=T16),
T15,
(INDEX('Tabela de Apoio'!$B:$B,MATCH('MAPA DE PREÇOS'!$O$8,'Tabela de Apoio'!$A:$A,1))/INDEX('Tabela de Apoio'!$B:$B,MATCH('MAPA DE PREÇOS'!T16,'Tabela de Apoio'!$A:$A,1)-1))*T15))</f>
        <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743"/>
      <c r="F20" s="93"/>
      <c r="G20" s="745"/>
      <c r="H20"/>
      <c r="I20"/>
      <c r="J20"/>
      <c r="N20" s="71"/>
      <c r="O20" s="27" t="s">
        <v>375</v>
      </c>
      <c r="P20" s="107">
        <f>IF(IFERROR(VLOOKUP(P17,'Tabela de Apoio'!$D:$E,2,FALSE),1)=1,"",P21)</f>
        <v>50038.47</v>
      </c>
      <c r="Q20" s="107">
        <f>IF(IFERROR(VLOOKUP(Q17,'Tabela de Apoio'!$D:$E,2,FALSE),1)=1,"",Q21)</f>
        <v>22590.300725829813</v>
      </c>
      <c r="R20" s="107">
        <f>IF(IFERROR(VLOOKUP(R17,'Tabela de Apoio'!$D:$E,2,FALSE),1)=1,"",R21)</f>
        <v>34874.142278131934</v>
      </c>
      <c r="S20" s="107">
        <f>IF(IFERROR(VLOOKUP(S17,'Tabela de Apoio'!$D:$E,2,FALSE),1)=1,"",S21)</f>
        <v>24196.920579705613</v>
      </c>
      <c r="T20" s="107" t="str">
        <f>IF(IFERROR(VLOOKUP(T17,'Tabela de Apoio'!$D:$E,2,FALSE),1)=1,"",T21)</f>
        <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743"/>
      <c r="F21" s="93"/>
      <c r="G21" s="745"/>
      <c r="H21" s="134">
        <f>COUNT($P21:$XX21)</f>
        <v>4</v>
      </c>
      <c r="I21" s="132">
        <f>_xlfn.STDEV.P($P20:$XX21)/AVERAGE($P20:$XX21)</f>
        <v>0.33259018925876555</v>
      </c>
      <c r="J21" s="7">
        <f>ROW()</f>
        <v>21</v>
      </c>
      <c r="K21" s="67"/>
      <c r="L21" s="29" t="s">
        <v>10</v>
      </c>
      <c r="M21" s="30">
        <f>IFERROR(
IF(COUNTA(P15:AI15)=COUNTIF(P17:XX17,"Orçamento"),MIN(M26,M23),
IF(M24&lt;&gt;"",M24,
IF(M25&lt;&gt;"",M25,
M23
))),"")</f>
        <v>27220.45452788912</v>
      </c>
      <c r="N21" s="71"/>
      <c r="O21" s="27" t="s">
        <v>376</v>
      </c>
      <c r="P21" s="106">
        <f>IFERROR(IF(P19="",
            "",
            IF(COUNT($P19:$XX19)&lt;=4,
               P19,
               IF(OR(P19&gt;(QUARTILE($P19:$XX19,3)+(QUARTILE($P19:$XX19,3)-QUARTILE($P19:$XX19,1))),
                     P19&lt;(QUARTILE($P19:$XX19,1)-(QUARTILE($P19:$XX19,3)-QUARTILE($P19:$XX19,1)))
                  ),
               "DESCARTADO",P19)
             )
  ),P19)</f>
        <v>50038.47</v>
      </c>
      <c r="Q21" s="106">
        <f t="shared" ref="Q21:AI21" si="3">IFERROR(IF(Q19="",
            "",
            IF(COUNT($P19:$XX19)&lt;=4,
               Q19,
               IF(OR(Q19&gt;(QUARTILE($P19:$XX19,3)+(QUARTILE($P19:$XX19,3)-QUARTILE($P19:$XX19,1))),
                     Q19&lt;(QUARTILE($P19:$XX19,1)-(QUARTILE($P19:$XX19,3)-QUARTILE($P19:$XX19,1)))
                  ),
               "DESCARTADO",Q19)
             )
  ),Q19)</f>
        <v>22590.300725829813</v>
      </c>
      <c r="R21" s="106">
        <f t="shared" si="3"/>
        <v>34874.142278131934</v>
      </c>
      <c r="S21" s="106">
        <f t="shared" si="3"/>
        <v>24196.920579705613</v>
      </c>
      <c r="T21" s="106" t="str">
        <f t="shared" si="3"/>
        <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743"/>
      <c r="F22" s="93"/>
      <c r="G22" s="745"/>
      <c r="H22"/>
      <c r="I22"/>
      <c r="J22"/>
      <c r="K22" s="66"/>
      <c r="L22" s="29" t="s">
        <v>360</v>
      </c>
      <c r="M22" s="30">
        <f>AVERAGE($P21:$XX21)</f>
        <v>32924.958395916845</v>
      </c>
      <c r="N22" s="71"/>
      <c r="O22" s="27" t="str">
        <f>"1 POND"</f>
        <v>1 POND</v>
      </c>
      <c r="P22" s="107" t="str">
        <f>IF(IFERROR(VLOOKUP(P17,'Tabela de Apoio'!$D:$E,2,FALSE),1)=1,"",P23)</f>
        <v>DESCARTADO</v>
      </c>
      <c r="Q22" s="107">
        <f>IF(IFERROR(VLOOKUP(Q17,'Tabela de Apoio'!$D:$E,2,FALSE),1)=1,"",Q23)</f>
        <v>22590.300725829813</v>
      </c>
      <c r="R22" s="107">
        <f>IF(IFERROR(VLOOKUP(R17,'Tabela de Apoio'!$D:$E,2,FALSE),1)=1,"",R23)</f>
        <v>34874.142278131934</v>
      </c>
      <c r="S22" s="107">
        <f>IF(IFERROR(VLOOKUP(S17,'Tabela de Apoio'!$D:$E,2,FALSE),1)=1,"",S23)</f>
        <v>24196.920579705613</v>
      </c>
      <c r="T22" s="107" t="str">
        <f>IF(IFERROR(VLOOKUP(T17,'Tabela de Apoio'!$D:$E,2,FALSE),1)=1,"",T23)</f>
        <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743"/>
      <c r="F23" s="93"/>
      <c r="G23" s="745"/>
      <c r="H23" s="134">
        <f>COUNT($P23:$XX23)</f>
        <v>3</v>
      </c>
      <c r="I23" s="132">
        <f>_xlfn.STDEV.P($P22:$XX23)/AVERAGE($P22:$XX23)</f>
        <v>0.20027495275952578</v>
      </c>
      <c r="J23" s="7">
        <f>IF(AND(H23&gt;2,
OR(L15="MÉDIA SANEADA",L15="MEDIANA SANEADA",
AND(L15="PREÇO ESTIMADO",NOT(AND(P17="Orçamento",COUNTA(P15:XX15)=COUNTIF(P17:XX17,"Orçamento")))))),
ROW(),0)</f>
        <v>23</v>
      </c>
      <c r="K23" s="66"/>
      <c r="L23" s="29" t="s">
        <v>361</v>
      </c>
      <c r="M23" s="30">
        <f>MEDIAN($P21:$XX21)</f>
        <v>29535.531428918774</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22590.300725829813</v>
      </c>
      <c r="R23" s="107">
        <f t="shared" si="6"/>
        <v>34874.142278131934</v>
      </c>
      <c r="S23" s="107">
        <f t="shared" si="6"/>
        <v>24196.920579705613</v>
      </c>
      <c r="T23" s="107" t="str">
        <f t="shared" si="6"/>
        <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743"/>
      <c r="F24" s="93"/>
      <c r="G24" s="745"/>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27220.45452788912</v>
      </c>
      <c r="N24" s="71"/>
      <c r="O24" s="27" t="str">
        <f>"2 POND"</f>
        <v>2 POND</v>
      </c>
      <c r="P24" s="107" t="str">
        <f>IF(IFERROR(VLOOKUP(P17,'Tabela de Apoio'!$D:$E,2,FALSE),1)=1,"",P25)</f>
        <v>DESCARTADO</v>
      </c>
      <c r="Q24" s="107">
        <f>IF(IFERROR(VLOOKUP(Q17,'Tabela de Apoio'!$D:$E,2,FALSE),1)=1,"",Q25)</f>
        <v>22590.300725829813</v>
      </c>
      <c r="R24" s="107">
        <f>IF(IFERROR(VLOOKUP(R17,'Tabela de Apoio'!$D:$E,2,FALSE),1)=1,"",R25)</f>
        <v>34874.142278131934</v>
      </c>
      <c r="S24" s="107">
        <f>IF(IFERROR(VLOOKUP(S17,'Tabela de Apoio'!$D:$E,2,FALSE),1)=1,"",S25)</f>
        <v>24196.920579705613</v>
      </c>
      <c r="T24" s="107" t="str">
        <f>IF(IFERROR(VLOOKUP(T17,'Tabela de Apoio'!$D:$E,2,FALSE),1)=1,"",T25)</f>
        <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743"/>
      <c r="F25" s="93"/>
      <c r="G25" s="745"/>
      <c r="H25" s="134">
        <f>COUNT($P25:$XX25)</f>
        <v>3</v>
      </c>
      <c r="I25" s="132">
        <f>_xlfn.STDEV.P($P24:$XX25)/AVERAGE($P24:$XX25)</f>
        <v>0.20027495275952578</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24196.920579705613</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22590.300725829813</v>
      </c>
      <c r="R25" s="107">
        <f t="shared" si="7"/>
        <v>34874.142278131934</v>
      </c>
      <c r="S25" s="107">
        <f t="shared" si="7"/>
        <v>24196.920579705613</v>
      </c>
      <c r="T25" s="107" t="str">
        <f t="shared" si="7"/>
        <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743"/>
      <c r="F26" s="93"/>
      <c r="G26" s="745"/>
      <c r="H26"/>
      <c r="I26"/>
      <c r="J26"/>
      <c r="K26" s="66"/>
      <c r="L26" s="29" t="s">
        <v>359</v>
      </c>
      <c r="M26" s="30">
        <f>HARMEAN($P20:$XX21)</f>
        <v>29794.376472332817</v>
      </c>
      <c r="N26" s="71"/>
      <c r="O26" s="27" t="str">
        <f>"3 POND"</f>
        <v>3 POND</v>
      </c>
      <c r="P26" s="107" t="str">
        <f>IF(IFERROR(VLOOKUP(P17,'Tabela de Apoio'!$D:$E,2,FALSE),1)=1,"",P27)</f>
        <v>DESCARTADO</v>
      </c>
      <c r="Q26" s="107">
        <f>IF(IFERROR(VLOOKUP(Q17,'Tabela de Apoio'!$D:$E,2,FALSE),1)=1,"",Q27)</f>
        <v>22590.300725829813</v>
      </c>
      <c r="R26" s="107">
        <f>IF(IFERROR(VLOOKUP(R17,'Tabela de Apoio'!$D:$E,2,FALSE),1)=1,"",R27)</f>
        <v>34874.142278131934</v>
      </c>
      <c r="S26" s="107">
        <f>IF(IFERROR(VLOOKUP(S17,'Tabela de Apoio'!$D:$E,2,FALSE),1)=1,"",S27)</f>
        <v>24196.920579705613</v>
      </c>
      <c r="T26" s="107" t="str">
        <f>IF(IFERROR(VLOOKUP(T17,'Tabela de Apoio'!$D:$E,2,FALSE),1)=1,"",T27)</f>
        <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743"/>
      <c r="F27" s="93"/>
      <c r="G27" s="745"/>
      <c r="H27" s="134">
        <f>COUNT($P27:$XX27)</f>
        <v>3</v>
      </c>
      <c r="I27" s="132">
        <f>_xlfn.STDEV.P($P26:$XX27)/AVERAGE($P26:$XX27)</f>
        <v>0.20027495275952578</v>
      </c>
      <c r="J27" s="7">
        <f>IF(AND(H27&gt;2,
OR(L15="MÉDIA SANEADA",L15="MEDIANA SANEADA",
AND(L15="PREÇO ESTIMADO",NOT(AND(P17="Orçamento",COUNTA(P15:XX15)=COUNTIF(P17:XX17,"Orçamento")))))),
ROW(),0)</f>
        <v>27</v>
      </c>
      <c r="K27" s="66"/>
      <c r="L27" s="29" t="s">
        <v>41</v>
      </c>
      <c r="M27" s="30">
        <f>IFERROR(_xlfn.QUARTILE.EXC($P21:$XX21,1),"")</f>
        <v>22991.955689298764</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22590.300725829813</v>
      </c>
      <c r="R27" s="107">
        <f t="shared" si="8"/>
        <v>34874.142278131934</v>
      </c>
      <c r="S27" s="107">
        <f t="shared" si="8"/>
        <v>24196.920579705613</v>
      </c>
      <c r="T27" s="107" t="str">
        <f t="shared" si="8"/>
        <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743"/>
      <c r="F28" s="93"/>
      <c r="G28" s="745"/>
      <c r="H28"/>
      <c r="I28"/>
      <c r="J28"/>
      <c r="K28" s="66"/>
      <c r="L28" s="29" t="s">
        <v>39</v>
      </c>
      <c r="M28" s="30">
        <f>IFERROR(_xlfn.QUARTILE.EXC($P21:$XX21,3),"")</f>
        <v>46247.388069532986</v>
      </c>
      <c r="N28" s="71"/>
      <c r="O28" s="27" t="str">
        <f>"4 POND"</f>
        <v>4 POND</v>
      </c>
      <c r="P28" s="107" t="str">
        <f>IF(IFERROR(VLOOKUP(P17,'Tabela de Apoio'!$D:$E,2,FALSE),1)=1,"",P29)</f>
        <v>DESCARTADO</v>
      </c>
      <c r="Q28" s="107">
        <f>IF(IFERROR(VLOOKUP(Q17,'Tabela de Apoio'!$D:$E,2,FALSE),1)=1,"",Q29)</f>
        <v>22590.300725829813</v>
      </c>
      <c r="R28" s="107">
        <f>IF(IFERROR(VLOOKUP(R17,'Tabela de Apoio'!$D:$E,2,FALSE),1)=1,"",R29)</f>
        <v>34874.142278131934</v>
      </c>
      <c r="S28" s="107">
        <f>IF(IFERROR(VLOOKUP(S17,'Tabela de Apoio'!$D:$E,2,FALSE),1)=1,"",S29)</f>
        <v>24196.920579705613</v>
      </c>
      <c r="T28" s="107" t="str">
        <f>IF(IFERROR(VLOOKUP(T17,'Tabela de Apoio'!$D:$E,2,FALSE),1)=1,"",T29)</f>
        <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743"/>
      <c r="F29" s="93"/>
      <c r="G29" s="745"/>
      <c r="H29" s="134">
        <f>COUNT($P29:$XX29)</f>
        <v>3</v>
      </c>
      <c r="I29" s="132">
        <f>_xlfn.STDEV.P($P28:$XX29)/AVERAGE($P28:$XX29)</f>
        <v>0.20027495275952578</v>
      </c>
      <c r="J29" s="7">
        <f>IF(AND(H29&gt;2,
OR(L15="MÉDIA SANEADA",L15="MEDIANA SANEADA",
AND(L15="PREÇO ESTIMADO",NOT(AND(P17="Orçamento",COUNTA(P15:XX15)=COUNTIF(P17:XX17,"Orçamento")))))),
ROW(),0)</f>
        <v>29</v>
      </c>
      <c r="K29" s="66"/>
      <c r="L29" s="29" t="s">
        <v>42</v>
      </c>
      <c r="M29" s="30">
        <f>MIN($P21:$XX21)</f>
        <v>22590.300725829813</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22590.300725829813</v>
      </c>
      <c r="R29" s="107">
        <f t="shared" si="9"/>
        <v>34874.142278131934</v>
      </c>
      <c r="S29" s="107">
        <f t="shared" si="9"/>
        <v>24196.920579705613</v>
      </c>
      <c r="T29" s="107" t="str">
        <f t="shared" si="9"/>
        <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743"/>
      <c r="F30" s="93"/>
      <c r="G30" s="745"/>
      <c r="H30"/>
      <c r="I30"/>
      <c r="J30"/>
      <c r="K30" s="66"/>
      <c r="L30" s="29" t="s">
        <v>40</v>
      </c>
      <c r="M30" s="30">
        <f>MAX($P21:$XX21)</f>
        <v>50038.47</v>
      </c>
      <c r="N30" s="71"/>
      <c r="O30" s="27" t="str">
        <f>"5 POND"</f>
        <v>5 POND</v>
      </c>
      <c r="P30" s="107" t="str">
        <f>IF(IFERROR(VLOOKUP(P17,'Tabela de Apoio'!$D:$E,2,FALSE),1)=1,"",P31)</f>
        <v>DESCARTADO</v>
      </c>
      <c r="Q30" s="107">
        <f>IF(IFERROR(VLOOKUP(Q17,'Tabela de Apoio'!$D:$E,2,FALSE),1)=1,"",Q31)</f>
        <v>22590.300725829813</v>
      </c>
      <c r="R30" s="107">
        <f>IF(IFERROR(VLOOKUP(R17,'Tabela de Apoio'!$D:$E,2,FALSE),1)=1,"",R31)</f>
        <v>34874.142278131934</v>
      </c>
      <c r="S30" s="107">
        <f>IF(IFERROR(VLOOKUP(S17,'Tabela de Apoio'!$D:$E,2,FALSE),1)=1,"",S31)</f>
        <v>24196.920579705613</v>
      </c>
      <c r="T30" s="107" t="str">
        <f>IF(IFERROR(VLOOKUP(T17,'Tabela de Apoio'!$D:$E,2,FALSE),1)=1,"",T31)</f>
        <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743"/>
      <c r="F31" s="93"/>
      <c r="G31" s="745"/>
      <c r="H31" s="134">
        <f>COUNT($P31:$XX31)</f>
        <v>3</v>
      </c>
      <c r="I31" s="132">
        <f>_xlfn.STDEV.P($P30:$XX31)/AVERAGE($P30:$XX31)</f>
        <v>0.20027495275952578</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22590.300725829813</v>
      </c>
      <c r="R31" s="107">
        <f t="shared" si="10"/>
        <v>34874.142278131934</v>
      </c>
      <c r="S31" s="107">
        <f t="shared" si="10"/>
        <v>24196.920579705613</v>
      </c>
      <c r="T31" s="107" t="str">
        <f t="shared" si="10"/>
        <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743"/>
      <c r="F32" s="93"/>
      <c r="G32" s="745"/>
      <c r="H32"/>
      <c r="I32"/>
      <c r="J32"/>
      <c r="K32" s="66"/>
      <c r="L32" s="22"/>
      <c r="M32" s="22"/>
      <c r="N32" s="71"/>
      <c r="O32" s="27" t="str">
        <f>"6 POND"</f>
        <v>6 POND</v>
      </c>
      <c r="P32" s="107" t="str">
        <f>IF(IFERROR(VLOOKUP(P17,'Tabela de Apoio'!$D:$E,2,FALSE),1)=1,"",P33)</f>
        <v>DESCARTADO</v>
      </c>
      <c r="Q32" s="107">
        <f>IF(IFERROR(VLOOKUP(Q17,'Tabela de Apoio'!$D:$E,2,FALSE),1)=1,"",Q33)</f>
        <v>22590.300725829813</v>
      </c>
      <c r="R32" s="107">
        <f>IF(IFERROR(VLOOKUP(R17,'Tabela de Apoio'!$D:$E,2,FALSE),1)=1,"",R33)</f>
        <v>34874.142278131934</v>
      </c>
      <c r="S32" s="107">
        <f>IF(IFERROR(VLOOKUP(S17,'Tabela de Apoio'!$D:$E,2,FALSE),1)=1,"",S33)</f>
        <v>24196.920579705613</v>
      </c>
      <c r="T32" s="107" t="str">
        <f>IF(IFERROR(VLOOKUP(T17,'Tabela de Apoio'!$D:$E,2,FALSE),1)=1,"",T33)</f>
        <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743"/>
      <c r="F33" s="93"/>
      <c r="G33" s="745"/>
      <c r="H33" s="134">
        <f>COUNT($P33:$XX33)</f>
        <v>3</v>
      </c>
      <c r="I33" s="132">
        <f>_xlfn.STDEV.P($P32:$XX33)/AVERAGE($P32:$XX33)</f>
        <v>0.20027495275952578</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22590.300725829813</v>
      </c>
      <c r="R33" s="107">
        <f t="shared" si="11"/>
        <v>34874.142278131934</v>
      </c>
      <c r="S33" s="107">
        <f t="shared" si="11"/>
        <v>24196.920579705613</v>
      </c>
      <c r="T33" s="107" t="str">
        <f t="shared" si="11"/>
        <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743"/>
      <c r="F34" s="136"/>
      <c r="G34" s="745"/>
      <c r="H34" s="748"/>
      <c r="I34" s="748"/>
      <c r="J34" s="749"/>
      <c r="K34" s="67"/>
      <c r="L34" s="1" t="s">
        <v>43</v>
      </c>
      <c r="M34" s="144">
        <f>IFERROR(ROUND(M15*M17,2),"")</f>
        <v>0</v>
      </c>
      <c r="O34" s="27" t="s">
        <v>363</v>
      </c>
      <c r="P34" s="107" t="str">
        <f>INDEX(P21:P33,MATCH(MAX($J21:$J33),$J21:$J33,0))</f>
        <v>DESCARTADO</v>
      </c>
      <c r="Q34" s="107">
        <f t="shared" ref="Q34:R34" si="12">INDEX(Q21:Q33,MATCH(MAX($J21:$J33),$J21:$J33,0))</f>
        <v>22590.300725829813</v>
      </c>
      <c r="R34" s="107">
        <f t="shared" si="12"/>
        <v>34874.142278131934</v>
      </c>
      <c r="S34" s="107">
        <f t="shared" ref="S34" si="13">INDEX(S21:S33,MATCH(MAX($J21:$J33),$J21:$J33,0))</f>
        <v>24196.920579705613</v>
      </c>
      <c r="T34" s="107" t="str">
        <f t="shared" ref="T34" si="14">INDEX(T21:T33,MATCH(MAX($J21:$J33),$J21:$J33,0))</f>
        <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43" t="s">
        <v>16</v>
      </c>
      <c r="J36" s="6">
        <f>INDEX('BASE FORMAÇÃO'!K:K,B36+1)</f>
        <v>0</v>
      </c>
      <c r="K36" s="65"/>
      <c r="L36" s="750" t="s">
        <v>10</v>
      </c>
      <c r="M36" s="752">
        <f t="shared" ref="M36" si="32">IF(OR(ISBLANK($O$8),ISBLANK($O$7),ISBLANK($H$8),ISBLANK($O$6),ISBLANK($O$5),ISBLANK($H$5)),"",IFERROR(IF(VLOOKUP(L36,L42:M51,2,FALSE)&lt;1,ROUND(VLOOKUP(L36,L42:M51,2,FALSE),4),ROUND(VLOOKUP(L36,L42:M51,2,FALSE),2)),""))</f>
        <v>24150.58</v>
      </c>
      <c r="N36" s="69"/>
      <c r="O36" s="27" t="s">
        <v>17</v>
      </c>
      <c r="P36" s="113">
        <v>20000</v>
      </c>
      <c r="Q36" s="113">
        <v>23105</v>
      </c>
      <c r="R36" s="113">
        <v>28500</v>
      </c>
      <c r="S36" s="113"/>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754">
        <f t="shared" ref="E37" si="34">D36</f>
        <v>2</v>
      </c>
      <c r="F37" s="92"/>
      <c r="G37" s="756" t="s">
        <v>1</v>
      </c>
      <c r="H37" s="765" t="s">
        <v>433</v>
      </c>
      <c r="I37" s="759"/>
      <c r="J37" s="760"/>
      <c r="K37" s="66"/>
      <c r="L37" s="751"/>
      <c r="M37" s="753"/>
      <c r="N37" s="70"/>
      <c r="O37" s="27" t="s">
        <v>13</v>
      </c>
      <c r="P37" s="122">
        <v>45758</v>
      </c>
      <c r="Q37" s="122">
        <v>45733</v>
      </c>
      <c r="R37" s="122">
        <v>45618</v>
      </c>
      <c r="S37" s="122"/>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755"/>
      <c r="F38" s="93"/>
      <c r="G38" s="757"/>
      <c r="H38" s="761"/>
      <c r="I38" s="761"/>
      <c r="J38" s="762"/>
      <c r="K38" s="64"/>
      <c r="L38" s="130" t="s">
        <v>44</v>
      </c>
      <c r="M38" s="131">
        <f>INDEX('BASE FORMAÇÃO'!H:H,B40+1)</f>
        <v>0</v>
      </c>
      <c r="N38" s="71"/>
      <c r="O38" s="27" t="s">
        <v>380</v>
      </c>
      <c r="P38" s="114" t="s">
        <v>12</v>
      </c>
      <c r="Q38" s="114" t="s">
        <v>12</v>
      </c>
      <c r="R38" s="114" t="s">
        <v>12</v>
      </c>
      <c r="S38" s="114"/>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758"/>
      <c r="H39" s="763"/>
      <c r="I39" s="763"/>
      <c r="J39" s="764"/>
      <c r="K39" s="64"/>
      <c r="L39" s="1" t="s">
        <v>2</v>
      </c>
      <c r="M39" s="6">
        <f>INDEX('BASE FORMAÇÃO'!D:D,B40+1)</f>
        <v>0</v>
      </c>
      <c r="N39" s="71"/>
      <c r="O39" s="27" t="s">
        <v>381</v>
      </c>
      <c r="P39" s="182" t="s">
        <v>450</v>
      </c>
      <c r="Q39" s="182" t="s">
        <v>450</v>
      </c>
      <c r="R39" s="182" t="s">
        <v>450</v>
      </c>
      <c r="S39" s="115"/>
      <c r="T39" s="115"/>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742">
        <f t="shared" ref="E40" si="38">C36</f>
        <v>1</v>
      </c>
      <c r="F40" s="93"/>
      <c r="G40" s="744" t="s">
        <v>304</v>
      </c>
      <c r="H40" s="746"/>
      <c r="I40" s="747"/>
      <c r="J40" s="747"/>
      <c r="K40" s="67"/>
      <c r="L40" s="28" t="s">
        <v>303</v>
      </c>
      <c r="M40" s="133">
        <f t="shared" ref="M40" si="39">IFERROR(INDEX(I42:I54,MATCH(MAX(J42:J54),J42:J54,0)),"")</f>
        <v>0.16093839775452395</v>
      </c>
      <c r="N40" s="71"/>
      <c r="O40" s="27" t="s">
        <v>18</v>
      </c>
      <c r="P40" s="106">
        <f>IF(P36="","",
IF(OR(P38="Orçamento",P37="",MAX('Tabela de Apoio'!$A:$A)&lt;=P37),
P36,
(INDEX('Tabela de Apoio'!$B:$B,MATCH('MAPA DE PREÇOS'!$O$8,'Tabela de Apoio'!$A:$A,1))/INDEX('Tabela de Apoio'!$B:$B,MATCH('MAPA DE PREÇOS'!P37,'Tabela de Apoio'!$A:$A,1)-1))*P36))</f>
        <v>20000</v>
      </c>
      <c r="Q40" s="106">
        <f>IF(Q36="","",
IF(OR(Q38="Orçamento",Q37="",MAX('Tabela de Apoio'!$A:$A)&lt;=Q37),
Q36,
(INDEX('Tabela de Apoio'!$B:$B,MATCH('MAPA DE PREÇOS'!$O$8,'Tabela de Apoio'!$A:$A,1))/INDEX('Tabela de Apoio'!$B:$B,MATCH('MAPA DE PREÇOS'!Q37,'Tabela de Apoio'!$A:$A,1)-1))*Q36))</f>
        <v>23105</v>
      </c>
      <c r="R40" s="106">
        <f>IF(R36="","",
IF(OR(R38="Orçamento",R37="",MAX('Tabela de Apoio'!$A:$A)&lt;=R37),
R36,
(INDEX('Tabela de Apoio'!$B:$B,MATCH('MAPA DE PREÇOS'!$O$8,'Tabela de Apoio'!$A:$A,1))/INDEX('Tabela de Apoio'!$B:$B,MATCH('MAPA DE PREÇOS'!R37,'Tabela de Apoio'!$A:$A,1)-1))*R36))</f>
        <v>29346.737574843701</v>
      </c>
      <c r="S40" s="106" t="str">
        <f>IF(S36="","",
IF(OR(S38="Orçamento",S37="",MAX('Tabela de Apoio'!$A:$A)&lt;=S37),
S36,
(INDEX('Tabela de Apoio'!$B:$B,MATCH('MAPA DE PREÇOS'!$O$8,'Tabela de Apoio'!$A:$A,1))/INDEX('Tabela de Apoio'!$B:$B,MATCH('MAPA DE PREÇOS'!S37,'Tabela de Apoio'!$A:$A,1)-1))*S36))</f>
        <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743"/>
      <c r="F41" s="93"/>
      <c r="G41" s="745"/>
      <c r="H41"/>
      <c r="I41"/>
      <c r="J41"/>
      <c r="N41" s="71"/>
      <c r="O41" s="27" t="s">
        <v>375</v>
      </c>
      <c r="P41" s="107">
        <f>IF(IFERROR(VLOOKUP(P38,'Tabela de Apoio'!$D:$E,2,FALSE),1)=1,"",P42)</f>
        <v>20000</v>
      </c>
      <c r="Q41" s="107">
        <f>IF(IFERROR(VLOOKUP(Q38,'Tabela de Apoio'!$D:$E,2,FALSE),1)=1,"",Q42)</f>
        <v>23105</v>
      </c>
      <c r="R41" s="107">
        <f>IF(IFERROR(VLOOKUP(R38,'Tabela de Apoio'!$D:$E,2,FALSE),1)=1,"",R42)</f>
        <v>29346.737574843701</v>
      </c>
      <c r="S41" s="107" t="str">
        <f>IF(IFERROR(VLOOKUP(S38,'Tabela de Apoio'!$D:$E,2,FALSE),1)=1,"",S42)</f>
        <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743"/>
      <c r="F42" s="93"/>
      <c r="G42" s="745"/>
      <c r="H42" s="134">
        <f t="shared" ref="H42" si="44">COUNT($P42:$XX42)</f>
        <v>3</v>
      </c>
      <c r="I42" s="132">
        <f t="shared" ref="I42" si="45">_xlfn.STDEV.P($P41:$XX42)/AVERAGE($P41:$XX42)</f>
        <v>0.16093839775452395</v>
      </c>
      <c r="J42" s="7">
        <f>ROW()</f>
        <v>42</v>
      </c>
      <c r="K42" s="67"/>
      <c r="L42" s="29" t="s">
        <v>10</v>
      </c>
      <c r="M42" s="30">
        <f t="shared" ref="M42" si="46">IFERROR(
IF(COUNTA(P36:AI36)=COUNTIF(P38:XX38,"Orçamento"),MIN(M47,M44),
IF(M45&lt;&gt;"",M45,
IF(M46&lt;&gt;"",M46,
M44
))),"")</f>
        <v>24150.579191614568</v>
      </c>
      <c r="N42" s="71"/>
      <c r="O42" s="27" t="s">
        <v>376</v>
      </c>
      <c r="P42" s="106">
        <f t="shared" ref="P42:AI42" si="47">IFERROR(IF(P40="",
            "",
            IF(COUNT($P40:$XX40)&lt;=4,
               P40,
               IF(OR(P40&gt;(QUARTILE($P40:$XX40,3)+(QUARTILE($P40:$XX40,3)-QUARTILE($P40:$XX40,1))),
                     P40&lt;(QUARTILE($P40:$XX40,1)-(QUARTILE($P40:$XX40,3)-QUARTILE($P40:$XX40,1)))
                  ),
               "DESCARTADO",P40)
             )
  ),P40)</f>
        <v>20000</v>
      </c>
      <c r="Q42" s="106">
        <f t="shared" si="47"/>
        <v>23105</v>
      </c>
      <c r="R42" s="106">
        <f t="shared" si="47"/>
        <v>29346.737574843701</v>
      </c>
      <c r="S42" s="106" t="str">
        <f t="shared" si="47"/>
        <v/>
      </c>
      <c r="T42" s="106" t="str">
        <f t="shared" si="47"/>
        <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743"/>
      <c r="F43" s="93"/>
      <c r="G43" s="745"/>
      <c r="H43"/>
      <c r="I43"/>
      <c r="J43"/>
      <c r="K43" s="66"/>
      <c r="L43" s="29" t="s">
        <v>360</v>
      </c>
      <c r="M43" s="30">
        <f t="shared" ref="M43" si="51">AVERAGE($P42:$XX42)</f>
        <v>24150.579191614568</v>
      </c>
      <c r="N43" s="71"/>
      <c r="O43" s="27" t="str">
        <f t="shared" ref="O43" si="52">"1 POND"</f>
        <v>1 POND</v>
      </c>
      <c r="P43" s="107">
        <f>IF(IFERROR(VLOOKUP(P38,'Tabela de Apoio'!$D:$E,2,FALSE),1)=1,"",P44)</f>
        <v>20000</v>
      </c>
      <c r="Q43" s="107">
        <f>IF(IFERROR(VLOOKUP(Q38,'Tabela de Apoio'!$D:$E,2,FALSE),1)=1,"",Q44)</f>
        <v>23105</v>
      </c>
      <c r="R43" s="107">
        <f>IF(IFERROR(VLOOKUP(R38,'Tabela de Apoio'!$D:$E,2,FALSE),1)=1,"",R44)</f>
        <v>29346.737574843701</v>
      </c>
      <c r="S43" s="107" t="str">
        <f>IF(IFERROR(VLOOKUP(S38,'Tabela de Apoio'!$D:$E,2,FALSE),1)=1,"",S44)</f>
        <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743"/>
      <c r="F44" s="93"/>
      <c r="G44" s="745"/>
      <c r="H44" s="134">
        <f t="shared" ref="H44" si="53">COUNT($P44:$XX44)</f>
        <v>3</v>
      </c>
      <c r="I44" s="132">
        <f t="shared" ref="I44" si="54">_xlfn.STDEV.P($P43:$XX44)/AVERAGE($P43:$XX44)</f>
        <v>0.16093839775452395</v>
      </c>
      <c r="J44" s="7">
        <f t="shared" ref="J44" si="55">IF(AND(H44&gt;2,
OR(L36="MÉDIA SANEADA",L36="MEDIANA SANEADA",
AND(L36="PREÇO ESTIMADO",NOT(AND(P38="Orçamento",COUNTA(P36:XX36)=COUNTIF(P38:XX38,"Orçamento")))))),
ROW(),0)</f>
        <v>44</v>
      </c>
      <c r="K44" s="66"/>
      <c r="L44" s="29" t="s">
        <v>361</v>
      </c>
      <c r="M44" s="30">
        <f t="shared" ref="M44" si="56">MEDIAN($P42:$XX42)</f>
        <v>23105</v>
      </c>
      <c r="N44" s="71"/>
      <c r="O44" s="27" t="str">
        <f t="shared" ref="O44" si="57">"1 RODADA"</f>
        <v>1 RODADA</v>
      </c>
      <c r="P44" s="107">
        <f t="shared" ref="P44:AI44" si="58">IF(P42="","",IF((_xlfn.STDEV.P($P41:$XX42)/AVERAGE($P41:$XX42))&lt;=25%,P42,IF(OR(P42&gt;(AVERAGE($P41:$XX42)+_xlfn.STDEV.P($P41:$XX42)),P42&lt;(AVERAGE($P41:$XX42)-_xlfn.STDEV.P($P41:$XX42))),"DESCARTADO",P42)))</f>
        <v>20000</v>
      </c>
      <c r="Q44" s="107">
        <f t="shared" si="58"/>
        <v>23105</v>
      </c>
      <c r="R44" s="107">
        <f t="shared" si="58"/>
        <v>29346.737574843701</v>
      </c>
      <c r="S44" s="107" t="str">
        <f t="shared" si="58"/>
        <v/>
      </c>
      <c r="T44" s="107" t="str">
        <f t="shared" si="58"/>
        <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743"/>
      <c r="F45" s="93"/>
      <c r="G45" s="745"/>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24150.579191614568</v>
      </c>
      <c r="N45" s="71"/>
      <c r="O45" s="27" t="str">
        <f t="shared" ref="O45" si="60">"2 POND"</f>
        <v>2 POND</v>
      </c>
      <c r="P45" s="107">
        <f>IF(IFERROR(VLOOKUP(P38,'Tabela de Apoio'!$D:$E,2,FALSE),1)=1,"",P46)</f>
        <v>20000</v>
      </c>
      <c r="Q45" s="107">
        <f>IF(IFERROR(VLOOKUP(Q38,'Tabela de Apoio'!$D:$E,2,FALSE),1)=1,"",Q46)</f>
        <v>23105</v>
      </c>
      <c r="R45" s="107">
        <f>IF(IFERROR(VLOOKUP(R38,'Tabela de Apoio'!$D:$E,2,FALSE),1)=1,"",R46)</f>
        <v>29346.737574843701</v>
      </c>
      <c r="S45" s="107" t="str">
        <f>IF(IFERROR(VLOOKUP(S38,'Tabela de Apoio'!$D:$E,2,FALSE),1)=1,"",S46)</f>
        <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743"/>
      <c r="F46" s="93"/>
      <c r="G46" s="745"/>
      <c r="H46" s="134">
        <f t="shared" ref="H46" si="61">COUNT($P46:$XX46)</f>
        <v>3</v>
      </c>
      <c r="I46" s="132">
        <f t="shared" ref="I46" si="62">_xlfn.STDEV.P($P45:$XX46)/AVERAGE($P45:$XX46)</f>
        <v>0.16093839775452395</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23105</v>
      </c>
      <c r="N46" s="71"/>
      <c r="O46" s="27" t="str">
        <f t="shared" ref="O46" si="65">"2 RODADA"</f>
        <v>2 RODADA</v>
      </c>
      <c r="P46" s="107">
        <f t="shared" ref="P46:AI46" si="66">IF(P44="","",IF((_xlfn.STDEV.P($P43:$XX44)/AVERAGE($P43:$XX44))&lt;=25%,P44,IF(OR(P44&gt;(AVERAGE($P43:$XX44)+_xlfn.STDEV.P($P43:$XX44)),P44&lt;(AVERAGE($P43:$XX44)-_xlfn.STDEV.P($P43:$XX44))),"DESCARTADO",P44)))</f>
        <v>20000</v>
      </c>
      <c r="Q46" s="107">
        <f t="shared" si="66"/>
        <v>23105</v>
      </c>
      <c r="R46" s="107">
        <f t="shared" si="66"/>
        <v>29346.737574843701</v>
      </c>
      <c r="S46" s="107" t="str">
        <f t="shared" si="66"/>
        <v/>
      </c>
      <c r="T46" s="107" t="str">
        <f t="shared" si="66"/>
        <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743"/>
      <c r="F47" s="93"/>
      <c r="G47" s="745"/>
      <c r="H47"/>
      <c r="I47"/>
      <c r="J47"/>
      <c r="K47" s="66"/>
      <c r="L47" s="29" t="s">
        <v>359</v>
      </c>
      <c r="M47" s="30">
        <f t="shared" ref="M47" si="67">HARMEAN($P41:$XX42)</f>
        <v>23556.013781996127</v>
      </c>
      <c r="N47" s="71"/>
      <c r="O47" s="27" t="str">
        <f t="shared" ref="O47" si="68">"3 POND"</f>
        <v>3 POND</v>
      </c>
      <c r="P47" s="107">
        <f>IF(IFERROR(VLOOKUP(P38,'Tabela de Apoio'!$D:$E,2,FALSE),1)=1,"",P48)</f>
        <v>20000</v>
      </c>
      <c r="Q47" s="107">
        <f>IF(IFERROR(VLOOKUP(Q38,'Tabela de Apoio'!$D:$E,2,FALSE),1)=1,"",Q48)</f>
        <v>23105</v>
      </c>
      <c r="R47" s="107">
        <f>IF(IFERROR(VLOOKUP(R38,'Tabela de Apoio'!$D:$E,2,FALSE),1)=1,"",R48)</f>
        <v>29346.737574843701</v>
      </c>
      <c r="S47" s="107" t="str">
        <f>IF(IFERROR(VLOOKUP(S38,'Tabela de Apoio'!$D:$E,2,FALSE),1)=1,"",S48)</f>
        <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743"/>
      <c r="F48" s="93"/>
      <c r="G48" s="745"/>
      <c r="H48" s="134">
        <f t="shared" ref="H48" si="69">COUNT($P48:$XX48)</f>
        <v>3</v>
      </c>
      <c r="I48" s="132">
        <f t="shared" ref="I48" si="70">_xlfn.STDEV.P($P47:$XX48)/AVERAGE($P47:$XX48)</f>
        <v>0.16093839775452395</v>
      </c>
      <c r="J48" s="7">
        <f t="shared" ref="J48" si="71">IF(AND(H48&gt;2,
OR(L36="MÉDIA SANEADA",L36="MEDIANA SANEADA",
AND(L36="PREÇO ESTIMADO",NOT(AND(P38="Orçamento",COUNTA(P36:XX36)=COUNTIF(P38:XX38,"Orçamento")))))),
ROW(),0)</f>
        <v>48</v>
      </c>
      <c r="K48" s="66"/>
      <c r="L48" s="29" t="s">
        <v>41</v>
      </c>
      <c r="M48" s="30">
        <f t="shared" ref="M48" si="72">IFERROR(_xlfn.QUARTILE.EXC($P42:$XX42,1),"")</f>
        <v>20000</v>
      </c>
      <c r="N48" s="71"/>
      <c r="O48" s="27" t="str">
        <f t="shared" ref="O48" si="73">"3 RODADA"</f>
        <v>3 RODADA</v>
      </c>
      <c r="P48" s="107">
        <f t="shared" ref="P48:AI48" si="74">IF(P46="","",IF((_xlfn.STDEV.P($P45:$XX46)/AVERAGE($P45:$XX46))&lt;=25%,P46,IF(OR(P46&gt;(AVERAGE($P45:$XX46)+_xlfn.STDEV.P($P45:$XX46)),P46&lt;(AVERAGE($P45:$XX46)-_xlfn.STDEV.P($P45:$XX46))),"DESCARTADO",P46)))</f>
        <v>20000</v>
      </c>
      <c r="Q48" s="107">
        <f t="shared" si="74"/>
        <v>23105</v>
      </c>
      <c r="R48" s="107">
        <f t="shared" si="74"/>
        <v>29346.737574843701</v>
      </c>
      <c r="S48" s="107" t="str">
        <f t="shared" si="74"/>
        <v/>
      </c>
      <c r="T48" s="107" t="str">
        <f t="shared" si="74"/>
        <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743"/>
      <c r="F49" s="93"/>
      <c r="G49" s="745"/>
      <c r="H49"/>
      <c r="I49"/>
      <c r="J49"/>
      <c r="K49" s="66"/>
      <c r="L49" s="29" t="s">
        <v>39</v>
      </c>
      <c r="M49" s="30">
        <f t="shared" ref="M49" si="75">IFERROR(_xlfn.QUARTILE.EXC($P42:$XX42,3),"")</f>
        <v>29346.737574843701</v>
      </c>
      <c r="N49" s="71"/>
      <c r="O49" s="27" t="str">
        <f t="shared" ref="O49" si="76">"4 POND"</f>
        <v>4 POND</v>
      </c>
      <c r="P49" s="107">
        <f>IF(IFERROR(VLOOKUP(P38,'Tabela de Apoio'!$D:$E,2,FALSE),1)=1,"",P50)</f>
        <v>20000</v>
      </c>
      <c r="Q49" s="107">
        <f>IF(IFERROR(VLOOKUP(Q38,'Tabela de Apoio'!$D:$E,2,FALSE),1)=1,"",Q50)</f>
        <v>23105</v>
      </c>
      <c r="R49" s="107">
        <f>IF(IFERROR(VLOOKUP(R38,'Tabela de Apoio'!$D:$E,2,FALSE),1)=1,"",R50)</f>
        <v>29346.737574843701</v>
      </c>
      <c r="S49" s="107" t="str">
        <f>IF(IFERROR(VLOOKUP(S38,'Tabela de Apoio'!$D:$E,2,FALSE),1)=1,"",S50)</f>
        <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743"/>
      <c r="F50" s="93"/>
      <c r="G50" s="745"/>
      <c r="H50" s="134">
        <f t="shared" ref="H50" si="77">COUNT($P50:$XX50)</f>
        <v>3</v>
      </c>
      <c r="I50" s="132">
        <f t="shared" ref="I50" si="78">_xlfn.STDEV.P($P49:$XX50)/AVERAGE($P49:$XX50)</f>
        <v>0.16093839775452395</v>
      </c>
      <c r="J50" s="7">
        <f t="shared" ref="J50" si="79">IF(AND(H50&gt;2,
OR(L36="MÉDIA SANEADA",L36="MEDIANA SANEADA",
AND(L36="PREÇO ESTIMADO",NOT(AND(P38="Orçamento",COUNTA(P36:XX36)=COUNTIF(P38:XX38,"Orçamento")))))),
ROW(),0)</f>
        <v>50</v>
      </c>
      <c r="K50" s="66"/>
      <c r="L50" s="29" t="s">
        <v>42</v>
      </c>
      <c r="M50" s="30">
        <f t="shared" ref="M50" si="80">MIN($P42:$XX42)</f>
        <v>20000</v>
      </c>
      <c r="N50" s="71"/>
      <c r="O50" s="27" t="str">
        <f t="shared" ref="O50" si="81">"4 RODADA"</f>
        <v>4 RODADA</v>
      </c>
      <c r="P50" s="107">
        <f t="shared" ref="P50:AI50" si="82">IF(P48="","",IF((_xlfn.STDEV.P($P47:$XX48)/AVERAGE($P47:$XX48))&lt;=25%,P48,IF(OR(P48&gt;(AVERAGE($P47:$XX48)+_xlfn.STDEV.P($P47:$XX48)),P48&lt;(AVERAGE($P47:$XX48)-_xlfn.STDEV.P($P47:$XX48))),"DESCARTADO",P48)))</f>
        <v>20000</v>
      </c>
      <c r="Q50" s="107">
        <f t="shared" si="82"/>
        <v>23105</v>
      </c>
      <c r="R50" s="107">
        <f t="shared" si="82"/>
        <v>29346.737574843701</v>
      </c>
      <c r="S50" s="107" t="str">
        <f t="shared" si="82"/>
        <v/>
      </c>
      <c r="T50" s="107" t="str">
        <f t="shared" si="82"/>
        <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743"/>
      <c r="F51" s="93"/>
      <c r="G51" s="745"/>
      <c r="H51"/>
      <c r="I51"/>
      <c r="J51"/>
      <c r="K51" s="66"/>
      <c r="L51" s="29" t="s">
        <v>40</v>
      </c>
      <c r="M51" s="30">
        <f t="shared" ref="M51" si="83">MAX($P42:$XX42)</f>
        <v>29346.737574843701</v>
      </c>
      <c r="N51" s="71"/>
      <c r="O51" s="27" t="str">
        <f t="shared" ref="O51" si="84">"5 POND"</f>
        <v>5 POND</v>
      </c>
      <c r="P51" s="107">
        <f>IF(IFERROR(VLOOKUP(P38,'Tabela de Apoio'!$D:$E,2,FALSE),1)=1,"",P52)</f>
        <v>20000</v>
      </c>
      <c r="Q51" s="107">
        <f>IF(IFERROR(VLOOKUP(Q38,'Tabela de Apoio'!$D:$E,2,FALSE),1)=1,"",Q52)</f>
        <v>23105</v>
      </c>
      <c r="R51" s="107">
        <f>IF(IFERROR(VLOOKUP(R38,'Tabela de Apoio'!$D:$E,2,FALSE),1)=1,"",R52)</f>
        <v>29346.737574843701</v>
      </c>
      <c r="S51" s="107" t="str">
        <f>IF(IFERROR(VLOOKUP(S38,'Tabela de Apoio'!$D:$E,2,FALSE),1)=1,"",S52)</f>
        <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743"/>
      <c r="F52" s="93"/>
      <c r="G52" s="745"/>
      <c r="H52" s="134">
        <f t="shared" ref="H52" si="85">COUNT($P52:$XX52)</f>
        <v>3</v>
      </c>
      <c r="I52" s="132">
        <f t="shared" ref="I52" si="86">_xlfn.STDEV.P($P51:$XX52)/AVERAGE($P51:$XX52)</f>
        <v>0.16093839775452395</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20000</v>
      </c>
      <c r="Q52" s="107">
        <f t="shared" si="89"/>
        <v>23105</v>
      </c>
      <c r="R52" s="107">
        <f t="shared" si="89"/>
        <v>29346.737574843701</v>
      </c>
      <c r="S52" s="107" t="str">
        <f t="shared" si="89"/>
        <v/>
      </c>
      <c r="T52" s="107" t="str">
        <f t="shared" si="89"/>
        <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743"/>
      <c r="F53" s="93"/>
      <c r="G53" s="745"/>
      <c r="H53"/>
      <c r="I53"/>
      <c r="J53"/>
      <c r="K53" s="66"/>
      <c r="L53" s="22"/>
      <c r="M53" s="22"/>
      <c r="N53" s="71"/>
      <c r="O53" s="27" t="str">
        <f t="shared" ref="O53" si="90">"6 POND"</f>
        <v>6 POND</v>
      </c>
      <c r="P53" s="107">
        <f>IF(IFERROR(VLOOKUP(P38,'Tabela de Apoio'!$D:$E,2,FALSE),1)=1,"",P54)</f>
        <v>20000</v>
      </c>
      <c r="Q53" s="107">
        <f>IF(IFERROR(VLOOKUP(Q38,'Tabela de Apoio'!$D:$E,2,FALSE),1)=1,"",Q54)</f>
        <v>23105</v>
      </c>
      <c r="R53" s="107">
        <f>IF(IFERROR(VLOOKUP(R38,'Tabela de Apoio'!$D:$E,2,FALSE),1)=1,"",R54)</f>
        <v>29346.737574843701</v>
      </c>
      <c r="S53" s="107" t="str">
        <f>IF(IFERROR(VLOOKUP(S38,'Tabela de Apoio'!$D:$E,2,FALSE),1)=1,"",S54)</f>
        <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743"/>
      <c r="F54" s="93"/>
      <c r="G54" s="745"/>
      <c r="H54" s="134">
        <f t="shared" ref="H54" si="91">COUNT($P54:$XX54)</f>
        <v>3</v>
      </c>
      <c r="I54" s="132">
        <f t="shared" ref="I54" si="92">_xlfn.STDEV.P($P53:$XX54)/AVERAGE($P53:$XX54)</f>
        <v>0.16093839775452395</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20000</v>
      </c>
      <c r="Q54" s="107">
        <f t="shared" si="95"/>
        <v>23105</v>
      </c>
      <c r="R54" s="107">
        <f t="shared" si="95"/>
        <v>29346.737574843701</v>
      </c>
      <c r="S54" s="107" t="str">
        <f t="shared" si="95"/>
        <v/>
      </c>
      <c r="T54" s="107" t="str">
        <f t="shared" si="95"/>
        <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743"/>
      <c r="F55" s="136"/>
      <c r="G55" s="745"/>
      <c r="H55" s="748"/>
      <c r="I55" s="748"/>
      <c r="J55" s="749"/>
      <c r="K55" s="67"/>
      <c r="L55" s="1" t="s">
        <v>43</v>
      </c>
      <c r="M55" s="144">
        <f t="shared" ref="M55" si="96">IFERROR(ROUND(M36*M38,2),"")</f>
        <v>0</v>
      </c>
      <c r="O55" s="27" t="s">
        <v>363</v>
      </c>
      <c r="P55" s="107">
        <f t="shared" ref="P55:AI76" si="97">INDEX(P42:P54,MATCH(MAX($J42:$J54),$J42:$J54,0))</f>
        <v>20000</v>
      </c>
      <c r="Q55" s="107">
        <f t="shared" si="97"/>
        <v>23105</v>
      </c>
      <c r="R55" s="107">
        <f t="shared" si="97"/>
        <v>29346.737574843701</v>
      </c>
      <c r="S55" s="107" t="str">
        <f t="shared" si="97"/>
        <v/>
      </c>
      <c r="T55" s="107" t="str">
        <f t="shared" si="97"/>
        <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f t="shared" ref="B57" si="98">LARGE(IFERROR(IF(B55+1&gt;$H$8,"",B55+1),""),1)</f>
        <v>3</v>
      </c>
      <c r="C57" s="127">
        <f>IF(_xlfn.ISFORMULA(E61),MAX(INDEX('BASE FORMAÇÃO'!A:A,B57+1),1),E61)</f>
        <v>1</v>
      </c>
      <c r="D57" s="127">
        <f t="shared" ref="D57" si="99">IFERROR(IF(C57=C47,D47+1,1),1)</f>
        <v>3</v>
      </c>
      <c r="E57" s="38" t="s">
        <v>9</v>
      </c>
      <c r="F57" s="73"/>
      <c r="G57" s="38" t="s">
        <v>15</v>
      </c>
      <c r="H57" s="135">
        <f>INDEX('BASE FORMAÇÃO'!B:B,B57+1)</f>
        <v>0</v>
      </c>
      <c r="I57" s="143" t="s">
        <v>16</v>
      </c>
      <c r="J57" s="6">
        <f>INDEX('BASE FORMAÇÃO'!K:K,B57+1)</f>
        <v>0</v>
      </c>
      <c r="K57" s="65"/>
      <c r="L57" s="750" t="s">
        <v>10</v>
      </c>
      <c r="M57" s="752">
        <f t="shared" ref="M57" si="100">IF(OR(ISBLANK($O$8),ISBLANK($O$7),ISBLANK($H$8),ISBLANK($O$6),ISBLANK($O$5),ISBLANK($H$5)),"",IFERROR(IF(VLOOKUP(L57,L63:M72,2,FALSE)&lt;1,ROUND(VLOOKUP(L57,L63:M72,2,FALSE),4),ROUND(VLOOKUP(L57,L63:M72,2,FALSE),2)),""))</f>
        <v>6369.77</v>
      </c>
      <c r="N57" s="69"/>
      <c r="O57" s="27" t="s">
        <v>17</v>
      </c>
      <c r="P57" s="113">
        <v>6420</v>
      </c>
      <c r="Q57" s="113">
        <v>7063</v>
      </c>
      <c r="R57" s="113">
        <v>5356</v>
      </c>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8" si="101">B57</f>
        <v>3</v>
      </c>
      <c r="C58" s="128">
        <f t="shared" si="101"/>
        <v>1</v>
      </c>
      <c r="D58" s="127">
        <f t="shared" si="101"/>
        <v>3</v>
      </c>
      <c r="E58" s="754">
        <f t="shared" ref="E58" si="102">D57</f>
        <v>3</v>
      </c>
      <c r="F58" s="92"/>
      <c r="G58" s="756" t="s">
        <v>1</v>
      </c>
      <c r="H58" s="765" t="s">
        <v>434</v>
      </c>
      <c r="I58" s="759"/>
      <c r="J58" s="760"/>
      <c r="K58" s="66"/>
      <c r="L58" s="751"/>
      <c r="M58" s="753"/>
      <c r="N58" s="70"/>
      <c r="O58" s="27" t="s">
        <v>13</v>
      </c>
      <c r="P58" s="122">
        <v>45755</v>
      </c>
      <c r="Q58" s="122">
        <v>45705</v>
      </c>
      <c r="R58" s="122">
        <v>45632</v>
      </c>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ref="B59:D59" si="103">B58</f>
        <v>3</v>
      </c>
      <c r="C59" s="128">
        <f t="shared" si="103"/>
        <v>1</v>
      </c>
      <c r="D59" s="127">
        <f t="shared" si="103"/>
        <v>3</v>
      </c>
      <c r="E59" s="755"/>
      <c r="F59" s="93"/>
      <c r="G59" s="757"/>
      <c r="H59" s="761"/>
      <c r="I59" s="761"/>
      <c r="J59" s="762"/>
      <c r="K59" s="64"/>
      <c r="L59" s="130" t="s">
        <v>44</v>
      </c>
      <c r="M59" s="131">
        <f>INDEX('BASE FORMAÇÃO'!H:H,B61+1)</f>
        <v>0</v>
      </c>
      <c r="N59" s="71"/>
      <c r="O59" s="27" t="s">
        <v>380</v>
      </c>
      <c r="P59" s="114" t="s">
        <v>12</v>
      </c>
      <c r="Q59" s="114" t="s">
        <v>12</v>
      </c>
      <c r="R59" s="114" t="s">
        <v>12</v>
      </c>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f t="shared" ref="B60:C60" si="104">B59</f>
        <v>3</v>
      </c>
      <c r="C60" s="128">
        <f t="shared" si="104"/>
        <v>1</v>
      </c>
      <c r="D60" s="127">
        <f t="shared" si="49"/>
        <v>3</v>
      </c>
      <c r="E60" s="38" t="s">
        <v>313</v>
      </c>
      <c r="F60" s="93"/>
      <c r="G60" s="758"/>
      <c r="H60" s="763"/>
      <c r="I60" s="763"/>
      <c r="J60" s="764"/>
      <c r="K60" s="64"/>
      <c r="L60" s="1" t="s">
        <v>2</v>
      </c>
      <c r="M60" s="6">
        <f>INDEX('BASE FORMAÇÃO'!D:D,B61+1)</f>
        <v>0</v>
      </c>
      <c r="N60" s="71"/>
      <c r="O60" s="27" t="s">
        <v>381</v>
      </c>
      <c r="P60" s="182" t="s">
        <v>450</v>
      </c>
      <c r="Q60" s="182" t="s">
        <v>450</v>
      </c>
      <c r="R60" s="182" t="s">
        <v>450</v>
      </c>
      <c r="S60" s="115"/>
      <c r="T60" s="115"/>
      <c r="U60" s="118"/>
      <c r="V60" s="118"/>
      <c r="W60" s="118"/>
      <c r="X60" s="118"/>
      <c r="Y60" s="118"/>
      <c r="Z60" s="118"/>
      <c r="AA60" s="118"/>
      <c r="AB60" s="118"/>
      <c r="AC60" s="118"/>
      <c r="AD60" s="118"/>
      <c r="AE60" s="118"/>
      <c r="AF60" s="118"/>
      <c r="AG60" s="118"/>
      <c r="AH60" s="118"/>
      <c r="AI60" s="118"/>
    </row>
    <row r="61" spans="1:167" x14ac:dyDescent="0.25">
      <c r="B61" s="128">
        <f t="shared" ref="B61:C61" si="105">B59</f>
        <v>3</v>
      </c>
      <c r="C61" s="128">
        <f t="shared" si="105"/>
        <v>1</v>
      </c>
      <c r="D61" s="127">
        <f t="shared" si="49"/>
        <v>3</v>
      </c>
      <c r="E61" s="742">
        <f t="shared" ref="E61" si="106">C57</f>
        <v>1</v>
      </c>
      <c r="F61" s="93"/>
      <c r="G61" s="744" t="s">
        <v>304</v>
      </c>
      <c r="H61" s="746"/>
      <c r="I61" s="747"/>
      <c r="J61" s="747"/>
      <c r="K61" s="67"/>
      <c r="L61" s="28" t="s">
        <v>303</v>
      </c>
      <c r="M61" s="133">
        <f t="shared" ref="M61" si="107">IFERROR(INDEX(I63:I75,MATCH(MAX(J63:J75),J63:J75,0)),"")</f>
        <v>0.10921980513879163</v>
      </c>
      <c r="N61" s="71"/>
      <c r="O61" s="27" t="s">
        <v>18</v>
      </c>
      <c r="P61" s="106">
        <f>IF(P57="","",
IF(OR(P59="Orçamento",P58="",MAX('Tabela de Apoio'!$A:$A)&lt;=P58),
P57,
(INDEX('Tabela de Apoio'!$B:$B,MATCH('MAPA DE PREÇOS'!$O$8,'Tabela de Apoio'!$A:$A,1))/INDEX('Tabela de Apoio'!$B:$B,MATCH('MAPA DE PREÇOS'!P58,'Tabela de Apoio'!$A:$A,1)-1))*P57))</f>
        <v>6420</v>
      </c>
      <c r="Q61" s="106">
        <f>IF(Q57="","",
IF(OR(Q59="Orçamento",Q58="",MAX('Tabela de Apoio'!$A:$A)&lt;=Q58),
Q57,
(INDEX('Tabela de Apoio'!$B:$B,MATCH('MAPA DE PREÇOS'!$O$8,'Tabela de Apoio'!$A:$A,1))/INDEX('Tabela de Apoio'!$B:$B,MATCH('MAPA DE PREÇOS'!Q58,'Tabela de Apoio'!$A:$A,1)-1))*Q57))</f>
        <v>7195.6026890293124</v>
      </c>
      <c r="R61" s="106">
        <f>IF(R57="","",
IF(OR(R59="Orçamento",R58="",MAX('Tabela de Apoio'!$A:$A)&lt;=R58),
R57,
(INDEX('Tabela de Apoio'!$B:$B,MATCH('MAPA DE PREÇOS'!$O$8,'Tabela de Apoio'!$A:$A,1))/INDEX('Tabela de Apoio'!$B:$B,MATCH('MAPA DE PREÇOS'!R58,'Tabela de Apoio'!$A:$A,1)-1))*R57))</f>
        <v>5493.7031188727833</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 si="108">B61</f>
        <v>3</v>
      </c>
      <c r="C62" s="128">
        <f t="shared" ref="C62" si="109">C61</f>
        <v>1</v>
      </c>
      <c r="D62" s="127">
        <f t="shared" si="49"/>
        <v>3</v>
      </c>
      <c r="E62" s="743"/>
      <c r="F62" s="93"/>
      <c r="G62" s="745"/>
      <c r="H62"/>
      <c r="I62"/>
      <c r="J62"/>
      <c r="N62" s="71"/>
      <c r="O62" s="27" t="s">
        <v>375</v>
      </c>
      <c r="P62" s="107">
        <f>IF(IFERROR(VLOOKUP(P59,'Tabela de Apoio'!$D:$E,2,FALSE),1)=1,"",P63)</f>
        <v>6420</v>
      </c>
      <c r="Q62" s="107">
        <f>IF(IFERROR(VLOOKUP(Q59,'Tabela de Apoio'!$D:$E,2,FALSE),1)=1,"",Q63)</f>
        <v>7195.6026890293124</v>
      </c>
      <c r="R62" s="107">
        <f>IF(IFERROR(VLOOKUP(R59,'Tabela de Apoio'!$D:$E,2,FALSE),1)=1,"",R63)</f>
        <v>5493.7031188727833</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ref="B63:C63" si="110">B62</f>
        <v>3</v>
      </c>
      <c r="C63" s="128">
        <f t="shared" si="110"/>
        <v>1</v>
      </c>
      <c r="D63" s="127">
        <f t="shared" si="49"/>
        <v>3</v>
      </c>
      <c r="E63" s="743"/>
      <c r="F63" s="93"/>
      <c r="G63" s="745"/>
      <c r="H63" s="134">
        <f t="shared" ref="H63" si="111">COUNT($P63:$XX63)</f>
        <v>3</v>
      </c>
      <c r="I63" s="132">
        <f t="shared" ref="I63" si="112">_xlfn.STDEV.P($P62:$XX63)/AVERAGE($P62:$XX63)</f>
        <v>0.10921980513879163</v>
      </c>
      <c r="J63" s="7">
        <f>ROW()</f>
        <v>63</v>
      </c>
      <c r="K63" s="67"/>
      <c r="L63" s="29" t="s">
        <v>10</v>
      </c>
      <c r="M63" s="30">
        <f t="shared" ref="M63" si="113">IFERROR(
IF(COUNTA(P57:AI57)=COUNTIF(P59:XX59,"Orçamento"),MIN(M68,M65),
IF(M66&lt;&gt;"",M66,
IF(M67&lt;&gt;"",M67,
M65
))),"")</f>
        <v>6369.7686026340316</v>
      </c>
      <c r="N63" s="71"/>
      <c r="O63" s="27" t="s">
        <v>376</v>
      </c>
      <c r="P63" s="106">
        <f t="shared" ref="P63:AI63" si="114">IFERROR(IF(P61="",
            "",
            IF(COUNT($P61:$XX61)&lt;=4,
               P61,
               IF(OR(P61&gt;(QUARTILE($P61:$XX61,3)+(QUARTILE($P61:$XX61,3)-QUARTILE($P61:$XX61,1))),
                     P61&lt;(QUARTILE($P61:$XX61,1)-(QUARTILE($P61:$XX61,3)-QUARTILE($P61:$XX61,1)))
                  ),
               "DESCARTADO",P61)
             )
  ),P61)</f>
        <v>6420</v>
      </c>
      <c r="Q63" s="106">
        <f t="shared" si="114"/>
        <v>7195.6026890293124</v>
      </c>
      <c r="R63" s="106">
        <f t="shared" si="114"/>
        <v>5493.7031188727833</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f t="shared" ref="B64" si="115">B63</f>
        <v>3</v>
      </c>
      <c r="C64" s="128">
        <f t="shared" ref="C64" si="116">C63</f>
        <v>1</v>
      </c>
      <c r="D64" s="127">
        <f t="shared" si="49"/>
        <v>3</v>
      </c>
      <c r="E64" s="743"/>
      <c r="F64" s="93"/>
      <c r="G64" s="745"/>
      <c r="H64"/>
      <c r="I64"/>
      <c r="J64"/>
      <c r="K64" s="66"/>
      <c r="L64" s="29" t="s">
        <v>360</v>
      </c>
      <c r="M64" s="30">
        <f t="shared" ref="M64" si="117">AVERAGE($P63:$XX63)</f>
        <v>6369.7686026340316</v>
      </c>
      <c r="N64" s="71"/>
      <c r="O64" s="27" t="str">
        <f t="shared" ref="O64" si="118">"1 POND"</f>
        <v>1 POND</v>
      </c>
      <c r="P64" s="107">
        <f>IF(IFERROR(VLOOKUP(P59,'Tabela de Apoio'!$D:$E,2,FALSE),1)=1,"",P65)</f>
        <v>6420</v>
      </c>
      <c r="Q64" s="107">
        <f>IF(IFERROR(VLOOKUP(Q59,'Tabela de Apoio'!$D:$E,2,FALSE),1)=1,"",Q65)</f>
        <v>7195.6026890293124</v>
      </c>
      <c r="R64" s="107">
        <f>IF(IFERROR(VLOOKUP(R59,'Tabela de Apoio'!$D:$E,2,FALSE),1)=1,"",R65)</f>
        <v>5493.7031188727833</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48"/>
        <v>3</v>
      </c>
      <c r="C65" s="128">
        <f t="shared" si="49"/>
        <v>1</v>
      </c>
      <c r="D65" s="127">
        <f t="shared" si="49"/>
        <v>3</v>
      </c>
      <c r="E65" s="743"/>
      <c r="F65" s="93"/>
      <c r="G65" s="745"/>
      <c r="H65" s="134">
        <f t="shared" ref="H65" si="119">COUNT($P65:$XX65)</f>
        <v>3</v>
      </c>
      <c r="I65" s="132">
        <f t="shared" ref="I65" si="120">_xlfn.STDEV.P($P64:$XX65)/AVERAGE($P64:$XX65)</f>
        <v>0.10921980513879163</v>
      </c>
      <c r="J65" s="7">
        <f t="shared" ref="J65" si="121">IF(AND(H65&gt;2,
OR(L57="MÉDIA SANEADA",L57="MEDIANA SANEADA",
AND(L57="PREÇO ESTIMADO",NOT(AND(P59="Orçamento",COUNTA(P57:XX57)=COUNTIF(P59:XX59,"Orçamento")))))),
ROW(),0)</f>
        <v>65</v>
      </c>
      <c r="K65" s="66"/>
      <c r="L65" s="29" t="s">
        <v>361</v>
      </c>
      <c r="M65" s="30">
        <f t="shared" ref="M65" si="122">MEDIAN($P63:$XX63)</f>
        <v>6420</v>
      </c>
      <c r="N65" s="71"/>
      <c r="O65" s="27" t="str">
        <f t="shared" ref="O65" si="123">"1 RODADA"</f>
        <v>1 RODADA</v>
      </c>
      <c r="P65" s="107">
        <f t="shared" ref="P65:AI65" si="124">IF(P63="","",IF((_xlfn.STDEV.P($P62:$XX63)/AVERAGE($P62:$XX63))&lt;=25%,P63,IF(OR(P63&gt;(AVERAGE($P62:$XX63)+_xlfn.STDEV.P($P62:$XX63)),P63&lt;(AVERAGE($P62:$XX63)-_xlfn.STDEV.P($P62:$XX63))),"DESCARTADO",P63)))</f>
        <v>6420</v>
      </c>
      <c r="Q65" s="107">
        <f t="shared" si="124"/>
        <v>7195.6026890293124</v>
      </c>
      <c r="R65" s="107">
        <f t="shared" si="124"/>
        <v>5493.7031188727833</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f t="shared" si="48"/>
        <v>3</v>
      </c>
      <c r="C66" s="128">
        <f t="shared" si="49"/>
        <v>1</v>
      </c>
      <c r="D66" s="127">
        <f t="shared" si="49"/>
        <v>3</v>
      </c>
      <c r="E66" s="743"/>
      <c r="F66" s="93"/>
      <c r="G66" s="745"/>
      <c r="H66"/>
      <c r="I66"/>
      <c r="J66"/>
      <c r="L66" s="29" t="s">
        <v>38</v>
      </c>
      <c r="M66" s="30">
        <f t="shared" ref="M66" si="125">IFERROR(
IF(AND(H65&gt;2,I65&lt;=25%),AVERAGE(P64:XX65),
IF(AND(H67&gt;2,I67&lt;=25%),AVERAGE(P66:XX67),
IF(AND(H69&gt;2,I69&lt;=25%),AVERAGE(P68:XX69),
IF(AND(H71&gt;2,I71&lt;=25%),AVERAGE(P70:XX71),
IF(AND(H73&gt;2,I73&lt;=25%),AVERAGE(P72:XX73),
IF(AND(H75&gt;2,I75&lt;=25%),AVERAGE(P74:XX75),
IF(I63&lt;=25%,AVERAGE(P62:XX63),""))))))),"")</f>
        <v>6369.7686026340316</v>
      </c>
      <c r="N66" s="71"/>
      <c r="O66" s="27" t="str">
        <f t="shared" ref="O66" si="126">"2 POND"</f>
        <v>2 POND</v>
      </c>
      <c r="P66" s="107">
        <f>IF(IFERROR(VLOOKUP(P59,'Tabela de Apoio'!$D:$E,2,FALSE),1)=1,"",P67)</f>
        <v>6420</v>
      </c>
      <c r="Q66" s="107">
        <f>IF(IFERROR(VLOOKUP(Q59,'Tabela de Apoio'!$D:$E,2,FALSE),1)=1,"",Q67)</f>
        <v>7195.6026890293124</v>
      </c>
      <c r="R66" s="107">
        <f>IF(IFERROR(VLOOKUP(R59,'Tabela de Apoio'!$D:$E,2,FALSE),1)=1,"",R67)</f>
        <v>5493.7031188727833</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48"/>
        <v>3</v>
      </c>
      <c r="C67" s="128">
        <f t="shared" si="49"/>
        <v>1</v>
      </c>
      <c r="D67" s="127">
        <f t="shared" si="49"/>
        <v>3</v>
      </c>
      <c r="E67" s="743"/>
      <c r="F67" s="93"/>
      <c r="G67" s="745"/>
      <c r="H67" s="134">
        <f t="shared" ref="H67" si="127">COUNT($P67:$XX67)</f>
        <v>3</v>
      </c>
      <c r="I67" s="132">
        <f t="shared" ref="I67" si="128">_xlfn.STDEV.P($P66:$XX67)/AVERAGE($P66:$XX67)</f>
        <v>0.10921980513879163</v>
      </c>
      <c r="J67" s="7">
        <f t="shared" ref="J67" si="129">IF(AND(H67&gt;2,
OR(L57="MÉDIA SANEADA",L57="MEDIANA SANEADA",
AND(L57="PREÇO ESTIMADO",NOT(AND(P59="Orçamento",COUNTA(P57:XX57)=COUNTIF(P59:XX59,"Orçamento")))))),
ROW(),0)</f>
        <v>67</v>
      </c>
      <c r="K67" s="66"/>
      <c r="L67" s="29" t="s">
        <v>362</v>
      </c>
      <c r="M67" s="30">
        <f t="shared" ref="M67" si="130" xml:space="preserve">
IF(H65&gt;2,MEDIAN(P64:XX65),
IF(H67&gt;2,MEDIAN(P66:XX67),
IF(H69&gt;2,MEDIAN(P68:XX69),
IF(H71&gt;2,MEDIAN(P70:XX71),
IF(H73&gt;2,MEDIAN(P72:XX73),
IF(H75&gt;2,MEDIAN(P74:XX75),
MEDIAN(P62:XX63)))))))</f>
        <v>6420</v>
      </c>
      <c r="N67" s="71"/>
      <c r="O67" s="27" t="str">
        <f t="shared" ref="O67" si="131">"2 RODADA"</f>
        <v>2 RODADA</v>
      </c>
      <c r="P67" s="107">
        <f t="shared" ref="P67:AI67" si="132">IF(P65="","",IF((_xlfn.STDEV.P($P64:$XX65)/AVERAGE($P64:$XX65))&lt;=25%,P65,IF(OR(P65&gt;(AVERAGE($P64:$XX65)+_xlfn.STDEV.P($P64:$XX65)),P65&lt;(AVERAGE($P64:$XX65)-_xlfn.STDEV.P($P64:$XX65))),"DESCARTADO",P65)))</f>
        <v>6420</v>
      </c>
      <c r="Q67" s="107">
        <f t="shared" si="132"/>
        <v>7195.6026890293124</v>
      </c>
      <c r="R67" s="107">
        <f t="shared" si="132"/>
        <v>5493.7031188727833</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f t="shared" si="48"/>
        <v>3</v>
      </c>
      <c r="C68" s="128">
        <f t="shared" si="49"/>
        <v>1</v>
      </c>
      <c r="D68" s="127">
        <f t="shared" si="49"/>
        <v>3</v>
      </c>
      <c r="E68" s="743"/>
      <c r="F68" s="93"/>
      <c r="G68" s="745"/>
      <c r="H68"/>
      <c r="I68"/>
      <c r="J68"/>
      <c r="K68" s="66"/>
      <c r="L68" s="29" t="s">
        <v>359</v>
      </c>
      <c r="M68" s="30">
        <f t="shared" ref="M68" si="133">HARMEAN($P62:$XX63)</f>
        <v>6292.4268579153313</v>
      </c>
      <c r="N68" s="71"/>
      <c r="O68" s="27" t="str">
        <f t="shared" ref="O68" si="134">"3 POND"</f>
        <v>3 POND</v>
      </c>
      <c r="P68" s="107">
        <f>IF(IFERROR(VLOOKUP(P59,'Tabela de Apoio'!$D:$E,2,FALSE),1)=1,"",P69)</f>
        <v>6420</v>
      </c>
      <c r="Q68" s="107">
        <f>IF(IFERROR(VLOOKUP(Q59,'Tabela de Apoio'!$D:$E,2,FALSE),1)=1,"",Q69)</f>
        <v>7195.6026890293124</v>
      </c>
      <c r="R68" s="107">
        <f>IF(IFERROR(VLOOKUP(R59,'Tabela de Apoio'!$D:$E,2,FALSE),1)=1,"",R69)</f>
        <v>5493.7031188727833</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48"/>
        <v>3</v>
      </c>
      <c r="C69" s="128">
        <f t="shared" si="49"/>
        <v>1</v>
      </c>
      <c r="D69" s="127">
        <f t="shared" si="49"/>
        <v>3</v>
      </c>
      <c r="E69" s="743"/>
      <c r="F69" s="93"/>
      <c r="G69" s="745"/>
      <c r="H69" s="134">
        <f t="shared" ref="H69" si="135">COUNT($P69:$XX69)</f>
        <v>3</v>
      </c>
      <c r="I69" s="132">
        <f t="shared" ref="I69" si="136">_xlfn.STDEV.P($P68:$XX69)/AVERAGE($P68:$XX69)</f>
        <v>0.10921980513879163</v>
      </c>
      <c r="J69" s="7">
        <f t="shared" ref="J69" si="137">IF(AND(H69&gt;2,
OR(L57="MÉDIA SANEADA",L57="MEDIANA SANEADA",
AND(L57="PREÇO ESTIMADO",NOT(AND(P59="Orçamento",COUNTA(P57:XX57)=COUNTIF(P59:XX59,"Orçamento")))))),
ROW(),0)</f>
        <v>69</v>
      </c>
      <c r="K69" s="66"/>
      <c r="L69" s="29" t="s">
        <v>41</v>
      </c>
      <c r="M69" s="30">
        <f t="shared" ref="M69" si="138">IFERROR(_xlfn.QUARTILE.EXC($P63:$XX63,1),"")</f>
        <v>5493.7031188727833</v>
      </c>
      <c r="N69" s="71"/>
      <c r="O69" s="27" t="str">
        <f t="shared" ref="O69" si="139">"3 RODADA"</f>
        <v>3 RODADA</v>
      </c>
      <c r="P69" s="107">
        <f t="shared" ref="P69:AI69" si="140">IF(P67="","",IF((_xlfn.STDEV.P($P66:$XX67)/AVERAGE($P66:$XX67))&lt;=25%,P67,IF(OR(P67&gt;(AVERAGE($P66:$XX67)+_xlfn.STDEV.P($P66:$XX67)),P67&lt;(AVERAGE($P66:$XX67)-_xlfn.STDEV.P($P66:$XX67))),"DESCARTADO",P67)))</f>
        <v>6420</v>
      </c>
      <c r="Q69" s="107">
        <f t="shared" si="140"/>
        <v>7195.6026890293124</v>
      </c>
      <c r="R69" s="107">
        <f t="shared" si="140"/>
        <v>5493.7031188727833</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f t="shared" si="48"/>
        <v>3</v>
      </c>
      <c r="C70" s="128">
        <f t="shared" si="49"/>
        <v>1</v>
      </c>
      <c r="D70" s="127">
        <f t="shared" si="49"/>
        <v>3</v>
      </c>
      <c r="E70" s="743"/>
      <c r="F70" s="93"/>
      <c r="G70" s="745"/>
      <c r="H70"/>
      <c r="I70"/>
      <c r="J70"/>
      <c r="K70" s="66"/>
      <c r="L70" s="29" t="s">
        <v>39</v>
      </c>
      <c r="M70" s="30">
        <f t="shared" ref="M70" si="141">IFERROR(_xlfn.QUARTILE.EXC($P63:$XX63,3),"")</f>
        <v>7195.6026890293124</v>
      </c>
      <c r="N70" s="71"/>
      <c r="O70" s="27" t="str">
        <f t="shared" ref="O70" si="142">"4 POND"</f>
        <v>4 POND</v>
      </c>
      <c r="P70" s="107">
        <f>IF(IFERROR(VLOOKUP(P59,'Tabela de Apoio'!$D:$E,2,FALSE),1)=1,"",P71)</f>
        <v>6420</v>
      </c>
      <c r="Q70" s="107">
        <f>IF(IFERROR(VLOOKUP(Q59,'Tabela de Apoio'!$D:$E,2,FALSE),1)=1,"",Q71)</f>
        <v>7195.6026890293124</v>
      </c>
      <c r="R70" s="107">
        <f>IF(IFERROR(VLOOKUP(R59,'Tabela de Apoio'!$D:$E,2,FALSE),1)=1,"",R71)</f>
        <v>5493.7031188727833</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48"/>
        <v>3</v>
      </c>
      <c r="C71" s="128">
        <f t="shared" si="49"/>
        <v>1</v>
      </c>
      <c r="D71" s="127">
        <f t="shared" si="49"/>
        <v>3</v>
      </c>
      <c r="E71" s="743"/>
      <c r="F71" s="93"/>
      <c r="G71" s="745"/>
      <c r="H71" s="134">
        <f t="shared" ref="H71" si="143">COUNT($P71:$XX71)</f>
        <v>3</v>
      </c>
      <c r="I71" s="132">
        <f t="shared" ref="I71" si="144">_xlfn.STDEV.P($P70:$XX71)/AVERAGE($P70:$XX71)</f>
        <v>0.10921980513879163</v>
      </c>
      <c r="J71" s="7">
        <f t="shared" ref="J71" si="145">IF(AND(H71&gt;2,
OR(L57="MÉDIA SANEADA",L57="MEDIANA SANEADA",
AND(L57="PREÇO ESTIMADO",NOT(AND(P59="Orçamento",COUNTA(P57:XX57)=COUNTIF(P59:XX59,"Orçamento")))))),
ROW(),0)</f>
        <v>71</v>
      </c>
      <c r="K71" s="66"/>
      <c r="L71" s="29" t="s">
        <v>42</v>
      </c>
      <c r="M71" s="30">
        <f t="shared" ref="M71" si="146">MIN($P63:$XX63)</f>
        <v>5493.7031188727833</v>
      </c>
      <c r="N71" s="71"/>
      <c r="O71" s="27" t="str">
        <f t="shared" ref="O71" si="147">"4 RODADA"</f>
        <v>4 RODADA</v>
      </c>
      <c r="P71" s="107">
        <f t="shared" ref="P71:AI71" si="148">IF(P69="","",IF((_xlfn.STDEV.P($P68:$XX69)/AVERAGE($P68:$XX69))&lt;=25%,P69,IF(OR(P69&gt;(AVERAGE($P68:$XX69)+_xlfn.STDEV.P($P68:$XX69)),P69&lt;(AVERAGE($P68:$XX69)-_xlfn.STDEV.P($P68:$XX69))),"DESCARTADO",P69)))</f>
        <v>6420</v>
      </c>
      <c r="Q71" s="107">
        <f t="shared" si="148"/>
        <v>7195.6026890293124</v>
      </c>
      <c r="R71" s="107">
        <f t="shared" si="148"/>
        <v>5493.7031188727833</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f t="shared" si="48"/>
        <v>3</v>
      </c>
      <c r="C72" s="128">
        <f t="shared" si="49"/>
        <v>1</v>
      </c>
      <c r="D72" s="127">
        <f t="shared" si="49"/>
        <v>3</v>
      </c>
      <c r="E72" s="743"/>
      <c r="F72" s="93"/>
      <c r="G72" s="745"/>
      <c r="H72"/>
      <c r="I72"/>
      <c r="J72"/>
      <c r="K72" s="66"/>
      <c r="L72" s="29" t="s">
        <v>40</v>
      </c>
      <c r="M72" s="30">
        <f t="shared" ref="M72" si="149">MAX($P63:$XX63)</f>
        <v>7195.6026890293124</v>
      </c>
      <c r="N72" s="71"/>
      <c r="O72" s="27" t="str">
        <f t="shared" ref="O72" si="150">"5 POND"</f>
        <v>5 POND</v>
      </c>
      <c r="P72" s="107">
        <f>IF(IFERROR(VLOOKUP(P59,'Tabela de Apoio'!$D:$E,2,FALSE),1)=1,"",P73)</f>
        <v>6420</v>
      </c>
      <c r="Q72" s="107">
        <f>IF(IFERROR(VLOOKUP(Q59,'Tabela de Apoio'!$D:$E,2,FALSE),1)=1,"",Q73)</f>
        <v>7195.6026890293124</v>
      </c>
      <c r="R72" s="107">
        <f>IF(IFERROR(VLOOKUP(R59,'Tabela de Apoio'!$D:$E,2,FALSE),1)=1,"",R73)</f>
        <v>5493.7031188727833</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48"/>
        <v>3</v>
      </c>
      <c r="C73" s="128">
        <f t="shared" si="49"/>
        <v>1</v>
      </c>
      <c r="D73" s="127">
        <f t="shared" si="49"/>
        <v>3</v>
      </c>
      <c r="E73" s="743"/>
      <c r="F73" s="93"/>
      <c r="G73" s="745"/>
      <c r="H73" s="134">
        <f t="shared" ref="H73" si="151">COUNT($P73:$XX73)</f>
        <v>3</v>
      </c>
      <c r="I73" s="132">
        <f t="shared" ref="I73" si="152">_xlfn.STDEV.P($P72:$XX73)/AVERAGE($P72:$XX73)</f>
        <v>0.10921980513879163</v>
      </c>
      <c r="J73" s="7">
        <f t="shared" ref="J73" si="153">IF(AND(H73&gt;2,
OR(L57="MÉDIA SANEADA",L57="MEDIANA SANEADA",
AND(L57="PREÇO ESTIMADO",NOT(AND(P59="Orçamento",COUNTA(P57:XX57)=COUNTIF(P59:XX59,"Orçamento")))))),
ROW(),0)</f>
        <v>73</v>
      </c>
      <c r="K73" s="66"/>
      <c r="N73" s="71"/>
      <c r="O73" s="27" t="str">
        <f t="shared" ref="O73" si="154">"5 RODADA"</f>
        <v>5 RODADA</v>
      </c>
      <c r="P73" s="107">
        <f t="shared" ref="P73:AI73" si="155">IF(P71="","",IF((_xlfn.STDEV.P($P70:$XX71)/AVERAGE($P70:$XX71))&lt;=25%,P71,IF(OR(P71&gt;(AVERAGE($P70:$XX71)+_xlfn.STDEV.P($P70:$XX71)),P71&lt;(AVERAGE($P70:$XX71)-_xlfn.STDEV.P($P70:$XX71))),"DESCARTADO",P71)))</f>
        <v>6420</v>
      </c>
      <c r="Q73" s="107">
        <f t="shared" si="155"/>
        <v>7195.6026890293124</v>
      </c>
      <c r="R73" s="107">
        <f t="shared" si="155"/>
        <v>5493.7031188727833</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f t="shared" si="48"/>
        <v>3</v>
      </c>
      <c r="C74" s="128">
        <f t="shared" si="49"/>
        <v>1</v>
      </c>
      <c r="D74" s="127">
        <f t="shared" si="49"/>
        <v>3</v>
      </c>
      <c r="E74" s="743"/>
      <c r="F74" s="93"/>
      <c r="G74" s="745"/>
      <c r="H74"/>
      <c r="I74"/>
      <c r="J74"/>
      <c r="K74" s="66"/>
      <c r="L74" s="22"/>
      <c r="M74" s="22"/>
      <c r="N74" s="71"/>
      <c r="O74" s="27" t="str">
        <f t="shared" ref="O74" si="156">"6 POND"</f>
        <v>6 POND</v>
      </c>
      <c r="P74" s="107">
        <f>IF(IFERROR(VLOOKUP(P59,'Tabela de Apoio'!$D:$E,2,FALSE),1)=1,"",P75)</f>
        <v>6420</v>
      </c>
      <c r="Q74" s="107">
        <f>IF(IFERROR(VLOOKUP(Q59,'Tabela de Apoio'!$D:$E,2,FALSE),1)=1,"",Q75)</f>
        <v>7195.6026890293124</v>
      </c>
      <c r="R74" s="107">
        <f>IF(IFERROR(VLOOKUP(R59,'Tabela de Apoio'!$D:$E,2,FALSE),1)=1,"",R75)</f>
        <v>5493.7031188727833</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48"/>
        <v>3</v>
      </c>
      <c r="C75" s="128">
        <f t="shared" si="49"/>
        <v>1</v>
      </c>
      <c r="D75" s="127">
        <f t="shared" si="49"/>
        <v>3</v>
      </c>
      <c r="E75" s="743"/>
      <c r="F75" s="93"/>
      <c r="G75" s="745"/>
      <c r="H75" s="134">
        <f t="shared" ref="H75" si="157">COUNT($P75:$XX75)</f>
        <v>3</v>
      </c>
      <c r="I75" s="132">
        <f t="shared" ref="I75" si="158">_xlfn.STDEV.P($P74:$XX75)/AVERAGE($P74:$XX75)</f>
        <v>0.10921980513879163</v>
      </c>
      <c r="J75" s="7">
        <f t="shared" ref="J75" si="159">IF(AND(H75&gt;2,
OR(L57="MÉDIA SANEADA",L57="MEDIANA SANEADA",
AND(L57="PREÇO ESTIMADO",NOT(AND(P59="Orçamento",COUNTA(P57:XX57)=COUNTIF(P59:XX59,"Orçamento")))))),
ROW(),0)</f>
        <v>75</v>
      </c>
      <c r="N75" s="71"/>
      <c r="O75" s="27" t="str">
        <f t="shared" ref="O75" si="160">"6 RODADA"</f>
        <v>6 RODADA</v>
      </c>
      <c r="P75" s="107">
        <f t="shared" ref="P75:AI75" si="161">IFERROR(IF(P73="","",IF((_xlfn.STDEV.P($P72:$XX73)/AVERAGE($P72:$XX73))&lt;=25%,P73,IF(OR(P73&gt;(AVERAGE($P72:$XX73)+_xlfn.STDEV.P($P72:$XX73)),P73&lt;(AVERAGE($P72:$XX73)-_xlfn.STDEV.P($P72:$XX73))),"DESCARTADO",P73))),)</f>
        <v>6420</v>
      </c>
      <c r="Q75" s="107">
        <f t="shared" si="161"/>
        <v>7195.6026890293124</v>
      </c>
      <c r="R75" s="107">
        <f t="shared" si="161"/>
        <v>5493.7031188727833</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f t="shared" si="48"/>
        <v>3</v>
      </c>
      <c r="C76" s="128">
        <f t="shared" si="49"/>
        <v>1</v>
      </c>
      <c r="D76" s="127">
        <f t="shared" si="49"/>
        <v>3</v>
      </c>
      <c r="E76" s="743"/>
      <c r="F76" s="136"/>
      <c r="G76" s="745"/>
      <c r="H76" s="748"/>
      <c r="I76" s="748"/>
      <c r="J76" s="749"/>
      <c r="K76" s="67"/>
      <c r="L76" s="1" t="s">
        <v>43</v>
      </c>
      <c r="M76" s="144">
        <f t="shared" ref="M76" si="162">IFERROR(ROUND(M57*M59,2),"")</f>
        <v>0</v>
      </c>
      <c r="O76" s="27" t="s">
        <v>363</v>
      </c>
      <c r="P76" s="107">
        <f t="shared" ref="P76:R76" si="163">INDEX(P63:P75,MATCH(MAX($J63:$J75),$J63:$J75,0))</f>
        <v>6420</v>
      </c>
      <c r="Q76" s="107">
        <f t="shared" si="163"/>
        <v>7195.6026890293124</v>
      </c>
      <c r="R76" s="107">
        <f t="shared" si="163"/>
        <v>5493.7031188727833</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f t="shared" ref="B78" si="164">LARGE(IFERROR(IF(B76+1&gt;$H$8,"",B76+1),""),1)</f>
        <v>4</v>
      </c>
      <c r="C78" s="127">
        <f>IF(_xlfn.ISFORMULA(E82),MAX(INDEX('BASE FORMAÇÃO'!A:A,B78+1),1),E82)</f>
        <v>1</v>
      </c>
      <c r="D78" s="127">
        <f t="shared" ref="D78" si="165">IFERROR(IF(C78=C68,D68+1,1),1)</f>
        <v>4</v>
      </c>
      <c r="E78" s="38" t="s">
        <v>9</v>
      </c>
      <c r="F78" s="73"/>
      <c r="G78" s="38" t="s">
        <v>15</v>
      </c>
      <c r="H78" s="135">
        <f>INDEX('BASE FORMAÇÃO'!B:B,B78+1)</f>
        <v>0</v>
      </c>
      <c r="I78" s="143" t="s">
        <v>16</v>
      </c>
      <c r="J78" s="6">
        <f>INDEX('BASE FORMAÇÃO'!K:K,B78+1)</f>
        <v>0</v>
      </c>
      <c r="K78" s="65"/>
      <c r="L78" s="750" t="s">
        <v>10</v>
      </c>
      <c r="M78" s="752">
        <f t="shared" ref="M78" si="166">IF(OR(ISBLANK($O$8),ISBLANK($O$7),ISBLANK($H$8),ISBLANK($O$6),ISBLANK($O$5),ISBLANK($H$5)),"",IFERROR(IF(VLOOKUP(L78,L84:M93,2,FALSE)&lt;1,ROUND(VLOOKUP(L78,L84:M93,2,FALSE),4),ROUND(VLOOKUP(L78,L84:M93,2,FALSE),2)),""))</f>
        <v>6350.65</v>
      </c>
      <c r="N78" s="69"/>
      <c r="O78" s="27" t="s">
        <v>17</v>
      </c>
      <c r="P78" s="113">
        <v>5050</v>
      </c>
      <c r="Q78" s="113">
        <v>5480</v>
      </c>
      <c r="R78" s="113">
        <v>7813</v>
      </c>
      <c r="S78" s="113">
        <v>4800</v>
      </c>
      <c r="T78" s="113">
        <v>9500</v>
      </c>
      <c r="U78" s="105">
        <v>6623</v>
      </c>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79" si="167">B78</f>
        <v>4</v>
      </c>
      <c r="C79" s="128">
        <f t="shared" si="167"/>
        <v>1</v>
      </c>
      <c r="D79" s="127">
        <f t="shared" si="167"/>
        <v>4</v>
      </c>
      <c r="E79" s="754">
        <f t="shared" ref="E79" si="168">D78</f>
        <v>4</v>
      </c>
      <c r="F79" s="92"/>
      <c r="G79" s="756" t="s">
        <v>1</v>
      </c>
      <c r="H79" s="765" t="s">
        <v>435</v>
      </c>
      <c r="I79" s="759"/>
      <c r="J79" s="760"/>
      <c r="K79" s="66"/>
      <c r="L79" s="751"/>
      <c r="M79" s="753"/>
      <c r="N79" s="70"/>
      <c r="O79" s="27" t="s">
        <v>13</v>
      </c>
      <c r="P79" s="122">
        <v>45742</v>
      </c>
      <c r="Q79" s="122">
        <v>45733</v>
      </c>
      <c r="R79" s="122">
        <v>45714</v>
      </c>
      <c r="S79" s="122">
        <v>45701</v>
      </c>
      <c r="T79" s="122">
        <v>45618</v>
      </c>
      <c r="U79" s="122">
        <v>45499</v>
      </c>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ref="B80:D80" si="169">B79</f>
        <v>4</v>
      </c>
      <c r="C80" s="128">
        <f t="shared" si="169"/>
        <v>1</v>
      </c>
      <c r="D80" s="127">
        <f t="shared" si="169"/>
        <v>4</v>
      </c>
      <c r="E80" s="755"/>
      <c r="F80" s="93"/>
      <c r="G80" s="757"/>
      <c r="H80" s="761"/>
      <c r="I80" s="761"/>
      <c r="J80" s="762"/>
      <c r="K80" s="64"/>
      <c r="L80" s="130" t="s">
        <v>44</v>
      </c>
      <c r="M80" s="131">
        <f>INDEX('BASE FORMAÇÃO'!H:H,B82+1)</f>
        <v>0</v>
      </c>
      <c r="N80" s="71"/>
      <c r="O80" s="27" t="s">
        <v>380</v>
      </c>
      <c r="P80" s="114" t="s">
        <v>12</v>
      </c>
      <c r="Q80" s="114" t="s">
        <v>12</v>
      </c>
      <c r="R80" s="114" t="s">
        <v>12</v>
      </c>
      <c r="S80" s="114" t="s">
        <v>12</v>
      </c>
      <c r="T80" s="114" t="s">
        <v>12</v>
      </c>
      <c r="U80" s="114" t="s">
        <v>12</v>
      </c>
      <c r="V80" s="114"/>
      <c r="W80" s="114"/>
      <c r="X80" s="114"/>
      <c r="Y80" s="114"/>
      <c r="Z80" s="114"/>
      <c r="AA80" s="118"/>
      <c r="AB80" s="118"/>
      <c r="AC80" s="118"/>
      <c r="AD80" s="118"/>
      <c r="AE80" s="118"/>
      <c r="AF80" s="118"/>
      <c r="AG80" s="118"/>
      <c r="AH80" s="118"/>
      <c r="AI80" s="118"/>
    </row>
    <row r="81" spans="1:35" s="116" customFormat="1" x14ac:dyDescent="0.25">
      <c r="A81" s="74"/>
      <c r="B81" s="128">
        <f t="shared" ref="B81:C81" si="170">B80</f>
        <v>4</v>
      </c>
      <c r="C81" s="128">
        <f t="shared" si="170"/>
        <v>1</v>
      </c>
      <c r="D81" s="127">
        <f t="shared" si="49"/>
        <v>4</v>
      </c>
      <c r="E81" s="38" t="s">
        <v>313</v>
      </c>
      <c r="F81" s="93"/>
      <c r="G81" s="758"/>
      <c r="H81" s="763"/>
      <c r="I81" s="763"/>
      <c r="J81" s="764"/>
      <c r="K81" s="64"/>
      <c r="L81" s="1" t="s">
        <v>2</v>
      </c>
      <c r="M81" s="6">
        <f>INDEX('BASE FORMAÇÃO'!D:D,B82+1)</f>
        <v>0</v>
      </c>
      <c r="N81" s="71"/>
      <c r="O81" s="27" t="s">
        <v>381</v>
      </c>
      <c r="P81" s="182" t="s">
        <v>450</v>
      </c>
      <c r="Q81" s="182" t="s">
        <v>450</v>
      </c>
      <c r="R81" s="182" t="s">
        <v>450</v>
      </c>
      <c r="S81" s="182" t="s">
        <v>450</v>
      </c>
      <c r="T81" s="182" t="s">
        <v>450</v>
      </c>
      <c r="U81" s="182" t="s">
        <v>450</v>
      </c>
      <c r="V81" s="118"/>
      <c r="W81" s="118"/>
      <c r="X81" s="118"/>
      <c r="Y81" s="118"/>
      <c r="Z81" s="118"/>
      <c r="AA81" s="118"/>
      <c r="AB81" s="118"/>
      <c r="AC81" s="118"/>
      <c r="AD81" s="118"/>
      <c r="AE81" s="118"/>
      <c r="AF81" s="118"/>
      <c r="AG81" s="118"/>
      <c r="AH81" s="118"/>
      <c r="AI81" s="118"/>
    </row>
    <row r="82" spans="1:35" x14ac:dyDescent="0.25">
      <c r="B82" s="128">
        <f t="shared" ref="B82:C82" si="171">B80</f>
        <v>4</v>
      </c>
      <c r="C82" s="128">
        <f t="shared" si="171"/>
        <v>1</v>
      </c>
      <c r="D82" s="127">
        <f t="shared" si="49"/>
        <v>4</v>
      </c>
      <c r="E82" s="742">
        <f t="shared" ref="E82" si="172">C78</f>
        <v>1</v>
      </c>
      <c r="F82" s="93"/>
      <c r="G82" s="744" t="s">
        <v>304</v>
      </c>
      <c r="H82" s="746"/>
      <c r="I82" s="747"/>
      <c r="J82" s="747"/>
      <c r="K82" s="67"/>
      <c r="L82" s="28" t="s">
        <v>303</v>
      </c>
      <c r="M82" s="133">
        <f t="shared" ref="M82" si="173">IFERROR(INDEX(I84:I96,MATCH(MAX(J84:J96),J84:J96,0)),"")</f>
        <v>0.18219058927022816</v>
      </c>
      <c r="N82" s="71"/>
      <c r="O82" s="27" t="s">
        <v>18</v>
      </c>
      <c r="P82" s="106">
        <f>IF(P78="","",
IF(OR(P80="Orçamento",P79="",MAX('Tabela de Apoio'!$A:$A)&lt;=P79),
P78,
(INDEX('Tabela de Apoio'!$B:$B,MATCH('MAPA DE PREÇOS'!$O$8,'Tabela de Apoio'!$A:$A,1))/INDEX('Tabela de Apoio'!$B:$B,MATCH('MAPA DE PREÇOS'!P79,'Tabela de Apoio'!$A:$A,1)-1))*P78))</f>
        <v>5050</v>
      </c>
      <c r="Q82" s="106">
        <f>IF(Q78="","",
IF(OR(Q80="Orçamento",Q79="",MAX('Tabela de Apoio'!$A:$A)&lt;=Q79),
Q78,
(INDEX('Tabela de Apoio'!$B:$B,MATCH('MAPA DE PREÇOS'!$O$8,'Tabela de Apoio'!$A:$A,1))/INDEX('Tabela de Apoio'!$B:$B,MATCH('MAPA DE PREÇOS'!Q79,'Tabela de Apoio'!$A:$A,1)-1))*Q78))</f>
        <v>5480</v>
      </c>
      <c r="R82" s="106">
        <f>IF(R78="","",
IF(OR(R80="Orçamento",R79="",MAX('Tabela de Apoio'!$A:$A)&lt;=R79),
R78,
(INDEX('Tabela de Apoio'!$B:$B,MATCH('MAPA DE PREÇOS'!$O$8,'Tabela de Apoio'!$A:$A,1))/INDEX('Tabela de Apoio'!$B:$B,MATCH('MAPA DE PREÇOS'!R79,'Tabela de Apoio'!$A:$A,1)-1))*R78))</f>
        <v>7959.6833936551066</v>
      </c>
      <c r="S82" s="106">
        <f>IF(S78="","",
IF(OR(S80="Orçamento",S79="",MAX('Tabela de Apoio'!$A:$A)&lt;=S79),
S78,
(INDEX('Tabela de Apoio'!$B:$B,MATCH('MAPA DE PREÇOS'!$O$8,'Tabela de Apoio'!$A:$A,1))/INDEX('Tabela de Apoio'!$B:$B,MATCH('MAPA DE PREÇOS'!S79,'Tabela de Apoio'!$A:$A,1)-1))*S78))</f>
        <v>4890.1165096050827</v>
      </c>
      <c r="T82" s="106">
        <f>IF(T78="","",
IF(OR(T80="Orçamento",T79="",MAX('Tabela de Apoio'!$A:$A)&lt;=T79),
T78,
(INDEX('Tabela de Apoio'!$B:$B,MATCH('MAPA DE PREÇOS'!$O$8,'Tabela de Apoio'!$A:$A,1))/INDEX('Tabela de Apoio'!$B:$B,MATCH('MAPA DE PREÇOS'!T79,'Tabela de Apoio'!$A:$A,1)-1))*T78))</f>
        <v>9782.2458582812342</v>
      </c>
      <c r="U82" s="106">
        <f>IF(U78="","",
IF(OR(U80="Orçamento",U79="",MAX('Tabela de Apoio'!$A:$A)&lt;=U79),
U78,
(INDEX('Tabela de Apoio'!$B:$B,MATCH('MAPA DE PREÇOS'!$O$8,'Tabela de Apoio'!$A:$A,1))/INDEX('Tabela de Apoio'!$B:$B,MATCH('MAPA DE PREÇOS'!U79,'Tabela de Apoio'!$A:$A,1)-1))*U78))</f>
        <v>6912.9269769833945</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 si="174">B82</f>
        <v>4</v>
      </c>
      <c r="C83" s="128">
        <f t="shared" ref="C83" si="175">C82</f>
        <v>1</v>
      </c>
      <c r="D83" s="127">
        <f t="shared" si="49"/>
        <v>4</v>
      </c>
      <c r="E83" s="743"/>
      <c r="F83" s="93"/>
      <c r="G83" s="745"/>
      <c r="H83"/>
      <c r="I83"/>
      <c r="J83"/>
      <c r="N83" s="71"/>
      <c r="O83" s="27" t="s">
        <v>375</v>
      </c>
      <c r="P83" s="107">
        <f>IF(IFERROR(VLOOKUP(P80,'Tabela de Apoio'!$D:$E,2,FALSE),1)=1,"",P84)</f>
        <v>5050</v>
      </c>
      <c r="Q83" s="107">
        <f>IF(IFERROR(VLOOKUP(Q80,'Tabela de Apoio'!$D:$E,2,FALSE),1)=1,"",Q84)</f>
        <v>5480</v>
      </c>
      <c r="R83" s="107">
        <f>IF(IFERROR(VLOOKUP(R80,'Tabela de Apoio'!$D:$E,2,FALSE),1)=1,"",R84)</f>
        <v>7959.6833936551066</v>
      </c>
      <c r="S83" s="107">
        <f>IF(IFERROR(VLOOKUP(S80,'Tabela de Apoio'!$D:$E,2,FALSE),1)=1,"",S84)</f>
        <v>4890.1165096050827</v>
      </c>
      <c r="T83" s="107">
        <f>IF(IFERROR(VLOOKUP(T80,'Tabela de Apoio'!$D:$E,2,FALSE),1)=1,"",T84)</f>
        <v>9782.2458582812342</v>
      </c>
      <c r="U83" s="107">
        <f>IF(IFERROR(VLOOKUP(U80,'Tabela de Apoio'!$D:$E,2,FALSE),1)=1,"",U84)</f>
        <v>6912.9269769833945</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ref="B84:C84" si="176">B83</f>
        <v>4</v>
      </c>
      <c r="C84" s="128">
        <f t="shared" si="176"/>
        <v>1</v>
      </c>
      <c r="D84" s="127">
        <f t="shared" si="49"/>
        <v>4</v>
      </c>
      <c r="E84" s="743"/>
      <c r="F84" s="93"/>
      <c r="G84" s="745"/>
      <c r="H84" s="134">
        <f t="shared" ref="H84" si="177">COUNT($P84:$XX84)</f>
        <v>6</v>
      </c>
      <c r="I84" s="132">
        <f t="shared" ref="I84" si="178">_xlfn.STDEV.P($P83:$XX84)/AVERAGE($P83:$XX84)</f>
        <v>0.26372402046708676</v>
      </c>
      <c r="J84" s="7">
        <f>ROW()</f>
        <v>84</v>
      </c>
      <c r="K84" s="67"/>
      <c r="L84" s="29" t="s">
        <v>10</v>
      </c>
      <c r="M84" s="30">
        <f t="shared" ref="M84" si="179">IFERROR(
IF(COUNTA(P78:AI78)=COUNTIF(P80:XX80,"Orçamento"),MIN(M89,M86),
IF(M87&lt;&gt;"",M87,
IF(M88&lt;&gt;"",M88,
M86
))),"")</f>
        <v>6350.652592659625</v>
      </c>
      <c r="N84" s="71"/>
      <c r="O84" s="27" t="s">
        <v>376</v>
      </c>
      <c r="P84" s="106">
        <f t="shared" ref="P84:AI84" si="180">IFERROR(IF(P82="",
            "",
            IF(COUNT($P82:$XX82)&lt;=4,
               P82,
               IF(OR(P82&gt;(QUARTILE($P82:$XX82,3)+(QUARTILE($P82:$XX82,3)-QUARTILE($P82:$XX82,1))),
                     P82&lt;(QUARTILE($P82:$XX82,1)-(QUARTILE($P82:$XX82,3)-QUARTILE($P82:$XX82,1)))
                  ),
               "DESCARTADO",P82)
             )
  ),P82)</f>
        <v>5050</v>
      </c>
      <c r="Q84" s="106">
        <f t="shared" si="180"/>
        <v>5480</v>
      </c>
      <c r="R84" s="106">
        <f t="shared" si="180"/>
        <v>7959.6833936551066</v>
      </c>
      <c r="S84" s="106">
        <f t="shared" si="180"/>
        <v>4890.1165096050827</v>
      </c>
      <c r="T84" s="106">
        <f t="shared" si="180"/>
        <v>9782.2458582812342</v>
      </c>
      <c r="U84" s="106">
        <f t="shared" si="180"/>
        <v>6912.9269769833945</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f t="shared" ref="B85" si="181">B84</f>
        <v>4</v>
      </c>
      <c r="C85" s="128">
        <f t="shared" ref="C85" si="182">C84</f>
        <v>1</v>
      </c>
      <c r="D85" s="127">
        <f t="shared" si="49"/>
        <v>4</v>
      </c>
      <c r="E85" s="743"/>
      <c r="F85" s="93"/>
      <c r="G85" s="745"/>
      <c r="H85"/>
      <c r="I85"/>
      <c r="J85"/>
      <c r="K85" s="66"/>
      <c r="L85" s="29" t="s">
        <v>360</v>
      </c>
      <c r="M85" s="30">
        <f t="shared" ref="M85" si="183">AVERAGE($P84:$XX84)</f>
        <v>6679.1621230874689</v>
      </c>
      <c r="N85" s="71"/>
      <c r="O85" s="27" t="str">
        <f t="shared" ref="O85" si="184">"1 POND"</f>
        <v>1 POND</v>
      </c>
      <c r="P85" s="107">
        <f>IF(IFERROR(VLOOKUP(P80,'Tabela de Apoio'!$D:$E,2,FALSE),1)=1,"",P86)</f>
        <v>5050</v>
      </c>
      <c r="Q85" s="107">
        <f>IF(IFERROR(VLOOKUP(Q80,'Tabela de Apoio'!$D:$E,2,FALSE),1)=1,"",Q86)</f>
        <v>5480</v>
      </c>
      <c r="R85" s="107">
        <f>IF(IFERROR(VLOOKUP(R80,'Tabela de Apoio'!$D:$E,2,FALSE),1)=1,"",R86)</f>
        <v>7959.6833936551066</v>
      </c>
      <c r="S85" s="107" t="str">
        <f>IF(IFERROR(VLOOKUP(S80,'Tabela de Apoio'!$D:$E,2,FALSE),1)=1,"",S86)</f>
        <v>DESCARTADO</v>
      </c>
      <c r="T85" s="107" t="str">
        <f>IF(IFERROR(VLOOKUP(T80,'Tabela de Apoio'!$D:$E,2,FALSE),1)=1,"",T86)</f>
        <v>DESCARTADO</v>
      </c>
      <c r="U85" s="107">
        <f>IF(IFERROR(VLOOKUP(U80,'Tabela de Apoio'!$D:$E,2,FALSE),1)=1,"",U86)</f>
        <v>6912.9269769833945</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48"/>
        <v>4</v>
      </c>
      <c r="C86" s="128">
        <f t="shared" si="49"/>
        <v>1</v>
      </c>
      <c r="D86" s="127">
        <f t="shared" si="49"/>
        <v>4</v>
      </c>
      <c r="E86" s="743"/>
      <c r="F86" s="93"/>
      <c r="G86" s="745"/>
      <c r="H86" s="134">
        <f t="shared" ref="H86" si="185">COUNT($P86:$XX86)</f>
        <v>4</v>
      </c>
      <c r="I86" s="132">
        <f t="shared" ref="I86" si="186">_xlfn.STDEV.P($P85:$XX86)/AVERAGE($P85:$XX86)</f>
        <v>0.18219058927022816</v>
      </c>
      <c r="J86" s="7">
        <f t="shared" ref="J86" si="187">IF(AND(H86&gt;2,
OR(L78="MÉDIA SANEADA",L78="MEDIANA SANEADA",
AND(L78="PREÇO ESTIMADO",NOT(AND(P80="Orçamento",COUNTA(P78:XX78)=COUNTIF(P80:XX80,"Orçamento")))))),
ROW(),0)</f>
        <v>86</v>
      </c>
      <c r="K86" s="66"/>
      <c r="L86" s="29" t="s">
        <v>361</v>
      </c>
      <c r="M86" s="30">
        <f t="shared" ref="M86" si="188">MEDIAN($P84:$XX84)</f>
        <v>6196.4634884916977</v>
      </c>
      <c r="N86" s="71"/>
      <c r="O86" s="27" t="str">
        <f t="shared" ref="O86" si="189">"1 RODADA"</f>
        <v>1 RODADA</v>
      </c>
      <c r="P86" s="107">
        <f t="shared" ref="P86:AI86" si="190">IF(P84="","",IF((_xlfn.STDEV.P($P83:$XX84)/AVERAGE($P83:$XX84))&lt;=25%,P84,IF(OR(P84&gt;(AVERAGE($P83:$XX84)+_xlfn.STDEV.P($P83:$XX84)),P84&lt;(AVERAGE($P83:$XX84)-_xlfn.STDEV.P($P83:$XX84))),"DESCARTADO",P84)))</f>
        <v>5050</v>
      </c>
      <c r="Q86" s="107">
        <f t="shared" si="190"/>
        <v>5480</v>
      </c>
      <c r="R86" s="107">
        <f t="shared" si="190"/>
        <v>7959.6833936551066</v>
      </c>
      <c r="S86" s="107" t="str">
        <f t="shared" si="190"/>
        <v>DESCARTADO</v>
      </c>
      <c r="T86" s="107" t="str">
        <f t="shared" si="190"/>
        <v>DESCARTADO</v>
      </c>
      <c r="U86" s="107">
        <f t="shared" si="190"/>
        <v>6912.9269769833945</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f t="shared" si="48"/>
        <v>4</v>
      </c>
      <c r="C87" s="128">
        <f t="shared" si="49"/>
        <v>1</v>
      </c>
      <c r="D87" s="127">
        <f t="shared" si="49"/>
        <v>4</v>
      </c>
      <c r="E87" s="743"/>
      <c r="F87" s="93"/>
      <c r="G87" s="745"/>
      <c r="H87"/>
      <c r="I87"/>
      <c r="J87"/>
      <c r="L87" s="29" t="s">
        <v>38</v>
      </c>
      <c r="M87" s="30">
        <f t="shared" ref="M87" si="191">IFERROR(
IF(AND(H86&gt;2,I86&lt;=25%),AVERAGE(P85:XX86),
IF(AND(H88&gt;2,I88&lt;=25%),AVERAGE(P87:XX88),
IF(AND(H90&gt;2,I90&lt;=25%),AVERAGE(P89:XX90),
IF(AND(H92&gt;2,I92&lt;=25%),AVERAGE(P91:XX92),
IF(AND(H94&gt;2,I94&lt;=25%),AVERAGE(P93:XX94),
IF(AND(H96&gt;2,I96&lt;=25%),AVERAGE(P95:XX96),
IF(I84&lt;=25%,AVERAGE(P83:XX84),""))))))),"")</f>
        <v>6350.652592659625</v>
      </c>
      <c r="N87" s="71"/>
      <c r="O87" s="27" t="str">
        <f t="shared" ref="O87" si="192">"2 POND"</f>
        <v>2 POND</v>
      </c>
      <c r="P87" s="107">
        <f>IF(IFERROR(VLOOKUP(P80,'Tabela de Apoio'!$D:$E,2,FALSE),1)=1,"",P88)</f>
        <v>5050</v>
      </c>
      <c r="Q87" s="107">
        <f>IF(IFERROR(VLOOKUP(Q80,'Tabela de Apoio'!$D:$E,2,FALSE),1)=1,"",Q88)</f>
        <v>5480</v>
      </c>
      <c r="R87" s="107">
        <f>IF(IFERROR(VLOOKUP(R80,'Tabela de Apoio'!$D:$E,2,FALSE),1)=1,"",R88)</f>
        <v>7959.6833936551066</v>
      </c>
      <c r="S87" s="107" t="str">
        <f>IF(IFERROR(VLOOKUP(S80,'Tabela de Apoio'!$D:$E,2,FALSE),1)=1,"",S88)</f>
        <v>DESCARTADO</v>
      </c>
      <c r="T87" s="107" t="str">
        <f>IF(IFERROR(VLOOKUP(T80,'Tabela de Apoio'!$D:$E,2,FALSE),1)=1,"",T88)</f>
        <v>DESCARTADO</v>
      </c>
      <c r="U87" s="107">
        <f>IF(IFERROR(VLOOKUP(U80,'Tabela de Apoio'!$D:$E,2,FALSE),1)=1,"",U88)</f>
        <v>6912.9269769833945</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48"/>
        <v>4</v>
      </c>
      <c r="C88" s="128">
        <f t="shared" si="49"/>
        <v>1</v>
      </c>
      <c r="D88" s="127">
        <f t="shared" si="49"/>
        <v>4</v>
      </c>
      <c r="E88" s="743"/>
      <c r="F88" s="93"/>
      <c r="G88" s="745"/>
      <c r="H88" s="134">
        <f t="shared" ref="H88" si="193">COUNT($P88:$XX88)</f>
        <v>4</v>
      </c>
      <c r="I88" s="132">
        <f t="shared" ref="I88" si="194">_xlfn.STDEV.P($P87:$XX88)/AVERAGE($P87:$XX88)</f>
        <v>0.18219058927022816</v>
      </c>
      <c r="J88" s="7">
        <f t="shared" ref="J88" si="195">IF(AND(H88&gt;2,
OR(L78="MÉDIA SANEADA",L78="MEDIANA SANEADA",
AND(L78="PREÇO ESTIMADO",NOT(AND(P80="Orçamento",COUNTA(P78:XX78)=COUNTIF(P80:XX80,"Orçamento")))))),
ROW(),0)</f>
        <v>88</v>
      </c>
      <c r="K88" s="66"/>
      <c r="L88" s="29" t="s">
        <v>362</v>
      </c>
      <c r="M88" s="30">
        <f t="shared" ref="M88" si="196" xml:space="preserve">
IF(H86&gt;2,MEDIAN(P85:XX86),
IF(H88&gt;2,MEDIAN(P87:XX88),
IF(H90&gt;2,MEDIAN(P89:XX90),
IF(H92&gt;2,MEDIAN(P91:XX92),
IF(H94&gt;2,MEDIAN(P93:XX94),
IF(H96&gt;2,MEDIAN(P95:XX96),
MEDIAN(P83:XX84)))))))</f>
        <v>6196.4634884916977</v>
      </c>
      <c r="N88" s="71"/>
      <c r="O88" s="27" t="str">
        <f t="shared" ref="O88" si="197">"2 RODADA"</f>
        <v>2 RODADA</v>
      </c>
      <c r="P88" s="107">
        <f t="shared" ref="P88:AI88" si="198">IF(P86="","",IF((_xlfn.STDEV.P($P85:$XX86)/AVERAGE($P85:$XX86))&lt;=25%,P86,IF(OR(P86&gt;(AVERAGE($P85:$XX86)+_xlfn.STDEV.P($P85:$XX86)),P86&lt;(AVERAGE($P85:$XX86)-_xlfn.STDEV.P($P85:$XX86))),"DESCARTADO",P86)))</f>
        <v>5050</v>
      </c>
      <c r="Q88" s="107">
        <f t="shared" si="198"/>
        <v>5480</v>
      </c>
      <c r="R88" s="107">
        <f t="shared" si="198"/>
        <v>7959.6833936551066</v>
      </c>
      <c r="S88" s="107" t="str">
        <f t="shared" si="198"/>
        <v>DESCARTADO</v>
      </c>
      <c r="T88" s="107" t="str">
        <f t="shared" si="198"/>
        <v>DESCARTADO</v>
      </c>
      <c r="U88" s="107">
        <f t="shared" si="198"/>
        <v>6912.9269769833945</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f t="shared" si="48"/>
        <v>4</v>
      </c>
      <c r="C89" s="128">
        <f t="shared" si="49"/>
        <v>1</v>
      </c>
      <c r="D89" s="127">
        <f t="shared" si="49"/>
        <v>4</v>
      </c>
      <c r="E89" s="743"/>
      <c r="F89" s="93"/>
      <c r="G89" s="745"/>
      <c r="H89"/>
      <c r="I89"/>
      <c r="J89"/>
      <c r="K89" s="66"/>
      <c r="L89" s="29" t="s">
        <v>359</v>
      </c>
      <c r="M89" s="30">
        <f t="shared" ref="M89" si="199">HARMEAN($P83:$XX84)</f>
        <v>6266.2443482671697</v>
      </c>
      <c r="N89" s="71"/>
      <c r="O89" s="27" t="str">
        <f t="shared" ref="O89" si="200">"3 POND"</f>
        <v>3 POND</v>
      </c>
      <c r="P89" s="107">
        <f>IF(IFERROR(VLOOKUP(P80,'Tabela de Apoio'!$D:$E,2,FALSE),1)=1,"",P90)</f>
        <v>5050</v>
      </c>
      <c r="Q89" s="107">
        <f>IF(IFERROR(VLOOKUP(Q80,'Tabela de Apoio'!$D:$E,2,FALSE),1)=1,"",Q90)</f>
        <v>5480</v>
      </c>
      <c r="R89" s="107">
        <f>IF(IFERROR(VLOOKUP(R80,'Tabela de Apoio'!$D:$E,2,FALSE),1)=1,"",R90)</f>
        <v>7959.6833936551066</v>
      </c>
      <c r="S89" s="107" t="str">
        <f>IF(IFERROR(VLOOKUP(S80,'Tabela de Apoio'!$D:$E,2,FALSE),1)=1,"",S90)</f>
        <v>DESCARTADO</v>
      </c>
      <c r="T89" s="107" t="str">
        <f>IF(IFERROR(VLOOKUP(T80,'Tabela de Apoio'!$D:$E,2,FALSE),1)=1,"",T90)</f>
        <v>DESCARTADO</v>
      </c>
      <c r="U89" s="107">
        <f>IF(IFERROR(VLOOKUP(U80,'Tabela de Apoio'!$D:$E,2,FALSE),1)=1,"",U90)</f>
        <v>6912.9269769833945</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48"/>
        <v>4</v>
      </c>
      <c r="C90" s="128">
        <f t="shared" si="49"/>
        <v>1</v>
      </c>
      <c r="D90" s="127">
        <f t="shared" si="49"/>
        <v>4</v>
      </c>
      <c r="E90" s="743"/>
      <c r="F90" s="93"/>
      <c r="G90" s="745"/>
      <c r="H90" s="134">
        <f t="shared" ref="H90" si="201">COUNT($P90:$XX90)</f>
        <v>4</v>
      </c>
      <c r="I90" s="132">
        <f t="shared" ref="I90" si="202">_xlfn.STDEV.P($P89:$XX90)/AVERAGE($P89:$XX90)</f>
        <v>0.18219058927022816</v>
      </c>
      <c r="J90" s="7">
        <f t="shared" ref="J90" si="203">IF(AND(H90&gt;2,
OR(L78="MÉDIA SANEADA",L78="MEDIANA SANEADA",
AND(L78="PREÇO ESTIMADO",NOT(AND(P80="Orçamento",COUNTA(P78:XX78)=COUNTIF(P80:XX80,"Orçamento")))))),
ROW(),0)</f>
        <v>90</v>
      </c>
      <c r="K90" s="66"/>
      <c r="L90" s="29" t="s">
        <v>41</v>
      </c>
      <c r="M90" s="30">
        <f t="shared" ref="M90" si="204">IFERROR(_xlfn.QUARTILE.EXC($P84:$XX84,1),"")</f>
        <v>5010.0291274012707</v>
      </c>
      <c r="N90" s="71"/>
      <c r="O90" s="27" t="str">
        <f t="shared" ref="O90" si="205">"3 RODADA"</f>
        <v>3 RODADA</v>
      </c>
      <c r="P90" s="107">
        <f t="shared" ref="P90:AI90" si="206">IF(P88="","",IF((_xlfn.STDEV.P($P87:$XX88)/AVERAGE($P87:$XX88))&lt;=25%,P88,IF(OR(P88&gt;(AVERAGE($P87:$XX88)+_xlfn.STDEV.P($P87:$XX88)),P88&lt;(AVERAGE($P87:$XX88)-_xlfn.STDEV.P($P87:$XX88))),"DESCARTADO",P88)))</f>
        <v>5050</v>
      </c>
      <c r="Q90" s="107">
        <f t="shared" si="206"/>
        <v>5480</v>
      </c>
      <c r="R90" s="107">
        <f t="shared" si="206"/>
        <v>7959.6833936551066</v>
      </c>
      <c r="S90" s="107" t="str">
        <f t="shared" si="206"/>
        <v>DESCARTADO</v>
      </c>
      <c r="T90" s="107" t="str">
        <f t="shared" si="206"/>
        <v>DESCARTADO</v>
      </c>
      <c r="U90" s="107">
        <f t="shared" si="206"/>
        <v>6912.9269769833945</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f t="shared" si="48"/>
        <v>4</v>
      </c>
      <c r="C91" s="128">
        <f t="shared" si="49"/>
        <v>1</v>
      </c>
      <c r="D91" s="127">
        <f t="shared" si="49"/>
        <v>4</v>
      </c>
      <c r="E91" s="743"/>
      <c r="F91" s="93"/>
      <c r="G91" s="745"/>
      <c r="H91"/>
      <c r="I91"/>
      <c r="J91"/>
      <c r="K91" s="66"/>
      <c r="L91" s="29" t="s">
        <v>39</v>
      </c>
      <c r="M91" s="30">
        <f t="shared" ref="M91" si="207">IFERROR(_xlfn.QUARTILE.EXC($P84:$XX84,3),"")</f>
        <v>8415.3240098116385</v>
      </c>
      <c r="N91" s="71"/>
      <c r="O91" s="27" t="str">
        <f t="shared" ref="O91" si="208">"4 POND"</f>
        <v>4 POND</v>
      </c>
      <c r="P91" s="107">
        <f>IF(IFERROR(VLOOKUP(P80,'Tabela de Apoio'!$D:$E,2,FALSE),1)=1,"",P92)</f>
        <v>5050</v>
      </c>
      <c r="Q91" s="107">
        <f>IF(IFERROR(VLOOKUP(Q80,'Tabela de Apoio'!$D:$E,2,FALSE),1)=1,"",Q92)</f>
        <v>5480</v>
      </c>
      <c r="R91" s="107">
        <f>IF(IFERROR(VLOOKUP(R80,'Tabela de Apoio'!$D:$E,2,FALSE),1)=1,"",R92)</f>
        <v>7959.6833936551066</v>
      </c>
      <c r="S91" s="107" t="str">
        <f>IF(IFERROR(VLOOKUP(S80,'Tabela de Apoio'!$D:$E,2,FALSE),1)=1,"",S92)</f>
        <v>DESCARTADO</v>
      </c>
      <c r="T91" s="107" t="str">
        <f>IF(IFERROR(VLOOKUP(T80,'Tabela de Apoio'!$D:$E,2,FALSE),1)=1,"",T92)</f>
        <v>DESCARTADO</v>
      </c>
      <c r="U91" s="107">
        <f>IF(IFERROR(VLOOKUP(U80,'Tabela de Apoio'!$D:$E,2,FALSE),1)=1,"",U92)</f>
        <v>6912.9269769833945</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48"/>
        <v>4</v>
      </c>
      <c r="C92" s="128">
        <f t="shared" si="49"/>
        <v>1</v>
      </c>
      <c r="D92" s="127">
        <f t="shared" si="49"/>
        <v>4</v>
      </c>
      <c r="E92" s="743"/>
      <c r="F92" s="93"/>
      <c r="G92" s="745"/>
      <c r="H92" s="134">
        <f t="shared" ref="H92" si="209">COUNT($P92:$XX92)</f>
        <v>4</v>
      </c>
      <c r="I92" s="132">
        <f t="shared" ref="I92" si="210">_xlfn.STDEV.P($P91:$XX92)/AVERAGE($P91:$XX92)</f>
        <v>0.18219058927022816</v>
      </c>
      <c r="J92" s="7">
        <f t="shared" ref="J92" si="211">IF(AND(H92&gt;2,
OR(L78="MÉDIA SANEADA",L78="MEDIANA SANEADA",
AND(L78="PREÇO ESTIMADO",NOT(AND(P80="Orçamento",COUNTA(P78:XX78)=COUNTIF(P80:XX80,"Orçamento")))))),
ROW(),0)</f>
        <v>92</v>
      </c>
      <c r="K92" s="66"/>
      <c r="L92" s="29" t="s">
        <v>42</v>
      </c>
      <c r="M92" s="30">
        <f t="shared" ref="M92" si="212">MIN($P84:$XX84)</f>
        <v>4890.1165096050827</v>
      </c>
      <c r="N92" s="71"/>
      <c r="O92" s="27" t="str">
        <f t="shared" ref="O92" si="213">"4 RODADA"</f>
        <v>4 RODADA</v>
      </c>
      <c r="P92" s="107">
        <f t="shared" ref="P92:AI92" si="214">IF(P90="","",IF((_xlfn.STDEV.P($P89:$XX90)/AVERAGE($P89:$XX90))&lt;=25%,P90,IF(OR(P90&gt;(AVERAGE($P89:$XX90)+_xlfn.STDEV.P($P89:$XX90)),P90&lt;(AVERAGE($P89:$XX90)-_xlfn.STDEV.P($P89:$XX90))),"DESCARTADO",P90)))</f>
        <v>5050</v>
      </c>
      <c r="Q92" s="107">
        <f t="shared" si="214"/>
        <v>5480</v>
      </c>
      <c r="R92" s="107">
        <f t="shared" si="214"/>
        <v>7959.6833936551066</v>
      </c>
      <c r="S92" s="107" t="str">
        <f t="shared" si="214"/>
        <v>DESCARTADO</v>
      </c>
      <c r="T92" s="107" t="str">
        <f t="shared" si="214"/>
        <v>DESCARTADO</v>
      </c>
      <c r="U92" s="107">
        <f t="shared" si="214"/>
        <v>6912.9269769833945</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f t="shared" si="48"/>
        <v>4</v>
      </c>
      <c r="C93" s="128">
        <f t="shared" si="49"/>
        <v>1</v>
      </c>
      <c r="D93" s="127">
        <f t="shared" si="49"/>
        <v>4</v>
      </c>
      <c r="E93" s="743"/>
      <c r="F93" s="93"/>
      <c r="G93" s="745"/>
      <c r="H93"/>
      <c r="I93"/>
      <c r="J93"/>
      <c r="K93" s="66"/>
      <c r="L93" s="29" t="s">
        <v>40</v>
      </c>
      <c r="M93" s="30">
        <f t="shared" ref="M93" si="215">MAX($P84:$XX84)</f>
        <v>9782.2458582812342</v>
      </c>
      <c r="N93" s="71"/>
      <c r="O93" s="27" t="str">
        <f t="shared" ref="O93" si="216">"5 POND"</f>
        <v>5 POND</v>
      </c>
      <c r="P93" s="107">
        <f>IF(IFERROR(VLOOKUP(P80,'Tabela de Apoio'!$D:$E,2,FALSE),1)=1,"",P94)</f>
        <v>5050</v>
      </c>
      <c r="Q93" s="107">
        <f>IF(IFERROR(VLOOKUP(Q80,'Tabela de Apoio'!$D:$E,2,FALSE),1)=1,"",Q94)</f>
        <v>5480</v>
      </c>
      <c r="R93" s="107">
        <f>IF(IFERROR(VLOOKUP(R80,'Tabela de Apoio'!$D:$E,2,FALSE),1)=1,"",R94)</f>
        <v>7959.6833936551066</v>
      </c>
      <c r="S93" s="107" t="str">
        <f>IF(IFERROR(VLOOKUP(S80,'Tabela de Apoio'!$D:$E,2,FALSE),1)=1,"",S94)</f>
        <v>DESCARTADO</v>
      </c>
      <c r="T93" s="107" t="str">
        <f>IF(IFERROR(VLOOKUP(T80,'Tabela de Apoio'!$D:$E,2,FALSE),1)=1,"",T94)</f>
        <v>DESCARTADO</v>
      </c>
      <c r="U93" s="107">
        <f>IF(IFERROR(VLOOKUP(U80,'Tabela de Apoio'!$D:$E,2,FALSE),1)=1,"",U94)</f>
        <v>6912.9269769833945</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48"/>
        <v>4</v>
      </c>
      <c r="C94" s="128">
        <f t="shared" si="49"/>
        <v>1</v>
      </c>
      <c r="D94" s="127">
        <f t="shared" si="49"/>
        <v>4</v>
      </c>
      <c r="E94" s="743"/>
      <c r="F94" s="93"/>
      <c r="G94" s="745"/>
      <c r="H94" s="134">
        <f t="shared" ref="H94" si="217">COUNT($P94:$XX94)</f>
        <v>4</v>
      </c>
      <c r="I94" s="132">
        <f t="shared" ref="I94" si="218">_xlfn.STDEV.P($P93:$XX94)/AVERAGE($P93:$XX94)</f>
        <v>0.18219058927022816</v>
      </c>
      <c r="J94" s="7">
        <f t="shared" ref="J94" si="219">IF(AND(H94&gt;2,
OR(L78="MÉDIA SANEADA",L78="MEDIANA SANEADA",
AND(L78="PREÇO ESTIMADO",NOT(AND(P80="Orçamento",COUNTA(P78:XX78)=COUNTIF(P80:XX80,"Orçamento")))))),
ROW(),0)</f>
        <v>94</v>
      </c>
      <c r="K94" s="66"/>
      <c r="N94" s="71"/>
      <c r="O94" s="27" t="str">
        <f t="shared" ref="O94" si="220">"5 RODADA"</f>
        <v>5 RODADA</v>
      </c>
      <c r="P94" s="107">
        <f t="shared" ref="P94:AI94" si="221">IF(P92="","",IF((_xlfn.STDEV.P($P91:$XX92)/AVERAGE($P91:$XX92))&lt;=25%,P92,IF(OR(P92&gt;(AVERAGE($P91:$XX92)+_xlfn.STDEV.P($P91:$XX92)),P92&lt;(AVERAGE($P91:$XX92)-_xlfn.STDEV.P($P91:$XX92))),"DESCARTADO",P92)))</f>
        <v>5050</v>
      </c>
      <c r="Q94" s="107">
        <f t="shared" si="221"/>
        <v>5480</v>
      </c>
      <c r="R94" s="107">
        <f t="shared" si="221"/>
        <v>7959.6833936551066</v>
      </c>
      <c r="S94" s="107" t="str">
        <f t="shared" si="221"/>
        <v>DESCARTADO</v>
      </c>
      <c r="T94" s="107" t="str">
        <f t="shared" si="221"/>
        <v>DESCARTADO</v>
      </c>
      <c r="U94" s="107">
        <f t="shared" si="221"/>
        <v>6912.9269769833945</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f t="shared" si="48"/>
        <v>4</v>
      </c>
      <c r="C95" s="128">
        <f t="shared" si="49"/>
        <v>1</v>
      </c>
      <c r="D95" s="127">
        <f t="shared" si="49"/>
        <v>4</v>
      </c>
      <c r="E95" s="743"/>
      <c r="F95" s="93"/>
      <c r="G95" s="745"/>
      <c r="H95"/>
      <c r="I95"/>
      <c r="J95"/>
      <c r="K95" s="66"/>
      <c r="L95" s="22"/>
      <c r="M95" s="22"/>
      <c r="N95" s="71"/>
      <c r="O95" s="27" t="str">
        <f t="shared" ref="O95" si="222">"6 POND"</f>
        <v>6 POND</v>
      </c>
      <c r="P95" s="107">
        <f>IF(IFERROR(VLOOKUP(P80,'Tabela de Apoio'!$D:$E,2,FALSE),1)=1,"",P96)</f>
        <v>5050</v>
      </c>
      <c r="Q95" s="107">
        <f>IF(IFERROR(VLOOKUP(Q80,'Tabela de Apoio'!$D:$E,2,FALSE),1)=1,"",Q96)</f>
        <v>5480</v>
      </c>
      <c r="R95" s="107">
        <f>IF(IFERROR(VLOOKUP(R80,'Tabela de Apoio'!$D:$E,2,FALSE),1)=1,"",R96)</f>
        <v>7959.6833936551066</v>
      </c>
      <c r="S95" s="107" t="str">
        <f>IF(IFERROR(VLOOKUP(S80,'Tabela de Apoio'!$D:$E,2,FALSE),1)=1,"",S96)</f>
        <v>DESCARTADO</v>
      </c>
      <c r="T95" s="107" t="str">
        <f>IF(IFERROR(VLOOKUP(T80,'Tabela de Apoio'!$D:$E,2,FALSE),1)=1,"",T96)</f>
        <v>DESCARTADO</v>
      </c>
      <c r="U95" s="107">
        <f>IF(IFERROR(VLOOKUP(U80,'Tabela de Apoio'!$D:$E,2,FALSE),1)=1,"",U96)</f>
        <v>6912.9269769833945</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48"/>
        <v>4</v>
      </c>
      <c r="C96" s="128">
        <f t="shared" si="49"/>
        <v>1</v>
      </c>
      <c r="D96" s="127">
        <f t="shared" si="49"/>
        <v>4</v>
      </c>
      <c r="E96" s="743"/>
      <c r="F96" s="93"/>
      <c r="G96" s="745"/>
      <c r="H96" s="134">
        <f t="shared" ref="H96" si="223">COUNT($P96:$XX96)</f>
        <v>4</v>
      </c>
      <c r="I96" s="132">
        <f t="shared" ref="I96" si="224">_xlfn.STDEV.P($P95:$XX96)/AVERAGE($P95:$XX96)</f>
        <v>0.18219058927022816</v>
      </c>
      <c r="J96" s="7">
        <f t="shared" ref="J96" si="225">IF(AND(H96&gt;2,
OR(L78="MÉDIA SANEADA",L78="MEDIANA SANEADA",
AND(L78="PREÇO ESTIMADO",NOT(AND(P80="Orçamento",COUNTA(P78:XX78)=COUNTIF(P80:XX80,"Orçamento")))))),
ROW(),0)</f>
        <v>96</v>
      </c>
      <c r="N96" s="71"/>
      <c r="O96" s="27" t="str">
        <f t="shared" ref="O96" si="226">"6 RODADA"</f>
        <v>6 RODADA</v>
      </c>
      <c r="P96" s="107">
        <f t="shared" ref="P96:AI96" si="227">IFERROR(IF(P94="","",IF((_xlfn.STDEV.P($P93:$XX94)/AVERAGE($P93:$XX94))&lt;=25%,P94,IF(OR(P94&gt;(AVERAGE($P93:$XX94)+_xlfn.STDEV.P($P93:$XX94)),P94&lt;(AVERAGE($P93:$XX94)-_xlfn.STDEV.P($P93:$XX94))),"DESCARTADO",P94))),)</f>
        <v>5050</v>
      </c>
      <c r="Q96" s="107">
        <f t="shared" si="227"/>
        <v>5480</v>
      </c>
      <c r="R96" s="107">
        <f t="shared" si="227"/>
        <v>7959.6833936551066</v>
      </c>
      <c r="S96" s="107" t="str">
        <f t="shared" si="227"/>
        <v>DESCARTADO</v>
      </c>
      <c r="T96" s="107" t="str">
        <f t="shared" si="227"/>
        <v>DESCARTADO</v>
      </c>
      <c r="U96" s="107">
        <f t="shared" si="227"/>
        <v>6912.9269769833945</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f t="shared" si="48"/>
        <v>4</v>
      </c>
      <c r="C97" s="128">
        <f t="shared" si="49"/>
        <v>1</v>
      </c>
      <c r="D97" s="127">
        <f t="shared" si="49"/>
        <v>4</v>
      </c>
      <c r="E97" s="743"/>
      <c r="F97" s="136"/>
      <c r="G97" s="745"/>
      <c r="H97" s="748"/>
      <c r="I97" s="748"/>
      <c r="J97" s="749"/>
      <c r="K97" s="67"/>
      <c r="L97" s="1" t="s">
        <v>43</v>
      </c>
      <c r="M97" s="144">
        <f t="shared" ref="M97" si="228">IFERROR(ROUND(M78*M80,2),"")</f>
        <v>0</v>
      </c>
      <c r="O97" s="27" t="s">
        <v>363</v>
      </c>
      <c r="P97" s="107">
        <f t="shared" ref="P97:AI118" si="229">INDEX(P84:P96,MATCH(MAX($J84:$J96),$J84:$J96,0))</f>
        <v>5050</v>
      </c>
      <c r="Q97" s="107">
        <f t="shared" si="229"/>
        <v>5480</v>
      </c>
      <c r="R97" s="107">
        <f t="shared" si="229"/>
        <v>7959.6833936551066</v>
      </c>
      <c r="S97" s="107" t="str">
        <f t="shared" si="229"/>
        <v>DESCARTADO</v>
      </c>
      <c r="T97" s="107" t="str">
        <f t="shared" si="229"/>
        <v>DESCARTADO</v>
      </c>
      <c r="U97" s="107">
        <f t="shared" si="229"/>
        <v>6912.9269769833945</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f t="shared" ref="B99" si="230">LARGE(IFERROR(IF(B97+1&gt;$H$8,"",B97+1),""),1)</f>
        <v>5</v>
      </c>
      <c r="C99" s="127">
        <f>IF(_xlfn.ISFORMULA(E103),MAX(INDEX('BASE FORMAÇÃO'!A:A,B99+1),1),E103)</f>
        <v>1</v>
      </c>
      <c r="D99" s="127">
        <f t="shared" ref="D99" si="231">IFERROR(IF(C99=C89,D89+1,1),1)</f>
        <v>5</v>
      </c>
      <c r="E99" s="38" t="s">
        <v>9</v>
      </c>
      <c r="F99" s="73"/>
      <c r="G99" s="38" t="s">
        <v>15</v>
      </c>
      <c r="H99" s="135">
        <f>INDEX('BASE FORMAÇÃO'!B:B,B99+1)</f>
        <v>0</v>
      </c>
      <c r="I99" s="143" t="s">
        <v>16</v>
      </c>
      <c r="J99" s="6">
        <f>INDEX('BASE FORMAÇÃO'!K:K,B99+1)</f>
        <v>0</v>
      </c>
      <c r="K99" s="65"/>
      <c r="L99" s="750" t="s">
        <v>10</v>
      </c>
      <c r="M99" s="752">
        <f t="shared" ref="M99" si="232">IF(OR(ISBLANK($O$8),ISBLANK($O$7),ISBLANK($H$8),ISBLANK($O$6),ISBLANK($O$5),ISBLANK($H$5)),"",IFERROR(IF(VLOOKUP(L99,L105:M114,2,FALSE)&lt;1,ROUND(VLOOKUP(L99,L105:M114,2,FALSE),4),ROUND(VLOOKUP(L99,L105:M114,2,FALSE),2)),""))</f>
        <v>1733.93</v>
      </c>
      <c r="N99" s="69"/>
      <c r="O99" s="27" t="s">
        <v>17</v>
      </c>
      <c r="P99" s="113">
        <v>1700</v>
      </c>
      <c r="Q99" s="113">
        <v>1800</v>
      </c>
      <c r="R99" s="113">
        <v>1565.3</v>
      </c>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0" si="233">B99</f>
        <v>5</v>
      </c>
      <c r="C100" s="128">
        <f t="shared" si="233"/>
        <v>1</v>
      </c>
      <c r="D100" s="127">
        <f t="shared" si="233"/>
        <v>5</v>
      </c>
      <c r="E100" s="754">
        <f t="shared" ref="E100" si="234">D99</f>
        <v>5</v>
      </c>
      <c r="F100" s="92"/>
      <c r="G100" s="756" t="s">
        <v>1</v>
      </c>
      <c r="H100" s="765" t="s">
        <v>436</v>
      </c>
      <c r="I100" s="759"/>
      <c r="J100" s="760"/>
      <c r="K100" s="66"/>
      <c r="L100" s="751"/>
      <c r="M100" s="753"/>
      <c r="N100" s="70"/>
      <c r="O100" s="27" t="s">
        <v>13</v>
      </c>
      <c r="P100" s="122">
        <v>45639</v>
      </c>
      <c r="Q100" s="122">
        <v>45628</v>
      </c>
      <c r="R100" s="122">
        <v>45625</v>
      </c>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ref="B101:D101" si="235">B100</f>
        <v>5</v>
      </c>
      <c r="C101" s="128">
        <f t="shared" si="235"/>
        <v>1</v>
      </c>
      <c r="D101" s="127">
        <f t="shared" si="235"/>
        <v>5</v>
      </c>
      <c r="E101" s="755"/>
      <c r="F101" s="93"/>
      <c r="G101" s="757"/>
      <c r="H101" s="761"/>
      <c r="I101" s="761"/>
      <c r="J101" s="762"/>
      <c r="K101" s="64"/>
      <c r="L101" s="130" t="s">
        <v>44</v>
      </c>
      <c r="M101" s="131">
        <f>INDEX('BASE FORMAÇÃO'!H:H,B103+1)</f>
        <v>0</v>
      </c>
      <c r="N101" s="71"/>
      <c r="O101" s="27" t="s">
        <v>380</v>
      </c>
      <c r="P101" s="114" t="s">
        <v>12</v>
      </c>
      <c r="Q101" s="114" t="s">
        <v>12</v>
      </c>
      <c r="R101" s="114" t="s">
        <v>12</v>
      </c>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f t="shared" ref="B102:C102" si="236">B101</f>
        <v>5</v>
      </c>
      <c r="C102" s="128">
        <f t="shared" si="236"/>
        <v>1</v>
      </c>
      <c r="D102" s="127">
        <f t="shared" si="49"/>
        <v>5</v>
      </c>
      <c r="E102" s="38" t="s">
        <v>313</v>
      </c>
      <c r="F102" s="93"/>
      <c r="G102" s="758"/>
      <c r="H102" s="763"/>
      <c r="I102" s="763"/>
      <c r="J102" s="764"/>
      <c r="K102" s="64"/>
      <c r="L102" s="1" t="s">
        <v>2</v>
      </c>
      <c r="M102" s="6">
        <f>INDEX('BASE FORMAÇÃO'!D:D,B103+1)</f>
        <v>0</v>
      </c>
      <c r="N102" s="71"/>
      <c r="O102" s="27" t="s">
        <v>381</v>
      </c>
      <c r="P102" s="182" t="s">
        <v>450</v>
      </c>
      <c r="Q102" s="182" t="s">
        <v>450</v>
      </c>
      <c r="R102" s="182" t="s">
        <v>450</v>
      </c>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f t="shared" ref="B103:C103" si="237">B101</f>
        <v>5</v>
      </c>
      <c r="C103" s="128">
        <f t="shared" si="237"/>
        <v>1</v>
      </c>
      <c r="D103" s="127">
        <f t="shared" si="49"/>
        <v>5</v>
      </c>
      <c r="E103" s="742">
        <f t="shared" ref="E103" si="238">C99</f>
        <v>1</v>
      </c>
      <c r="F103" s="93"/>
      <c r="G103" s="744" t="s">
        <v>304</v>
      </c>
      <c r="H103" s="746"/>
      <c r="I103" s="747"/>
      <c r="J103" s="747"/>
      <c r="K103" s="67"/>
      <c r="L103" s="28" t="s">
        <v>303</v>
      </c>
      <c r="M103" s="133">
        <f t="shared" ref="M103" si="239">IFERROR(INDEX(I105:I117,MATCH(MAX(J105:J117),J105:J117,0)),"")</f>
        <v>5.5349687841463033E-2</v>
      </c>
      <c r="N103" s="71"/>
      <c r="O103" s="27" t="s">
        <v>18</v>
      </c>
      <c r="P103" s="106">
        <f>IF(P99="","",
IF(OR(P101="Orçamento",P100="",MAX('Tabela de Apoio'!$A:$A)&lt;=P100),
P99,
(INDEX('Tabela de Apoio'!$B:$B,MATCH('MAPA DE PREÇOS'!$O$8,'Tabela de Apoio'!$A:$A,1))/INDEX('Tabela de Apoio'!$B:$B,MATCH('MAPA DE PREÇOS'!P100,'Tabela de Apoio'!$A:$A,1)-1))*P99))</f>
        <v>1743.7071139065965</v>
      </c>
      <c r="Q103" s="106">
        <f>IF(Q99="","",
IF(OR(Q101="Orçamento",Q100="",MAX('Tabela de Apoio'!$A:$A)&lt;=Q100),
Q99,
(INDEX('Tabela de Apoio'!$B:$B,MATCH('MAPA DE PREÇOS'!$O$8,'Tabela de Apoio'!$A:$A,1))/INDEX('Tabela de Apoio'!$B:$B,MATCH('MAPA DE PREÇOS'!Q100,'Tabela de Apoio'!$A:$A,1)-1))*Q99))</f>
        <v>1846.2781206069847</v>
      </c>
      <c r="R103" s="106">
        <f>IF(R99="","",
IF(OR(R101="Orçamento",R100="",MAX('Tabela de Apoio'!$A:$A)&lt;=R100),
R99,
(INDEX('Tabela de Apoio'!$B:$B,MATCH('MAPA DE PREÇOS'!$O$8,'Tabela de Apoio'!$A:$A,1))/INDEX('Tabela de Apoio'!$B:$B,MATCH('MAPA DE PREÇOS'!R100,'Tabela de Apoio'!$A:$A,1)-1))*R99))</f>
        <v>1611.8052044176438</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 t="shared" ref="B104" si="240">B103</f>
        <v>5</v>
      </c>
      <c r="C104" s="128">
        <f t="shared" ref="C104" si="241">C103</f>
        <v>1</v>
      </c>
      <c r="D104" s="127">
        <f t="shared" si="49"/>
        <v>5</v>
      </c>
      <c r="E104" s="743"/>
      <c r="F104" s="93"/>
      <c r="G104" s="745"/>
      <c r="H104"/>
      <c r="I104"/>
      <c r="J104"/>
      <c r="N104" s="71"/>
      <c r="O104" s="27" t="s">
        <v>375</v>
      </c>
      <c r="P104" s="107">
        <f>IF(IFERROR(VLOOKUP(P101,'Tabela de Apoio'!$D:$E,2,FALSE),1)=1,"",P105)</f>
        <v>1743.7071139065965</v>
      </c>
      <c r="Q104" s="107">
        <f>IF(IFERROR(VLOOKUP(Q101,'Tabela de Apoio'!$D:$E,2,FALSE),1)=1,"",Q105)</f>
        <v>1846.2781206069847</v>
      </c>
      <c r="R104" s="107">
        <f>IF(IFERROR(VLOOKUP(R101,'Tabela de Apoio'!$D:$E,2,FALSE),1)=1,"",R105)</f>
        <v>1611.8052044176438</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 t="shared" ref="B105:C105" si="242">B104</f>
        <v>5</v>
      </c>
      <c r="C105" s="128">
        <f t="shared" si="242"/>
        <v>1</v>
      </c>
      <c r="D105" s="127">
        <f t="shared" si="49"/>
        <v>5</v>
      </c>
      <c r="E105" s="743"/>
      <c r="F105" s="93"/>
      <c r="G105" s="745"/>
      <c r="H105" s="134">
        <f t="shared" ref="H105" si="243">COUNT($P105:$XX105)</f>
        <v>3</v>
      </c>
      <c r="I105" s="132">
        <f t="shared" ref="I105" si="244">_xlfn.STDEV.P($P104:$XX105)/AVERAGE($P104:$XX105)</f>
        <v>5.5349687841463033E-2</v>
      </c>
      <c r="J105" s="7">
        <f>ROW()</f>
        <v>105</v>
      </c>
      <c r="K105" s="67"/>
      <c r="L105" s="29" t="s">
        <v>10</v>
      </c>
      <c r="M105" s="30">
        <f t="shared" ref="M105" si="245">IFERROR(
IF(COUNTA(P99:AI99)=COUNTIF(P101:XX101,"Orçamento"),MIN(M110,M107),
IF(M108&lt;&gt;"",M108,
IF(M109&lt;&gt;"",M109,
M107
))),"")</f>
        <v>1733.9301463104084</v>
      </c>
      <c r="N105" s="71"/>
      <c r="O105" s="27" t="s">
        <v>376</v>
      </c>
      <c r="P105" s="106">
        <f t="shared" ref="P105:AI105" si="246">IFERROR(IF(P103="",
            "",
            IF(COUNT($P103:$XX103)&lt;=4,
               P103,
               IF(OR(P103&gt;(QUARTILE($P103:$XX103,3)+(QUARTILE($P103:$XX103,3)-QUARTILE($P103:$XX103,1))),
                     P103&lt;(QUARTILE($P103:$XX103,1)-(QUARTILE($P103:$XX103,3)-QUARTILE($P103:$XX103,1)))
                  ),
               "DESCARTADO",P103)
             )
  ),P103)</f>
        <v>1743.7071139065965</v>
      </c>
      <c r="Q105" s="106">
        <f t="shared" si="246"/>
        <v>1846.2781206069847</v>
      </c>
      <c r="R105" s="106">
        <f t="shared" si="246"/>
        <v>1611.8052044176438</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f t="shared" ref="B106:B160" si="247">B105</f>
        <v>5</v>
      </c>
      <c r="C106" s="128">
        <f t="shared" ref="C106:D169" si="248">C105</f>
        <v>1</v>
      </c>
      <c r="D106" s="127">
        <f t="shared" si="49"/>
        <v>5</v>
      </c>
      <c r="E106" s="743"/>
      <c r="F106" s="93"/>
      <c r="G106" s="745"/>
      <c r="H106"/>
      <c r="I106"/>
      <c r="J106"/>
      <c r="K106" s="66"/>
      <c r="L106" s="29" t="s">
        <v>360</v>
      </c>
      <c r="M106" s="30">
        <f t="shared" ref="M106" si="249">AVERAGE($P105:$XX105)</f>
        <v>1733.9301463104084</v>
      </c>
      <c r="N106" s="71"/>
      <c r="O106" s="27" t="str">
        <f t="shared" ref="O106" si="250">"1 POND"</f>
        <v>1 POND</v>
      </c>
      <c r="P106" s="107">
        <f>IF(IFERROR(VLOOKUP(P101,'Tabela de Apoio'!$D:$E,2,FALSE),1)=1,"",P107)</f>
        <v>1743.7071139065965</v>
      </c>
      <c r="Q106" s="107">
        <f>IF(IFERROR(VLOOKUP(Q101,'Tabela de Apoio'!$D:$E,2,FALSE),1)=1,"",Q107)</f>
        <v>1846.2781206069847</v>
      </c>
      <c r="R106" s="107">
        <f>IF(IFERROR(VLOOKUP(R101,'Tabela de Apoio'!$D:$E,2,FALSE),1)=1,"",R107)</f>
        <v>1611.8052044176438</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247"/>
        <v>5</v>
      </c>
      <c r="C107" s="128">
        <f t="shared" si="248"/>
        <v>1</v>
      </c>
      <c r="D107" s="127">
        <f t="shared" si="248"/>
        <v>5</v>
      </c>
      <c r="E107" s="743"/>
      <c r="F107" s="93"/>
      <c r="G107" s="745"/>
      <c r="H107" s="134">
        <f t="shared" ref="H107" si="251">COUNT($P107:$XX107)</f>
        <v>3</v>
      </c>
      <c r="I107" s="132">
        <f t="shared" ref="I107" si="252">_xlfn.STDEV.P($P106:$XX107)/AVERAGE($P106:$XX107)</f>
        <v>5.5349687841463033E-2</v>
      </c>
      <c r="J107" s="7">
        <f t="shared" ref="J107" si="253">IF(AND(H107&gt;2,
OR(L99="MÉDIA SANEADA",L99="MEDIANA SANEADA",
AND(L99="PREÇO ESTIMADO",NOT(AND(P101="Orçamento",COUNTA(P99:XX99)=COUNTIF(P101:XX101,"Orçamento")))))),
ROW(),0)</f>
        <v>107</v>
      </c>
      <c r="K107" s="66"/>
      <c r="L107" s="29" t="s">
        <v>361</v>
      </c>
      <c r="M107" s="30">
        <f t="shared" ref="M107" si="254">MEDIAN($P105:$XX105)</f>
        <v>1743.7071139065965</v>
      </c>
      <c r="N107" s="71"/>
      <c r="O107" s="27" t="str">
        <f t="shared" ref="O107" si="255">"1 RODADA"</f>
        <v>1 RODADA</v>
      </c>
      <c r="P107" s="107">
        <f t="shared" ref="P107:AI107" si="256">IF(P105="","",IF((_xlfn.STDEV.P($P104:$XX105)/AVERAGE($P104:$XX105))&lt;=25%,P105,IF(OR(P105&gt;(AVERAGE($P104:$XX105)+_xlfn.STDEV.P($P104:$XX105)),P105&lt;(AVERAGE($P104:$XX105)-_xlfn.STDEV.P($P104:$XX105))),"DESCARTADO",P105)))</f>
        <v>1743.7071139065965</v>
      </c>
      <c r="Q107" s="107">
        <f t="shared" si="256"/>
        <v>1846.2781206069847</v>
      </c>
      <c r="R107" s="107">
        <f t="shared" si="256"/>
        <v>1611.8052044176438</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f t="shared" si="247"/>
        <v>5</v>
      </c>
      <c r="C108" s="128">
        <f t="shared" si="248"/>
        <v>1</v>
      </c>
      <c r="D108" s="127">
        <f t="shared" si="248"/>
        <v>5</v>
      </c>
      <c r="E108" s="743"/>
      <c r="F108" s="93"/>
      <c r="G108" s="745"/>
      <c r="H108"/>
      <c r="I108"/>
      <c r="J108"/>
      <c r="L108" s="29" t="s">
        <v>38</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1733.9301463104084</v>
      </c>
      <c r="N108" s="71"/>
      <c r="O108" s="27" t="str">
        <f t="shared" ref="O108" si="258">"2 POND"</f>
        <v>2 POND</v>
      </c>
      <c r="P108" s="107">
        <f>IF(IFERROR(VLOOKUP(P101,'Tabela de Apoio'!$D:$E,2,FALSE),1)=1,"",P109)</f>
        <v>1743.7071139065965</v>
      </c>
      <c r="Q108" s="107">
        <f>IF(IFERROR(VLOOKUP(Q101,'Tabela de Apoio'!$D:$E,2,FALSE),1)=1,"",Q109)</f>
        <v>1846.2781206069847</v>
      </c>
      <c r="R108" s="107">
        <f>IF(IFERROR(VLOOKUP(R101,'Tabela de Apoio'!$D:$E,2,FALSE),1)=1,"",R109)</f>
        <v>1611.8052044176438</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247"/>
        <v>5</v>
      </c>
      <c r="C109" s="128">
        <f t="shared" si="248"/>
        <v>1</v>
      </c>
      <c r="D109" s="127">
        <f t="shared" si="248"/>
        <v>5</v>
      </c>
      <c r="E109" s="743"/>
      <c r="F109" s="93"/>
      <c r="G109" s="745"/>
      <c r="H109" s="134">
        <f t="shared" ref="H109" si="259">COUNT($P109:$XX109)</f>
        <v>3</v>
      </c>
      <c r="I109" s="132">
        <f t="shared" ref="I109" si="260">_xlfn.STDEV.P($P108:$XX109)/AVERAGE($P108:$XX109)</f>
        <v>5.5349687841463033E-2</v>
      </c>
      <c r="J109" s="7">
        <f t="shared" ref="J109" si="261">IF(AND(H109&gt;2,
OR(L99="MÉDIA SANEADA",L99="MEDIANA SANEADA",
AND(L99="PREÇO ESTIMADO",NOT(AND(P101="Orçamento",COUNTA(P99:XX99)=COUNTIF(P101:XX101,"Orçamento")))))),
ROW(),0)</f>
        <v>109</v>
      </c>
      <c r="K109" s="66"/>
      <c r="L109" s="29" t="s">
        <v>362</v>
      </c>
      <c r="M109" s="30">
        <f t="shared" ref="M109" si="262" xml:space="preserve">
IF(H107&gt;2,MEDIAN(P106:XX107),
IF(H109&gt;2,MEDIAN(P108:XX109),
IF(H111&gt;2,MEDIAN(P110:XX111),
IF(H113&gt;2,MEDIAN(P112:XX113),
IF(H115&gt;2,MEDIAN(P114:XX115),
IF(H117&gt;2,MEDIAN(P116:XX117),
MEDIAN(P104:XX105)))))))</f>
        <v>1743.7071139065965</v>
      </c>
      <c r="N109" s="71"/>
      <c r="O109" s="27" t="str">
        <f t="shared" ref="O109" si="263">"2 RODADA"</f>
        <v>2 RODADA</v>
      </c>
      <c r="P109" s="107">
        <f t="shared" ref="P109:AI109" si="264">IF(P107="","",IF((_xlfn.STDEV.P($P106:$XX107)/AVERAGE($P106:$XX107))&lt;=25%,P107,IF(OR(P107&gt;(AVERAGE($P106:$XX107)+_xlfn.STDEV.P($P106:$XX107)),P107&lt;(AVERAGE($P106:$XX107)-_xlfn.STDEV.P($P106:$XX107))),"DESCARTADO",P107)))</f>
        <v>1743.7071139065965</v>
      </c>
      <c r="Q109" s="107">
        <f t="shared" si="264"/>
        <v>1846.2781206069847</v>
      </c>
      <c r="R109" s="107">
        <f t="shared" si="264"/>
        <v>1611.8052044176438</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f t="shared" si="247"/>
        <v>5</v>
      </c>
      <c r="C110" s="128">
        <f t="shared" si="248"/>
        <v>1</v>
      </c>
      <c r="D110" s="127">
        <f t="shared" si="248"/>
        <v>5</v>
      </c>
      <c r="E110" s="743"/>
      <c r="F110" s="93"/>
      <c r="G110" s="745"/>
      <c r="H110"/>
      <c r="I110"/>
      <c r="J110"/>
      <c r="K110" s="66"/>
      <c r="L110" s="29" t="s">
        <v>359</v>
      </c>
      <c r="M110" s="30">
        <f t="shared" ref="M110" si="265">HARMEAN($P104:$XX105)</f>
        <v>1728.5652628708758</v>
      </c>
      <c r="N110" s="71"/>
      <c r="O110" s="27" t="str">
        <f t="shared" ref="O110" si="266">"3 POND"</f>
        <v>3 POND</v>
      </c>
      <c r="P110" s="107">
        <f>IF(IFERROR(VLOOKUP(P101,'Tabela de Apoio'!$D:$E,2,FALSE),1)=1,"",P111)</f>
        <v>1743.7071139065965</v>
      </c>
      <c r="Q110" s="107">
        <f>IF(IFERROR(VLOOKUP(Q101,'Tabela de Apoio'!$D:$E,2,FALSE),1)=1,"",Q111)</f>
        <v>1846.2781206069847</v>
      </c>
      <c r="R110" s="107">
        <f>IF(IFERROR(VLOOKUP(R101,'Tabela de Apoio'!$D:$E,2,FALSE),1)=1,"",R111)</f>
        <v>1611.8052044176438</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247"/>
        <v>5</v>
      </c>
      <c r="C111" s="128">
        <f t="shared" si="248"/>
        <v>1</v>
      </c>
      <c r="D111" s="127">
        <f t="shared" si="248"/>
        <v>5</v>
      </c>
      <c r="E111" s="743"/>
      <c r="F111" s="93"/>
      <c r="G111" s="745"/>
      <c r="H111" s="134">
        <f t="shared" ref="H111" si="267">COUNT($P111:$XX111)</f>
        <v>3</v>
      </c>
      <c r="I111" s="132">
        <f t="shared" ref="I111" si="268">_xlfn.STDEV.P($P110:$XX111)/AVERAGE($P110:$XX111)</f>
        <v>5.5349687841463033E-2</v>
      </c>
      <c r="J111" s="7">
        <f t="shared" ref="J111" si="269">IF(AND(H111&gt;2,
OR(L99="MÉDIA SANEADA",L99="MEDIANA SANEADA",
AND(L99="PREÇO ESTIMADO",NOT(AND(P101="Orçamento",COUNTA(P99:XX99)=COUNTIF(P101:XX101,"Orçamento")))))),
ROW(),0)</f>
        <v>111</v>
      </c>
      <c r="K111" s="66"/>
      <c r="L111" s="29" t="s">
        <v>41</v>
      </c>
      <c r="M111" s="30">
        <f t="shared" ref="M111" si="270">IFERROR(_xlfn.QUARTILE.EXC($P105:$XX105,1),"")</f>
        <v>1611.8052044176438</v>
      </c>
      <c r="N111" s="71"/>
      <c r="O111" s="27" t="str">
        <f t="shared" ref="O111" si="271">"3 RODADA"</f>
        <v>3 RODADA</v>
      </c>
      <c r="P111" s="107">
        <f t="shared" ref="P111:AI111" si="272">IF(P109="","",IF((_xlfn.STDEV.P($P108:$XX109)/AVERAGE($P108:$XX109))&lt;=25%,P109,IF(OR(P109&gt;(AVERAGE($P108:$XX109)+_xlfn.STDEV.P($P108:$XX109)),P109&lt;(AVERAGE($P108:$XX109)-_xlfn.STDEV.P($P108:$XX109))),"DESCARTADO",P109)))</f>
        <v>1743.7071139065965</v>
      </c>
      <c r="Q111" s="107">
        <f t="shared" si="272"/>
        <v>1846.2781206069847</v>
      </c>
      <c r="R111" s="107">
        <f t="shared" si="272"/>
        <v>1611.8052044176438</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f t="shared" si="247"/>
        <v>5</v>
      </c>
      <c r="C112" s="128">
        <f t="shared" si="248"/>
        <v>1</v>
      </c>
      <c r="D112" s="127">
        <f t="shared" si="248"/>
        <v>5</v>
      </c>
      <c r="E112" s="743"/>
      <c r="F112" s="93"/>
      <c r="G112" s="745"/>
      <c r="H112"/>
      <c r="I112"/>
      <c r="J112"/>
      <c r="K112" s="66"/>
      <c r="L112" s="29" t="s">
        <v>39</v>
      </c>
      <c r="M112" s="30">
        <f t="shared" ref="M112" si="273">IFERROR(_xlfn.QUARTILE.EXC($P105:$XX105,3),"")</f>
        <v>1846.2781206069847</v>
      </c>
      <c r="N112" s="71"/>
      <c r="O112" s="27" t="str">
        <f t="shared" ref="O112" si="274">"4 POND"</f>
        <v>4 POND</v>
      </c>
      <c r="P112" s="107">
        <f>IF(IFERROR(VLOOKUP(P101,'Tabela de Apoio'!$D:$E,2,FALSE),1)=1,"",P113)</f>
        <v>1743.7071139065965</v>
      </c>
      <c r="Q112" s="107">
        <f>IF(IFERROR(VLOOKUP(Q101,'Tabela de Apoio'!$D:$E,2,FALSE),1)=1,"",Q113)</f>
        <v>1846.2781206069847</v>
      </c>
      <c r="R112" s="107">
        <f>IF(IFERROR(VLOOKUP(R101,'Tabela de Apoio'!$D:$E,2,FALSE),1)=1,"",R113)</f>
        <v>1611.8052044176438</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247"/>
        <v>5</v>
      </c>
      <c r="C113" s="128">
        <f t="shared" si="248"/>
        <v>1</v>
      </c>
      <c r="D113" s="127">
        <f t="shared" si="248"/>
        <v>5</v>
      </c>
      <c r="E113" s="743"/>
      <c r="F113" s="93"/>
      <c r="G113" s="745"/>
      <c r="H113" s="134">
        <f t="shared" ref="H113" si="275">COUNT($P113:$XX113)</f>
        <v>3</v>
      </c>
      <c r="I113" s="132">
        <f t="shared" ref="I113" si="276">_xlfn.STDEV.P($P112:$XX113)/AVERAGE($P112:$XX113)</f>
        <v>5.5349687841463033E-2</v>
      </c>
      <c r="J113" s="7">
        <f t="shared" ref="J113" si="277">IF(AND(H113&gt;2,
OR(L99="MÉDIA SANEADA",L99="MEDIANA SANEADA",
AND(L99="PREÇO ESTIMADO",NOT(AND(P101="Orçamento",COUNTA(P99:XX99)=COUNTIF(P101:XX101,"Orçamento")))))),
ROW(),0)</f>
        <v>113</v>
      </c>
      <c r="K113" s="66"/>
      <c r="L113" s="29" t="s">
        <v>42</v>
      </c>
      <c r="M113" s="30">
        <f t="shared" ref="M113" si="278">MIN($P105:$XX105)</f>
        <v>1611.8052044176438</v>
      </c>
      <c r="N113" s="71"/>
      <c r="O113" s="27" t="str">
        <f t="shared" ref="O113" si="279">"4 RODADA"</f>
        <v>4 RODADA</v>
      </c>
      <c r="P113" s="107">
        <f t="shared" ref="P113:AI113" si="280">IF(P111="","",IF((_xlfn.STDEV.P($P110:$XX111)/AVERAGE($P110:$XX111))&lt;=25%,P111,IF(OR(P111&gt;(AVERAGE($P110:$XX111)+_xlfn.STDEV.P($P110:$XX111)),P111&lt;(AVERAGE($P110:$XX111)-_xlfn.STDEV.P($P110:$XX111))),"DESCARTADO",P111)))</f>
        <v>1743.7071139065965</v>
      </c>
      <c r="Q113" s="107">
        <f t="shared" si="280"/>
        <v>1846.2781206069847</v>
      </c>
      <c r="R113" s="107">
        <f t="shared" si="280"/>
        <v>1611.8052044176438</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f t="shared" si="247"/>
        <v>5</v>
      </c>
      <c r="C114" s="128">
        <f t="shared" si="248"/>
        <v>1</v>
      </c>
      <c r="D114" s="127">
        <f t="shared" si="248"/>
        <v>5</v>
      </c>
      <c r="E114" s="743"/>
      <c r="F114" s="93"/>
      <c r="G114" s="745"/>
      <c r="H114"/>
      <c r="I114"/>
      <c r="J114"/>
      <c r="K114" s="66"/>
      <c r="L114" s="29" t="s">
        <v>40</v>
      </c>
      <c r="M114" s="30">
        <f t="shared" ref="M114" si="281">MAX($P105:$XX105)</f>
        <v>1846.2781206069847</v>
      </c>
      <c r="N114" s="71"/>
      <c r="O114" s="27" t="str">
        <f t="shared" ref="O114" si="282">"5 POND"</f>
        <v>5 POND</v>
      </c>
      <c r="P114" s="107">
        <f>IF(IFERROR(VLOOKUP(P101,'Tabela de Apoio'!$D:$E,2,FALSE),1)=1,"",P115)</f>
        <v>1743.7071139065965</v>
      </c>
      <c r="Q114" s="107">
        <f>IF(IFERROR(VLOOKUP(Q101,'Tabela de Apoio'!$D:$E,2,FALSE),1)=1,"",Q115)</f>
        <v>1846.2781206069847</v>
      </c>
      <c r="R114" s="107">
        <f>IF(IFERROR(VLOOKUP(R101,'Tabela de Apoio'!$D:$E,2,FALSE),1)=1,"",R115)</f>
        <v>1611.8052044176438</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247"/>
        <v>5</v>
      </c>
      <c r="C115" s="128">
        <f t="shared" si="248"/>
        <v>1</v>
      </c>
      <c r="D115" s="127">
        <f t="shared" si="248"/>
        <v>5</v>
      </c>
      <c r="E115" s="743"/>
      <c r="F115" s="93"/>
      <c r="G115" s="745"/>
      <c r="H115" s="134">
        <f t="shared" ref="H115" si="283">COUNT($P115:$XX115)</f>
        <v>3</v>
      </c>
      <c r="I115" s="132">
        <f t="shared" ref="I115" si="284">_xlfn.STDEV.P($P114:$XX115)/AVERAGE($P114:$XX115)</f>
        <v>5.5349687841463033E-2</v>
      </c>
      <c r="J115" s="7">
        <f t="shared" ref="J115" si="285">IF(AND(H115&gt;2,
OR(L99="MÉDIA SANEADA",L99="MEDIANA SANEADA",
AND(L99="PREÇO ESTIMADO",NOT(AND(P101="Orçamento",COUNTA(P99:XX99)=COUNTIF(P101:XX101,"Orçamento")))))),
ROW(),0)</f>
        <v>115</v>
      </c>
      <c r="K115" s="66"/>
      <c r="N115" s="71"/>
      <c r="O115" s="27" t="str">
        <f t="shared" ref="O115" si="286">"5 RODADA"</f>
        <v>5 RODADA</v>
      </c>
      <c r="P115" s="107">
        <f t="shared" ref="P115:AI115" si="287">IF(P113="","",IF((_xlfn.STDEV.P($P112:$XX113)/AVERAGE($P112:$XX113))&lt;=25%,P113,IF(OR(P113&gt;(AVERAGE($P112:$XX113)+_xlfn.STDEV.P($P112:$XX113)),P113&lt;(AVERAGE($P112:$XX113)-_xlfn.STDEV.P($P112:$XX113))),"DESCARTADO",P113)))</f>
        <v>1743.7071139065965</v>
      </c>
      <c r="Q115" s="107">
        <f t="shared" si="287"/>
        <v>1846.2781206069847</v>
      </c>
      <c r="R115" s="107">
        <f t="shared" si="287"/>
        <v>1611.8052044176438</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f t="shared" si="247"/>
        <v>5</v>
      </c>
      <c r="C116" s="128">
        <f t="shared" si="248"/>
        <v>1</v>
      </c>
      <c r="D116" s="127">
        <f t="shared" si="248"/>
        <v>5</v>
      </c>
      <c r="E116" s="743"/>
      <c r="F116" s="93"/>
      <c r="G116" s="745"/>
      <c r="H116"/>
      <c r="I116"/>
      <c r="J116"/>
      <c r="K116" s="66"/>
      <c r="L116" s="22"/>
      <c r="M116" s="22"/>
      <c r="N116" s="71"/>
      <c r="O116" s="27" t="str">
        <f t="shared" ref="O116" si="288">"6 POND"</f>
        <v>6 POND</v>
      </c>
      <c r="P116" s="107">
        <f>IF(IFERROR(VLOOKUP(P101,'Tabela de Apoio'!$D:$E,2,FALSE),1)=1,"",P117)</f>
        <v>1743.7071139065965</v>
      </c>
      <c r="Q116" s="107">
        <f>IF(IFERROR(VLOOKUP(Q101,'Tabela de Apoio'!$D:$E,2,FALSE),1)=1,"",Q117)</f>
        <v>1846.2781206069847</v>
      </c>
      <c r="R116" s="107">
        <f>IF(IFERROR(VLOOKUP(R101,'Tabela de Apoio'!$D:$E,2,FALSE),1)=1,"",R117)</f>
        <v>1611.8052044176438</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247"/>
        <v>5</v>
      </c>
      <c r="C117" s="128">
        <f t="shared" si="248"/>
        <v>1</v>
      </c>
      <c r="D117" s="127">
        <f t="shared" si="248"/>
        <v>5</v>
      </c>
      <c r="E117" s="743"/>
      <c r="F117" s="93"/>
      <c r="G117" s="745"/>
      <c r="H117" s="134">
        <f t="shared" ref="H117" si="289">COUNT($P117:$XX117)</f>
        <v>3</v>
      </c>
      <c r="I117" s="132">
        <f t="shared" ref="I117" si="290">_xlfn.STDEV.P($P116:$XX117)/AVERAGE($P116:$XX117)</f>
        <v>5.5349687841463033E-2</v>
      </c>
      <c r="J117" s="7">
        <f t="shared" ref="J117" si="291">IF(AND(H117&gt;2,
OR(L99="MÉDIA SANEADA",L99="MEDIANA SANEADA",
AND(L99="PREÇO ESTIMADO",NOT(AND(P101="Orçamento",COUNTA(P99:XX99)=COUNTIF(P101:XX101,"Orçamento")))))),
ROW(),0)</f>
        <v>117</v>
      </c>
      <c r="N117" s="71"/>
      <c r="O117" s="27" t="str">
        <f t="shared" ref="O117" si="292">"6 RODADA"</f>
        <v>6 RODADA</v>
      </c>
      <c r="P117" s="107">
        <f t="shared" ref="P117:AI117" si="293">IFERROR(IF(P115="","",IF((_xlfn.STDEV.P($P114:$XX115)/AVERAGE($P114:$XX115))&lt;=25%,P115,IF(OR(P115&gt;(AVERAGE($P114:$XX115)+_xlfn.STDEV.P($P114:$XX115)),P115&lt;(AVERAGE($P114:$XX115)-_xlfn.STDEV.P($P114:$XX115))),"DESCARTADO",P115))),)</f>
        <v>1743.7071139065965</v>
      </c>
      <c r="Q117" s="107">
        <f t="shared" si="293"/>
        <v>1846.2781206069847</v>
      </c>
      <c r="R117" s="107">
        <f t="shared" si="293"/>
        <v>1611.8052044176438</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f t="shared" si="247"/>
        <v>5</v>
      </c>
      <c r="C118" s="128">
        <f t="shared" si="248"/>
        <v>1</v>
      </c>
      <c r="D118" s="127">
        <f t="shared" si="248"/>
        <v>5</v>
      </c>
      <c r="E118" s="743"/>
      <c r="F118" s="136"/>
      <c r="G118" s="745"/>
      <c r="H118" s="748"/>
      <c r="I118" s="748"/>
      <c r="J118" s="749"/>
      <c r="K118" s="67"/>
      <c r="L118" s="1" t="s">
        <v>43</v>
      </c>
      <c r="M118" s="144">
        <f t="shared" ref="M118" si="294">IFERROR(ROUND(M99*M101,2),"")</f>
        <v>0</v>
      </c>
      <c r="O118" s="27" t="s">
        <v>363</v>
      </c>
      <c r="P118" s="107">
        <f t="shared" ref="P118:R118" si="295">INDEX(P105:P117,MATCH(MAX($J105:$J117),$J105:$J117,0))</f>
        <v>1743.7071139065965</v>
      </c>
      <c r="Q118" s="107">
        <f t="shared" si="295"/>
        <v>1846.2781206069847</v>
      </c>
      <c r="R118" s="107">
        <f t="shared" si="295"/>
        <v>1611.8052044176438</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f t="shared" ref="B120" si="296">LARGE(IFERROR(IF(B118+1&gt;$H$8,"",B118+1),""),1)</f>
        <v>6</v>
      </c>
      <c r="C120" s="127">
        <f>IF(_xlfn.ISFORMULA(E124),MAX(INDEX('BASE FORMAÇÃO'!A:A,B120+1),1),E124)</f>
        <v>1</v>
      </c>
      <c r="D120" s="127">
        <f t="shared" ref="D120" si="297">IFERROR(IF(C120=C110,D110+1,1),1)</f>
        <v>6</v>
      </c>
      <c r="E120" s="38" t="s">
        <v>9</v>
      </c>
      <c r="F120" s="73"/>
      <c r="G120" s="38" t="s">
        <v>15</v>
      </c>
      <c r="H120" s="135">
        <f>INDEX('BASE FORMAÇÃO'!B:B,B120+1)</f>
        <v>0</v>
      </c>
      <c r="I120" s="143" t="s">
        <v>16</v>
      </c>
      <c r="J120" s="6">
        <f>INDEX('BASE FORMAÇÃO'!K:K,B120+1)</f>
        <v>0</v>
      </c>
      <c r="K120" s="65"/>
      <c r="L120" s="750" t="s">
        <v>10</v>
      </c>
      <c r="M120" s="752">
        <f t="shared" ref="M120" si="298">IF(OR(ISBLANK($O$8),ISBLANK($O$7),ISBLANK($H$8),ISBLANK($O$6),ISBLANK($O$5),ISBLANK($H$5)),"",IFERROR(IF(VLOOKUP(L120,L126:M135,2,FALSE)&lt;1,ROUND(VLOOKUP(L120,L126:M135,2,FALSE),4),ROUND(VLOOKUP(L120,L126:M135,2,FALSE),2)),""))</f>
        <v>1299.3599999999999</v>
      </c>
      <c r="N120" s="69"/>
      <c r="O120" s="27" t="s">
        <v>17</v>
      </c>
      <c r="P120" s="113">
        <v>1299.3599999999999</v>
      </c>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1" si="299">B120</f>
        <v>6</v>
      </c>
      <c r="C121" s="128">
        <f t="shared" si="299"/>
        <v>1</v>
      </c>
      <c r="D121" s="127">
        <f t="shared" si="299"/>
        <v>6</v>
      </c>
      <c r="E121" s="754">
        <f t="shared" ref="E121" si="300">D120</f>
        <v>6</v>
      </c>
      <c r="F121" s="92"/>
      <c r="G121" s="756" t="s">
        <v>1</v>
      </c>
      <c r="H121" s="765" t="s">
        <v>437</v>
      </c>
      <c r="I121" s="759"/>
      <c r="J121" s="760"/>
      <c r="K121" s="66"/>
      <c r="L121" s="751"/>
      <c r="M121" s="753"/>
      <c r="N121" s="70"/>
      <c r="O121" s="27" t="s">
        <v>13</v>
      </c>
      <c r="P121" s="122">
        <v>45779</v>
      </c>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ref="B122:D122" si="301">B121</f>
        <v>6</v>
      </c>
      <c r="C122" s="128">
        <f t="shared" si="301"/>
        <v>1</v>
      </c>
      <c r="D122" s="127">
        <f t="shared" si="301"/>
        <v>6</v>
      </c>
      <c r="E122" s="755"/>
      <c r="F122" s="93"/>
      <c r="G122" s="757"/>
      <c r="H122" s="761"/>
      <c r="I122" s="761"/>
      <c r="J122" s="762"/>
      <c r="K122" s="64"/>
      <c r="L122" s="130" t="s">
        <v>44</v>
      </c>
      <c r="M122" s="131">
        <f>INDEX('BASE FORMAÇÃO'!H:H,B124+1)</f>
        <v>0</v>
      </c>
      <c r="N122" s="71"/>
      <c r="O122" s="27" t="s">
        <v>380</v>
      </c>
      <c r="P122" s="114" t="s">
        <v>349</v>
      </c>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 t="shared" ref="B123:C123" si="302">B122</f>
        <v>6</v>
      </c>
      <c r="C123" s="128">
        <f t="shared" si="302"/>
        <v>1</v>
      </c>
      <c r="D123" s="127">
        <f t="shared" si="248"/>
        <v>6</v>
      </c>
      <c r="E123" s="38" t="s">
        <v>313</v>
      </c>
      <c r="F123" s="93"/>
      <c r="G123" s="758"/>
      <c r="H123" s="763"/>
      <c r="I123" s="763"/>
      <c r="J123" s="764"/>
      <c r="K123" s="64"/>
      <c r="L123" s="1" t="s">
        <v>2</v>
      </c>
      <c r="M123" s="6">
        <f>INDEX('BASE FORMAÇÃO'!D:D,B124+1)</f>
        <v>0</v>
      </c>
      <c r="N123" s="71"/>
      <c r="O123" s="27" t="s">
        <v>381</v>
      </c>
      <c r="P123" s="182" t="s">
        <v>454</v>
      </c>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f t="shared" ref="B124:C124" si="303">B122</f>
        <v>6</v>
      </c>
      <c r="C124" s="128">
        <f t="shared" si="303"/>
        <v>1</v>
      </c>
      <c r="D124" s="127">
        <f t="shared" si="248"/>
        <v>6</v>
      </c>
      <c r="E124" s="742">
        <f t="shared" ref="E124" si="304">C120</f>
        <v>1</v>
      </c>
      <c r="F124" s="93"/>
      <c r="G124" s="744" t="s">
        <v>304</v>
      </c>
      <c r="H124" s="746"/>
      <c r="I124" s="747"/>
      <c r="J124" s="747"/>
      <c r="K124" s="67"/>
      <c r="L124" s="28" t="s">
        <v>303</v>
      </c>
      <c r="M124" s="133">
        <f t="shared" ref="M124" si="305">IFERROR(INDEX(I126:I138,MATCH(MAX(J126:J138),J126:J138,0)),"")</f>
        <v>0</v>
      </c>
      <c r="N124" s="71"/>
      <c r="O124" s="27" t="s">
        <v>18</v>
      </c>
      <c r="P124" s="106">
        <f>IF(P120="","",
IF(OR(P122="Orçamento",P121="",MAX('Tabela de Apoio'!$A:$A)&lt;=P121),
P120,
(INDEX('Tabela de Apoio'!$B:$B,MATCH('MAPA DE PREÇOS'!$O$8,'Tabela de Apoio'!$A:$A,1))/INDEX('Tabela de Apoio'!$B:$B,MATCH('MAPA DE PREÇOS'!P121,'Tabela de Apoio'!$A:$A,1)-1))*P120))</f>
        <v>1299.3599999999999</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 si="306">B124</f>
        <v>6</v>
      </c>
      <c r="C125" s="128">
        <f t="shared" ref="C125" si="307">C124</f>
        <v>1</v>
      </c>
      <c r="D125" s="127">
        <f t="shared" si="248"/>
        <v>6</v>
      </c>
      <c r="E125" s="743"/>
      <c r="F125" s="93"/>
      <c r="G125" s="745"/>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ref="B126:C126" si="308">B125</f>
        <v>6</v>
      </c>
      <c r="C126" s="128">
        <f t="shared" si="308"/>
        <v>1</v>
      </c>
      <c r="D126" s="127">
        <f t="shared" si="248"/>
        <v>6</v>
      </c>
      <c r="E126" s="743"/>
      <c r="F126" s="93"/>
      <c r="G126" s="745"/>
      <c r="H126" s="134">
        <f t="shared" ref="H126" si="309">COUNT($P126:$XX126)</f>
        <v>1</v>
      </c>
      <c r="I126" s="132">
        <f t="shared" ref="I126" si="310">_xlfn.STDEV.P($P125:$XX126)/AVERAGE($P125:$XX126)</f>
        <v>0</v>
      </c>
      <c r="J126" s="7">
        <f>ROW()</f>
        <v>126</v>
      </c>
      <c r="K126" s="67"/>
      <c r="L126" s="29" t="s">
        <v>10</v>
      </c>
      <c r="M126" s="30">
        <f t="shared" ref="M126" si="311">IFERROR(
IF(COUNTA(P120:AI120)=COUNTIF(P122:XX122,"Orçamento"),MIN(M131,M128),
IF(M129&lt;&gt;"",M129,
IF(M130&lt;&gt;"",M130,
M128
))),"")</f>
        <v>1299.3599999999999</v>
      </c>
      <c r="N126" s="71"/>
      <c r="O126" s="27" t="s">
        <v>376</v>
      </c>
      <c r="P126" s="106">
        <f t="shared" ref="P126:AI126" si="312">IFERROR(IF(P124="",
            "",
            IF(COUNT($P124:$XX124)&lt;=4,
               P124,
               IF(OR(P124&gt;(QUARTILE($P124:$XX124,3)+(QUARTILE($P124:$XX124,3)-QUARTILE($P124:$XX124,1))),
                     P124&lt;(QUARTILE($P124:$XX124,1)-(QUARTILE($P124:$XX124,3)-QUARTILE($P124:$XX124,1)))
                  ),
               "DESCARTADO",P124)
             )
  ),P124)</f>
        <v>1299.3599999999999</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f t="shared" ref="B127" si="313">B126</f>
        <v>6</v>
      </c>
      <c r="C127" s="128">
        <f t="shared" ref="C127" si="314">C126</f>
        <v>1</v>
      </c>
      <c r="D127" s="127">
        <f t="shared" si="248"/>
        <v>6</v>
      </c>
      <c r="E127" s="743"/>
      <c r="F127" s="93"/>
      <c r="G127" s="745"/>
      <c r="H127"/>
      <c r="I127"/>
      <c r="J127"/>
      <c r="K127" s="66"/>
      <c r="L127" s="29" t="s">
        <v>360</v>
      </c>
      <c r="M127" s="30">
        <f t="shared" ref="M127" si="315">AVERAGE($P126:$XX126)</f>
        <v>1299.3599999999999</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247"/>
        <v>6</v>
      </c>
      <c r="C128" s="128">
        <f t="shared" si="248"/>
        <v>1</v>
      </c>
      <c r="D128" s="127">
        <f t="shared" si="248"/>
        <v>6</v>
      </c>
      <c r="E128" s="743"/>
      <c r="F128" s="93"/>
      <c r="G128" s="745"/>
      <c r="H128" s="134">
        <f t="shared" ref="H128" si="317">COUNT($P128:$XX128)</f>
        <v>1</v>
      </c>
      <c r="I128" s="132">
        <f t="shared" ref="I128" si="318">_xlfn.STDEV.P($P127:$XX128)/AVERAGE($P127:$XX128)</f>
        <v>0</v>
      </c>
      <c r="J128" s="7">
        <f t="shared" ref="J128" si="319">IF(AND(H128&gt;2,
OR(L120="MÉDIA SANEADA",L120="MEDIANA SANEADA",
AND(L120="PREÇO ESTIMADO",NOT(AND(P122="Orçamento",COUNTA(P120:XX120)=COUNTIF(P122:XX122,"Orçamento")))))),
ROW(),0)</f>
        <v>0</v>
      </c>
      <c r="K128" s="66"/>
      <c r="L128" s="29" t="s">
        <v>361</v>
      </c>
      <c r="M128" s="30">
        <f t="shared" ref="M128" si="320">MEDIAN($P126:$XX126)</f>
        <v>1299.3599999999999</v>
      </c>
      <c r="N128" s="71"/>
      <c r="O128" s="27" t="str">
        <f t="shared" ref="O128" si="321">"1 RODADA"</f>
        <v>1 RODADA</v>
      </c>
      <c r="P128" s="107">
        <f t="shared" ref="P128:AI128" si="322">IF(P126="","",IF((_xlfn.STDEV.P($P125:$XX126)/AVERAGE($P125:$XX126))&lt;=25%,P126,IF(OR(P126&gt;(AVERAGE($P125:$XX126)+_xlfn.STDEV.P($P125:$XX126)),P126&lt;(AVERAGE($P125:$XX126)-_xlfn.STDEV.P($P125:$XX126))),"DESCARTADO",P126)))</f>
        <v>1299.3599999999999</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f t="shared" si="247"/>
        <v>6</v>
      </c>
      <c r="C129" s="128">
        <f t="shared" si="248"/>
        <v>1</v>
      </c>
      <c r="D129" s="127">
        <f t="shared" si="248"/>
        <v>6</v>
      </c>
      <c r="E129" s="743"/>
      <c r="F129" s="93"/>
      <c r="G129" s="745"/>
      <c r="H129"/>
      <c r="I129"/>
      <c r="J129"/>
      <c r="L129" s="29" t="s">
        <v>38</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1299.3599999999999</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247"/>
        <v>6</v>
      </c>
      <c r="C130" s="128">
        <f t="shared" si="248"/>
        <v>1</v>
      </c>
      <c r="D130" s="127">
        <f t="shared" si="248"/>
        <v>6</v>
      </c>
      <c r="E130" s="743"/>
      <c r="F130" s="93"/>
      <c r="G130" s="745"/>
      <c r="H130" s="134">
        <f t="shared" ref="H130" si="325">COUNT($P130:$XX130)</f>
        <v>1</v>
      </c>
      <c r="I130" s="132">
        <f t="shared" ref="I130" si="326">_xlfn.STDEV.P($P129:$XX130)/AVERAGE($P129:$XX130)</f>
        <v>0</v>
      </c>
      <c r="J130" s="7">
        <f t="shared" ref="J130" si="327">IF(AND(H130&gt;2,
OR(L120="MÉDIA SANEADA",L120="MEDIANA SANEADA",
AND(L120="PREÇO ESTIMADO",NOT(AND(P122="Orçamento",COUNTA(P120:XX120)=COUNTIF(P122:XX122,"Orçamento")))))),
ROW(),0)</f>
        <v>0</v>
      </c>
      <c r="K130" s="66"/>
      <c r="L130" s="29" t="s">
        <v>362</v>
      </c>
      <c r="M130" s="30">
        <f t="shared" ref="M130" si="328" xml:space="preserve">
IF(H128&gt;2,MEDIAN(P127:XX128),
IF(H130&gt;2,MEDIAN(P129:XX130),
IF(H132&gt;2,MEDIAN(P131:XX132),
IF(H134&gt;2,MEDIAN(P133:XX134),
IF(H136&gt;2,MEDIAN(P135:XX136),
IF(H138&gt;2,MEDIAN(P137:XX138),
MEDIAN(P125:XX126)))))))</f>
        <v>1299.3599999999999</v>
      </c>
      <c r="N130" s="71"/>
      <c r="O130" s="27" t="str">
        <f t="shared" ref="O130" si="329">"2 RODADA"</f>
        <v>2 RODADA</v>
      </c>
      <c r="P130" s="107">
        <f t="shared" ref="P130:AI130" si="330">IF(P128="","",IF((_xlfn.STDEV.P($P127:$XX128)/AVERAGE($P127:$XX128))&lt;=25%,P128,IF(OR(P128&gt;(AVERAGE($P127:$XX128)+_xlfn.STDEV.P($P127:$XX128)),P128&lt;(AVERAGE($P127:$XX128)-_xlfn.STDEV.P($P127:$XX128))),"DESCARTADO",P128)))</f>
        <v>1299.3599999999999</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f t="shared" si="247"/>
        <v>6</v>
      </c>
      <c r="C131" s="128">
        <f t="shared" si="248"/>
        <v>1</v>
      </c>
      <c r="D131" s="127">
        <f t="shared" si="248"/>
        <v>6</v>
      </c>
      <c r="E131" s="743"/>
      <c r="F131" s="93"/>
      <c r="G131" s="745"/>
      <c r="H131"/>
      <c r="I131"/>
      <c r="J131"/>
      <c r="K131" s="66"/>
      <c r="L131" s="29" t="s">
        <v>359</v>
      </c>
      <c r="M131" s="30">
        <f t="shared" ref="M131" si="331">HARMEAN($P125:$XX126)</f>
        <v>1299.3599999999999</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247"/>
        <v>6</v>
      </c>
      <c r="C132" s="128">
        <f t="shared" si="248"/>
        <v>1</v>
      </c>
      <c r="D132" s="127">
        <f t="shared" si="248"/>
        <v>6</v>
      </c>
      <c r="E132" s="743"/>
      <c r="F132" s="93"/>
      <c r="G132" s="745"/>
      <c r="H132" s="134">
        <f t="shared" ref="H132" si="333">COUNT($P132:$XX132)</f>
        <v>1</v>
      </c>
      <c r="I132" s="132">
        <f t="shared" ref="I132" si="334">_xlfn.STDEV.P($P131:$XX132)/AVERAGE($P131:$XX132)</f>
        <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f t="shared" ref="P132:AI132" si="338">IF(P130="","",IF((_xlfn.STDEV.P($P129:$XX130)/AVERAGE($P129:$XX130))&lt;=25%,P130,IF(OR(P130&gt;(AVERAGE($P129:$XX130)+_xlfn.STDEV.P($P129:$XX130)),P130&lt;(AVERAGE($P129:$XX130)-_xlfn.STDEV.P($P129:$XX130))),"DESCARTADO",P130)))</f>
        <v>1299.3599999999999</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f t="shared" si="247"/>
        <v>6</v>
      </c>
      <c r="C133" s="128">
        <f t="shared" si="248"/>
        <v>1</v>
      </c>
      <c r="D133" s="127">
        <f t="shared" si="248"/>
        <v>6</v>
      </c>
      <c r="E133" s="743"/>
      <c r="F133" s="93"/>
      <c r="G133" s="745"/>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247"/>
        <v>6</v>
      </c>
      <c r="C134" s="128">
        <f t="shared" si="248"/>
        <v>1</v>
      </c>
      <c r="D134" s="127">
        <f t="shared" si="248"/>
        <v>6</v>
      </c>
      <c r="E134" s="743"/>
      <c r="F134" s="93"/>
      <c r="G134" s="745"/>
      <c r="H134" s="134">
        <f t="shared" ref="H134" si="341">COUNT($P134:$XX134)</f>
        <v>1</v>
      </c>
      <c r="I134" s="132">
        <f t="shared" ref="I134" si="342">_xlfn.STDEV.P($P133:$XX134)/AVERAGE($P133:$XX134)</f>
        <v>0</v>
      </c>
      <c r="J134" s="7">
        <f t="shared" ref="J134" si="343">IF(AND(H134&gt;2,
OR(L120="MÉDIA SANEADA",L120="MEDIANA SANEADA",
AND(L120="PREÇO ESTIMADO",NOT(AND(P122="Orçamento",COUNTA(P120:XX120)=COUNTIF(P122:XX122,"Orçamento")))))),
ROW(),0)</f>
        <v>0</v>
      </c>
      <c r="K134" s="66"/>
      <c r="L134" s="29" t="s">
        <v>42</v>
      </c>
      <c r="M134" s="30">
        <f t="shared" ref="M134" si="344">MIN($P126:$XX126)</f>
        <v>1299.3599999999999</v>
      </c>
      <c r="N134" s="71"/>
      <c r="O134" s="27" t="str">
        <f t="shared" ref="O134" si="345">"4 RODADA"</f>
        <v>4 RODADA</v>
      </c>
      <c r="P134" s="107">
        <f t="shared" ref="P134:AI134" si="346">IF(P132="","",IF((_xlfn.STDEV.P($P131:$XX132)/AVERAGE($P131:$XX132))&lt;=25%,P132,IF(OR(P132&gt;(AVERAGE($P131:$XX132)+_xlfn.STDEV.P($P131:$XX132)),P132&lt;(AVERAGE($P131:$XX132)-_xlfn.STDEV.P($P131:$XX132))),"DESCARTADO",P132)))</f>
        <v>1299.3599999999999</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f t="shared" si="247"/>
        <v>6</v>
      </c>
      <c r="C135" s="128">
        <f t="shared" si="248"/>
        <v>1</v>
      </c>
      <c r="D135" s="127">
        <f t="shared" si="248"/>
        <v>6</v>
      </c>
      <c r="E135" s="743"/>
      <c r="F135" s="93"/>
      <c r="G135" s="745"/>
      <c r="H135"/>
      <c r="I135"/>
      <c r="J135"/>
      <c r="K135" s="66"/>
      <c r="L135" s="29" t="s">
        <v>40</v>
      </c>
      <c r="M135" s="30">
        <f t="shared" ref="M135" si="347">MAX($P126:$XX126)</f>
        <v>1299.3599999999999</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247"/>
        <v>6</v>
      </c>
      <c r="C136" s="128">
        <f t="shared" si="248"/>
        <v>1</v>
      </c>
      <c r="D136" s="127">
        <f t="shared" si="248"/>
        <v>6</v>
      </c>
      <c r="E136" s="743"/>
      <c r="F136" s="93"/>
      <c r="G136" s="745"/>
      <c r="H136" s="134">
        <f t="shared" ref="H136" si="349">COUNT($P136:$XX136)</f>
        <v>1</v>
      </c>
      <c r="I136" s="132">
        <f t="shared" ref="I136" si="350">_xlfn.STDEV.P($P135:$XX136)/AVERAGE($P135:$XX136)</f>
        <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f t="shared" ref="P136:AI136" si="353">IF(P134="","",IF((_xlfn.STDEV.P($P133:$XX134)/AVERAGE($P133:$XX134))&lt;=25%,P134,IF(OR(P134&gt;(AVERAGE($P133:$XX134)+_xlfn.STDEV.P($P133:$XX134)),P134&lt;(AVERAGE($P133:$XX134)-_xlfn.STDEV.P($P133:$XX134))),"DESCARTADO",P134)))</f>
        <v>1299.3599999999999</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f t="shared" si="247"/>
        <v>6</v>
      </c>
      <c r="C137" s="128">
        <f t="shared" si="248"/>
        <v>1</v>
      </c>
      <c r="D137" s="127">
        <f t="shared" si="248"/>
        <v>6</v>
      </c>
      <c r="E137" s="743"/>
      <c r="F137" s="93"/>
      <c r="G137" s="745"/>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247"/>
        <v>6</v>
      </c>
      <c r="C138" s="128">
        <f t="shared" si="248"/>
        <v>1</v>
      </c>
      <c r="D138" s="127">
        <f t="shared" si="248"/>
        <v>6</v>
      </c>
      <c r="E138" s="743"/>
      <c r="F138" s="93"/>
      <c r="G138" s="745"/>
      <c r="H138" s="134">
        <f t="shared" ref="H138" si="355">COUNT($P138:$XX138)</f>
        <v>1</v>
      </c>
      <c r="I138" s="132">
        <f t="shared" ref="I138" si="356">_xlfn.STDEV.P($P137:$XX138)/AVERAGE($P137:$XX138)</f>
        <v>0</v>
      </c>
      <c r="J138" s="7">
        <f t="shared" ref="J138" si="357">IF(AND(H138&gt;2,
OR(L120="MÉDIA SANEADA",L120="MEDIANA SANEADA",
AND(L120="PREÇO ESTIMADO",NOT(AND(P122="Orçamento",COUNTA(P120:XX120)=COUNTIF(P122:XX122,"Orçamento")))))),
ROW(),0)</f>
        <v>0</v>
      </c>
      <c r="N138" s="71"/>
      <c r="O138" s="27" t="str">
        <f t="shared" ref="O138" si="358">"6 RODADA"</f>
        <v>6 RODADA</v>
      </c>
      <c r="P138" s="107">
        <f t="shared" ref="P138:AI138" si="359">IFERROR(IF(P136="","",IF((_xlfn.STDEV.P($P135:$XX136)/AVERAGE($P135:$XX136))&lt;=25%,P136,IF(OR(P136&gt;(AVERAGE($P135:$XX136)+_xlfn.STDEV.P($P135:$XX136)),P136&lt;(AVERAGE($P135:$XX136)-_xlfn.STDEV.P($P135:$XX136))),"DESCARTADO",P136))),)</f>
        <v>1299.3599999999999</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f t="shared" si="247"/>
        <v>6</v>
      </c>
      <c r="C139" s="128">
        <f t="shared" si="248"/>
        <v>1</v>
      </c>
      <c r="D139" s="127">
        <f t="shared" si="248"/>
        <v>6</v>
      </c>
      <c r="E139" s="743"/>
      <c r="F139" s="136"/>
      <c r="G139" s="745"/>
      <c r="H139" s="748"/>
      <c r="I139" s="748"/>
      <c r="J139" s="749"/>
      <c r="K139" s="67"/>
      <c r="L139" s="1" t="s">
        <v>43</v>
      </c>
      <c r="M139" s="144">
        <f t="shared" ref="M139" si="360">IFERROR(ROUND(M120*M122,2),"")</f>
        <v>0</v>
      </c>
      <c r="O139" s="27" t="s">
        <v>363</v>
      </c>
      <c r="P139" s="107">
        <f t="shared" ref="P139:AI160" si="361">INDEX(P126:P138,MATCH(MAX($J126:$J138),$J126:$J138,0))</f>
        <v>1299.3599999999999</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f t="shared" ref="B141" si="362">LARGE(IFERROR(IF(B139+1&gt;$H$8,"",B139+1),""),1)</f>
        <v>7</v>
      </c>
      <c r="C141" s="127">
        <f>IF(_xlfn.ISFORMULA(E145),MAX(INDEX('BASE FORMAÇÃO'!A:A,B141+1),1),E145)</f>
        <v>1</v>
      </c>
      <c r="D141" s="127">
        <f t="shared" ref="D141" si="363">IFERROR(IF(C141=C131,D131+1,1),1)</f>
        <v>7</v>
      </c>
      <c r="E141" s="38" t="s">
        <v>9</v>
      </c>
      <c r="F141" s="73"/>
      <c r="G141" s="38" t="s">
        <v>15</v>
      </c>
      <c r="H141" s="135">
        <f>INDEX('BASE FORMAÇÃO'!B:B,B141+1)</f>
        <v>0</v>
      </c>
      <c r="I141" s="143" t="s">
        <v>16</v>
      </c>
      <c r="J141" s="6">
        <f>INDEX('BASE FORMAÇÃO'!K:K,B141+1)</f>
        <v>0</v>
      </c>
      <c r="K141" s="65"/>
      <c r="L141" s="750" t="s">
        <v>10</v>
      </c>
      <c r="M141" s="752">
        <f t="shared" ref="M141" si="364">IF(OR(ISBLANK($O$8),ISBLANK($O$7),ISBLANK($H$8),ISBLANK($O$6),ISBLANK($O$5),ISBLANK($H$5)),"",IFERROR(IF(VLOOKUP(L141,L147:M156,2,FALSE)&lt;1,ROUND(VLOOKUP(L141,L147:M156,2,FALSE),4),ROUND(VLOOKUP(L141,L147:M156,2,FALSE),2)),""))</f>
        <v>2.77</v>
      </c>
      <c r="N141" s="69"/>
      <c r="O141" s="27" t="s">
        <v>17</v>
      </c>
      <c r="P141" s="113">
        <v>3.6</v>
      </c>
      <c r="Q141" s="113">
        <v>2.3199999999999998</v>
      </c>
      <c r="R141" s="113">
        <v>2.2000000000000002</v>
      </c>
      <c r="S141" s="113">
        <v>5.98</v>
      </c>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2" si="365">B141</f>
        <v>7</v>
      </c>
      <c r="C142" s="128">
        <f t="shared" si="365"/>
        <v>1</v>
      </c>
      <c r="D142" s="127">
        <f t="shared" si="365"/>
        <v>7</v>
      </c>
      <c r="E142" s="754">
        <f t="shared" ref="E142" si="366">D141</f>
        <v>7</v>
      </c>
      <c r="F142" s="92"/>
      <c r="G142" s="756" t="s">
        <v>1</v>
      </c>
      <c r="H142" s="765" t="s">
        <v>438</v>
      </c>
      <c r="I142" s="759"/>
      <c r="J142" s="760"/>
      <c r="K142" s="66"/>
      <c r="L142" s="751"/>
      <c r="M142" s="753"/>
      <c r="N142" s="70"/>
      <c r="O142" s="27" t="s">
        <v>13</v>
      </c>
      <c r="P142" s="122">
        <v>45705</v>
      </c>
      <c r="Q142" s="122">
        <v>45701</v>
      </c>
      <c r="R142" s="122">
        <v>45614</v>
      </c>
      <c r="S142" s="122">
        <v>45755</v>
      </c>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ref="B143:D143" si="367">B142</f>
        <v>7</v>
      </c>
      <c r="C143" s="128">
        <f t="shared" si="367"/>
        <v>1</v>
      </c>
      <c r="D143" s="127">
        <f t="shared" si="367"/>
        <v>7</v>
      </c>
      <c r="E143" s="755"/>
      <c r="F143" s="93"/>
      <c r="G143" s="757"/>
      <c r="H143" s="761"/>
      <c r="I143" s="761"/>
      <c r="J143" s="762"/>
      <c r="K143" s="64"/>
      <c r="L143" s="130" t="s">
        <v>44</v>
      </c>
      <c r="M143" s="131">
        <f>INDEX('BASE FORMAÇÃO'!H:H,B145+1)</f>
        <v>0</v>
      </c>
      <c r="N143" s="71"/>
      <c r="O143" s="27" t="s">
        <v>380</v>
      </c>
      <c r="P143" s="114" t="s">
        <v>12</v>
      </c>
      <c r="Q143" s="114" t="s">
        <v>12</v>
      </c>
      <c r="R143" s="114" t="s">
        <v>12</v>
      </c>
      <c r="S143" s="114" t="s">
        <v>12</v>
      </c>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 t="shared" ref="B144:C144" si="368">B143</f>
        <v>7</v>
      </c>
      <c r="C144" s="128">
        <f t="shared" si="368"/>
        <v>1</v>
      </c>
      <c r="D144" s="127">
        <f t="shared" si="248"/>
        <v>7</v>
      </c>
      <c r="E144" s="38" t="s">
        <v>313</v>
      </c>
      <c r="F144" s="93"/>
      <c r="G144" s="758"/>
      <c r="H144" s="763"/>
      <c r="I144" s="763"/>
      <c r="J144" s="764"/>
      <c r="K144" s="64"/>
      <c r="L144" s="1" t="s">
        <v>2</v>
      </c>
      <c r="M144" s="6">
        <f>INDEX('BASE FORMAÇÃO'!D:D,B145+1)</f>
        <v>0</v>
      </c>
      <c r="N144" s="71"/>
      <c r="O144" s="27" t="s">
        <v>381</v>
      </c>
      <c r="P144" s="182" t="s">
        <v>450</v>
      </c>
      <c r="Q144" s="182" t="s">
        <v>450</v>
      </c>
      <c r="R144" s="182" t="s">
        <v>450</v>
      </c>
      <c r="S144" s="182" t="s">
        <v>450</v>
      </c>
      <c r="T144" s="115"/>
      <c r="U144" s="118"/>
      <c r="V144" s="118"/>
      <c r="W144" s="118"/>
      <c r="X144" s="118"/>
      <c r="Y144" s="118"/>
      <c r="Z144" s="118"/>
      <c r="AA144" s="118"/>
      <c r="AB144" s="118"/>
      <c r="AC144" s="118"/>
      <c r="AD144" s="118"/>
      <c r="AE144" s="118"/>
      <c r="AF144" s="118"/>
      <c r="AG144" s="118"/>
      <c r="AH144" s="118"/>
      <c r="AI144" s="118"/>
    </row>
    <row r="145" spans="2:35" x14ac:dyDescent="0.25">
      <c r="B145" s="128">
        <f t="shared" ref="B145:C145" si="369">B143</f>
        <v>7</v>
      </c>
      <c r="C145" s="128">
        <f t="shared" si="369"/>
        <v>1</v>
      </c>
      <c r="D145" s="127">
        <f t="shared" si="248"/>
        <v>7</v>
      </c>
      <c r="E145" s="742">
        <f t="shared" ref="E145" si="370">C141</f>
        <v>1</v>
      </c>
      <c r="F145" s="93"/>
      <c r="G145" s="744" t="s">
        <v>304</v>
      </c>
      <c r="H145" s="746"/>
      <c r="I145" s="747"/>
      <c r="J145" s="747"/>
      <c r="K145" s="67"/>
      <c r="L145" s="28" t="s">
        <v>303</v>
      </c>
      <c r="M145" s="133">
        <f t="shared" ref="M145" si="371">IFERROR(INDEX(I147:I159,MATCH(MAX(J147:J159),J147:J159,0)),"")</f>
        <v>0.2311078254186778</v>
      </c>
      <c r="N145" s="71"/>
      <c r="O145" s="27" t="s">
        <v>18</v>
      </c>
      <c r="P145" s="106">
        <f>IF(P141="","",
IF(OR(P143="Orçamento",P142="",MAX('Tabela de Apoio'!$A:$A)&lt;=P142),
P141,
(INDEX('Tabela de Apoio'!$B:$B,MATCH('MAPA DE PREÇOS'!$O$8,'Tabela de Apoio'!$A:$A,1))/INDEX('Tabela de Apoio'!$B:$B,MATCH('MAPA DE PREÇOS'!P142,'Tabela de Apoio'!$A:$A,1)-1))*P141))</f>
        <v>3.6675873822038123</v>
      </c>
      <c r="Q145" s="106">
        <f>IF(Q141="","",
IF(OR(Q143="Orçamento",Q142="",MAX('Tabela de Apoio'!$A:$A)&lt;=Q142),
Q141,
(INDEX('Tabela de Apoio'!$B:$B,MATCH('MAPA DE PREÇOS'!$O$8,'Tabela de Apoio'!$A:$A,1))/INDEX('Tabela de Apoio'!$B:$B,MATCH('MAPA DE PREÇOS'!Q142,'Tabela de Apoio'!$A:$A,1)-1))*Q141))</f>
        <v>2.3635563129757897</v>
      </c>
      <c r="R145" s="106">
        <f>IF(R141="","",
IF(OR(R143="Orçamento",R142="",MAX('Tabela de Apoio'!$A:$A)&lt;=R142),
R141,
(INDEX('Tabela de Apoio'!$B:$B,MATCH('MAPA DE PREÇOS'!$O$8,'Tabela de Apoio'!$A:$A,1))/INDEX('Tabela de Apoio'!$B:$B,MATCH('MAPA DE PREÇOS'!R142,'Tabela de Apoio'!$A:$A,1)-1))*R141))</f>
        <v>2.2653621987598651</v>
      </c>
      <c r="S145" s="106">
        <f>IF(S141="","",
IF(OR(S143="Orçamento",S142="",MAX('Tabela de Apoio'!$A:$A)&lt;=S142),
S141,
(INDEX('Tabela de Apoio'!$B:$B,MATCH('MAPA DE PREÇOS'!$O$8,'Tabela de Apoio'!$A:$A,1))/INDEX('Tabela de Apoio'!$B:$B,MATCH('MAPA DE PREÇOS'!S142,'Tabela de Apoio'!$A:$A,1)-1))*S141))</f>
        <v>5.98</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 si="372">B145</f>
        <v>7</v>
      </c>
      <c r="C146" s="128">
        <f t="shared" ref="C146" si="373">C145</f>
        <v>1</v>
      </c>
      <c r="D146" s="127">
        <f t="shared" si="248"/>
        <v>7</v>
      </c>
      <c r="E146" s="743"/>
      <c r="F146" s="93"/>
      <c r="G146" s="745"/>
      <c r="H146"/>
      <c r="I146"/>
      <c r="J146"/>
      <c r="N146" s="71"/>
      <c r="O146" s="27" t="s">
        <v>375</v>
      </c>
      <c r="P146" s="107">
        <f>IF(IFERROR(VLOOKUP(P143,'Tabela de Apoio'!$D:$E,2,FALSE),1)=1,"",P147)</f>
        <v>3.6675873822038123</v>
      </c>
      <c r="Q146" s="107">
        <f>IF(IFERROR(VLOOKUP(Q143,'Tabela de Apoio'!$D:$E,2,FALSE),1)=1,"",Q147)</f>
        <v>2.3635563129757897</v>
      </c>
      <c r="R146" s="107">
        <f>IF(IFERROR(VLOOKUP(R143,'Tabela de Apoio'!$D:$E,2,FALSE),1)=1,"",R147)</f>
        <v>2.2653621987598651</v>
      </c>
      <c r="S146" s="107">
        <f>IF(IFERROR(VLOOKUP(S143,'Tabela de Apoio'!$D:$E,2,FALSE),1)=1,"",S147)</f>
        <v>5.98</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ref="B147:C147" si="374">B146</f>
        <v>7</v>
      </c>
      <c r="C147" s="128">
        <f t="shared" si="374"/>
        <v>1</v>
      </c>
      <c r="D147" s="127">
        <f t="shared" si="248"/>
        <v>7</v>
      </c>
      <c r="E147" s="743"/>
      <c r="F147" s="93"/>
      <c r="G147" s="745"/>
      <c r="H147" s="134">
        <f t="shared" ref="H147" si="375">COUNT($P147:$XX147)</f>
        <v>4</v>
      </c>
      <c r="I147" s="132">
        <f t="shared" ref="I147" si="376">_xlfn.STDEV.P($P146:$XX147)/AVERAGE($P146:$XX147)</f>
        <v>0.41969161179250131</v>
      </c>
      <c r="J147" s="7">
        <f>ROW()</f>
        <v>147</v>
      </c>
      <c r="K147" s="67"/>
      <c r="L147" s="29" t="s">
        <v>10</v>
      </c>
      <c r="M147" s="30">
        <f t="shared" ref="M147" si="377">IFERROR(
IF(COUNTA(P141:AI141)=COUNTIF(P143:XX143,"Orçamento"),MIN(M152,M149),
IF(M150&lt;&gt;"",M150,
IF(M151&lt;&gt;"",M151,
M149
))),"")</f>
        <v>2.7655019646464893</v>
      </c>
      <c r="N147" s="71"/>
      <c r="O147" s="27" t="s">
        <v>376</v>
      </c>
      <c r="P147" s="106">
        <f t="shared" ref="P147:AI147" si="378">IFERROR(IF(P145="",
            "",
            IF(COUNT($P145:$XX145)&lt;=4,
               P145,
               IF(OR(P145&gt;(QUARTILE($P145:$XX145,3)+(QUARTILE($P145:$XX145,3)-QUARTILE($P145:$XX145,1))),
                     P145&lt;(QUARTILE($P145:$XX145,1)-(QUARTILE($P145:$XX145,3)-QUARTILE($P145:$XX145,1)))
                  ),
               "DESCARTADO",P145)
             )
  ),P145)</f>
        <v>3.6675873822038123</v>
      </c>
      <c r="Q147" s="106">
        <f t="shared" si="378"/>
        <v>2.3635563129757897</v>
      </c>
      <c r="R147" s="106">
        <f t="shared" si="378"/>
        <v>2.2653621987598651</v>
      </c>
      <c r="S147" s="106">
        <f t="shared" si="378"/>
        <v>5.98</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f t="shared" ref="B148" si="379">B147</f>
        <v>7</v>
      </c>
      <c r="C148" s="128">
        <f t="shared" ref="C148" si="380">C147</f>
        <v>1</v>
      </c>
      <c r="D148" s="127">
        <f t="shared" si="248"/>
        <v>7</v>
      </c>
      <c r="E148" s="743"/>
      <c r="F148" s="93"/>
      <c r="G148" s="745"/>
      <c r="H148"/>
      <c r="I148"/>
      <c r="J148"/>
      <c r="K148" s="66"/>
      <c r="L148" s="29" t="s">
        <v>360</v>
      </c>
      <c r="M148" s="30">
        <f t="shared" ref="M148" si="381">AVERAGE($P147:$XX147)</f>
        <v>3.5691264734848671</v>
      </c>
      <c r="N148" s="71"/>
      <c r="O148" s="27" t="str">
        <f t="shared" ref="O148" si="382">"1 POND"</f>
        <v>1 POND</v>
      </c>
      <c r="P148" s="107">
        <f>IF(IFERROR(VLOOKUP(P143,'Tabela de Apoio'!$D:$E,2,FALSE),1)=1,"",P149)</f>
        <v>3.6675873822038123</v>
      </c>
      <c r="Q148" s="107">
        <f>IF(IFERROR(VLOOKUP(Q143,'Tabela de Apoio'!$D:$E,2,FALSE),1)=1,"",Q149)</f>
        <v>2.3635563129757897</v>
      </c>
      <c r="R148" s="107">
        <f>IF(IFERROR(VLOOKUP(R143,'Tabela de Apoio'!$D:$E,2,FALSE),1)=1,"",R149)</f>
        <v>2.2653621987598651</v>
      </c>
      <c r="S148" s="107" t="str">
        <f>IF(IFERROR(VLOOKUP(S143,'Tabela de Apoio'!$D:$E,2,FALSE),1)=1,"",S149)</f>
        <v>DESCARTADO</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247"/>
        <v>7</v>
      </c>
      <c r="C149" s="128">
        <f t="shared" si="248"/>
        <v>1</v>
      </c>
      <c r="D149" s="127">
        <f t="shared" si="248"/>
        <v>7</v>
      </c>
      <c r="E149" s="743"/>
      <c r="F149" s="93"/>
      <c r="G149" s="745"/>
      <c r="H149" s="134">
        <f t="shared" ref="H149" si="383">COUNT($P149:$XX149)</f>
        <v>3</v>
      </c>
      <c r="I149" s="132">
        <f t="shared" ref="I149" si="384">_xlfn.STDEV.P($P148:$XX149)/AVERAGE($P148:$XX149)</f>
        <v>0.2311078254186778</v>
      </c>
      <c r="J149" s="7">
        <f t="shared" ref="J149" si="385">IF(AND(H149&gt;2,
OR(L141="MÉDIA SANEADA",L141="MEDIANA SANEADA",
AND(L141="PREÇO ESTIMADO",NOT(AND(P143="Orçamento",COUNTA(P141:XX141)=COUNTIF(P143:XX143,"Orçamento")))))),
ROW(),0)</f>
        <v>149</v>
      </c>
      <c r="K149" s="66"/>
      <c r="L149" s="29" t="s">
        <v>361</v>
      </c>
      <c r="M149" s="30">
        <f t="shared" ref="M149" si="386">MEDIAN($P147:$XX147)</f>
        <v>3.015571847589801</v>
      </c>
      <c r="N149" s="71"/>
      <c r="O149" s="27" t="str">
        <f t="shared" ref="O149" si="387">"1 RODADA"</f>
        <v>1 RODADA</v>
      </c>
      <c r="P149" s="107">
        <f t="shared" ref="P149:AI149" si="388">IF(P147="","",IF((_xlfn.STDEV.P($P146:$XX147)/AVERAGE($P146:$XX147))&lt;=25%,P147,IF(OR(P147&gt;(AVERAGE($P146:$XX147)+_xlfn.STDEV.P($P146:$XX147)),P147&lt;(AVERAGE($P146:$XX147)-_xlfn.STDEV.P($P146:$XX147))),"DESCARTADO",P147)))</f>
        <v>3.6675873822038123</v>
      </c>
      <c r="Q149" s="107">
        <f t="shared" si="388"/>
        <v>2.3635563129757897</v>
      </c>
      <c r="R149" s="107">
        <f t="shared" si="388"/>
        <v>2.2653621987598651</v>
      </c>
      <c r="S149" s="107" t="str">
        <f t="shared" si="388"/>
        <v>DESCARTADO</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f t="shared" si="247"/>
        <v>7</v>
      </c>
      <c r="C150" s="128">
        <f t="shared" si="248"/>
        <v>1</v>
      </c>
      <c r="D150" s="127">
        <f t="shared" si="248"/>
        <v>7</v>
      </c>
      <c r="E150" s="743"/>
      <c r="F150" s="93"/>
      <c r="G150" s="745"/>
      <c r="H150"/>
      <c r="I150"/>
      <c r="J150"/>
      <c r="L150" s="29" t="s">
        <v>38</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2.7655019646464893</v>
      </c>
      <c r="N150" s="71"/>
      <c r="O150" s="27" t="str">
        <f t="shared" ref="O150" si="390">"2 POND"</f>
        <v>2 POND</v>
      </c>
      <c r="P150" s="107">
        <f>IF(IFERROR(VLOOKUP(P143,'Tabela de Apoio'!$D:$E,2,FALSE),1)=1,"",P151)</f>
        <v>3.6675873822038123</v>
      </c>
      <c r="Q150" s="107">
        <f>IF(IFERROR(VLOOKUP(Q143,'Tabela de Apoio'!$D:$E,2,FALSE),1)=1,"",Q151)</f>
        <v>2.3635563129757897</v>
      </c>
      <c r="R150" s="107">
        <f>IF(IFERROR(VLOOKUP(R143,'Tabela de Apoio'!$D:$E,2,FALSE),1)=1,"",R151)</f>
        <v>2.2653621987598651</v>
      </c>
      <c r="S150" s="107" t="str">
        <f>IF(IFERROR(VLOOKUP(S143,'Tabela de Apoio'!$D:$E,2,FALSE),1)=1,"",S151)</f>
        <v>DESCARTADO</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247"/>
        <v>7</v>
      </c>
      <c r="C151" s="128">
        <f t="shared" si="248"/>
        <v>1</v>
      </c>
      <c r="D151" s="127">
        <f t="shared" si="248"/>
        <v>7</v>
      </c>
      <c r="E151" s="743"/>
      <c r="F151" s="93"/>
      <c r="G151" s="745"/>
      <c r="H151" s="134">
        <f t="shared" ref="H151" si="391">COUNT($P151:$XX151)</f>
        <v>3</v>
      </c>
      <c r="I151" s="132">
        <f t="shared" ref="I151" si="392">_xlfn.STDEV.P($P150:$XX151)/AVERAGE($P150:$XX151)</f>
        <v>0.2311078254186778</v>
      </c>
      <c r="J151" s="7">
        <f t="shared" ref="J151" si="393">IF(AND(H151&gt;2,
OR(L141="MÉDIA SANEADA",L141="MEDIANA SANEADA",
AND(L141="PREÇO ESTIMADO",NOT(AND(P143="Orçamento",COUNTA(P141:XX141)=COUNTIF(P143:XX143,"Orçamento")))))),
ROW(),0)</f>
        <v>151</v>
      </c>
      <c r="K151" s="66"/>
      <c r="L151" s="29" t="s">
        <v>362</v>
      </c>
      <c r="M151" s="30">
        <f t="shared" ref="M151" si="394" xml:space="preserve">
IF(H149&gt;2,MEDIAN(P148:XX149),
IF(H151&gt;2,MEDIAN(P150:XX151),
IF(H153&gt;2,MEDIAN(P152:XX153),
IF(H155&gt;2,MEDIAN(P154:XX155),
IF(H157&gt;2,MEDIAN(P156:XX157),
IF(H159&gt;2,MEDIAN(P158:XX159),
MEDIAN(P146:XX147)))))))</f>
        <v>2.3635563129757897</v>
      </c>
      <c r="N151" s="71"/>
      <c r="O151" s="27" t="str">
        <f t="shared" ref="O151" si="395">"2 RODADA"</f>
        <v>2 RODADA</v>
      </c>
      <c r="P151" s="107">
        <f t="shared" ref="P151:AI151" si="396">IF(P149="","",IF((_xlfn.STDEV.P($P148:$XX149)/AVERAGE($P148:$XX149))&lt;=25%,P149,IF(OR(P149&gt;(AVERAGE($P148:$XX149)+_xlfn.STDEV.P($P148:$XX149)),P149&lt;(AVERAGE($P148:$XX149)-_xlfn.STDEV.P($P148:$XX149))),"DESCARTADO",P149)))</f>
        <v>3.6675873822038123</v>
      </c>
      <c r="Q151" s="107">
        <f t="shared" si="396"/>
        <v>2.3635563129757897</v>
      </c>
      <c r="R151" s="107">
        <f t="shared" si="396"/>
        <v>2.2653621987598651</v>
      </c>
      <c r="S151" s="107" t="str">
        <f t="shared" si="396"/>
        <v>DESCARTADO</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f t="shared" si="247"/>
        <v>7</v>
      </c>
      <c r="C152" s="128">
        <f t="shared" si="248"/>
        <v>1</v>
      </c>
      <c r="D152" s="127">
        <f t="shared" si="248"/>
        <v>7</v>
      </c>
      <c r="E152" s="743"/>
      <c r="F152" s="93"/>
      <c r="G152" s="745"/>
      <c r="H152"/>
      <c r="I152"/>
      <c r="J152"/>
      <c r="K152" s="66"/>
      <c r="L152" s="29" t="s">
        <v>359</v>
      </c>
      <c r="M152" s="30">
        <f t="shared" ref="M152" si="397">HARMEAN($P146:$XX147)</f>
        <v>3.066533065018175</v>
      </c>
      <c r="N152" s="71"/>
      <c r="O152" s="27" t="str">
        <f t="shared" ref="O152" si="398">"3 POND"</f>
        <v>3 POND</v>
      </c>
      <c r="P152" s="107">
        <f>IF(IFERROR(VLOOKUP(P143,'Tabela de Apoio'!$D:$E,2,FALSE),1)=1,"",P153)</f>
        <v>3.6675873822038123</v>
      </c>
      <c r="Q152" s="107">
        <f>IF(IFERROR(VLOOKUP(Q143,'Tabela de Apoio'!$D:$E,2,FALSE),1)=1,"",Q153)</f>
        <v>2.3635563129757897</v>
      </c>
      <c r="R152" s="107">
        <f>IF(IFERROR(VLOOKUP(R143,'Tabela de Apoio'!$D:$E,2,FALSE),1)=1,"",R153)</f>
        <v>2.2653621987598651</v>
      </c>
      <c r="S152" s="107" t="str">
        <f>IF(IFERROR(VLOOKUP(S143,'Tabela de Apoio'!$D:$E,2,FALSE),1)=1,"",S153)</f>
        <v>DESCARTADO</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247"/>
        <v>7</v>
      </c>
      <c r="C153" s="128">
        <f t="shared" si="248"/>
        <v>1</v>
      </c>
      <c r="D153" s="127">
        <f t="shared" si="248"/>
        <v>7</v>
      </c>
      <c r="E153" s="743"/>
      <c r="F153" s="93"/>
      <c r="G153" s="745"/>
      <c r="H153" s="134">
        <f t="shared" ref="H153" si="399">COUNT($P153:$XX153)</f>
        <v>3</v>
      </c>
      <c r="I153" s="132">
        <f t="shared" ref="I153" si="400">_xlfn.STDEV.P($P152:$XX153)/AVERAGE($P152:$XX153)</f>
        <v>0.2311078254186778</v>
      </c>
      <c r="J153" s="7">
        <f t="shared" ref="J153" si="401">IF(AND(H153&gt;2,
OR(L141="MÉDIA SANEADA",L141="MEDIANA SANEADA",
AND(L141="PREÇO ESTIMADO",NOT(AND(P143="Orçamento",COUNTA(P141:XX141)=COUNTIF(P143:XX143,"Orçamento")))))),
ROW(),0)</f>
        <v>153</v>
      </c>
      <c r="K153" s="66"/>
      <c r="L153" s="29" t="s">
        <v>41</v>
      </c>
      <c r="M153" s="30">
        <f t="shared" ref="M153" si="402">IFERROR(_xlfn.QUARTILE.EXC($P147:$XX147,1),"")</f>
        <v>2.2899107273138464</v>
      </c>
      <c r="N153" s="71"/>
      <c r="O153" s="27" t="str">
        <f t="shared" ref="O153" si="403">"3 RODADA"</f>
        <v>3 RODADA</v>
      </c>
      <c r="P153" s="107">
        <f t="shared" ref="P153:AI153" si="404">IF(P151="","",IF((_xlfn.STDEV.P($P150:$XX151)/AVERAGE($P150:$XX151))&lt;=25%,P151,IF(OR(P151&gt;(AVERAGE($P150:$XX151)+_xlfn.STDEV.P($P150:$XX151)),P151&lt;(AVERAGE($P150:$XX151)-_xlfn.STDEV.P($P150:$XX151))),"DESCARTADO",P151)))</f>
        <v>3.6675873822038123</v>
      </c>
      <c r="Q153" s="107">
        <f t="shared" si="404"/>
        <v>2.3635563129757897</v>
      </c>
      <c r="R153" s="107">
        <f t="shared" si="404"/>
        <v>2.2653621987598651</v>
      </c>
      <c r="S153" s="107" t="str">
        <f t="shared" si="404"/>
        <v>DESCARTADO</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f t="shared" si="247"/>
        <v>7</v>
      </c>
      <c r="C154" s="128">
        <f t="shared" si="248"/>
        <v>1</v>
      </c>
      <c r="D154" s="127">
        <f t="shared" si="248"/>
        <v>7</v>
      </c>
      <c r="E154" s="743"/>
      <c r="F154" s="93"/>
      <c r="G154" s="745"/>
      <c r="H154"/>
      <c r="I154"/>
      <c r="J154"/>
      <c r="K154" s="66"/>
      <c r="L154" s="29" t="s">
        <v>39</v>
      </c>
      <c r="M154" s="30">
        <f t="shared" ref="M154" si="405">IFERROR(_xlfn.QUARTILE.EXC($P147:$XX147,3),"")</f>
        <v>5.4018968455509535</v>
      </c>
      <c r="N154" s="71"/>
      <c r="O154" s="27" t="str">
        <f t="shared" ref="O154" si="406">"4 POND"</f>
        <v>4 POND</v>
      </c>
      <c r="P154" s="107">
        <f>IF(IFERROR(VLOOKUP(P143,'Tabela de Apoio'!$D:$E,2,FALSE),1)=1,"",P155)</f>
        <v>3.6675873822038123</v>
      </c>
      <c r="Q154" s="107">
        <f>IF(IFERROR(VLOOKUP(Q143,'Tabela de Apoio'!$D:$E,2,FALSE),1)=1,"",Q155)</f>
        <v>2.3635563129757897</v>
      </c>
      <c r="R154" s="107">
        <f>IF(IFERROR(VLOOKUP(R143,'Tabela de Apoio'!$D:$E,2,FALSE),1)=1,"",R155)</f>
        <v>2.2653621987598651</v>
      </c>
      <c r="S154" s="107" t="str">
        <f>IF(IFERROR(VLOOKUP(S143,'Tabela de Apoio'!$D:$E,2,FALSE),1)=1,"",S155)</f>
        <v>DESCARTADO</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247"/>
        <v>7</v>
      </c>
      <c r="C155" s="128">
        <f t="shared" si="248"/>
        <v>1</v>
      </c>
      <c r="D155" s="127">
        <f t="shared" si="248"/>
        <v>7</v>
      </c>
      <c r="E155" s="743"/>
      <c r="F155" s="93"/>
      <c r="G155" s="745"/>
      <c r="H155" s="134">
        <f t="shared" ref="H155" si="407">COUNT($P155:$XX155)</f>
        <v>3</v>
      </c>
      <c r="I155" s="132">
        <f t="shared" ref="I155" si="408">_xlfn.STDEV.P($P154:$XX155)/AVERAGE($P154:$XX155)</f>
        <v>0.2311078254186778</v>
      </c>
      <c r="J155" s="7">
        <f t="shared" ref="J155" si="409">IF(AND(H155&gt;2,
OR(L141="MÉDIA SANEADA",L141="MEDIANA SANEADA",
AND(L141="PREÇO ESTIMADO",NOT(AND(P143="Orçamento",COUNTA(P141:XX141)=COUNTIF(P143:XX143,"Orçamento")))))),
ROW(),0)</f>
        <v>155</v>
      </c>
      <c r="K155" s="66"/>
      <c r="L155" s="29" t="s">
        <v>42</v>
      </c>
      <c r="M155" s="30">
        <f t="shared" ref="M155" si="410">MIN($P147:$XX147)</f>
        <v>2.2653621987598651</v>
      </c>
      <c r="N155" s="71"/>
      <c r="O155" s="27" t="str">
        <f t="shared" ref="O155" si="411">"4 RODADA"</f>
        <v>4 RODADA</v>
      </c>
      <c r="P155" s="107">
        <f t="shared" ref="P155:AI155" si="412">IF(P153="","",IF((_xlfn.STDEV.P($P152:$XX153)/AVERAGE($P152:$XX153))&lt;=25%,P153,IF(OR(P153&gt;(AVERAGE($P152:$XX153)+_xlfn.STDEV.P($P152:$XX153)),P153&lt;(AVERAGE($P152:$XX153)-_xlfn.STDEV.P($P152:$XX153))),"DESCARTADO",P153)))</f>
        <v>3.6675873822038123</v>
      </c>
      <c r="Q155" s="107">
        <f t="shared" si="412"/>
        <v>2.3635563129757897</v>
      </c>
      <c r="R155" s="107">
        <f t="shared" si="412"/>
        <v>2.2653621987598651</v>
      </c>
      <c r="S155" s="107" t="str">
        <f t="shared" si="412"/>
        <v>DESCARTADO</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f t="shared" si="247"/>
        <v>7</v>
      </c>
      <c r="C156" s="128">
        <f t="shared" si="248"/>
        <v>1</v>
      </c>
      <c r="D156" s="127">
        <f t="shared" si="248"/>
        <v>7</v>
      </c>
      <c r="E156" s="743"/>
      <c r="F156" s="93"/>
      <c r="G156" s="745"/>
      <c r="H156"/>
      <c r="I156"/>
      <c r="J156"/>
      <c r="K156" s="66"/>
      <c r="L156" s="29" t="s">
        <v>40</v>
      </c>
      <c r="M156" s="30">
        <f t="shared" ref="M156" si="413">MAX($P147:$XX147)</f>
        <v>5.98</v>
      </c>
      <c r="N156" s="71"/>
      <c r="O156" s="27" t="str">
        <f t="shared" ref="O156" si="414">"5 POND"</f>
        <v>5 POND</v>
      </c>
      <c r="P156" s="107">
        <f>IF(IFERROR(VLOOKUP(P143,'Tabela de Apoio'!$D:$E,2,FALSE),1)=1,"",P157)</f>
        <v>3.6675873822038123</v>
      </c>
      <c r="Q156" s="107">
        <f>IF(IFERROR(VLOOKUP(Q143,'Tabela de Apoio'!$D:$E,2,FALSE),1)=1,"",Q157)</f>
        <v>2.3635563129757897</v>
      </c>
      <c r="R156" s="107">
        <f>IF(IFERROR(VLOOKUP(R143,'Tabela de Apoio'!$D:$E,2,FALSE),1)=1,"",R157)</f>
        <v>2.2653621987598651</v>
      </c>
      <c r="S156" s="107" t="str">
        <f>IF(IFERROR(VLOOKUP(S143,'Tabela de Apoio'!$D:$E,2,FALSE),1)=1,"",S157)</f>
        <v>DESCARTADO</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247"/>
        <v>7</v>
      </c>
      <c r="C157" s="128">
        <f t="shared" si="248"/>
        <v>1</v>
      </c>
      <c r="D157" s="127">
        <f t="shared" si="248"/>
        <v>7</v>
      </c>
      <c r="E157" s="743"/>
      <c r="F157" s="93"/>
      <c r="G157" s="745"/>
      <c r="H157" s="134">
        <f t="shared" ref="H157" si="415">COUNT($P157:$XX157)</f>
        <v>3</v>
      </c>
      <c r="I157" s="132">
        <f t="shared" ref="I157" si="416">_xlfn.STDEV.P($P156:$XX157)/AVERAGE($P156:$XX157)</f>
        <v>0.2311078254186778</v>
      </c>
      <c r="J157" s="7">
        <f t="shared" ref="J157" si="417">IF(AND(H157&gt;2,
OR(L141="MÉDIA SANEADA",L141="MEDIANA SANEADA",
AND(L141="PREÇO ESTIMADO",NOT(AND(P143="Orçamento",COUNTA(P141:XX141)=COUNTIF(P143:XX143,"Orçamento")))))),
ROW(),0)</f>
        <v>157</v>
      </c>
      <c r="K157" s="66"/>
      <c r="N157" s="71"/>
      <c r="O157" s="27" t="str">
        <f t="shared" ref="O157" si="418">"5 RODADA"</f>
        <v>5 RODADA</v>
      </c>
      <c r="P157" s="107">
        <f t="shared" ref="P157:AI157" si="419">IF(P155="","",IF((_xlfn.STDEV.P($P154:$XX155)/AVERAGE($P154:$XX155))&lt;=25%,P155,IF(OR(P155&gt;(AVERAGE($P154:$XX155)+_xlfn.STDEV.P($P154:$XX155)),P155&lt;(AVERAGE($P154:$XX155)-_xlfn.STDEV.P($P154:$XX155))),"DESCARTADO",P155)))</f>
        <v>3.6675873822038123</v>
      </c>
      <c r="Q157" s="107">
        <f t="shared" si="419"/>
        <v>2.3635563129757897</v>
      </c>
      <c r="R157" s="107">
        <f t="shared" si="419"/>
        <v>2.2653621987598651</v>
      </c>
      <c r="S157" s="107" t="str">
        <f t="shared" si="419"/>
        <v>DESCARTADO</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f t="shared" si="247"/>
        <v>7</v>
      </c>
      <c r="C158" s="128">
        <f t="shared" si="248"/>
        <v>1</v>
      </c>
      <c r="D158" s="127">
        <f t="shared" si="248"/>
        <v>7</v>
      </c>
      <c r="E158" s="743"/>
      <c r="F158" s="93"/>
      <c r="G158" s="745"/>
      <c r="H158"/>
      <c r="I158"/>
      <c r="J158"/>
      <c r="K158" s="66"/>
      <c r="L158" s="22"/>
      <c r="M158" s="22"/>
      <c r="N158" s="71"/>
      <c r="O158" s="27" t="str">
        <f t="shared" ref="O158" si="420">"6 POND"</f>
        <v>6 POND</v>
      </c>
      <c r="P158" s="107">
        <f>IF(IFERROR(VLOOKUP(P143,'Tabela de Apoio'!$D:$E,2,FALSE),1)=1,"",P159)</f>
        <v>3.6675873822038123</v>
      </c>
      <c r="Q158" s="107">
        <f>IF(IFERROR(VLOOKUP(Q143,'Tabela de Apoio'!$D:$E,2,FALSE),1)=1,"",Q159)</f>
        <v>2.3635563129757897</v>
      </c>
      <c r="R158" s="107">
        <f>IF(IFERROR(VLOOKUP(R143,'Tabela de Apoio'!$D:$E,2,FALSE),1)=1,"",R159)</f>
        <v>2.2653621987598651</v>
      </c>
      <c r="S158" s="107" t="str">
        <f>IF(IFERROR(VLOOKUP(S143,'Tabela de Apoio'!$D:$E,2,FALSE),1)=1,"",S159)</f>
        <v>DESCARTADO</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247"/>
        <v>7</v>
      </c>
      <c r="C159" s="128">
        <f t="shared" si="248"/>
        <v>1</v>
      </c>
      <c r="D159" s="127">
        <f t="shared" si="248"/>
        <v>7</v>
      </c>
      <c r="E159" s="743"/>
      <c r="F159" s="93"/>
      <c r="G159" s="745"/>
      <c r="H159" s="134">
        <f t="shared" ref="H159" si="421">COUNT($P159:$XX159)</f>
        <v>3</v>
      </c>
      <c r="I159" s="132">
        <f t="shared" ref="I159" si="422">_xlfn.STDEV.P($P158:$XX159)/AVERAGE($P158:$XX159)</f>
        <v>0.2311078254186778</v>
      </c>
      <c r="J159" s="7">
        <f t="shared" ref="J159" si="423">IF(AND(H159&gt;2,
OR(L141="MÉDIA SANEADA",L141="MEDIANA SANEADA",
AND(L141="PREÇO ESTIMADO",NOT(AND(P143="Orçamento",COUNTA(P141:XX141)=COUNTIF(P143:XX143,"Orçamento")))))),
ROW(),0)</f>
        <v>159</v>
      </c>
      <c r="N159" s="71"/>
      <c r="O159" s="27" t="str">
        <f t="shared" ref="O159" si="424">"6 RODADA"</f>
        <v>6 RODADA</v>
      </c>
      <c r="P159" s="107">
        <f t="shared" ref="P159:AI159" si="425">IFERROR(IF(P157="","",IF((_xlfn.STDEV.P($P156:$XX157)/AVERAGE($P156:$XX157))&lt;=25%,P157,IF(OR(P157&gt;(AVERAGE($P156:$XX157)+_xlfn.STDEV.P($P156:$XX157)),P157&lt;(AVERAGE($P156:$XX157)-_xlfn.STDEV.P($P156:$XX157))),"DESCARTADO",P157))),)</f>
        <v>3.6675873822038123</v>
      </c>
      <c r="Q159" s="107">
        <f t="shared" si="425"/>
        <v>2.3635563129757897</v>
      </c>
      <c r="R159" s="107">
        <f t="shared" si="425"/>
        <v>2.2653621987598651</v>
      </c>
      <c r="S159" s="107" t="str">
        <f t="shared" si="425"/>
        <v>DESCARTADO</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f t="shared" si="247"/>
        <v>7</v>
      </c>
      <c r="C160" s="128">
        <f t="shared" si="248"/>
        <v>1</v>
      </c>
      <c r="D160" s="127">
        <f t="shared" si="248"/>
        <v>7</v>
      </c>
      <c r="E160" s="743"/>
      <c r="F160" s="136"/>
      <c r="G160" s="745"/>
      <c r="H160" s="748"/>
      <c r="I160" s="748"/>
      <c r="J160" s="749"/>
      <c r="K160" s="67"/>
      <c r="L160" s="1" t="s">
        <v>43</v>
      </c>
      <c r="M160" s="144">
        <f t="shared" ref="M160" si="426">IFERROR(ROUND(M141*M143,2),"")</f>
        <v>0</v>
      </c>
      <c r="O160" s="27" t="s">
        <v>363</v>
      </c>
      <c r="P160" s="107">
        <f t="shared" ref="P160:R160" si="427">INDEX(P147:P159,MATCH(MAX($J147:$J159),$J147:$J159,0))</f>
        <v>3.6675873822038123</v>
      </c>
      <c r="Q160" s="107">
        <f t="shared" si="427"/>
        <v>2.3635563129757897</v>
      </c>
      <c r="R160" s="107">
        <f t="shared" si="427"/>
        <v>2.2653621987598651</v>
      </c>
      <c r="S160" s="107" t="str">
        <f t="shared" si="361"/>
        <v>DESCARTADO</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f t="shared" ref="B162" si="428">LARGE(IFERROR(IF(B160+1&gt;$H$8,"",B160+1),""),1)</f>
        <v>8</v>
      </c>
      <c r="C162" s="127">
        <f>IF(_xlfn.ISFORMULA(E166),MAX(INDEX('BASE FORMAÇÃO'!A:A,B162+1),1),E166)</f>
        <v>1</v>
      </c>
      <c r="D162" s="127">
        <f t="shared" ref="D162" si="429">IFERROR(IF(C162=C152,D152+1,1),1)</f>
        <v>8</v>
      </c>
      <c r="E162" s="38" t="s">
        <v>9</v>
      </c>
      <c r="F162" s="73"/>
      <c r="G162" s="38" t="s">
        <v>15</v>
      </c>
      <c r="H162" s="135">
        <f>INDEX('BASE FORMAÇÃO'!B:B,B162+1)</f>
        <v>0</v>
      </c>
      <c r="I162" s="143" t="s">
        <v>16</v>
      </c>
      <c r="J162" s="6">
        <f>INDEX('BASE FORMAÇÃO'!K:K,B162+1)</f>
        <v>0</v>
      </c>
      <c r="K162" s="65"/>
      <c r="L162" s="750" t="s">
        <v>10</v>
      </c>
      <c r="M162" s="752">
        <f t="shared" ref="M162" si="430">IF(OR(ISBLANK($O$8),ISBLANK($O$7),ISBLANK($H$8),ISBLANK($O$6),ISBLANK($O$5),ISBLANK($H$5)),"",IFERROR(IF(VLOOKUP(L162,L168:M177,2,FALSE)&lt;1,ROUND(VLOOKUP(L162,L168:M177,2,FALSE),4),ROUND(VLOOKUP(L162,L168:M177,2,FALSE),2)),""))</f>
        <v>12.66</v>
      </c>
      <c r="N162" s="69"/>
      <c r="O162" s="27" t="s">
        <v>17</v>
      </c>
      <c r="P162" s="113">
        <v>11.8</v>
      </c>
      <c r="Q162" s="113">
        <v>16.489999999999998</v>
      </c>
      <c r="R162" s="113">
        <v>12.8</v>
      </c>
      <c r="S162" s="113">
        <v>11</v>
      </c>
      <c r="T162" s="113">
        <v>10.3</v>
      </c>
      <c r="U162" s="105">
        <v>25.58</v>
      </c>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3" si="431">B162</f>
        <v>8</v>
      </c>
      <c r="C163" s="128">
        <f t="shared" si="431"/>
        <v>1</v>
      </c>
      <c r="D163" s="127">
        <f t="shared" si="431"/>
        <v>8</v>
      </c>
      <c r="E163" s="754">
        <f t="shared" ref="E163" si="432">D162</f>
        <v>8</v>
      </c>
      <c r="F163" s="92"/>
      <c r="G163" s="756" t="s">
        <v>1</v>
      </c>
      <c r="H163" s="765" t="s">
        <v>439</v>
      </c>
      <c r="I163" s="759"/>
      <c r="J163" s="760"/>
      <c r="K163" s="66"/>
      <c r="L163" s="751"/>
      <c r="M163" s="753"/>
      <c r="N163" s="70"/>
      <c r="O163" s="27" t="s">
        <v>13</v>
      </c>
      <c r="P163" s="122">
        <v>45764</v>
      </c>
      <c r="Q163" s="122">
        <v>45751</v>
      </c>
      <c r="R163" s="122">
        <v>45637</v>
      </c>
      <c r="S163" s="122">
        <v>45628</v>
      </c>
      <c r="T163" s="122">
        <v>45614</v>
      </c>
      <c r="U163" s="122">
        <v>45614</v>
      </c>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ref="B164:D164" si="433">B163</f>
        <v>8</v>
      </c>
      <c r="C164" s="128">
        <f t="shared" si="433"/>
        <v>1</v>
      </c>
      <c r="D164" s="127">
        <f t="shared" si="433"/>
        <v>8</v>
      </c>
      <c r="E164" s="755"/>
      <c r="F164" s="93"/>
      <c r="G164" s="757"/>
      <c r="H164" s="761"/>
      <c r="I164" s="761"/>
      <c r="J164" s="762"/>
      <c r="K164" s="64"/>
      <c r="L164" s="130" t="s">
        <v>44</v>
      </c>
      <c r="M164" s="131">
        <f>INDEX('BASE FORMAÇÃO'!H:H,B166+1)</f>
        <v>0</v>
      </c>
      <c r="N164" s="71"/>
      <c r="O164" s="27" t="s">
        <v>380</v>
      </c>
      <c r="P164" s="114" t="s">
        <v>12</v>
      </c>
      <c r="Q164" s="114" t="s">
        <v>12</v>
      </c>
      <c r="R164" s="114" t="s">
        <v>12</v>
      </c>
      <c r="S164" s="114" t="s">
        <v>12</v>
      </c>
      <c r="T164" s="114" t="s">
        <v>12</v>
      </c>
      <c r="U164" s="114" t="s">
        <v>12</v>
      </c>
      <c r="V164" s="114"/>
      <c r="W164" s="114"/>
      <c r="X164" s="114"/>
      <c r="Y164" s="114"/>
      <c r="Z164" s="114"/>
      <c r="AA164" s="118"/>
      <c r="AB164" s="118"/>
      <c r="AC164" s="118"/>
      <c r="AD164" s="118"/>
      <c r="AE164" s="118"/>
      <c r="AF164" s="118"/>
      <c r="AG164" s="118"/>
      <c r="AH164" s="118"/>
      <c r="AI164" s="118"/>
    </row>
    <row r="165" spans="1:167" s="116" customFormat="1" x14ac:dyDescent="0.25">
      <c r="A165" s="74"/>
      <c r="B165" s="128">
        <f t="shared" ref="B165:C165" si="434">B164</f>
        <v>8</v>
      </c>
      <c r="C165" s="128">
        <f t="shared" si="434"/>
        <v>1</v>
      </c>
      <c r="D165" s="127">
        <f t="shared" si="248"/>
        <v>8</v>
      </c>
      <c r="E165" s="38" t="s">
        <v>313</v>
      </c>
      <c r="F165" s="93"/>
      <c r="G165" s="758"/>
      <c r="H165" s="763"/>
      <c r="I165" s="763"/>
      <c r="J165" s="764"/>
      <c r="K165" s="64"/>
      <c r="L165" s="1" t="s">
        <v>2</v>
      </c>
      <c r="M165" s="6">
        <f>INDEX('BASE FORMAÇÃO'!D:D,B166+1)</f>
        <v>0</v>
      </c>
      <c r="N165" s="71"/>
      <c r="O165" s="27" t="s">
        <v>381</v>
      </c>
      <c r="P165" s="182" t="s">
        <v>450</v>
      </c>
      <c r="Q165" s="182" t="s">
        <v>450</v>
      </c>
      <c r="R165" s="182" t="s">
        <v>450</v>
      </c>
      <c r="S165" s="182" t="s">
        <v>450</v>
      </c>
      <c r="T165" s="182" t="s">
        <v>450</v>
      </c>
      <c r="U165" s="182" t="s">
        <v>450</v>
      </c>
      <c r="V165" s="118"/>
      <c r="W165" s="118"/>
      <c r="X165" s="118"/>
      <c r="Y165" s="118"/>
      <c r="Z165" s="118"/>
      <c r="AA165" s="118"/>
      <c r="AB165" s="118"/>
      <c r="AC165" s="118"/>
      <c r="AD165" s="118"/>
      <c r="AE165" s="118"/>
      <c r="AF165" s="118"/>
      <c r="AG165" s="118"/>
      <c r="AH165" s="118"/>
      <c r="AI165" s="118"/>
    </row>
    <row r="166" spans="1:167" x14ac:dyDescent="0.25">
      <c r="B166" s="128">
        <f t="shared" ref="B166:C166" si="435">B164</f>
        <v>8</v>
      </c>
      <c r="C166" s="128">
        <f t="shared" si="435"/>
        <v>1</v>
      </c>
      <c r="D166" s="127">
        <f t="shared" si="248"/>
        <v>8</v>
      </c>
      <c r="E166" s="742">
        <f t="shared" ref="E166" si="436">C162</f>
        <v>1</v>
      </c>
      <c r="F166" s="93"/>
      <c r="G166" s="744" t="s">
        <v>304</v>
      </c>
      <c r="H166" s="746"/>
      <c r="I166" s="747"/>
      <c r="J166" s="747"/>
      <c r="K166" s="67"/>
      <c r="L166" s="28" t="s">
        <v>303</v>
      </c>
      <c r="M166" s="133">
        <f t="shared" ref="M166" si="437">IFERROR(INDEX(I168:I180,MATCH(MAX(J168:J180),J168:J180,0)),"")</f>
        <v>0.16470133885340507</v>
      </c>
      <c r="N166" s="71"/>
      <c r="O166" s="27" t="s">
        <v>18</v>
      </c>
      <c r="P166" s="106">
        <f>IF(P162="","",
IF(OR(P164="Orçamento",P163="",MAX('Tabela de Apoio'!$A:$A)&lt;=P163),
P162,
(INDEX('Tabela de Apoio'!$B:$B,MATCH('MAPA DE PREÇOS'!$O$8,'Tabela de Apoio'!$A:$A,1))/INDEX('Tabela de Apoio'!$B:$B,MATCH('MAPA DE PREÇOS'!P163,'Tabela de Apoio'!$A:$A,1)-1))*P162))</f>
        <v>11.8</v>
      </c>
      <c r="Q166" s="106">
        <f>IF(Q162="","",
IF(OR(Q164="Orçamento",Q163="",MAX('Tabela de Apoio'!$A:$A)&lt;=Q163),
Q162,
(INDEX('Tabela de Apoio'!$B:$B,MATCH('MAPA DE PREÇOS'!$O$8,'Tabela de Apoio'!$A:$A,1))/INDEX('Tabela de Apoio'!$B:$B,MATCH('MAPA DE PREÇOS'!Q163,'Tabela de Apoio'!$A:$A,1)-1))*Q162))</f>
        <v>16.489999999999998</v>
      </c>
      <c r="R166" s="106">
        <f>IF(R162="","",
IF(OR(R164="Orçamento",R163="",MAX('Tabela de Apoio'!$A:$A)&lt;=R163),
R162,
(INDEX('Tabela de Apoio'!$B:$B,MATCH('MAPA DE PREÇOS'!$O$8,'Tabela de Apoio'!$A:$A,1))/INDEX('Tabela de Apoio'!$B:$B,MATCH('MAPA DE PREÇOS'!R163,'Tabela de Apoio'!$A:$A,1)-1))*R162))</f>
        <v>13.12908885764967</v>
      </c>
      <c r="S166" s="106">
        <f>IF(S162="","",
IF(OR(S164="Orçamento",S163="",MAX('Tabela de Apoio'!$A:$A)&lt;=S163),
S162,
(INDEX('Tabela de Apoio'!$B:$B,MATCH('MAPA DE PREÇOS'!$O$8,'Tabela de Apoio'!$A:$A,1))/INDEX('Tabela de Apoio'!$B:$B,MATCH('MAPA DE PREÇOS'!S163,'Tabela de Apoio'!$A:$A,1)-1))*S162))</f>
        <v>11.282810737042684</v>
      </c>
      <c r="T166" s="106">
        <f>IF(T162="","",
IF(OR(T164="Orçamento",T163="",MAX('Tabela de Apoio'!$A:$A)&lt;=T163),
T162,
(INDEX('Tabela de Apoio'!$B:$B,MATCH('MAPA DE PREÇOS'!$O$8,'Tabela de Apoio'!$A:$A,1))/INDEX('Tabela de Apoio'!$B:$B,MATCH('MAPA DE PREÇOS'!T163,'Tabela de Apoio'!$A:$A,1)-1))*T162))</f>
        <v>10.60601393055755</v>
      </c>
      <c r="U166" s="106">
        <f>IF(U162="","",
IF(OR(U164="Orçamento",U163="",MAX('Tabela de Apoio'!$A:$A)&lt;=U163),
U162,
(INDEX('Tabela de Apoio'!$B:$B,MATCH('MAPA DE PREÇOS'!$O$8,'Tabela de Apoio'!$A:$A,1))/INDEX('Tabela de Apoio'!$B:$B,MATCH('MAPA DE PREÇOS'!U163,'Tabela de Apoio'!$A:$A,1)-1))*U162))</f>
        <v>26.339984111035154</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 t="shared" ref="B167" si="438">B166</f>
        <v>8</v>
      </c>
      <c r="C167" s="128">
        <f t="shared" ref="C167" si="439">C166</f>
        <v>1</v>
      </c>
      <c r="D167" s="127">
        <f t="shared" si="248"/>
        <v>8</v>
      </c>
      <c r="E167" s="743"/>
      <c r="F167" s="93"/>
      <c r="G167" s="745"/>
      <c r="H167"/>
      <c r="I167"/>
      <c r="J167"/>
      <c r="N167" s="71"/>
      <c r="O167" s="27" t="s">
        <v>375</v>
      </c>
      <c r="P167" s="107">
        <f>IF(IFERROR(VLOOKUP(P164,'Tabela de Apoio'!$D:$E,2,FALSE),1)=1,"",P168)</f>
        <v>11.8</v>
      </c>
      <c r="Q167" s="107">
        <f>IF(IFERROR(VLOOKUP(Q164,'Tabela de Apoio'!$D:$E,2,FALSE),1)=1,"",Q168)</f>
        <v>16.489999999999998</v>
      </c>
      <c r="R167" s="107">
        <f>IF(IFERROR(VLOOKUP(R164,'Tabela de Apoio'!$D:$E,2,FALSE),1)=1,"",R168)</f>
        <v>13.12908885764967</v>
      </c>
      <c r="S167" s="107">
        <f>IF(IFERROR(VLOOKUP(S164,'Tabela de Apoio'!$D:$E,2,FALSE),1)=1,"",S168)</f>
        <v>11.282810737042684</v>
      </c>
      <c r="T167" s="107">
        <f>IF(IFERROR(VLOOKUP(T164,'Tabela de Apoio'!$D:$E,2,FALSE),1)=1,"",T168)</f>
        <v>10.60601393055755</v>
      </c>
      <c r="U167" s="107" t="str">
        <f>IF(IFERROR(VLOOKUP(U164,'Tabela de Apoio'!$D:$E,2,FALSE),1)=1,"",U168)</f>
        <v>DESCARTADO</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 t="shared" ref="B168:C168" si="440">B167</f>
        <v>8</v>
      </c>
      <c r="C168" s="128">
        <f t="shared" si="440"/>
        <v>1</v>
      </c>
      <c r="D168" s="127">
        <f t="shared" si="248"/>
        <v>8</v>
      </c>
      <c r="E168" s="743"/>
      <c r="F168" s="93"/>
      <c r="G168" s="745"/>
      <c r="H168" s="134">
        <f t="shared" ref="H168" si="441">COUNT($P168:$XX168)</f>
        <v>5</v>
      </c>
      <c r="I168" s="132">
        <f t="shared" ref="I168" si="442">_xlfn.STDEV.P($P167:$XX168)/AVERAGE($P167:$XX168)</f>
        <v>0.16470133885340507</v>
      </c>
      <c r="J168" s="7">
        <f>ROW()</f>
        <v>168</v>
      </c>
      <c r="K168" s="67"/>
      <c r="L168" s="29" t="s">
        <v>10</v>
      </c>
      <c r="M168" s="30">
        <f t="shared" ref="M168" si="443">IFERROR(
IF(COUNTA(P162:AI162)=COUNTIF(P164:XX164,"Orçamento"),MIN(M173,M170),
IF(M171&lt;&gt;"",M171,
IF(M172&lt;&gt;"",M172,
M170
))),"")</f>
        <v>12.66158270504998</v>
      </c>
      <c r="N168" s="71"/>
      <c r="O168" s="27" t="s">
        <v>376</v>
      </c>
      <c r="P168" s="106">
        <f t="shared" ref="P168:AI168" si="444">IFERROR(IF(P166="",
            "",
            IF(COUNT($P166:$XX166)&lt;=4,
               P166,
               IF(OR(P166&gt;(QUARTILE($P166:$XX166,3)+(QUARTILE($P166:$XX166,3)-QUARTILE($P166:$XX166,1))),
                     P166&lt;(QUARTILE($P166:$XX166,1)-(QUARTILE($P166:$XX166,3)-QUARTILE($P166:$XX166,1)))
                  ),
               "DESCARTADO",P166)
             )
  ),P166)</f>
        <v>11.8</v>
      </c>
      <c r="Q168" s="106">
        <f t="shared" si="444"/>
        <v>16.489999999999998</v>
      </c>
      <c r="R168" s="106">
        <f t="shared" si="444"/>
        <v>13.12908885764967</v>
      </c>
      <c r="S168" s="106">
        <f t="shared" si="444"/>
        <v>11.282810737042684</v>
      </c>
      <c r="T168" s="106">
        <f t="shared" si="444"/>
        <v>10.60601393055755</v>
      </c>
      <c r="U168" s="106" t="str">
        <f t="shared" si="444"/>
        <v>DESCARTADO</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f t="shared" ref="B169:B223" si="445">B168</f>
        <v>8</v>
      </c>
      <c r="C169" s="128">
        <f t="shared" ref="C169:D232" si="446">C168</f>
        <v>1</v>
      </c>
      <c r="D169" s="127">
        <f t="shared" si="248"/>
        <v>8</v>
      </c>
      <c r="E169" s="743"/>
      <c r="F169" s="93"/>
      <c r="G169" s="745"/>
      <c r="H169"/>
      <c r="I169"/>
      <c r="J169"/>
      <c r="K169" s="66"/>
      <c r="L169" s="29" t="s">
        <v>360</v>
      </c>
      <c r="M169" s="30">
        <f t="shared" ref="M169" si="447">AVERAGE($P168:$XX168)</f>
        <v>12.66158270504998</v>
      </c>
      <c r="N169" s="71"/>
      <c r="O169" s="27" t="str">
        <f t="shared" ref="O169" si="448">"1 POND"</f>
        <v>1 POND</v>
      </c>
      <c r="P169" s="107">
        <f>IF(IFERROR(VLOOKUP(P164,'Tabela de Apoio'!$D:$E,2,FALSE),1)=1,"",P170)</f>
        <v>11.8</v>
      </c>
      <c r="Q169" s="107">
        <f>IF(IFERROR(VLOOKUP(Q164,'Tabela de Apoio'!$D:$E,2,FALSE),1)=1,"",Q170)</f>
        <v>16.489999999999998</v>
      </c>
      <c r="R169" s="107">
        <f>IF(IFERROR(VLOOKUP(R164,'Tabela de Apoio'!$D:$E,2,FALSE),1)=1,"",R170)</f>
        <v>13.12908885764967</v>
      </c>
      <c r="S169" s="107">
        <f>IF(IFERROR(VLOOKUP(S164,'Tabela de Apoio'!$D:$E,2,FALSE),1)=1,"",S170)</f>
        <v>11.282810737042684</v>
      </c>
      <c r="T169" s="107">
        <f>IF(IFERROR(VLOOKUP(T164,'Tabela de Apoio'!$D:$E,2,FALSE),1)=1,"",T170)</f>
        <v>10.60601393055755</v>
      </c>
      <c r="U169" s="107" t="str">
        <f>IF(IFERROR(VLOOKUP(U164,'Tabela de Apoio'!$D:$E,2,FALSE),1)=1,"",U170)</f>
        <v>DESCARTADO</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445"/>
        <v>8</v>
      </c>
      <c r="C170" s="128">
        <f t="shared" si="446"/>
        <v>1</v>
      </c>
      <c r="D170" s="127">
        <f t="shared" si="446"/>
        <v>8</v>
      </c>
      <c r="E170" s="743"/>
      <c r="F170" s="93"/>
      <c r="G170" s="745"/>
      <c r="H170" s="134">
        <f t="shared" ref="H170" si="449">COUNT($P170:$XX170)</f>
        <v>5</v>
      </c>
      <c r="I170" s="132">
        <f t="shared" ref="I170" si="450">_xlfn.STDEV.P($P169:$XX170)/AVERAGE($P169:$XX170)</f>
        <v>0.16470133885340507</v>
      </c>
      <c r="J170" s="7">
        <f t="shared" ref="J170" si="451">IF(AND(H170&gt;2,
OR(L162="MÉDIA SANEADA",L162="MEDIANA SANEADA",
AND(L162="PREÇO ESTIMADO",NOT(AND(P164="Orçamento",COUNTA(P162:XX162)=COUNTIF(P164:XX164,"Orçamento")))))),
ROW(),0)</f>
        <v>170</v>
      </c>
      <c r="K170" s="66"/>
      <c r="L170" s="29" t="s">
        <v>361</v>
      </c>
      <c r="M170" s="30">
        <f t="shared" ref="M170" si="452">MEDIAN($P168:$XX168)</f>
        <v>11.8</v>
      </c>
      <c r="N170" s="71"/>
      <c r="O170" s="27" t="str">
        <f t="shared" ref="O170" si="453">"1 RODADA"</f>
        <v>1 RODADA</v>
      </c>
      <c r="P170" s="107">
        <f t="shared" ref="P170:AI170" si="454">IF(P168="","",IF((_xlfn.STDEV.P($P167:$XX168)/AVERAGE($P167:$XX168))&lt;=25%,P168,IF(OR(P168&gt;(AVERAGE($P167:$XX168)+_xlfn.STDEV.P($P167:$XX168)),P168&lt;(AVERAGE($P167:$XX168)-_xlfn.STDEV.P($P167:$XX168))),"DESCARTADO",P168)))</f>
        <v>11.8</v>
      </c>
      <c r="Q170" s="107">
        <f t="shared" si="454"/>
        <v>16.489999999999998</v>
      </c>
      <c r="R170" s="107">
        <f t="shared" si="454"/>
        <v>13.12908885764967</v>
      </c>
      <c r="S170" s="107">
        <f t="shared" si="454"/>
        <v>11.282810737042684</v>
      </c>
      <c r="T170" s="107">
        <f t="shared" si="454"/>
        <v>10.60601393055755</v>
      </c>
      <c r="U170" s="107" t="str">
        <f t="shared" si="454"/>
        <v>DESCARTADO</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f t="shared" si="445"/>
        <v>8</v>
      </c>
      <c r="C171" s="128">
        <f t="shared" si="446"/>
        <v>1</v>
      </c>
      <c r="D171" s="127">
        <f t="shared" si="446"/>
        <v>8</v>
      </c>
      <c r="E171" s="743"/>
      <c r="F171" s="93"/>
      <c r="G171" s="745"/>
      <c r="H171"/>
      <c r="I171"/>
      <c r="J171"/>
      <c r="L171" s="29" t="s">
        <v>38</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12.66158270504998</v>
      </c>
      <c r="N171" s="71"/>
      <c r="O171" s="27" t="str">
        <f t="shared" ref="O171" si="456">"2 POND"</f>
        <v>2 POND</v>
      </c>
      <c r="P171" s="107">
        <f>IF(IFERROR(VLOOKUP(P164,'Tabela de Apoio'!$D:$E,2,FALSE),1)=1,"",P172)</f>
        <v>11.8</v>
      </c>
      <c r="Q171" s="107">
        <f>IF(IFERROR(VLOOKUP(Q164,'Tabela de Apoio'!$D:$E,2,FALSE),1)=1,"",Q172)</f>
        <v>16.489999999999998</v>
      </c>
      <c r="R171" s="107">
        <f>IF(IFERROR(VLOOKUP(R164,'Tabela de Apoio'!$D:$E,2,FALSE),1)=1,"",R172)</f>
        <v>13.12908885764967</v>
      </c>
      <c r="S171" s="107">
        <f>IF(IFERROR(VLOOKUP(S164,'Tabela de Apoio'!$D:$E,2,FALSE),1)=1,"",S172)</f>
        <v>11.282810737042684</v>
      </c>
      <c r="T171" s="107">
        <f>IF(IFERROR(VLOOKUP(T164,'Tabela de Apoio'!$D:$E,2,FALSE),1)=1,"",T172)</f>
        <v>10.60601393055755</v>
      </c>
      <c r="U171" s="107" t="str">
        <f>IF(IFERROR(VLOOKUP(U164,'Tabela de Apoio'!$D:$E,2,FALSE),1)=1,"",U172)</f>
        <v>DESCARTADO</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445"/>
        <v>8</v>
      </c>
      <c r="C172" s="128">
        <f t="shared" si="446"/>
        <v>1</v>
      </c>
      <c r="D172" s="127">
        <f t="shared" si="446"/>
        <v>8</v>
      </c>
      <c r="E172" s="743"/>
      <c r="F172" s="93"/>
      <c r="G172" s="745"/>
      <c r="H172" s="134">
        <f t="shared" ref="H172" si="457">COUNT($P172:$XX172)</f>
        <v>5</v>
      </c>
      <c r="I172" s="132">
        <f t="shared" ref="I172" si="458">_xlfn.STDEV.P($P171:$XX172)/AVERAGE($P171:$XX172)</f>
        <v>0.16470133885340507</v>
      </c>
      <c r="J172" s="7">
        <f t="shared" ref="J172" si="459">IF(AND(H172&gt;2,
OR(L162="MÉDIA SANEADA",L162="MEDIANA SANEADA",
AND(L162="PREÇO ESTIMADO",NOT(AND(P164="Orçamento",COUNTA(P162:XX162)=COUNTIF(P164:XX164,"Orçamento")))))),
ROW(),0)</f>
        <v>172</v>
      </c>
      <c r="K172" s="66"/>
      <c r="L172" s="29" t="s">
        <v>362</v>
      </c>
      <c r="M172" s="30">
        <f t="shared" ref="M172" si="460" xml:space="preserve">
IF(H170&gt;2,MEDIAN(P169:XX170),
IF(H172&gt;2,MEDIAN(P171:XX172),
IF(H174&gt;2,MEDIAN(P173:XX174),
IF(H176&gt;2,MEDIAN(P175:XX176),
IF(H178&gt;2,MEDIAN(P177:XX178),
IF(H180&gt;2,MEDIAN(P179:XX180),
MEDIAN(P167:XX168)))))))</f>
        <v>11.8</v>
      </c>
      <c r="N172" s="71"/>
      <c r="O172" s="27" t="str">
        <f t="shared" ref="O172" si="461">"2 RODADA"</f>
        <v>2 RODADA</v>
      </c>
      <c r="P172" s="107">
        <f t="shared" ref="P172:AI172" si="462">IF(P170="","",IF((_xlfn.STDEV.P($P169:$XX170)/AVERAGE($P169:$XX170))&lt;=25%,P170,IF(OR(P170&gt;(AVERAGE($P169:$XX170)+_xlfn.STDEV.P($P169:$XX170)),P170&lt;(AVERAGE($P169:$XX170)-_xlfn.STDEV.P($P169:$XX170))),"DESCARTADO",P170)))</f>
        <v>11.8</v>
      </c>
      <c r="Q172" s="107">
        <f t="shared" si="462"/>
        <v>16.489999999999998</v>
      </c>
      <c r="R172" s="107">
        <f t="shared" si="462"/>
        <v>13.12908885764967</v>
      </c>
      <c r="S172" s="107">
        <f t="shared" si="462"/>
        <v>11.282810737042684</v>
      </c>
      <c r="T172" s="107">
        <f t="shared" si="462"/>
        <v>10.60601393055755</v>
      </c>
      <c r="U172" s="107" t="str">
        <f t="shared" si="462"/>
        <v>DESCARTADO</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f t="shared" si="445"/>
        <v>8</v>
      </c>
      <c r="C173" s="128">
        <f t="shared" si="446"/>
        <v>1</v>
      </c>
      <c r="D173" s="127">
        <f t="shared" si="446"/>
        <v>8</v>
      </c>
      <c r="E173" s="743"/>
      <c r="F173" s="93"/>
      <c r="G173" s="745"/>
      <c r="H173"/>
      <c r="I173"/>
      <c r="J173"/>
      <c r="K173" s="66"/>
      <c r="L173" s="29" t="s">
        <v>359</v>
      </c>
      <c r="M173" s="30">
        <f t="shared" ref="M173" si="463">HARMEAN($P167:$XX168)</f>
        <v>12.36179968356608</v>
      </c>
      <c r="N173" s="71"/>
      <c r="O173" s="27" t="str">
        <f t="shared" ref="O173" si="464">"3 POND"</f>
        <v>3 POND</v>
      </c>
      <c r="P173" s="107">
        <f>IF(IFERROR(VLOOKUP(P164,'Tabela de Apoio'!$D:$E,2,FALSE),1)=1,"",P174)</f>
        <v>11.8</v>
      </c>
      <c r="Q173" s="107">
        <f>IF(IFERROR(VLOOKUP(Q164,'Tabela de Apoio'!$D:$E,2,FALSE),1)=1,"",Q174)</f>
        <v>16.489999999999998</v>
      </c>
      <c r="R173" s="107">
        <f>IF(IFERROR(VLOOKUP(R164,'Tabela de Apoio'!$D:$E,2,FALSE),1)=1,"",R174)</f>
        <v>13.12908885764967</v>
      </c>
      <c r="S173" s="107">
        <f>IF(IFERROR(VLOOKUP(S164,'Tabela de Apoio'!$D:$E,2,FALSE),1)=1,"",S174)</f>
        <v>11.282810737042684</v>
      </c>
      <c r="T173" s="107">
        <f>IF(IFERROR(VLOOKUP(T164,'Tabela de Apoio'!$D:$E,2,FALSE),1)=1,"",T174)</f>
        <v>10.60601393055755</v>
      </c>
      <c r="U173" s="107" t="str">
        <f>IF(IFERROR(VLOOKUP(U164,'Tabela de Apoio'!$D:$E,2,FALSE),1)=1,"",U174)</f>
        <v>DESCARTADO</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445"/>
        <v>8</v>
      </c>
      <c r="C174" s="128">
        <f t="shared" si="446"/>
        <v>1</v>
      </c>
      <c r="D174" s="127">
        <f t="shared" si="446"/>
        <v>8</v>
      </c>
      <c r="E174" s="743"/>
      <c r="F174" s="93"/>
      <c r="G174" s="745"/>
      <c r="H174" s="134">
        <f t="shared" ref="H174" si="465">COUNT($P174:$XX174)</f>
        <v>5</v>
      </c>
      <c r="I174" s="132">
        <f t="shared" ref="I174" si="466">_xlfn.STDEV.P($P173:$XX174)/AVERAGE($P173:$XX174)</f>
        <v>0.16470133885340507</v>
      </c>
      <c r="J174" s="7">
        <f t="shared" ref="J174" si="467">IF(AND(H174&gt;2,
OR(L162="MÉDIA SANEADA",L162="MEDIANA SANEADA",
AND(L162="PREÇO ESTIMADO",NOT(AND(P164="Orçamento",COUNTA(P162:XX162)=COUNTIF(P164:XX164,"Orçamento")))))),
ROW(),0)</f>
        <v>174</v>
      </c>
      <c r="K174" s="66"/>
      <c r="L174" s="29" t="s">
        <v>41</v>
      </c>
      <c r="M174" s="30">
        <f t="shared" ref="M174" si="468">IFERROR(_xlfn.QUARTILE.EXC($P168:$XX168,1),"")</f>
        <v>10.944412333800116</v>
      </c>
      <c r="N174" s="71"/>
      <c r="O174" s="27" t="str">
        <f t="shared" ref="O174" si="469">"3 RODADA"</f>
        <v>3 RODADA</v>
      </c>
      <c r="P174" s="107">
        <f t="shared" ref="P174:AI174" si="470">IF(P172="","",IF((_xlfn.STDEV.P($P171:$XX172)/AVERAGE($P171:$XX172))&lt;=25%,P172,IF(OR(P172&gt;(AVERAGE($P171:$XX172)+_xlfn.STDEV.P($P171:$XX172)),P172&lt;(AVERAGE($P171:$XX172)-_xlfn.STDEV.P($P171:$XX172))),"DESCARTADO",P172)))</f>
        <v>11.8</v>
      </c>
      <c r="Q174" s="107">
        <f t="shared" si="470"/>
        <v>16.489999999999998</v>
      </c>
      <c r="R174" s="107">
        <f t="shared" si="470"/>
        <v>13.12908885764967</v>
      </c>
      <c r="S174" s="107">
        <f t="shared" si="470"/>
        <v>11.282810737042684</v>
      </c>
      <c r="T174" s="107">
        <f t="shared" si="470"/>
        <v>10.60601393055755</v>
      </c>
      <c r="U174" s="107" t="str">
        <f t="shared" si="470"/>
        <v>DESCARTADO</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f t="shared" si="445"/>
        <v>8</v>
      </c>
      <c r="C175" s="128">
        <f t="shared" si="446"/>
        <v>1</v>
      </c>
      <c r="D175" s="127">
        <f t="shared" si="446"/>
        <v>8</v>
      </c>
      <c r="E175" s="743"/>
      <c r="F175" s="93"/>
      <c r="G175" s="745"/>
      <c r="H175"/>
      <c r="I175"/>
      <c r="J175"/>
      <c r="K175" s="66"/>
      <c r="L175" s="29" t="s">
        <v>39</v>
      </c>
      <c r="M175" s="30">
        <f t="shared" ref="M175" si="471">IFERROR(_xlfn.QUARTILE.EXC($P168:$XX168,3),"")</f>
        <v>14.809544428824834</v>
      </c>
      <c r="N175" s="71"/>
      <c r="O175" s="27" t="str">
        <f t="shared" ref="O175" si="472">"4 POND"</f>
        <v>4 POND</v>
      </c>
      <c r="P175" s="107">
        <f>IF(IFERROR(VLOOKUP(P164,'Tabela de Apoio'!$D:$E,2,FALSE),1)=1,"",P176)</f>
        <v>11.8</v>
      </c>
      <c r="Q175" s="107">
        <f>IF(IFERROR(VLOOKUP(Q164,'Tabela de Apoio'!$D:$E,2,FALSE),1)=1,"",Q176)</f>
        <v>16.489999999999998</v>
      </c>
      <c r="R175" s="107">
        <f>IF(IFERROR(VLOOKUP(R164,'Tabela de Apoio'!$D:$E,2,FALSE),1)=1,"",R176)</f>
        <v>13.12908885764967</v>
      </c>
      <c r="S175" s="107">
        <f>IF(IFERROR(VLOOKUP(S164,'Tabela de Apoio'!$D:$E,2,FALSE),1)=1,"",S176)</f>
        <v>11.282810737042684</v>
      </c>
      <c r="T175" s="107">
        <f>IF(IFERROR(VLOOKUP(T164,'Tabela de Apoio'!$D:$E,2,FALSE),1)=1,"",T176)</f>
        <v>10.60601393055755</v>
      </c>
      <c r="U175" s="107" t="str">
        <f>IF(IFERROR(VLOOKUP(U164,'Tabela de Apoio'!$D:$E,2,FALSE),1)=1,"",U176)</f>
        <v>DESCARTADO</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445"/>
        <v>8</v>
      </c>
      <c r="C176" s="128">
        <f t="shared" si="446"/>
        <v>1</v>
      </c>
      <c r="D176" s="127">
        <f t="shared" si="446"/>
        <v>8</v>
      </c>
      <c r="E176" s="743"/>
      <c r="F176" s="93"/>
      <c r="G176" s="745"/>
      <c r="H176" s="134">
        <f t="shared" ref="H176" si="473">COUNT($P176:$XX176)</f>
        <v>5</v>
      </c>
      <c r="I176" s="132">
        <f t="shared" ref="I176" si="474">_xlfn.STDEV.P($P175:$XX176)/AVERAGE($P175:$XX176)</f>
        <v>0.16470133885340507</v>
      </c>
      <c r="J176" s="7">
        <f t="shared" ref="J176" si="475">IF(AND(H176&gt;2,
OR(L162="MÉDIA SANEADA",L162="MEDIANA SANEADA",
AND(L162="PREÇO ESTIMADO",NOT(AND(P164="Orçamento",COUNTA(P162:XX162)=COUNTIF(P164:XX164,"Orçamento")))))),
ROW(),0)</f>
        <v>176</v>
      </c>
      <c r="K176" s="66"/>
      <c r="L176" s="29" t="s">
        <v>42</v>
      </c>
      <c r="M176" s="30">
        <f t="shared" ref="M176" si="476">MIN($P168:$XX168)</f>
        <v>10.60601393055755</v>
      </c>
      <c r="N176" s="71"/>
      <c r="O176" s="27" t="str">
        <f t="shared" ref="O176" si="477">"4 RODADA"</f>
        <v>4 RODADA</v>
      </c>
      <c r="P176" s="107">
        <f t="shared" ref="P176:AI176" si="478">IF(P174="","",IF((_xlfn.STDEV.P($P173:$XX174)/AVERAGE($P173:$XX174))&lt;=25%,P174,IF(OR(P174&gt;(AVERAGE($P173:$XX174)+_xlfn.STDEV.P($P173:$XX174)),P174&lt;(AVERAGE($P173:$XX174)-_xlfn.STDEV.P($P173:$XX174))),"DESCARTADO",P174)))</f>
        <v>11.8</v>
      </c>
      <c r="Q176" s="107">
        <f t="shared" si="478"/>
        <v>16.489999999999998</v>
      </c>
      <c r="R176" s="107">
        <f t="shared" si="478"/>
        <v>13.12908885764967</v>
      </c>
      <c r="S176" s="107">
        <f t="shared" si="478"/>
        <v>11.282810737042684</v>
      </c>
      <c r="T176" s="107">
        <f t="shared" si="478"/>
        <v>10.60601393055755</v>
      </c>
      <c r="U176" s="107" t="str">
        <f t="shared" si="478"/>
        <v>DESCARTADO</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f t="shared" si="445"/>
        <v>8</v>
      </c>
      <c r="C177" s="128">
        <f t="shared" si="446"/>
        <v>1</v>
      </c>
      <c r="D177" s="127">
        <f t="shared" si="446"/>
        <v>8</v>
      </c>
      <c r="E177" s="743"/>
      <c r="F177" s="93"/>
      <c r="G177" s="745"/>
      <c r="H177"/>
      <c r="I177"/>
      <c r="J177"/>
      <c r="K177" s="66"/>
      <c r="L177" s="29" t="s">
        <v>40</v>
      </c>
      <c r="M177" s="30">
        <f t="shared" ref="M177" si="479">MAX($P168:$XX168)</f>
        <v>16.489999999999998</v>
      </c>
      <c r="N177" s="71"/>
      <c r="O177" s="27" t="str">
        <f t="shared" ref="O177" si="480">"5 POND"</f>
        <v>5 POND</v>
      </c>
      <c r="P177" s="107">
        <f>IF(IFERROR(VLOOKUP(P164,'Tabela de Apoio'!$D:$E,2,FALSE),1)=1,"",P178)</f>
        <v>11.8</v>
      </c>
      <c r="Q177" s="107">
        <f>IF(IFERROR(VLOOKUP(Q164,'Tabela de Apoio'!$D:$E,2,FALSE),1)=1,"",Q178)</f>
        <v>16.489999999999998</v>
      </c>
      <c r="R177" s="107">
        <f>IF(IFERROR(VLOOKUP(R164,'Tabela de Apoio'!$D:$E,2,FALSE),1)=1,"",R178)</f>
        <v>13.12908885764967</v>
      </c>
      <c r="S177" s="107">
        <f>IF(IFERROR(VLOOKUP(S164,'Tabela de Apoio'!$D:$E,2,FALSE),1)=1,"",S178)</f>
        <v>11.282810737042684</v>
      </c>
      <c r="T177" s="107">
        <f>IF(IFERROR(VLOOKUP(T164,'Tabela de Apoio'!$D:$E,2,FALSE),1)=1,"",T178)</f>
        <v>10.60601393055755</v>
      </c>
      <c r="U177" s="107" t="str">
        <f>IF(IFERROR(VLOOKUP(U164,'Tabela de Apoio'!$D:$E,2,FALSE),1)=1,"",U178)</f>
        <v>DESCARTADO</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445"/>
        <v>8</v>
      </c>
      <c r="C178" s="128">
        <f t="shared" si="446"/>
        <v>1</v>
      </c>
      <c r="D178" s="127">
        <f t="shared" si="446"/>
        <v>8</v>
      </c>
      <c r="E178" s="743"/>
      <c r="F178" s="93"/>
      <c r="G178" s="745"/>
      <c r="H178" s="134">
        <f t="shared" ref="H178" si="481">COUNT($P178:$XX178)</f>
        <v>5</v>
      </c>
      <c r="I178" s="132">
        <f t="shared" ref="I178" si="482">_xlfn.STDEV.P($P177:$XX178)/AVERAGE($P177:$XX178)</f>
        <v>0.16470133885340507</v>
      </c>
      <c r="J178" s="7">
        <f t="shared" ref="J178" si="483">IF(AND(H178&gt;2,
OR(L162="MÉDIA SANEADA",L162="MEDIANA SANEADA",
AND(L162="PREÇO ESTIMADO",NOT(AND(P164="Orçamento",COUNTA(P162:XX162)=COUNTIF(P164:XX164,"Orçamento")))))),
ROW(),0)</f>
        <v>178</v>
      </c>
      <c r="K178" s="66"/>
      <c r="N178" s="71"/>
      <c r="O178" s="27" t="str">
        <f t="shared" ref="O178" si="484">"5 RODADA"</f>
        <v>5 RODADA</v>
      </c>
      <c r="P178" s="107">
        <f t="shared" ref="P178:AI178" si="485">IF(P176="","",IF((_xlfn.STDEV.P($P175:$XX176)/AVERAGE($P175:$XX176))&lt;=25%,P176,IF(OR(P176&gt;(AVERAGE($P175:$XX176)+_xlfn.STDEV.P($P175:$XX176)),P176&lt;(AVERAGE($P175:$XX176)-_xlfn.STDEV.P($P175:$XX176))),"DESCARTADO",P176)))</f>
        <v>11.8</v>
      </c>
      <c r="Q178" s="107">
        <f t="shared" si="485"/>
        <v>16.489999999999998</v>
      </c>
      <c r="R178" s="107">
        <f t="shared" si="485"/>
        <v>13.12908885764967</v>
      </c>
      <c r="S178" s="107">
        <f t="shared" si="485"/>
        <v>11.282810737042684</v>
      </c>
      <c r="T178" s="107">
        <f t="shared" si="485"/>
        <v>10.60601393055755</v>
      </c>
      <c r="U178" s="107" t="str">
        <f t="shared" si="485"/>
        <v>DESCARTADO</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f t="shared" si="445"/>
        <v>8</v>
      </c>
      <c r="C179" s="128">
        <f t="shared" si="446"/>
        <v>1</v>
      </c>
      <c r="D179" s="127">
        <f t="shared" si="446"/>
        <v>8</v>
      </c>
      <c r="E179" s="743"/>
      <c r="F179" s="93"/>
      <c r="G179" s="745"/>
      <c r="H179"/>
      <c r="I179"/>
      <c r="J179"/>
      <c r="K179" s="66"/>
      <c r="L179" s="22"/>
      <c r="M179" s="22"/>
      <c r="N179" s="71"/>
      <c r="O179" s="27" t="str">
        <f t="shared" ref="O179" si="486">"6 POND"</f>
        <v>6 POND</v>
      </c>
      <c r="P179" s="107">
        <f>IF(IFERROR(VLOOKUP(P164,'Tabela de Apoio'!$D:$E,2,FALSE),1)=1,"",P180)</f>
        <v>11.8</v>
      </c>
      <c r="Q179" s="107">
        <f>IF(IFERROR(VLOOKUP(Q164,'Tabela de Apoio'!$D:$E,2,FALSE),1)=1,"",Q180)</f>
        <v>16.489999999999998</v>
      </c>
      <c r="R179" s="107">
        <f>IF(IFERROR(VLOOKUP(R164,'Tabela de Apoio'!$D:$E,2,FALSE),1)=1,"",R180)</f>
        <v>13.12908885764967</v>
      </c>
      <c r="S179" s="107">
        <f>IF(IFERROR(VLOOKUP(S164,'Tabela de Apoio'!$D:$E,2,FALSE),1)=1,"",S180)</f>
        <v>11.282810737042684</v>
      </c>
      <c r="T179" s="107">
        <f>IF(IFERROR(VLOOKUP(T164,'Tabela de Apoio'!$D:$E,2,FALSE),1)=1,"",T180)</f>
        <v>10.60601393055755</v>
      </c>
      <c r="U179" s="107" t="str">
        <f>IF(IFERROR(VLOOKUP(U164,'Tabela de Apoio'!$D:$E,2,FALSE),1)=1,"",U180)</f>
        <v>DESCARTADO</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445"/>
        <v>8</v>
      </c>
      <c r="C180" s="128">
        <f t="shared" si="446"/>
        <v>1</v>
      </c>
      <c r="D180" s="127">
        <f t="shared" si="446"/>
        <v>8</v>
      </c>
      <c r="E180" s="743"/>
      <c r="F180" s="93"/>
      <c r="G180" s="745"/>
      <c r="H180" s="134">
        <f t="shared" ref="H180" si="487">COUNT($P180:$XX180)</f>
        <v>5</v>
      </c>
      <c r="I180" s="132">
        <f t="shared" ref="I180" si="488">_xlfn.STDEV.P($P179:$XX180)/AVERAGE($P179:$XX180)</f>
        <v>0.16470133885340507</v>
      </c>
      <c r="J180" s="7">
        <f t="shared" ref="J180" si="489">IF(AND(H180&gt;2,
OR(L162="MÉDIA SANEADA",L162="MEDIANA SANEADA",
AND(L162="PREÇO ESTIMADO",NOT(AND(P164="Orçamento",COUNTA(P162:XX162)=COUNTIF(P164:XX164,"Orçamento")))))),
ROW(),0)</f>
        <v>180</v>
      </c>
      <c r="N180" s="71"/>
      <c r="O180" s="27" t="str">
        <f t="shared" ref="O180" si="490">"6 RODADA"</f>
        <v>6 RODADA</v>
      </c>
      <c r="P180" s="107">
        <f t="shared" ref="P180:AI180" si="491">IFERROR(IF(P178="","",IF((_xlfn.STDEV.P($P177:$XX178)/AVERAGE($P177:$XX178))&lt;=25%,P178,IF(OR(P178&gt;(AVERAGE($P177:$XX178)+_xlfn.STDEV.P($P177:$XX178)),P178&lt;(AVERAGE($P177:$XX178)-_xlfn.STDEV.P($P177:$XX178))),"DESCARTADO",P178))),)</f>
        <v>11.8</v>
      </c>
      <c r="Q180" s="107">
        <f t="shared" si="491"/>
        <v>16.489999999999998</v>
      </c>
      <c r="R180" s="107">
        <f t="shared" si="491"/>
        <v>13.12908885764967</v>
      </c>
      <c r="S180" s="107">
        <f t="shared" si="491"/>
        <v>11.282810737042684</v>
      </c>
      <c r="T180" s="107">
        <f t="shared" si="491"/>
        <v>10.60601393055755</v>
      </c>
      <c r="U180" s="107" t="str">
        <f t="shared" si="491"/>
        <v>DESCARTADO</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f t="shared" si="445"/>
        <v>8</v>
      </c>
      <c r="C181" s="128">
        <f t="shared" si="446"/>
        <v>1</v>
      </c>
      <c r="D181" s="127">
        <f t="shared" si="446"/>
        <v>8</v>
      </c>
      <c r="E181" s="743"/>
      <c r="F181" s="136"/>
      <c r="G181" s="745"/>
      <c r="H181" s="748"/>
      <c r="I181" s="748"/>
      <c r="J181" s="749"/>
      <c r="K181" s="67"/>
      <c r="L181" s="1" t="s">
        <v>43</v>
      </c>
      <c r="M181" s="144">
        <f t="shared" ref="M181" si="492">IFERROR(ROUND(M162*M164,2),"")</f>
        <v>0</v>
      </c>
      <c r="O181" s="27" t="s">
        <v>363</v>
      </c>
      <c r="P181" s="107">
        <f t="shared" ref="P181:AI202" si="493">INDEX(P168:P180,MATCH(MAX($J168:$J180),$J168:$J180,0))</f>
        <v>11.8</v>
      </c>
      <c r="Q181" s="107">
        <f t="shared" si="493"/>
        <v>16.489999999999998</v>
      </c>
      <c r="R181" s="107">
        <f t="shared" si="493"/>
        <v>13.12908885764967</v>
      </c>
      <c r="S181" s="107">
        <f t="shared" si="493"/>
        <v>11.282810737042684</v>
      </c>
      <c r="T181" s="107">
        <f t="shared" si="493"/>
        <v>10.60601393055755</v>
      </c>
      <c r="U181" s="107" t="str">
        <f t="shared" si="493"/>
        <v>DESCARTADO</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f t="shared" ref="B183" si="494">LARGE(IFERROR(IF(B181+1&gt;$H$8,"",B181+1),""),1)</f>
        <v>9</v>
      </c>
      <c r="C183" s="127">
        <f>IF(_xlfn.ISFORMULA(E187),MAX(INDEX('BASE FORMAÇÃO'!A:A,B183+1),1),E187)</f>
        <v>1</v>
      </c>
      <c r="D183" s="127">
        <f t="shared" ref="D183" si="495">IFERROR(IF(C183=C173,D173+1,1),1)</f>
        <v>9</v>
      </c>
      <c r="E183" s="38" t="s">
        <v>9</v>
      </c>
      <c r="F183" s="73"/>
      <c r="G183" s="38" t="s">
        <v>15</v>
      </c>
      <c r="H183" s="135">
        <f>INDEX('BASE FORMAÇÃO'!B:B,B183+1)</f>
        <v>0</v>
      </c>
      <c r="I183" s="143" t="s">
        <v>16</v>
      </c>
      <c r="J183" s="6">
        <f>INDEX('BASE FORMAÇÃO'!K:K,B183+1)</f>
        <v>0</v>
      </c>
      <c r="K183" s="65"/>
      <c r="L183" s="750" t="s">
        <v>10</v>
      </c>
      <c r="M183" s="752">
        <f t="shared" ref="M183" si="496">IF(OR(ISBLANK($O$8),ISBLANK($O$7),ISBLANK($H$8),ISBLANK($O$6),ISBLANK($O$5),ISBLANK($H$5)),"",IFERROR(IF(VLOOKUP(L183,L189:M198,2,FALSE)&lt;1,ROUND(VLOOKUP(L183,L189:M198,2,FALSE),4),ROUND(VLOOKUP(L183,L189:M198,2,FALSE),2)),""))</f>
        <v>47.65</v>
      </c>
      <c r="N183" s="69"/>
      <c r="O183" s="27" t="s">
        <v>17</v>
      </c>
      <c r="P183" s="113">
        <v>43.5</v>
      </c>
      <c r="Q183" s="113">
        <v>45</v>
      </c>
      <c r="R183" s="113">
        <v>49</v>
      </c>
      <c r="S183" s="113">
        <v>50</v>
      </c>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4" si="497">B183</f>
        <v>9</v>
      </c>
      <c r="C184" s="128">
        <f t="shared" si="497"/>
        <v>1</v>
      </c>
      <c r="D184" s="127">
        <f t="shared" si="497"/>
        <v>9</v>
      </c>
      <c r="E184" s="754">
        <f t="shared" ref="E184" si="498">D183</f>
        <v>9</v>
      </c>
      <c r="F184" s="92"/>
      <c r="G184" s="756" t="s">
        <v>1</v>
      </c>
      <c r="H184" s="765" t="s">
        <v>440</v>
      </c>
      <c r="I184" s="759"/>
      <c r="J184" s="760"/>
      <c r="K184" s="66"/>
      <c r="L184" s="751"/>
      <c r="M184" s="753"/>
      <c r="N184" s="70"/>
      <c r="O184" s="27" t="s">
        <v>13</v>
      </c>
      <c r="P184" s="122">
        <v>45700</v>
      </c>
      <c r="Q184" s="122">
        <v>45611</v>
      </c>
      <c r="R184" s="122">
        <v>45742</v>
      </c>
      <c r="S184" s="122">
        <v>45693</v>
      </c>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ref="B185:D185" si="499">B184</f>
        <v>9</v>
      </c>
      <c r="C185" s="128">
        <f t="shared" si="499"/>
        <v>1</v>
      </c>
      <c r="D185" s="127">
        <f t="shared" si="499"/>
        <v>9</v>
      </c>
      <c r="E185" s="755"/>
      <c r="F185" s="93"/>
      <c r="G185" s="757"/>
      <c r="H185" s="761"/>
      <c r="I185" s="761"/>
      <c r="J185" s="762"/>
      <c r="K185" s="64"/>
      <c r="L185" s="130" t="s">
        <v>44</v>
      </c>
      <c r="M185" s="131">
        <f>INDEX('BASE FORMAÇÃO'!H:H,B187+1)</f>
        <v>0</v>
      </c>
      <c r="N185" s="71"/>
      <c r="O185" s="27" t="s">
        <v>380</v>
      </c>
      <c r="P185" s="114" t="s">
        <v>12</v>
      </c>
      <c r="Q185" s="114" t="s">
        <v>12</v>
      </c>
      <c r="R185" s="114" t="s">
        <v>12</v>
      </c>
      <c r="S185" s="114" t="s">
        <v>12</v>
      </c>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f t="shared" ref="B186:C186" si="500">B185</f>
        <v>9</v>
      </c>
      <c r="C186" s="128">
        <f t="shared" si="500"/>
        <v>1</v>
      </c>
      <c r="D186" s="127">
        <f t="shared" si="446"/>
        <v>9</v>
      </c>
      <c r="E186" s="38" t="s">
        <v>313</v>
      </c>
      <c r="F186" s="93"/>
      <c r="G186" s="758"/>
      <c r="H186" s="763"/>
      <c r="I186" s="763"/>
      <c r="J186" s="764"/>
      <c r="K186" s="64"/>
      <c r="L186" s="1" t="s">
        <v>2</v>
      </c>
      <c r="M186" s="6">
        <f>INDEX('BASE FORMAÇÃO'!D:D,B187+1)</f>
        <v>0</v>
      </c>
      <c r="N186" s="71"/>
      <c r="O186" s="27" t="s">
        <v>381</v>
      </c>
      <c r="P186" s="182" t="s">
        <v>450</v>
      </c>
      <c r="Q186" s="182" t="s">
        <v>450</v>
      </c>
      <c r="R186" s="182" t="s">
        <v>450</v>
      </c>
      <c r="S186" s="182" t="s">
        <v>450</v>
      </c>
      <c r="T186" s="115"/>
      <c r="U186" s="118"/>
      <c r="V186" s="118"/>
      <c r="W186" s="118"/>
      <c r="X186" s="118"/>
      <c r="Y186" s="118"/>
      <c r="Z186" s="118"/>
      <c r="AA186" s="118"/>
      <c r="AB186" s="118"/>
      <c r="AC186" s="118"/>
      <c r="AD186" s="118"/>
      <c r="AE186" s="118"/>
      <c r="AF186" s="118"/>
      <c r="AG186" s="118"/>
      <c r="AH186" s="118"/>
      <c r="AI186" s="118"/>
    </row>
    <row r="187" spans="1:167" x14ac:dyDescent="0.25">
      <c r="B187" s="128">
        <f t="shared" ref="B187:C187" si="501">B185</f>
        <v>9</v>
      </c>
      <c r="C187" s="128">
        <f t="shared" si="501"/>
        <v>1</v>
      </c>
      <c r="D187" s="127">
        <f t="shared" si="446"/>
        <v>9</v>
      </c>
      <c r="E187" s="742">
        <f t="shared" ref="E187" si="502">C183</f>
        <v>1</v>
      </c>
      <c r="F187" s="93"/>
      <c r="G187" s="744" t="s">
        <v>304</v>
      </c>
      <c r="H187" s="746"/>
      <c r="I187" s="747"/>
      <c r="J187" s="747"/>
      <c r="K187" s="67"/>
      <c r="L187" s="28" t="s">
        <v>303</v>
      </c>
      <c r="M187" s="133">
        <f t="shared" ref="M187" si="503">IFERROR(INDEX(I189:I201,MATCH(MAX(J189:J201),J189:J201,0)),"")</f>
        <v>5.2962262872357495E-2</v>
      </c>
      <c r="N187" s="71"/>
      <c r="O187" s="27" t="s">
        <v>18</v>
      </c>
      <c r="P187" s="106">
        <f>IF(P183="","",
IF(OR(P185="Orçamento",P184="",MAX('Tabela de Apoio'!$A:$A)&lt;=P184),
P183,
(INDEX('Tabela de Apoio'!$B:$B,MATCH('MAPA DE PREÇOS'!$O$8,'Tabela de Apoio'!$A:$A,1))/INDEX('Tabela de Apoio'!$B:$B,MATCH('MAPA DE PREÇOS'!P184,'Tabela de Apoio'!$A:$A,1)-1))*P183))</f>
        <v>44.316680868296061</v>
      </c>
      <c r="Q187" s="106">
        <f>IF(Q183="","",
IF(OR(Q185="Orçamento",Q184="",MAX('Tabela de Apoio'!$A:$A)&lt;=Q184),
Q183,
(INDEX('Tabela de Apoio'!$B:$B,MATCH('MAPA DE PREÇOS'!$O$8,'Tabela de Apoio'!$A:$A,1))/INDEX('Tabela de Apoio'!$B:$B,MATCH('MAPA DE PREÇOS'!Q184,'Tabela de Apoio'!$A:$A,1)-1))*Q183))</f>
        <v>46.336954065542685</v>
      </c>
      <c r="R187" s="106">
        <f>IF(R183="","",
IF(OR(R185="Orçamento",R184="",MAX('Tabela de Apoio'!$A:$A)&lt;=R184),
R183,
(INDEX('Tabela de Apoio'!$B:$B,MATCH('MAPA DE PREÇOS'!$O$8,'Tabela de Apoio'!$A:$A,1))/INDEX('Tabela de Apoio'!$B:$B,MATCH('MAPA DE PREÇOS'!R184,'Tabela de Apoio'!$A:$A,1)-1))*R183))</f>
        <v>49</v>
      </c>
      <c r="S187" s="106">
        <f>IF(S183="","",
IF(OR(S185="Orçamento",S184="",MAX('Tabela de Apoio'!$A:$A)&lt;=S184),
S183,
(INDEX('Tabela de Apoio'!$B:$B,MATCH('MAPA DE PREÇOS'!$O$8,'Tabela de Apoio'!$A:$A,1))/INDEX('Tabela de Apoio'!$B:$B,MATCH('MAPA DE PREÇOS'!S184,'Tabela de Apoio'!$A:$A,1)-1))*S183))</f>
        <v>50.938713641719616</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 si="504">B187</f>
        <v>9</v>
      </c>
      <c r="C188" s="128">
        <f t="shared" ref="C188" si="505">C187</f>
        <v>1</v>
      </c>
      <c r="D188" s="127">
        <f t="shared" si="446"/>
        <v>9</v>
      </c>
      <c r="E188" s="743"/>
      <c r="F188" s="93"/>
      <c r="G188" s="745"/>
      <c r="H188"/>
      <c r="I188"/>
      <c r="J188"/>
      <c r="N188" s="71"/>
      <c r="O188" s="27" t="s">
        <v>375</v>
      </c>
      <c r="P188" s="107">
        <f>IF(IFERROR(VLOOKUP(P185,'Tabela de Apoio'!$D:$E,2,FALSE),1)=1,"",P189)</f>
        <v>44.316680868296061</v>
      </c>
      <c r="Q188" s="107">
        <f>IF(IFERROR(VLOOKUP(Q185,'Tabela de Apoio'!$D:$E,2,FALSE),1)=1,"",Q189)</f>
        <v>46.336954065542685</v>
      </c>
      <c r="R188" s="107">
        <f>IF(IFERROR(VLOOKUP(R185,'Tabela de Apoio'!$D:$E,2,FALSE),1)=1,"",R189)</f>
        <v>49</v>
      </c>
      <c r="S188" s="107">
        <f>IF(IFERROR(VLOOKUP(S185,'Tabela de Apoio'!$D:$E,2,FALSE),1)=1,"",S189)</f>
        <v>50.938713641719616</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ref="B189:C189" si="506">B188</f>
        <v>9</v>
      </c>
      <c r="C189" s="128">
        <f t="shared" si="506"/>
        <v>1</v>
      </c>
      <c r="D189" s="127">
        <f t="shared" si="446"/>
        <v>9</v>
      </c>
      <c r="E189" s="743"/>
      <c r="F189" s="93"/>
      <c r="G189" s="745"/>
      <c r="H189" s="134">
        <f t="shared" ref="H189" si="507">COUNT($P189:$XX189)</f>
        <v>4</v>
      </c>
      <c r="I189" s="132">
        <f t="shared" ref="I189" si="508">_xlfn.STDEV.P($P188:$XX189)/AVERAGE($P188:$XX189)</f>
        <v>5.2962262872357495E-2</v>
      </c>
      <c r="J189" s="7">
        <f>ROW()</f>
        <v>189</v>
      </c>
      <c r="K189" s="67"/>
      <c r="L189" s="29" t="s">
        <v>10</v>
      </c>
      <c r="M189" s="30">
        <f t="shared" ref="M189" si="509">IFERROR(
IF(COUNTA(P183:AI183)=COUNTIF(P185:XX185,"Orçamento"),MIN(M194,M191),
IF(M192&lt;&gt;"",M192,
IF(M193&lt;&gt;"",M193,
M191
))),"")</f>
        <v>47.648087143889597</v>
      </c>
      <c r="N189" s="71"/>
      <c r="O189" s="27" t="s">
        <v>376</v>
      </c>
      <c r="P189" s="106">
        <f t="shared" ref="P189:AI189" si="510">IFERROR(IF(P187="",
            "",
            IF(COUNT($P187:$XX187)&lt;=4,
               P187,
               IF(OR(P187&gt;(QUARTILE($P187:$XX187,3)+(QUARTILE($P187:$XX187,3)-QUARTILE($P187:$XX187,1))),
                     P187&lt;(QUARTILE($P187:$XX187,1)-(QUARTILE($P187:$XX187,3)-QUARTILE($P187:$XX187,1)))
                  ),
               "DESCARTADO",P187)
             )
  ),P187)</f>
        <v>44.316680868296061</v>
      </c>
      <c r="Q189" s="106">
        <f t="shared" si="510"/>
        <v>46.336954065542685</v>
      </c>
      <c r="R189" s="106">
        <f t="shared" si="510"/>
        <v>49</v>
      </c>
      <c r="S189" s="106">
        <f t="shared" si="510"/>
        <v>50.938713641719616</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f t="shared" ref="B190" si="511">B189</f>
        <v>9</v>
      </c>
      <c r="C190" s="128">
        <f t="shared" ref="C190" si="512">C189</f>
        <v>1</v>
      </c>
      <c r="D190" s="127">
        <f t="shared" si="446"/>
        <v>9</v>
      </c>
      <c r="E190" s="743"/>
      <c r="F190" s="93"/>
      <c r="G190" s="745"/>
      <c r="H190"/>
      <c r="I190"/>
      <c r="J190"/>
      <c r="K190" s="66"/>
      <c r="L190" s="29" t="s">
        <v>360</v>
      </c>
      <c r="M190" s="30">
        <f t="shared" ref="M190" si="513">AVERAGE($P189:$XX189)</f>
        <v>47.648087143889597</v>
      </c>
      <c r="N190" s="71"/>
      <c r="O190" s="27" t="str">
        <f t="shared" ref="O190" si="514">"1 POND"</f>
        <v>1 POND</v>
      </c>
      <c r="P190" s="107">
        <f>IF(IFERROR(VLOOKUP(P185,'Tabela de Apoio'!$D:$E,2,FALSE),1)=1,"",P191)</f>
        <v>44.316680868296061</v>
      </c>
      <c r="Q190" s="107">
        <f>IF(IFERROR(VLOOKUP(Q185,'Tabela de Apoio'!$D:$E,2,FALSE),1)=1,"",Q191)</f>
        <v>46.336954065542685</v>
      </c>
      <c r="R190" s="107">
        <f>IF(IFERROR(VLOOKUP(R185,'Tabela de Apoio'!$D:$E,2,FALSE),1)=1,"",R191)</f>
        <v>49</v>
      </c>
      <c r="S190" s="107">
        <f>IF(IFERROR(VLOOKUP(S185,'Tabela de Apoio'!$D:$E,2,FALSE),1)=1,"",S191)</f>
        <v>50.938713641719616</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445"/>
        <v>9</v>
      </c>
      <c r="C191" s="128">
        <f t="shared" si="446"/>
        <v>1</v>
      </c>
      <c r="D191" s="127">
        <f t="shared" si="446"/>
        <v>9</v>
      </c>
      <c r="E191" s="743"/>
      <c r="F191" s="93"/>
      <c r="G191" s="745"/>
      <c r="H191" s="134">
        <f t="shared" ref="H191" si="515">COUNT($P191:$XX191)</f>
        <v>4</v>
      </c>
      <c r="I191" s="132">
        <f t="shared" ref="I191" si="516">_xlfn.STDEV.P($P190:$XX191)/AVERAGE($P190:$XX191)</f>
        <v>5.2962262872357495E-2</v>
      </c>
      <c r="J191" s="7">
        <f t="shared" ref="J191" si="517">IF(AND(H191&gt;2,
OR(L183="MÉDIA SANEADA",L183="MEDIANA SANEADA",
AND(L183="PREÇO ESTIMADO",NOT(AND(P185="Orçamento",COUNTA(P183:XX183)=COUNTIF(P185:XX185,"Orçamento")))))),
ROW(),0)</f>
        <v>191</v>
      </c>
      <c r="K191" s="66"/>
      <c r="L191" s="29" t="s">
        <v>361</v>
      </c>
      <c r="M191" s="30">
        <f t="shared" ref="M191" si="518">MEDIAN($P189:$XX189)</f>
        <v>47.668477032771342</v>
      </c>
      <c r="N191" s="71"/>
      <c r="O191" s="27" t="str">
        <f t="shared" ref="O191" si="519">"1 RODADA"</f>
        <v>1 RODADA</v>
      </c>
      <c r="P191" s="107">
        <f t="shared" ref="P191:AI191" si="520">IF(P189="","",IF((_xlfn.STDEV.P($P188:$XX189)/AVERAGE($P188:$XX189))&lt;=25%,P189,IF(OR(P189&gt;(AVERAGE($P188:$XX189)+_xlfn.STDEV.P($P188:$XX189)),P189&lt;(AVERAGE($P188:$XX189)-_xlfn.STDEV.P($P188:$XX189))),"DESCARTADO",P189)))</f>
        <v>44.316680868296061</v>
      </c>
      <c r="Q191" s="107">
        <f t="shared" si="520"/>
        <v>46.336954065542685</v>
      </c>
      <c r="R191" s="107">
        <f t="shared" si="520"/>
        <v>49</v>
      </c>
      <c r="S191" s="107">
        <f t="shared" si="520"/>
        <v>50.938713641719616</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f t="shared" si="445"/>
        <v>9</v>
      </c>
      <c r="C192" s="128">
        <f t="shared" si="446"/>
        <v>1</v>
      </c>
      <c r="D192" s="127">
        <f t="shared" si="446"/>
        <v>9</v>
      </c>
      <c r="E192" s="743"/>
      <c r="F192" s="93"/>
      <c r="G192" s="745"/>
      <c r="H192"/>
      <c r="I192"/>
      <c r="J192"/>
      <c r="L192" s="29" t="s">
        <v>38</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47.648087143889597</v>
      </c>
      <c r="N192" s="71"/>
      <c r="O192" s="27" t="str">
        <f t="shared" ref="O192" si="522">"2 POND"</f>
        <v>2 POND</v>
      </c>
      <c r="P192" s="107">
        <f>IF(IFERROR(VLOOKUP(P185,'Tabela de Apoio'!$D:$E,2,FALSE),1)=1,"",P193)</f>
        <v>44.316680868296061</v>
      </c>
      <c r="Q192" s="107">
        <f>IF(IFERROR(VLOOKUP(Q185,'Tabela de Apoio'!$D:$E,2,FALSE),1)=1,"",Q193)</f>
        <v>46.336954065542685</v>
      </c>
      <c r="R192" s="107">
        <f>IF(IFERROR(VLOOKUP(R185,'Tabela de Apoio'!$D:$E,2,FALSE),1)=1,"",R193)</f>
        <v>49</v>
      </c>
      <c r="S192" s="107">
        <f>IF(IFERROR(VLOOKUP(S185,'Tabela de Apoio'!$D:$E,2,FALSE),1)=1,"",S193)</f>
        <v>50.938713641719616</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445"/>
        <v>9</v>
      </c>
      <c r="C193" s="128">
        <f t="shared" si="446"/>
        <v>1</v>
      </c>
      <c r="D193" s="127">
        <f t="shared" si="446"/>
        <v>9</v>
      </c>
      <c r="E193" s="743"/>
      <c r="F193" s="93"/>
      <c r="G193" s="745"/>
      <c r="H193" s="134">
        <f t="shared" ref="H193" si="523">COUNT($P193:$XX193)</f>
        <v>4</v>
      </c>
      <c r="I193" s="132">
        <f t="shared" ref="I193" si="524">_xlfn.STDEV.P($P192:$XX193)/AVERAGE($P192:$XX193)</f>
        <v>5.2962262872357495E-2</v>
      </c>
      <c r="J193" s="7">
        <f t="shared" ref="J193" si="525">IF(AND(H193&gt;2,
OR(L183="MÉDIA SANEADA",L183="MEDIANA SANEADA",
AND(L183="PREÇO ESTIMADO",NOT(AND(P185="Orçamento",COUNTA(P183:XX183)=COUNTIF(P185:XX185,"Orçamento")))))),
ROW(),0)</f>
        <v>193</v>
      </c>
      <c r="K193" s="66"/>
      <c r="L193" s="29" t="s">
        <v>362</v>
      </c>
      <c r="M193" s="30">
        <f t="shared" ref="M193" si="526" xml:space="preserve">
IF(H191&gt;2,MEDIAN(P190:XX191),
IF(H193&gt;2,MEDIAN(P192:XX193),
IF(H195&gt;2,MEDIAN(P194:XX195),
IF(H197&gt;2,MEDIAN(P196:XX197),
IF(H199&gt;2,MEDIAN(P198:XX199),
IF(H201&gt;2,MEDIAN(P200:XX201),
MEDIAN(P188:XX189)))))))</f>
        <v>47.668477032771342</v>
      </c>
      <c r="N193" s="71"/>
      <c r="O193" s="27" t="str">
        <f t="shared" ref="O193" si="527">"2 RODADA"</f>
        <v>2 RODADA</v>
      </c>
      <c r="P193" s="107">
        <f t="shared" ref="P193:AI193" si="528">IF(P191="","",IF((_xlfn.STDEV.P($P190:$XX191)/AVERAGE($P190:$XX191))&lt;=25%,P191,IF(OR(P191&gt;(AVERAGE($P190:$XX191)+_xlfn.STDEV.P($P190:$XX191)),P191&lt;(AVERAGE($P190:$XX191)-_xlfn.STDEV.P($P190:$XX191))),"DESCARTADO",P191)))</f>
        <v>44.316680868296061</v>
      </c>
      <c r="Q193" s="107">
        <f t="shared" si="528"/>
        <v>46.336954065542685</v>
      </c>
      <c r="R193" s="107">
        <f t="shared" si="528"/>
        <v>49</v>
      </c>
      <c r="S193" s="107">
        <f t="shared" si="528"/>
        <v>50.938713641719616</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f t="shared" si="445"/>
        <v>9</v>
      </c>
      <c r="C194" s="128">
        <f t="shared" si="446"/>
        <v>1</v>
      </c>
      <c r="D194" s="127">
        <f t="shared" si="446"/>
        <v>9</v>
      </c>
      <c r="E194" s="743"/>
      <c r="F194" s="93"/>
      <c r="G194" s="745"/>
      <c r="H194"/>
      <c r="I194"/>
      <c r="J194"/>
      <c r="K194" s="66"/>
      <c r="L194" s="29" t="s">
        <v>359</v>
      </c>
      <c r="M194" s="30">
        <f t="shared" ref="M194" si="529">HARMEAN($P188:$XX189)</f>
        <v>47.514114110664465</v>
      </c>
      <c r="N194" s="71"/>
      <c r="O194" s="27" t="str">
        <f t="shared" ref="O194" si="530">"3 POND"</f>
        <v>3 POND</v>
      </c>
      <c r="P194" s="107">
        <f>IF(IFERROR(VLOOKUP(P185,'Tabela de Apoio'!$D:$E,2,FALSE),1)=1,"",P195)</f>
        <v>44.316680868296061</v>
      </c>
      <c r="Q194" s="107">
        <f>IF(IFERROR(VLOOKUP(Q185,'Tabela de Apoio'!$D:$E,2,FALSE),1)=1,"",Q195)</f>
        <v>46.336954065542685</v>
      </c>
      <c r="R194" s="107">
        <f>IF(IFERROR(VLOOKUP(R185,'Tabela de Apoio'!$D:$E,2,FALSE),1)=1,"",R195)</f>
        <v>49</v>
      </c>
      <c r="S194" s="107">
        <f>IF(IFERROR(VLOOKUP(S185,'Tabela de Apoio'!$D:$E,2,FALSE),1)=1,"",S195)</f>
        <v>50.938713641719616</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445"/>
        <v>9</v>
      </c>
      <c r="C195" s="128">
        <f t="shared" si="446"/>
        <v>1</v>
      </c>
      <c r="D195" s="127">
        <f t="shared" si="446"/>
        <v>9</v>
      </c>
      <c r="E195" s="743"/>
      <c r="F195" s="93"/>
      <c r="G195" s="745"/>
      <c r="H195" s="134">
        <f t="shared" ref="H195" si="531">COUNT($P195:$XX195)</f>
        <v>4</v>
      </c>
      <c r="I195" s="132">
        <f t="shared" ref="I195" si="532">_xlfn.STDEV.P($P194:$XX195)/AVERAGE($P194:$XX195)</f>
        <v>5.2962262872357495E-2</v>
      </c>
      <c r="J195" s="7">
        <f t="shared" ref="J195" si="533">IF(AND(H195&gt;2,
OR(L183="MÉDIA SANEADA",L183="MEDIANA SANEADA",
AND(L183="PREÇO ESTIMADO",NOT(AND(P185="Orçamento",COUNTA(P183:XX183)=COUNTIF(P185:XX185,"Orçamento")))))),
ROW(),0)</f>
        <v>195</v>
      </c>
      <c r="K195" s="66"/>
      <c r="L195" s="29" t="s">
        <v>41</v>
      </c>
      <c r="M195" s="30">
        <f t="shared" ref="M195" si="534">IFERROR(_xlfn.QUARTILE.EXC($P189:$XX189,1),"")</f>
        <v>44.82174916760772</v>
      </c>
      <c r="N195" s="71"/>
      <c r="O195" s="27" t="str">
        <f t="shared" ref="O195" si="535">"3 RODADA"</f>
        <v>3 RODADA</v>
      </c>
      <c r="P195" s="107">
        <f t="shared" ref="P195:AI195" si="536">IF(P193="","",IF((_xlfn.STDEV.P($P192:$XX193)/AVERAGE($P192:$XX193))&lt;=25%,P193,IF(OR(P193&gt;(AVERAGE($P192:$XX193)+_xlfn.STDEV.P($P192:$XX193)),P193&lt;(AVERAGE($P192:$XX193)-_xlfn.STDEV.P($P192:$XX193))),"DESCARTADO",P193)))</f>
        <v>44.316680868296061</v>
      </c>
      <c r="Q195" s="107">
        <f t="shared" si="536"/>
        <v>46.336954065542685</v>
      </c>
      <c r="R195" s="107">
        <f t="shared" si="536"/>
        <v>49</v>
      </c>
      <c r="S195" s="107">
        <f t="shared" si="536"/>
        <v>50.938713641719616</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f t="shared" si="445"/>
        <v>9</v>
      </c>
      <c r="C196" s="128">
        <f t="shared" si="446"/>
        <v>1</v>
      </c>
      <c r="D196" s="127">
        <f t="shared" si="446"/>
        <v>9</v>
      </c>
      <c r="E196" s="743"/>
      <c r="F196" s="93"/>
      <c r="G196" s="745"/>
      <c r="H196"/>
      <c r="I196"/>
      <c r="J196"/>
      <c r="K196" s="66"/>
      <c r="L196" s="29" t="s">
        <v>39</v>
      </c>
      <c r="M196" s="30">
        <f t="shared" ref="M196" si="537">IFERROR(_xlfn.QUARTILE.EXC($P189:$XX189,3),"")</f>
        <v>50.454035231289708</v>
      </c>
      <c r="N196" s="71"/>
      <c r="O196" s="27" t="str">
        <f t="shared" ref="O196" si="538">"4 POND"</f>
        <v>4 POND</v>
      </c>
      <c r="P196" s="107">
        <f>IF(IFERROR(VLOOKUP(P185,'Tabela de Apoio'!$D:$E,2,FALSE),1)=1,"",P197)</f>
        <v>44.316680868296061</v>
      </c>
      <c r="Q196" s="107">
        <f>IF(IFERROR(VLOOKUP(Q185,'Tabela de Apoio'!$D:$E,2,FALSE),1)=1,"",Q197)</f>
        <v>46.336954065542685</v>
      </c>
      <c r="R196" s="107">
        <f>IF(IFERROR(VLOOKUP(R185,'Tabela de Apoio'!$D:$E,2,FALSE),1)=1,"",R197)</f>
        <v>49</v>
      </c>
      <c r="S196" s="107">
        <f>IF(IFERROR(VLOOKUP(S185,'Tabela de Apoio'!$D:$E,2,FALSE),1)=1,"",S197)</f>
        <v>50.938713641719616</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445"/>
        <v>9</v>
      </c>
      <c r="C197" s="128">
        <f t="shared" si="446"/>
        <v>1</v>
      </c>
      <c r="D197" s="127">
        <f t="shared" si="446"/>
        <v>9</v>
      </c>
      <c r="E197" s="743"/>
      <c r="F197" s="93"/>
      <c r="G197" s="745"/>
      <c r="H197" s="134">
        <f t="shared" ref="H197" si="539">COUNT($P197:$XX197)</f>
        <v>4</v>
      </c>
      <c r="I197" s="132">
        <f t="shared" ref="I197" si="540">_xlfn.STDEV.P($P196:$XX197)/AVERAGE($P196:$XX197)</f>
        <v>5.2962262872357495E-2</v>
      </c>
      <c r="J197" s="7">
        <f t="shared" ref="J197" si="541">IF(AND(H197&gt;2,
OR(L183="MÉDIA SANEADA",L183="MEDIANA SANEADA",
AND(L183="PREÇO ESTIMADO",NOT(AND(P185="Orçamento",COUNTA(P183:XX183)=COUNTIF(P185:XX185,"Orçamento")))))),
ROW(),0)</f>
        <v>197</v>
      </c>
      <c r="K197" s="66"/>
      <c r="L197" s="29" t="s">
        <v>42</v>
      </c>
      <c r="M197" s="30">
        <f t="shared" ref="M197" si="542">MIN($P189:$XX189)</f>
        <v>44.316680868296061</v>
      </c>
      <c r="N197" s="71"/>
      <c r="O197" s="27" t="str">
        <f t="shared" ref="O197" si="543">"4 RODADA"</f>
        <v>4 RODADA</v>
      </c>
      <c r="P197" s="107">
        <f t="shared" ref="P197:AI197" si="544">IF(P195="","",IF((_xlfn.STDEV.P($P194:$XX195)/AVERAGE($P194:$XX195))&lt;=25%,P195,IF(OR(P195&gt;(AVERAGE($P194:$XX195)+_xlfn.STDEV.P($P194:$XX195)),P195&lt;(AVERAGE($P194:$XX195)-_xlfn.STDEV.P($P194:$XX195))),"DESCARTADO",P195)))</f>
        <v>44.316680868296061</v>
      </c>
      <c r="Q197" s="107">
        <f t="shared" si="544"/>
        <v>46.336954065542685</v>
      </c>
      <c r="R197" s="107">
        <f t="shared" si="544"/>
        <v>49</v>
      </c>
      <c r="S197" s="107">
        <f t="shared" si="544"/>
        <v>50.938713641719616</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f t="shared" si="445"/>
        <v>9</v>
      </c>
      <c r="C198" s="128">
        <f t="shared" si="446"/>
        <v>1</v>
      </c>
      <c r="D198" s="127">
        <f t="shared" si="446"/>
        <v>9</v>
      </c>
      <c r="E198" s="743"/>
      <c r="F198" s="93"/>
      <c r="G198" s="745"/>
      <c r="H198"/>
      <c r="I198"/>
      <c r="J198"/>
      <c r="K198" s="66"/>
      <c r="L198" s="29" t="s">
        <v>40</v>
      </c>
      <c r="M198" s="30">
        <f t="shared" ref="M198" si="545">MAX($P189:$XX189)</f>
        <v>50.938713641719616</v>
      </c>
      <c r="N198" s="71"/>
      <c r="O198" s="27" t="str">
        <f t="shared" ref="O198" si="546">"5 POND"</f>
        <v>5 POND</v>
      </c>
      <c r="P198" s="107">
        <f>IF(IFERROR(VLOOKUP(P185,'Tabela de Apoio'!$D:$E,2,FALSE),1)=1,"",P199)</f>
        <v>44.316680868296061</v>
      </c>
      <c r="Q198" s="107">
        <f>IF(IFERROR(VLOOKUP(Q185,'Tabela de Apoio'!$D:$E,2,FALSE),1)=1,"",Q199)</f>
        <v>46.336954065542685</v>
      </c>
      <c r="R198" s="107">
        <f>IF(IFERROR(VLOOKUP(R185,'Tabela de Apoio'!$D:$E,2,FALSE),1)=1,"",R199)</f>
        <v>49</v>
      </c>
      <c r="S198" s="107">
        <f>IF(IFERROR(VLOOKUP(S185,'Tabela de Apoio'!$D:$E,2,FALSE),1)=1,"",S199)</f>
        <v>50.938713641719616</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445"/>
        <v>9</v>
      </c>
      <c r="C199" s="128">
        <f t="shared" si="446"/>
        <v>1</v>
      </c>
      <c r="D199" s="127">
        <f t="shared" si="446"/>
        <v>9</v>
      </c>
      <c r="E199" s="743"/>
      <c r="F199" s="93"/>
      <c r="G199" s="745"/>
      <c r="H199" s="134">
        <f t="shared" ref="H199" si="547">COUNT($P199:$XX199)</f>
        <v>4</v>
      </c>
      <c r="I199" s="132">
        <f t="shared" ref="I199" si="548">_xlfn.STDEV.P($P198:$XX199)/AVERAGE($P198:$XX199)</f>
        <v>5.2962262872357495E-2</v>
      </c>
      <c r="J199" s="7">
        <f t="shared" ref="J199" si="549">IF(AND(H199&gt;2,
OR(L183="MÉDIA SANEADA",L183="MEDIANA SANEADA",
AND(L183="PREÇO ESTIMADO",NOT(AND(P185="Orçamento",COUNTA(P183:XX183)=COUNTIF(P185:XX185,"Orçamento")))))),
ROW(),0)</f>
        <v>199</v>
      </c>
      <c r="K199" s="66"/>
      <c r="N199" s="71"/>
      <c r="O199" s="27" t="str">
        <f t="shared" ref="O199" si="550">"5 RODADA"</f>
        <v>5 RODADA</v>
      </c>
      <c r="P199" s="107">
        <f t="shared" ref="P199:AI199" si="551">IF(P197="","",IF((_xlfn.STDEV.P($P196:$XX197)/AVERAGE($P196:$XX197))&lt;=25%,P197,IF(OR(P197&gt;(AVERAGE($P196:$XX197)+_xlfn.STDEV.P($P196:$XX197)),P197&lt;(AVERAGE($P196:$XX197)-_xlfn.STDEV.P($P196:$XX197))),"DESCARTADO",P197)))</f>
        <v>44.316680868296061</v>
      </c>
      <c r="Q199" s="107">
        <f t="shared" si="551"/>
        <v>46.336954065542685</v>
      </c>
      <c r="R199" s="107">
        <f t="shared" si="551"/>
        <v>49</v>
      </c>
      <c r="S199" s="107">
        <f t="shared" si="551"/>
        <v>50.938713641719616</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f t="shared" si="445"/>
        <v>9</v>
      </c>
      <c r="C200" s="128">
        <f t="shared" si="446"/>
        <v>1</v>
      </c>
      <c r="D200" s="127">
        <f t="shared" si="446"/>
        <v>9</v>
      </c>
      <c r="E200" s="743"/>
      <c r="F200" s="93"/>
      <c r="G200" s="745"/>
      <c r="H200"/>
      <c r="I200"/>
      <c r="J200"/>
      <c r="K200" s="66"/>
      <c r="L200" s="22"/>
      <c r="M200" s="22"/>
      <c r="N200" s="71"/>
      <c r="O200" s="27" t="str">
        <f t="shared" ref="O200" si="552">"6 POND"</f>
        <v>6 POND</v>
      </c>
      <c r="P200" s="107">
        <f>IF(IFERROR(VLOOKUP(P185,'Tabela de Apoio'!$D:$E,2,FALSE),1)=1,"",P201)</f>
        <v>44.316680868296061</v>
      </c>
      <c r="Q200" s="107">
        <f>IF(IFERROR(VLOOKUP(Q185,'Tabela de Apoio'!$D:$E,2,FALSE),1)=1,"",Q201)</f>
        <v>46.336954065542685</v>
      </c>
      <c r="R200" s="107">
        <f>IF(IFERROR(VLOOKUP(R185,'Tabela de Apoio'!$D:$E,2,FALSE),1)=1,"",R201)</f>
        <v>49</v>
      </c>
      <c r="S200" s="107">
        <f>IF(IFERROR(VLOOKUP(S185,'Tabela de Apoio'!$D:$E,2,FALSE),1)=1,"",S201)</f>
        <v>50.938713641719616</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445"/>
        <v>9</v>
      </c>
      <c r="C201" s="128">
        <f t="shared" si="446"/>
        <v>1</v>
      </c>
      <c r="D201" s="127">
        <f t="shared" si="446"/>
        <v>9</v>
      </c>
      <c r="E201" s="743"/>
      <c r="F201" s="93"/>
      <c r="G201" s="745"/>
      <c r="H201" s="134">
        <f t="shared" ref="H201" si="553">COUNT($P201:$XX201)</f>
        <v>4</v>
      </c>
      <c r="I201" s="132">
        <f t="shared" ref="I201" si="554">_xlfn.STDEV.P($P200:$XX201)/AVERAGE($P200:$XX201)</f>
        <v>5.2962262872357495E-2</v>
      </c>
      <c r="J201" s="7">
        <f t="shared" ref="J201" si="555">IF(AND(H201&gt;2,
OR(L183="MÉDIA SANEADA",L183="MEDIANA SANEADA",
AND(L183="PREÇO ESTIMADO",NOT(AND(P185="Orçamento",COUNTA(P183:XX183)=COUNTIF(P185:XX185,"Orçamento")))))),
ROW(),0)</f>
        <v>201</v>
      </c>
      <c r="N201" s="71"/>
      <c r="O201" s="27" t="str">
        <f t="shared" ref="O201" si="556">"6 RODADA"</f>
        <v>6 RODADA</v>
      </c>
      <c r="P201" s="107">
        <f t="shared" ref="P201:AI201" si="557">IFERROR(IF(P199="","",IF((_xlfn.STDEV.P($P198:$XX199)/AVERAGE($P198:$XX199))&lt;=25%,P199,IF(OR(P199&gt;(AVERAGE($P198:$XX199)+_xlfn.STDEV.P($P198:$XX199)),P199&lt;(AVERAGE($P198:$XX199)-_xlfn.STDEV.P($P198:$XX199))),"DESCARTADO",P199))),)</f>
        <v>44.316680868296061</v>
      </c>
      <c r="Q201" s="107">
        <f t="shared" si="557"/>
        <v>46.336954065542685</v>
      </c>
      <c r="R201" s="107">
        <f t="shared" si="557"/>
        <v>49</v>
      </c>
      <c r="S201" s="107">
        <f t="shared" si="557"/>
        <v>50.938713641719616</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f t="shared" si="445"/>
        <v>9</v>
      </c>
      <c r="C202" s="128">
        <f t="shared" si="446"/>
        <v>1</v>
      </c>
      <c r="D202" s="127">
        <f t="shared" si="446"/>
        <v>9</v>
      </c>
      <c r="E202" s="743"/>
      <c r="F202" s="136"/>
      <c r="G202" s="745"/>
      <c r="H202" s="748"/>
      <c r="I202" s="748"/>
      <c r="J202" s="749"/>
      <c r="K202" s="67"/>
      <c r="L202" s="1" t="s">
        <v>43</v>
      </c>
      <c r="M202" s="144">
        <f t="shared" ref="M202" si="558">IFERROR(ROUND(M183*M185,2),"")</f>
        <v>0</v>
      </c>
      <c r="O202" s="27" t="s">
        <v>363</v>
      </c>
      <c r="P202" s="107">
        <f t="shared" ref="P202:R202" si="559">INDEX(P189:P201,MATCH(MAX($J189:$J201),$J189:$J201,0))</f>
        <v>44.316680868296061</v>
      </c>
      <c r="Q202" s="107">
        <f t="shared" si="559"/>
        <v>46.336954065542685</v>
      </c>
      <c r="R202" s="107">
        <f t="shared" si="559"/>
        <v>49</v>
      </c>
      <c r="S202" s="107">
        <f t="shared" si="493"/>
        <v>50.938713641719616</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f t="shared" ref="B204" si="560">LARGE(IFERROR(IF(B202+1&gt;$H$8,"",B202+1),""),1)</f>
        <v>10</v>
      </c>
      <c r="C204" s="127">
        <f>IF(_xlfn.ISFORMULA(E208),MAX(INDEX('BASE FORMAÇÃO'!A:A,B204+1),1),E208)</f>
        <v>1</v>
      </c>
      <c r="D204" s="127">
        <f t="shared" ref="D204" si="561">IFERROR(IF(C204=C194,D194+1,1),1)</f>
        <v>10</v>
      </c>
      <c r="E204" s="38" t="s">
        <v>9</v>
      </c>
      <c r="F204" s="73"/>
      <c r="G204" s="38" t="s">
        <v>15</v>
      </c>
      <c r="H204" s="135">
        <f>INDEX('BASE FORMAÇÃO'!B:B,B204+1)</f>
        <v>0</v>
      </c>
      <c r="I204" s="143" t="s">
        <v>16</v>
      </c>
      <c r="J204" s="6">
        <f>INDEX('BASE FORMAÇÃO'!K:K,B204+1)</f>
        <v>0</v>
      </c>
      <c r="K204" s="65"/>
      <c r="L204" s="750" t="s">
        <v>10</v>
      </c>
      <c r="M204" s="752">
        <f t="shared" ref="M204" si="562">IF(OR(ISBLANK($O$8),ISBLANK($O$7),ISBLANK($H$8),ISBLANK($O$6),ISBLANK($O$5),ISBLANK($H$5)),"",IFERROR(IF(VLOOKUP(L204,L210:M219,2,FALSE)&lt;1,ROUND(VLOOKUP(L204,L210:M219,2,FALSE),4),ROUND(VLOOKUP(L204,L210:M219,2,FALSE),2)),""))</f>
        <v>12.47</v>
      </c>
      <c r="N204" s="69"/>
      <c r="O204" s="27" t="s">
        <v>17</v>
      </c>
      <c r="P204" s="113">
        <v>20.61</v>
      </c>
      <c r="Q204" s="113">
        <v>26</v>
      </c>
      <c r="R204" s="113">
        <v>11.98</v>
      </c>
      <c r="S204" s="113">
        <v>12.24</v>
      </c>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5" si="563">B204</f>
        <v>10</v>
      </c>
      <c r="C205" s="128">
        <f t="shared" si="563"/>
        <v>1</v>
      </c>
      <c r="D205" s="127">
        <f t="shared" si="563"/>
        <v>10</v>
      </c>
      <c r="E205" s="754">
        <f t="shared" ref="E205" si="564">D204</f>
        <v>10</v>
      </c>
      <c r="F205" s="92"/>
      <c r="G205" s="756" t="s">
        <v>1</v>
      </c>
      <c r="H205" s="765" t="s">
        <v>441</v>
      </c>
      <c r="I205" s="759"/>
      <c r="J205" s="760"/>
      <c r="K205" s="66"/>
      <c r="L205" s="751"/>
      <c r="M205" s="753"/>
      <c r="N205" s="70"/>
      <c r="O205" s="27" t="s">
        <v>13</v>
      </c>
      <c r="P205" s="122">
        <v>45615</v>
      </c>
      <c r="Q205" s="122">
        <v>45614</v>
      </c>
      <c r="R205" s="122">
        <v>45729</v>
      </c>
      <c r="S205" s="122">
        <v>45715</v>
      </c>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ref="B206:D206" si="565">B205</f>
        <v>10</v>
      </c>
      <c r="C206" s="128">
        <f t="shared" si="565"/>
        <v>1</v>
      </c>
      <c r="D206" s="127">
        <f t="shared" si="565"/>
        <v>10</v>
      </c>
      <c r="E206" s="755"/>
      <c r="F206" s="93"/>
      <c r="G206" s="757"/>
      <c r="H206" s="761"/>
      <c r="I206" s="761"/>
      <c r="J206" s="762"/>
      <c r="K206" s="64"/>
      <c r="L206" s="130" t="s">
        <v>44</v>
      </c>
      <c r="M206" s="131">
        <f>INDEX('BASE FORMAÇÃO'!H:H,B208+1)</f>
        <v>0</v>
      </c>
      <c r="N206" s="71"/>
      <c r="O206" s="27" t="s">
        <v>380</v>
      </c>
      <c r="P206" s="114" t="s">
        <v>12</v>
      </c>
      <c r="Q206" s="114" t="s">
        <v>12</v>
      </c>
      <c r="R206" s="114" t="s">
        <v>12</v>
      </c>
      <c r="S206" s="114" t="s">
        <v>12</v>
      </c>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 t="shared" ref="B207:C207" si="566">B206</f>
        <v>10</v>
      </c>
      <c r="C207" s="128">
        <f t="shared" si="566"/>
        <v>1</v>
      </c>
      <c r="D207" s="127">
        <f t="shared" si="446"/>
        <v>10</v>
      </c>
      <c r="E207" s="38" t="s">
        <v>313</v>
      </c>
      <c r="F207" s="93"/>
      <c r="G207" s="758"/>
      <c r="H207" s="763"/>
      <c r="I207" s="763"/>
      <c r="J207" s="764"/>
      <c r="K207" s="64"/>
      <c r="L207" s="1" t="s">
        <v>2</v>
      </c>
      <c r="M207" s="6">
        <f>INDEX('BASE FORMAÇÃO'!D:D,B208+1)</f>
        <v>0</v>
      </c>
      <c r="N207" s="71"/>
      <c r="O207" s="27" t="s">
        <v>381</v>
      </c>
      <c r="P207" s="182" t="s">
        <v>450</v>
      </c>
      <c r="Q207" s="182" t="s">
        <v>450</v>
      </c>
      <c r="R207" s="182" t="s">
        <v>450</v>
      </c>
      <c r="S207" s="182" t="s">
        <v>450</v>
      </c>
      <c r="T207" s="115"/>
      <c r="U207" s="118"/>
      <c r="V207" s="118"/>
      <c r="W207" s="118"/>
      <c r="X207" s="118"/>
      <c r="Y207" s="118"/>
      <c r="Z207" s="118"/>
      <c r="AA207" s="118"/>
      <c r="AB207" s="118"/>
      <c r="AC207" s="118"/>
      <c r="AD207" s="118"/>
      <c r="AE207" s="118"/>
      <c r="AF207" s="118"/>
      <c r="AG207" s="118"/>
      <c r="AH207" s="118"/>
      <c r="AI207" s="118"/>
    </row>
    <row r="208" spans="1:167" x14ac:dyDescent="0.25">
      <c r="B208" s="128">
        <f t="shared" ref="B208:C208" si="567">B206</f>
        <v>10</v>
      </c>
      <c r="C208" s="128">
        <f t="shared" si="567"/>
        <v>1</v>
      </c>
      <c r="D208" s="127">
        <f t="shared" si="446"/>
        <v>10</v>
      </c>
      <c r="E208" s="742">
        <f t="shared" ref="E208" si="568">C204</f>
        <v>1</v>
      </c>
      <c r="F208" s="93"/>
      <c r="G208" s="744" t="s">
        <v>304</v>
      </c>
      <c r="H208" s="746"/>
      <c r="I208" s="747"/>
      <c r="J208" s="747"/>
      <c r="K208" s="67"/>
      <c r="L208" s="28" t="s">
        <v>303</v>
      </c>
      <c r="M208" s="133">
        <f t="shared" ref="M208" si="569">IFERROR(INDEX(I210:I222,MATCH(MAX(J210:J222),J210:J222,0)),"")</f>
        <v>0.27891007451839794</v>
      </c>
      <c r="N208" s="71"/>
      <c r="O208" s="27" t="s">
        <v>18</v>
      </c>
      <c r="P208" s="106">
        <f>IF(P204="","",
IF(OR(P206="Orçamento",P205="",MAX('Tabela de Apoio'!$A:$A)&lt;=P205),
P204,
(INDEX('Tabela de Apoio'!$B:$B,MATCH('MAPA DE PREÇOS'!$O$8,'Tabela de Apoio'!$A:$A,1))/INDEX('Tabela de Apoio'!$B:$B,MATCH('MAPA DE PREÇOS'!P205,'Tabela de Apoio'!$A:$A,1)-1))*P204))</f>
        <v>21.222324962018551</v>
      </c>
      <c r="Q208" s="106">
        <f>IF(Q204="","",
IF(OR(Q206="Orçamento",Q205="",MAX('Tabela de Apoio'!$A:$A)&lt;=Q205),
Q204,
(INDEX('Tabela de Apoio'!$B:$B,MATCH('MAPA DE PREÇOS'!$O$8,'Tabela de Apoio'!$A:$A,1))/INDEX('Tabela de Apoio'!$B:$B,MATCH('MAPA DE PREÇOS'!Q205,'Tabela de Apoio'!$A:$A,1)-1))*Q204))</f>
        <v>26.77246234898022</v>
      </c>
      <c r="R208" s="106">
        <f>IF(R204="","",
IF(OR(R206="Orçamento",R205="",MAX('Tabela de Apoio'!$A:$A)&lt;=R205),
R204,
(INDEX('Tabela de Apoio'!$B:$B,MATCH('MAPA DE PREÇOS'!$O$8,'Tabela de Apoio'!$A:$A,1))/INDEX('Tabela de Apoio'!$B:$B,MATCH('MAPA DE PREÇOS'!R205,'Tabela de Apoio'!$A:$A,1)-1))*R204))</f>
        <v>11.98</v>
      </c>
      <c r="S208" s="106">
        <f>IF(S204="","",
IF(OR(S206="Orçamento",S205="",MAX('Tabela de Apoio'!$A:$A)&lt;=S205),
S204,
(INDEX('Tabela de Apoio'!$B:$B,MATCH('MAPA DE PREÇOS'!$O$8,'Tabela de Apoio'!$A:$A,1))/INDEX('Tabela de Apoio'!$B:$B,MATCH('MAPA DE PREÇOS'!S205,'Tabela de Apoio'!$A:$A,1)-1))*S204))</f>
        <v>12.469797099492961</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 si="570">B208</f>
        <v>10</v>
      </c>
      <c r="C209" s="128">
        <f t="shared" ref="C209" si="571">C208</f>
        <v>1</v>
      </c>
      <c r="D209" s="127">
        <f t="shared" si="446"/>
        <v>10</v>
      </c>
      <c r="E209" s="743"/>
      <c r="F209" s="93"/>
      <c r="G209" s="745"/>
      <c r="H209"/>
      <c r="I209"/>
      <c r="J209"/>
      <c r="N209" s="71"/>
      <c r="O209" s="27" t="s">
        <v>375</v>
      </c>
      <c r="P209" s="107">
        <f>IF(IFERROR(VLOOKUP(P206,'Tabela de Apoio'!$D:$E,2,FALSE),1)=1,"",P210)</f>
        <v>21.222324962018551</v>
      </c>
      <c r="Q209" s="107">
        <f>IF(IFERROR(VLOOKUP(Q206,'Tabela de Apoio'!$D:$E,2,FALSE),1)=1,"",Q210)</f>
        <v>26.77246234898022</v>
      </c>
      <c r="R209" s="107">
        <f>IF(IFERROR(VLOOKUP(R206,'Tabela de Apoio'!$D:$E,2,FALSE),1)=1,"",R210)</f>
        <v>11.98</v>
      </c>
      <c r="S209" s="107">
        <f>IF(IFERROR(VLOOKUP(S206,'Tabela de Apoio'!$D:$E,2,FALSE),1)=1,"",S210)</f>
        <v>12.469797099492961</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ref="B210:C210" si="572">B209</f>
        <v>10</v>
      </c>
      <c r="C210" s="128">
        <f t="shared" si="572"/>
        <v>1</v>
      </c>
      <c r="D210" s="127">
        <f t="shared" si="446"/>
        <v>10</v>
      </c>
      <c r="E210" s="743"/>
      <c r="F210" s="93"/>
      <c r="G210" s="745"/>
      <c r="H210" s="134">
        <f t="shared" ref="H210" si="573">COUNT($P210:$XX210)</f>
        <v>4</v>
      </c>
      <c r="I210" s="132">
        <f t="shared" ref="I210" si="574">_xlfn.STDEV.P($P209:$XX210)/AVERAGE($P209:$XX210)</f>
        <v>0.34272403227010995</v>
      </c>
      <c r="J210" s="7">
        <f>ROW()</f>
        <v>210</v>
      </c>
      <c r="K210" s="67"/>
      <c r="L210" s="29" t="s">
        <v>10</v>
      </c>
      <c r="M210" s="30">
        <f t="shared" ref="M210" si="575">IFERROR(
IF(COUNTA(P204:AI204)=COUNTIF(P206:XX206,"Orçamento"),MIN(M215,M212),
IF(M213&lt;&gt;"",M213,
IF(M214&lt;&gt;"",M214,
M212
))),"")</f>
        <v>12.469797099492961</v>
      </c>
      <c r="N210" s="71"/>
      <c r="O210" s="27" t="s">
        <v>376</v>
      </c>
      <c r="P210" s="106">
        <f t="shared" ref="P210:AI210" si="576">IFERROR(IF(P208="",
            "",
            IF(COUNT($P208:$XX208)&lt;=4,
               P208,
               IF(OR(P208&gt;(QUARTILE($P208:$XX208,3)+(QUARTILE($P208:$XX208,3)-QUARTILE($P208:$XX208,1))),
                     P208&lt;(QUARTILE($P208:$XX208,1)-(QUARTILE($P208:$XX208,3)-QUARTILE($P208:$XX208,1)))
                  ),
               "DESCARTADO",P208)
             )
  ),P208)</f>
        <v>21.222324962018551</v>
      </c>
      <c r="Q210" s="106">
        <f t="shared" si="576"/>
        <v>26.77246234898022</v>
      </c>
      <c r="R210" s="106">
        <f t="shared" si="576"/>
        <v>11.98</v>
      </c>
      <c r="S210" s="106">
        <f t="shared" si="576"/>
        <v>12.469797099492961</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f t="shared" ref="B211" si="577">B210</f>
        <v>10</v>
      </c>
      <c r="C211" s="128">
        <f t="shared" ref="C211" si="578">C210</f>
        <v>1</v>
      </c>
      <c r="D211" s="127">
        <f t="shared" si="446"/>
        <v>10</v>
      </c>
      <c r="E211" s="743"/>
      <c r="F211" s="93"/>
      <c r="G211" s="745"/>
      <c r="H211"/>
      <c r="I211"/>
      <c r="J211"/>
      <c r="K211" s="66"/>
      <c r="L211" s="29" t="s">
        <v>360</v>
      </c>
      <c r="M211" s="30">
        <f t="shared" ref="M211" si="579">AVERAGE($P210:$XX210)</f>
        <v>18.111146102622936</v>
      </c>
      <c r="N211" s="71"/>
      <c r="O211" s="27" t="str">
        <f t="shared" ref="O211" si="580">"1 POND"</f>
        <v>1 POND</v>
      </c>
      <c r="P211" s="107">
        <f>IF(IFERROR(VLOOKUP(P206,'Tabela de Apoio'!$D:$E,2,FALSE),1)=1,"",P212)</f>
        <v>21.222324962018551</v>
      </c>
      <c r="Q211" s="107" t="str">
        <f>IF(IFERROR(VLOOKUP(Q206,'Tabela de Apoio'!$D:$E,2,FALSE),1)=1,"",Q212)</f>
        <v>DESCARTADO</v>
      </c>
      <c r="R211" s="107">
        <f>IF(IFERROR(VLOOKUP(R206,'Tabela de Apoio'!$D:$E,2,FALSE),1)=1,"",R212)</f>
        <v>11.98</v>
      </c>
      <c r="S211" s="107">
        <f>IF(IFERROR(VLOOKUP(S206,'Tabela de Apoio'!$D:$E,2,FALSE),1)=1,"",S212)</f>
        <v>12.469797099492961</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445"/>
        <v>10</v>
      </c>
      <c r="C212" s="128">
        <f t="shared" si="446"/>
        <v>1</v>
      </c>
      <c r="D212" s="127">
        <f t="shared" si="446"/>
        <v>10</v>
      </c>
      <c r="E212" s="743"/>
      <c r="F212" s="93"/>
      <c r="G212" s="745"/>
      <c r="H212" s="134">
        <f t="shared" ref="H212" si="581">COUNT($P212:$XX212)</f>
        <v>3</v>
      </c>
      <c r="I212" s="132">
        <f t="shared" ref="I212" si="582">_xlfn.STDEV.P($P211:$XX212)/AVERAGE($P211:$XX212)</f>
        <v>0.27891007451839794</v>
      </c>
      <c r="J212" s="7">
        <f t="shared" ref="J212" si="583">IF(AND(H212&gt;2,
OR(L204="MÉDIA SANEADA",L204="MEDIANA SANEADA",
AND(L204="PREÇO ESTIMADO",NOT(AND(P206="Orçamento",COUNTA(P204:XX204)=COUNTIF(P206:XX206,"Orçamento")))))),
ROW(),0)</f>
        <v>212</v>
      </c>
      <c r="K212" s="66"/>
      <c r="L212" s="29" t="s">
        <v>361</v>
      </c>
      <c r="M212" s="30">
        <f t="shared" ref="M212" si="584">MEDIAN($P210:$XX210)</f>
        <v>16.846061030755756</v>
      </c>
      <c r="N212" s="71"/>
      <c r="O212" s="27" t="str">
        <f t="shared" ref="O212" si="585">"1 RODADA"</f>
        <v>1 RODADA</v>
      </c>
      <c r="P212" s="107">
        <f t="shared" ref="P212:AI212" si="586">IF(P210="","",IF((_xlfn.STDEV.P($P209:$XX210)/AVERAGE($P209:$XX210))&lt;=25%,P210,IF(OR(P210&gt;(AVERAGE($P209:$XX210)+_xlfn.STDEV.P($P209:$XX210)),P210&lt;(AVERAGE($P209:$XX210)-_xlfn.STDEV.P($P209:$XX210))),"DESCARTADO",P210)))</f>
        <v>21.222324962018551</v>
      </c>
      <c r="Q212" s="107" t="str">
        <f t="shared" si="586"/>
        <v>DESCARTADO</v>
      </c>
      <c r="R212" s="107">
        <f t="shared" si="586"/>
        <v>11.98</v>
      </c>
      <c r="S212" s="107">
        <f t="shared" si="586"/>
        <v>12.469797099492961</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f t="shared" si="445"/>
        <v>10</v>
      </c>
      <c r="C213" s="128">
        <f t="shared" si="446"/>
        <v>1</v>
      </c>
      <c r="D213" s="127">
        <f t="shared" si="446"/>
        <v>10</v>
      </c>
      <c r="E213" s="743"/>
      <c r="F213" s="93"/>
      <c r="G213" s="745"/>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DESCARTADO</v>
      </c>
      <c r="Q213" s="107" t="str">
        <f>IF(IFERROR(VLOOKUP(Q206,'Tabela de Apoio'!$D:$E,2,FALSE),1)=1,"",Q214)</f>
        <v>DESCARTADO</v>
      </c>
      <c r="R213" s="107">
        <f>IF(IFERROR(VLOOKUP(R206,'Tabela de Apoio'!$D:$E,2,FALSE),1)=1,"",R214)</f>
        <v>11.98</v>
      </c>
      <c r="S213" s="107">
        <f>IF(IFERROR(VLOOKUP(S206,'Tabela de Apoio'!$D:$E,2,FALSE),1)=1,"",S214)</f>
        <v>12.469797099492961</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445"/>
        <v>10</v>
      </c>
      <c r="C214" s="128">
        <f t="shared" si="446"/>
        <v>1</v>
      </c>
      <c r="D214" s="127">
        <f t="shared" si="446"/>
        <v>10</v>
      </c>
      <c r="E214" s="743"/>
      <c r="F214" s="93"/>
      <c r="G214" s="745"/>
      <c r="H214" s="134">
        <f t="shared" ref="H214" si="589">COUNT($P214:$XX214)</f>
        <v>2</v>
      </c>
      <c r="I214" s="132">
        <f t="shared" ref="I214" si="590">_xlfn.STDEV.P($P213:$XX214)/AVERAGE($P213:$XX214)</f>
        <v>2.0032767449964572E-2</v>
      </c>
      <c r="J214" s="7">
        <f t="shared" ref="J214" si="591">IF(AND(H214&gt;2,
OR(L204="MÉDIA SANEADA",L204="MEDIANA SANEADA",
AND(L204="PREÇO ESTIMADO",NOT(AND(P206="Orçamento",COUNTA(P204:XX204)=COUNTIF(P206:XX206,"Orçamento")))))),
ROW(),0)</f>
        <v>0</v>
      </c>
      <c r="K214" s="66"/>
      <c r="L214" s="29" t="s">
        <v>362</v>
      </c>
      <c r="M214" s="30">
        <f t="shared" ref="M214" si="592" xml:space="preserve">
IF(H212&gt;2,MEDIAN(P211:XX212),
IF(H214&gt;2,MEDIAN(P213:XX214),
IF(H216&gt;2,MEDIAN(P215:XX216),
IF(H218&gt;2,MEDIAN(P217:XX218),
IF(H220&gt;2,MEDIAN(P219:XX220),
IF(H222&gt;2,MEDIAN(P221:XX222),
MEDIAN(P209:XX210)))))))</f>
        <v>12.469797099492961</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DESCARTADO</v>
      </c>
      <c r="Q214" s="107" t="str">
        <f t="shared" si="594"/>
        <v>DESCARTADO</v>
      </c>
      <c r="R214" s="107">
        <f t="shared" si="594"/>
        <v>11.98</v>
      </c>
      <c r="S214" s="107">
        <f t="shared" si="594"/>
        <v>12.469797099492961</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f t="shared" si="445"/>
        <v>10</v>
      </c>
      <c r="C215" s="128">
        <f t="shared" si="446"/>
        <v>1</v>
      </c>
      <c r="D215" s="127">
        <f t="shared" si="446"/>
        <v>10</v>
      </c>
      <c r="E215" s="743"/>
      <c r="F215" s="93"/>
      <c r="G215" s="745"/>
      <c r="H215"/>
      <c r="I215"/>
      <c r="J215"/>
      <c r="K215" s="66"/>
      <c r="L215" s="29" t="s">
        <v>359</v>
      </c>
      <c r="M215" s="30">
        <f t="shared" ref="M215" si="595">HARMEAN($P209:$XX210)</f>
        <v>16.12004765186326</v>
      </c>
      <c r="N215" s="71"/>
      <c r="O215" s="27" t="str">
        <f t="shared" ref="O215" si="596">"3 POND"</f>
        <v>3 POND</v>
      </c>
      <c r="P215" s="107" t="str">
        <f>IF(IFERROR(VLOOKUP(P206,'Tabela de Apoio'!$D:$E,2,FALSE),1)=1,"",P216)</f>
        <v>DESCARTADO</v>
      </c>
      <c r="Q215" s="107" t="str">
        <f>IF(IFERROR(VLOOKUP(Q206,'Tabela de Apoio'!$D:$E,2,FALSE),1)=1,"",Q216)</f>
        <v>DESCARTADO</v>
      </c>
      <c r="R215" s="107">
        <f>IF(IFERROR(VLOOKUP(R206,'Tabela de Apoio'!$D:$E,2,FALSE),1)=1,"",R216)</f>
        <v>11.98</v>
      </c>
      <c r="S215" s="107">
        <f>IF(IFERROR(VLOOKUP(S206,'Tabela de Apoio'!$D:$E,2,FALSE),1)=1,"",S216)</f>
        <v>12.469797099492961</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445"/>
        <v>10</v>
      </c>
      <c r="C216" s="128">
        <f t="shared" si="446"/>
        <v>1</v>
      </c>
      <c r="D216" s="127">
        <f t="shared" si="446"/>
        <v>10</v>
      </c>
      <c r="E216" s="743"/>
      <c r="F216" s="93"/>
      <c r="G216" s="745"/>
      <c r="H216" s="134">
        <f t="shared" ref="H216" si="597">COUNT($P216:$XX216)</f>
        <v>2</v>
      </c>
      <c r="I216" s="132">
        <f t="shared" ref="I216" si="598">_xlfn.STDEV.P($P215:$XX216)/AVERAGE($P215:$XX216)</f>
        <v>2.0032767449964572E-2</v>
      </c>
      <c r="J216" s="7">
        <f t="shared" ref="J216" si="599">IF(AND(H216&gt;2,
OR(L204="MÉDIA SANEADA",L204="MEDIANA SANEADA",
AND(L204="PREÇO ESTIMADO",NOT(AND(P206="Orçamento",COUNTA(P204:XX204)=COUNTIF(P206:XX206,"Orçamento")))))),
ROW(),0)</f>
        <v>0</v>
      </c>
      <c r="K216" s="66"/>
      <c r="L216" s="29" t="s">
        <v>41</v>
      </c>
      <c r="M216" s="30">
        <f t="shared" ref="M216" si="600">IFERROR(_xlfn.QUARTILE.EXC($P210:$XX210,1),"")</f>
        <v>12.102449274873241</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DESCARTADO</v>
      </c>
      <c r="Q216" s="107" t="str">
        <f t="shared" si="602"/>
        <v>DESCARTADO</v>
      </c>
      <c r="R216" s="107">
        <f t="shared" si="602"/>
        <v>11.98</v>
      </c>
      <c r="S216" s="107">
        <f t="shared" si="602"/>
        <v>12.469797099492961</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f t="shared" si="445"/>
        <v>10</v>
      </c>
      <c r="C217" s="128">
        <f t="shared" si="446"/>
        <v>1</v>
      </c>
      <c r="D217" s="127">
        <f t="shared" si="446"/>
        <v>10</v>
      </c>
      <c r="E217" s="743"/>
      <c r="F217" s="93"/>
      <c r="G217" s="745"/>
      <c r="H217"/>
      <c r="I217"/>
      <c r="J217"/>
      <c r="K217" s="66"/>
      <c r="L217" s="29" t="s">
        <v>39</v>
      </c>
      <c r="M217" s="30">
        <f t="shared" ref="M217" si="603">IFERROR(_xlfn.QUARTILE.EXC($P210:$XX210,3),"")</f>
        <v>25.384928002239803</v>
      </c>
      <c r="N217" s="71"/>
      <c r="O217" s="27" t="str">
        <f t="shared" ref="O217" si="604">"4 POND"</f>
        <v>4 POND</v>
      </c>
      <c r="P217" s="107" t="str">
        <f>IF(IFERROR(VLOOKUP(P206,'Tabela de Apoio'!$D:$E,2,FALSE),1)=1,"",P218)</f>
        <v>DESCARTADO</v>
      </c>
      <c r="Q217" s="107" t="str">
        <f>IF(IFERROR(VLOOKUP(Q206,'Tabela de Apoio'!$D:$E,2,FALSE),1)=1,"",Q218)</f>
        <v>DESCARTADO</v>
      </c>
      <c r="R217" s="107">
        <f>IF(IFERROR(VLOOKUP(R206,'Tabela de Apoio'!$D:$E,2,FALSE),1)=1,"",R218)</f>
        <v>11.98</v>
      </c>
      <c r="S217" s="107">
        <f>IF(IFERROR(VLOOKUP(S206,'Tabela de Apoio'!$D:$E,2,FALSE),1)=1,"",S218)</f>
        <v>12.469797099492961</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445"/>
        <v>10</v>
      </c>
      <c r="C218" s="128">
        <f t="shared" si="446"/>
        <v>1</v>
      </c>
      <c r="D218" s="127">
        <f t="shared" si="446"/>
        <v>10</v>
      </c>
      <c r="E218" s="743"/>
      <c r="F218" s="93"/>
      <c r="G218" s="745"/>
      <c r="H218" s="134">
        <f t="shared" ref="H218" si="605">COUNT($P218:$XX218)</f>
        <v>2</v>
      </c>
      <c r="I218" s="132">
        <f t="shared" ref="I218" si="606">_xlfn.STDEV.P($P217:$XX218)/AVERAGE($P217:$XX218)</f>
        <v>2.0032767449964572E-2</v>
      </c>
      <c r="J218" s="7">
        <f t="shared" ref="J218" si="607">IF(AND(H218&gt;2,
OR(L204="MÉDIA SANEADA",L204="MEDIANA SANEADA",
AND(L204="PREÇO ESTIMADO",NOT(AND(P206="Orçamento",COUNTA(P204:XX204)=COUNTIF(P206:XX206,"Orçamento")))))),
ROW(),0)</f>
        <v>0</v>
      </c>
      <c r="K218" s="66"/>
      <c r="L218" s="29" t="s">
        <v>42</v>
      </c>
      <c r="M218" s="30">
        <f t="shared" ref="M218" si="608">MIN($P210:$XX210)</f>
        <v>11.98</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DESCARTADO</v>
      </c>
      <c r="Q218" s="107" t="str">
        <f t="shared" si="610"/>
        <v>DESCARTADO</v>
      </c>
      <c r="R218" s="107">
        <f t="shared" si="610"/>
        <v>11.98</v>
      </c>
      <c r="S218" s="107">
        <f t="shared" si="610"/>
        <v>12.469797099492961</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f t="shared" si="445"/>
        <v>10</v>
      </c>
      <c r="C219" s="128">
        <f t="shared" si="446"/>
        <v>1</v>
      </c>
      <c r="D219" s="127">
        <f t="shared" si="446"/>
        <v>10</v>
      </c>
      <c r="E219" s="743"/>
      <c r="F219" s="93"/>
      <c r="G219" s="745"/>
      <c r="H219"/>
      <c r="I219"/>
      <c r="J219"/>
      <c r="K219" s="66"/>
      <c r="L219" s="29" t="s">
        <v>40</v>
      </c>
      <c r="M219" s="30">
        <f t="shared" ref="M219" si="611">MAX($P210:$XX210)</f>
        <v>26.77246234898022</v>
      </c>
      <c r="N219" s="71"/>
      <c r="O219" s="27" t="str">
        <f t="shared" ref="O219" si="612">"5 POND"</f>
        <v>5 POND</v>
      </c>
      <c r="P219" s="107" t="str">
        <f>IF(IFERROR(VLOOKUP(P206,'Tabela de Apoio'!$D:$E,2,FALSE),1)=1,"",P220)</f>
        <v>DESCARTADO</v>
      </c>
      <c r="Q219" s="107" t="str">
        <f>IF(IFERROR(VLOOKUP(Q206,'Tabela de Apoio'!$D:$E,2,FALSE),1)=1,"",Q220)</f>
        <v>DESCARTADO</v>
      </c>
      <c r="R219" s="107">
        <f>IF(IFERROR(VLOOKUP(R206,'Tabela de Apoio'!$D:$E,2,FALSE),1)=1,"",R220)</f>
        <v>11.98</v>
      </c>
      <c r="S219" s="107">
        <f>IF(IFERROR(VLOOKUP(S206,'Tabela de Apoio'!$D:$E,2,FALSE),1)=1,"",S220)</f>
        <v>12.469797099492961</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445"/>
        <v>10</v>
      </c>
      <c r="C220" s="128">
        <f t="shared" si="446"/>
        <v>1</v>
      </c>
      <c r="D220" s="127">
        <f t="shared" si="446"/>
        <v>10</v>
      </c>
      <c r="E220" s="743"/>
      <c r="F220" s="93"/>
      <c r="G220" s="745"/>
      <c r="H220" s="134">
        <f t="shared" ref="H220" si="613">COUNT($P220:$XX220)</f>
        <v>2</v>
      </c>
      <c r="I220" s="132">
        <f t="shared" ref="I220" si="614">_xlfn.STDEV.P($P219:$XX220)/AVERAGE($P219:$XX220)</f>
        <v>2.0032767449964572E-2</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DESCARTADO</v>
      </c>
      <c r="Q220" s="107" t="str">
        <f t="shared" si="617"/>
        <v>DESCARTADO</v>
      </c>
      <c r="R220" s="107">
        <f t="shared" si="617"/>
        <v>11.98</v>
      </c>
      <c r="S220" s="107">
        <f t="shared" si="617"/>
        <v>12.469797099492961</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f t="shared" si="445"/>
        <v>10</v>
      </c>
      <c r="C221" s="128">
        <f t="shared" si="446"/>
        <v>1</v>
      </c>
      <c r="D221" s="127">
        <f t="shared" si="446"/>
        <v>10</v>
      </c>
      <c r="E221" s="743"/>
      <c r="F221" s="93"/>
      <c r="G221" s="745"/>
      <c r="H221"/>
      <c r="I221"/>
      <c r="J221"/>
      <c r="K221" s="66"/>
      <c r="L221" s="22"/>
      <c r="M221" s="22"/>
      <c r="N221" s="71"/>
      <c r="O221" s="27" t="str">
        <f t="shared" ref="O221" si="618">"6 POND"</f>
        <v>6 POND</v>
      </c>
      <c r="P221" s="107" t="str">
        <f>IF(IFERROR(VLOOKUP(P206,'Tabela de Apoio'!$D:$E,2,FALSE),1)=1,"",P222)</f>
        <v>DESCARTADO</v>
      </c>
      <c r="Q221" s="107" t="str">
        <f>IF(IFERROR(VLOOKUP(Q206,'Tabela de Apoio'!$D:$E,2,FALSE),1)=1,"",Q222)</f>
        <v>DESCARTADO</v>
      </c>
      <c r="R221" s="107">
        <f>IF(IFERROR(VLOOKUP(R206,'Tabela de Apoio'!$D:$E,2,FALSE),1)=1,"",R222)</f>
        <v>11.98</v>
      </c>
      <c r="S221" s="107">
        <f>IF(IFERROR(VLOOKUP(S206,'Tabela de Apoio'!$D:$E,2,FALSE),1)=1,"",S222)</f>
        <v>12.469797099492961</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445"/>
        <v>10</v>
      </c>
      <c r="C222" s="128">
        <f t="shared" si="446"/>
        <v>1</v>
      </c>
      <c r="D222" s="127">
        <f t="shared" si="446"/>
        <v>10</v>
      </c>
      <c r="E222" s="743"/>
      <c r="F222" s="93"/>
      <c r="G222" s="745"/>
      <c r="H222" s="134">
        <f t="shared" ref="H222" si="619">COUNT($P222:$XX222)</f>
        <v>2</v>
      </c>
      <c r="I222" s="132">
        <f t="shared" ref="I222" si="620">_xlfn.STDEV.P($P221:$XX222)/AVERAGE($P221:$XX222)</f>
        <v>2.0032767449964572E-2</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DESCARTADO</v>
      </c>
      <c r="Q222" s="107" t="str">
        <f t="shared" si="623"/>
        <v>DESCARTADO</v>
      </c>
      <c r="R222" s="107">
        <f t="shared" si="623"/>
        <v>11.98</v>
      </c>
      <c r="S222" s="107">
        <f t="shared" si="623"/>
        <v>12.469797099492961</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f t="shared" si="445"/>
        <v>10</v>
      </c>
      <c r="C223" s="128">
        <f t="shared" si="446"/>
        <v>1</v>
      </c>
      <c r="D223" s="127">
        <f t="shared" si="446"/>
        <v>10</v>
      </c>
      <c r="E223" s="743"/>
      <c r="F223" s="136"/>
      <c r="G223" s="745"/>
      <c r="H223" s="748"/>
      <c r="I223" s="748"/>
      <c r="J223" s="749"/>
      <c r="K223" s="67"/>
      <c r="L223" s="1" t="s">
        <v>43</v>
      </c>
      <c r="M223" s="144">
        <f t="shared" ref="M223" si="624">IFERROR(ROUND(M204*M206,2),"")</f>
        <v>0</v>
      </c>
      <c r="O223" s="27" t="s">
        <v>363</v>
      </c>
      <c r="P223" s="107">
        <f t="shared" ref="P223:AI244" si="625">INDEX(P210:P222,MATCH(MAX($J210:$J222),$J210:$J222,0))</f>
        <v>21.222324962018551</v>
      </c>
      <c r="Q223" s="107" t="str">
        <f t="shared" si="625"/>
        <v>DESCARTADO</v>
      </c>
      <c r="R223" s="107">
        <f t="shared" si="625"/>
        <v>11.98</v>
      </c>
      <c r="S223" s="107">
        <f t="shared" si="625"/>
        <v>12.469797099492961</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f t="shared" ref="B225" si="626">LARGE(IFERROR(IF(B223+1&gt;$H$8,"",B223+1),""),1)</f>
        <v>11</v>
      </c>
      <c r="C225" s="127">
        <f>IF(_xlfn.ISFORMULA(E229),MAX(INDEX('BASE FORMAÇÃO'!A:A,B225+1),1),E229)</f>
        <v>1</v>
      </c>
      <c r="D225" s="127">
        <f t="shared" ref="D225" si="627">IFERROR(IF(C225=C215,D215+1,1),1)</f>
        <v>11</v>
      </c>
      <c r="E225" s="38" t="s">
        <v>9</v>
      </c>
      <c r="F225" s="73"/>
      <c r="G225" s="38" t="s">
        <v>15</v>
      </c>
      <c r="H225" s="135">
        <f>INDEX('BASE FORMAÇÃO'!B:B,B225+1)</f>
        <v>0</v>
      </c>
      <c r="I225" s="143" t="s">
        <v>16</v>
      </c>
      <c r="J225" s="6">
        <f>INDEX('BASE FORMAÇÃO'!K:K,B225+1)</f>
        <v>0</v>
      </c>
      <c r="K225" s="65"/>
      <c r="L225" s="750" t="s">
        <v>10</v>
      </c>
      <c r="M225" s="752">
        <f t="shared" ref="M225" si="628">IF(OR(ISBLANK($O$8),ISBLANK($O$7),ISBLANK($H$8),ISBLANK($O$6),ISBLANK($O$5),ISBLANK($H$5)),"",IFERROR(IF(VLOOKUP(L225,L231:M240,2,FALSE)&lt;1,ROUND(VLOOKUP(L225,L231:M240,2,FALSE),4),ROUND(VLOOKUP(L225,L231:M240,2,FALSE),2)),""))</f>
        <v>1.58</v>
      </c>
      <c r="N225" s="69"/>
      <c r="O225" s="27" t="s">
        <v>17</v>
      </c>
      <c r="P225" s="113">
        <v>1.8</v>
      </c>
      <c r="Q225" s="113">
        <v>1.33</v>
      </c>
      <c r="R225" s="113">
        <v>2.2999999999999998</v>
      </c>
      <c r="S225" s="113">
        <v>1</v>
      </c>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6" si="629">B225</f>
        <v>11</v>
      </c>
      <c r="C226" s="128">
        <f t="shared" si="629"/>
        <v>1</v>
      </c>
      <c r="D226" s="127">
        <f t="shared" si="629"/>
        <v>11</v>
      </c>
      <c r="E226" s="754">
        <f t="shared" ref="E226" si="630">D225</f>
        <v>11</v>
      </c>
      <c r="F226" s="92"/>
      <c r="G226" s="756" t="s">
        <v>1</v>
      </c>
      <c r="H226" s="765" t="s">
        <v>442</v>
      </c>
      <c r="I226" s="759"/>
      <c r="J226" s="760"/>
      <c r="K226" s="66"/>
      <c r="L226" s="751"/>
      <c r="M226" s="753"/>
      <c r="N226" s="70"/>
      <c r="O226" s="27" t="s">
        <v>13</v>
      </c>
      <c r="P226" s="122">
        <v>45769</v>
      </c>
      <c r="Q226" s="122">
        <v>45632</v>
      </c>
      <c r="R226" s="122">
        <v>45614</v>
      </c>
      <c r="S226" s="122">
        <v>45693</v>
      </c>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ref="B227:D227" si="631">B226</f>
        <v>11</v>
      </c>
      <c r="C227" s="128">
        <f t="shared" si="631"/>
        <v>1</v>
      </c>
      <c r="D227" s="127">
        <f t="shared" si="631"/>
        <v>11</v>
      </c>
      <c r="E227" s="755"/>
      <c r="F227" s="93"/>
      <c r="G227" s="757"/>
      <c r="H227" s="761"/>
      <c r="I227" s="761"/>
      <c r="J227" s="762"/>
      <c r="K227" s="64"/>
      <c r="L227" s="130" t="s">
        <v>44</v>
      </c>
      <c r="M227" s="131">
        <f>INDEX('BASE FORMAÇÃO'!H:H,B229+1)</f>
        <v>0</v>
      </c>
      <c r="N227" s="71"/>
      <c r="O227" s="27" t="s">
        <v>380</v>
      </c>
      <c r="P227" s="114" t="s">
        <v>12</v>
      </c>
      <c r="Q227" s="114" t="s">
        <v>12</v>
      </c>
      <c r="R227" s="114" t="s">
        <v>12</v>
      </c>
      <c r="S227" s="114" t="s">
        <v>12</v>
      </c>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 t="shared" ref="B228:C228" si="632">B227</f>
        <v>11</v>
      </c>
      <c r="C228" s="128">
        <f t="shared" si="632"/>
        <v>1</v>
      </c>
      <c r="D228" s="127">
        <f t="shared" si="446"/>
        <v>11</v>
      </c>
      <c r="E228" s="38" t="s">
        <v>313</v>
      </c>
      <c r="F228" s="93"/>
      <c r="G228" s="758"/>
      <c r="H228" s="763"/>
      <c r="I228" s="763"/>
      <c r="J228" s="764"/>
      <c r="K228" s="64"/>
      <c r="L228" s="1" t="s">
        <v>2</v>
      </c>
      <c r="M228" s="6">
        <f>INDEX('BASE FORMAÇÃO'!D:D,B229+1)</f>
        <v>0</v>
      </c>
      <c r="N228" s="71"/>
      <c r="O228" s="27" t="s">
        <v>381</v>
      </c>
      <c r="P228" s="182" t="s">
        <v>450</v>
      </c>
      <c r="Q228" s="182" t="s">
        <v>450</v>
      </c>
      <c r="R228" s="182" t="s">
        <v>450</v>
      </c>
      <c r="S228" s="182" t="s">
        <v>450</v>
      </c>
      <c r="T228" s="115"/>
      <c r="U228" s="118"/>
      <c r="V228" s="118"/>
      <c r="W228" s="118"/>
      <c r="X228" s="118"/>
      <c r="Y228" s="118"/>
      <c r="Z228" s="118"/>
      <c r="AA228" s="118"/>
      <c r="AB228" s="118"/>
      <c r="AC228" s="118"/>
      <c r="AD228" s="118"/>
      <c r="AE228" s="118"/>
      <c r="AF228" s="118"/>
      <c r="AG228" s="118"/>
      <c r="AH228" s="118"/>
      <c r="AI228" s="118"/>
    </row>
    <row r="229" spans="1:167" x14ac:dyDescent="0.25">
      <c r="B229" s="128">
        <f t="shared" ref="B229:C229" si="633">B227</f>
        <v>11</v>
      </c>
      <c r="C229" s="128">
        <f t="shared" si="633"/>
        <v>1</v>
      </c>
      <c r="D229" s="127">
        <f t="shared" si="446"/>
        <v>11</v>
      </c>
      <c r="E229" s="742">
        <f t="shared" ref="E229" si="634">C225</f>
        <v>1</v>
      </c>
      <c r="F229" s="93"/>
      <c r="G229" s="744" t="s">
        <v>304</v>
      </c>
      <c r="H229" s="746"/>
      <c r="I229" s="747"/>
      <c r="J229" s="747"/>
      <c r="K229" s="67"/>
      <c r="L229" s="28" t="s">
        <v>303</v>
      </c>
      <c r="M229" s="133">
        <f t="shared" ref="M229" si="635">IFERROR(INDEX(I231:I243,MATCH(MAX(J231:J243),J231:J243,0)),"")</f>
        <v>0.30802425035361569</v>
      </c>
      <c r="N229" s="71"/>
      <c r="O229" s="27" t="s">
        <v>18</v>
      </c>
      <c r="P229" s="106">
        <f>IF(P225="","",
IF(OR(P227="Orçamento",P226="",MAX('Tabela de Apoio'!$A:$A)&lt;=P226),
P225,
(INDEX('Tabela de Apoio'!$B:$B,MATCH('MAPA DE PREÇOS'!$O$8,'Tabela de Apoio'!$A:$A,1))/INDEX('Tabela de Apoio'!$B:$B,MATCH('MAPA DE PREÇOS'!P226,'Tabela de Apoio'!$A:$A,1)-1))*P225))</f>
        <v>1.8</v>
      </c>
      <c r="Q229" s="106">
        <f>IF(Q225="","",
IF(OR(Q227="Orçamento",Q226="",MAX('Tabela de Apoio'!$A:$A)&lt;=Q226),
Q225,
(INDEX('Tabela de Apoio'!$B:$B,MATCH('MAPA DE PREÇOS'!$O$8,'Tabela de Apoio'!$A:$A,1))/INDEX('Tabela de Apoio'!$B:$B,MATCH('MAPA DE PREÇOS'!Q226,'Tabela de Apoio'!$A:$A,1)-1))*Q225))</f>
        <v>1.3641943891151609</v>
      </c>
      <c r="R229" s="106">
        <f>IF(R225="","",
IF(OR(R227="Orçamento",R226="",MAX('Tabela de Apoio'!$A:$A)&lt;=R226),
R225,
(INDEX('Tabela de Apoio'!$B:$B,MATCH('MAPA DE PREÇOS'!$O$8,'Tabela de Apoio'!$A:$A,1))/INDEX('Tabela de Apoio'!$B:$B,MATCH('MAPA DE PREÇOS'!R226,'Tabela de Apoio'!$A:$A,1)-1))*R225))</f>
        <v>2.3683332077944037</v>
      </c>
      <c r="S229" s="106">
        <f>IF(S225="","",
IF(OR(S227="Orçamento",S226="",MAX('Tabela de Apoio'!$A:$A)&lt;=S226),
S225,
(INDEX('Tabela de Apoio'!$B:$B,MATCH('MAPA DE PREÇOS'!$O$8,'Tabela de Apoio'!$A:$A,1))/INDEX('Tabela de Apoio'!$B:$B,MATCH('MAPA DE PREÇOS'!S226,'Tabela de Apoio'!$A:$A,1)-1))*S225))</f>
        <v>1.0187742728343923</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 t="shared" ref="B230" si="636">B229</f>
        <v>11</v>
      </c>
      <c r="C230" s="128">
        <f t="shared" ref="C230" si="637">C229</f>
        <v>1</v>
      </c>
      <c r="D230" s="127">
        <f t="shared" si="446"/>
        <v>11</v>
      </c>
      <c r="E230" s="743"/>
      <c r="F230" s="93"/>
      <c r="G230" s="745"/>
      <c r="H230"/>
      <c r="I230"/>
      <c r="J230"/>
      <c r="N230" s="71"/>
      <c r="O230" s="27" t="s">
        <v>375</v>
      </c>
      <c r="P230" s="107">
        <f>IF(IFERROR(VLOOKUP(P227,'Tabela de Apoio'!$D:$E,2,FALSE),1)=1,"",P231)</f>
        <v>1.8</v>
      </c>
      <c r="Q230" s="107">
        <f>IF(IFERROR(VLOOKUP(Q227,'Tabela de Apoio'!$D:$E,2,FALSE),1)=1,"",Q231)</f>
        <v>1.3641943891151609</v>
      </c>
      <c r="R230" s="107">
        <f>IF(IFERROR(VLOOKUP(R227,'Tabela de Apoio'!$D:$E,2,FALSE),1)=1,"",R231)</f>
        <v>2.3683332077944037</v>
      </c>
      <c r="S230" s="107">
        <f>IF(IFERROR(VLOOKUP(S227,'Tabela de Apoio'!$D:$E,2,FALSE),1)=1,"",S231)</f>
        <v>1.0187742728343923</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 t="shared" ref="B231:C231" si="638">B230</f>
        <v>11</v>
      </c>
      <c r="C231" s="128">
        <f t="shared" si="638"/>
        <v>1</v>
      </c>
      <c r="D231" s="127">
        <f t="shared" si="446"/>
        <v>11</v>
      </c>
      <c r="E231" s="743"/>
      <c r="F231" s="93"/>
      <c r="G231" s="745"/>
      <c r="H231" s="134">
        <f t="shared" ref="H231" si="639">COUNT($P231:$XX231)</f>
        <v>4</v>
      </c>
      <c r="I231" s="132">
        <f t="shared" ref="I231" si="640">_xlfn.STDEV.P($P230:$XX231)/AVERAGE($P230:$XX231)</f>
        <v>0.30802425035361569</v>
      </c>
      <c r="J231" s="7">
        <f>ROW()</f>
        <v>231</v>
      </c>
      <c r="K231" s="67"/>
      <c r="L231" s="29" t="s">
        <v>10</v>
      </c>
      <c r="M231" s="30">
        <f t="shared" ref="M231" si="641">IFERROR(
IF(COUNTA(P225:AI225)=COUNTIF(P227:XX227,"Orçamento"),MIN(M236,M233),
IF(M234&lt;&gt;"",M234,
IF(M235&lt;&gt;"",M235,
M233
))),"")</f>
        <v>1.5820971945575804</v>
      </c>
      <c r="N231" s="71"/>
      <c r="O231" s="27" t="s">
        <v>376</v>
      </c>
      <c r="P231" s="106">
        <f t="shared" ref="P231:AI231" si="642">IFERROR(IF(P229="",
            "",
            IF(COUNT($P229:$XX229)&lt;=4,
               P229,
               IF(OR(P229&gt;(QUARTILE($P229:$XX229,3)+(QUARTILE($P229:$XX229,3)-QUARTILE($P229:$XX229,1))),
                     P229&lt;(QUARTILE($P229:$XX229,1)-(QUARTILE($P229:$XX229,3)-QUARTILE($P229:$XX229,1)))
                  ),
               "DESCARTADO",P229)
             )
  ),P229)</f>
        <v>1.8</v>
      </c>
      <c r="Q231" s="106">
        <f t="shared" si="642"/>
        <v>1.3641943891151609</v>
      </c>
      <c r="R231" s="106">
        <f t="shared" si="642"/>
        <v>2.3683332077944037</v>
      </c>
      <c r="S231" s="106">
        <f t="shared" si="642"/>
        <v>1.0187742728343923</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f t="shared" ref="B232:B286" si="643">B231</f>
        <v>11</v>
      </c>
      <c r="C232" s="128">
        <f t="shared" ref="C232:D295" si="644">C231</f>
        <v>1</v>
      </c>
      <c r="D232" s="127">
        <f t="shared" si="446"/>
        <v>11</v>
      </c>
      <c r="E232" s="743"/>
      <c r="F232" s="93"/>
      <c r="G232" s="745"/>
      <c r="H232"/>
      <c r="I232"/>
      <c r="J232"/>
      <c r="K232" s="66"/>
      <c r="L232" s="29" t="s">
        <v>360</v>
      </c>
      <c r="M232" s="30">
        <f t="shared" ref="M232" si="645">AVERAGE($P231:$XX231)</f>
        <v>1.6378254674359891</v>
      </c>
      <c r="N232" s="71"/>
      <c r="O232" s="27" t="str">
        <f t="shared" ref="O232" si="646">"1 POND"</f>
        <v>1 POND</v>
      </c>
      <c r="P232" s="107">
        <f>IF(IFERROR(VLOOKUP(P227,'Tabela de Apoio'!$D:$E,2,FALSE),1)=1,"",P233)</f>
        <v>1.8</v>
      </c>
      <c r="Q232" s="107">
        <f>IF(IFERROR(VLOOKUP(Q227,'Tabela de Apoio'!$D:$E,2,FALSE),1)=1,"",Q233)</f>
        <v>1.3641943891151609</v>
      </c>
      <c r="R232" s="107" t="str">
        <f>IF(IFERROR(VLOOKUP(R227,'Tabela de Apoio'!$D:$E,2,FALSE),1)=1,"",R233)</f>
        <v>DESCARTADO</v>
      </c>
      <c r="S232" s="107" t="str">
        <f>IF(IFERROR(VLOOKUP(S227,'Tabela de Apoio'!$D:$E,2,FALSE),1)=1,"",S233)</f>
        <v>DESCARTADO</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643"/>
        <v>11</v>
      </c>
      <c r="C233" s="128">
        <f t="shared" si="644"/>
        <v>1</v>
      </c>
      <c r="D233" s="127">
        <f t="shared" si="644"/>
        <v>11</v>
      </c>
      <c r="E233" s="743"/>
      <c r="F233" s="93"/>
      <c r="G233" s="745"/>
      <c r="H233" s="134">
        <f t="shared" ref="H233" si="647">COUNT($P233:$XX233)</f>
        <v>2</v>
      </c>
      <c r="I233" s="132">
        <f t="shared" ref="I233" si="648">_xlfn.STDEV.P($P232:$XX233)/AVERAGE($P232:$XX233)</f>
        <v>0.13773035322482527</v>
      </c>
      <c r="J233" s="7">
        <f t="shared" ref="J233" si="649">IF(AND(H233&gt;2,
OR(L225="MÉDIA SANEADA",L225="MEDIANA SANEADA",
AND(L225="PREÇO ESTIMADO",NOT(AND(P227="Orçamento",COUNTA(P225:XX225)=COUNTIF(P227:XX227,"Orçamento")))))),
ROW(),0)</f>
        <v>0</v>
      </c>
      <c r="K233" s="66"/>
      <c r="L233" s="29" t="s">
        <v>361</v>
      </c>
      <c r="M233" s="30">
        <f t="shared" ref="M233" si="650">MEDIAN($P231:$XX231)</f>
        <v>1.5820971945575804</v>
      </c>
      <c r="N233" s="71"/>
      <c r="O233" s="27" t="str">
        <f t="shared" ref="O233" si="651">"1 RODADA"</f>
        <v>1 RODADA</v>
      </c>
      <c r="P233" s="107">
        <f t="shared" ref="P233:AI233" si="652">IF(P231="","",IF((_xlfn.STDEV.P($P230:$XX231)/AVERAGE($P230:$XX231))&lt;=25%,P231,IF(OR(P231&gt;(AVERAGE($P230:$XX231)+_xlfn.STDEV.P($P230:$XX231)),P231&lt;(AVERAGE($P230:$XX231)-_xlfn.STDEV.P($P230:$XX231))),"DESCARTADO",P231)))</f>
        <v>1.8</v>
      </c>
      <c r="Q233" s="107">
        <f t="shared" si="652"/>
        <v>1.3641943891151609</v>
      </c>
      <c r="R233" s="107" t="str">
        <f t="shared" si="652"/>
        <v>DESCARTADO</v>
      </c>
      <c r="S233" s="107" t="str">
        <f t="shared" si="652"/>
        <v>DESCARTADO</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f t="shared" si="643"/>
        <v>11</v>
      </c>
      <c r="C234" s="128">
        <f t="shared" si="644"/>
        <v>1</v>
      </c>
      <c r="D234" s="127">
        <f t="shared" si="644"/>
        <v>11</v>
      </c>
      <c r="E234" s="743"/>
      <c r="F234" s="93"/>
      <c r="G234" s="745"/>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f>IF(IFERROR(VLOOKUP(P227,'Tabela de Apoio'!$D:$E,2,FALSE),1)=1,"",P235)</f>
        <v>1.8</v>
      </c>
      <c r="Q234" s="107">
        <f>IF(IFERROR(VLOOKUP(Q227,'Tabela de Apoio'!$D:$E,2,FALSE),1)=1,"",Q235)</f>
        <v>1.3641943891151609</v>
      </c>
      <c r="R234" s="107" t="str">
        <f>IF(IFERROR(VLOOKUP(R227,'Tabela de Apoio'!$D:$E,2,FALSE),1)=1,"",R235)</f>
        <v>DESCARTADO</v>
      </c>
      <c r="S234" s="107" t="str">
        <f>IF(IFERROR(VLOOKUP(S227,'Tabela de Apoio'!$D:$E,2,FALSE),1)=1,"",S235)</f>
        <v>DESCARTADO</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643"/>
        <v>11</v>
      </c>
      <c r="C235" s="128">
        <f t="shared" si="644"/>
        <v>1</v>
      </c>
      <c r="D235" s="127">
        <f t="shared" si="644"/>
        <v>11</v>
      </c>
      <c r="E235" s="743"/>
      <c r="F235" s="93"/>
      <c r="G235" s="745"/>
      <c r="H235" s="134">
        <f t="shared" ref="H235" si="655">COUNT($P235:$XX235)</f>
        <v>2</v>
      </c>
      <c r="I235" s="132">
        <f t="shared" ref="I235" si="656">_xlfn.STDEV.P($P234:$XX235)/AVERAGE($P234:$XX235)</f>
        <v>0.13773035322482527</v>
      </c>
      <c r="J235" s="7">
        <f t="shared" ref="J235" si="657">IF(AND(H235&gt;2,
OR(L225="MÉDIA SANEADA",L225="MEDIANA SANEADA",
AND(L225="PREÇO ESTIMADO",NOT(AND(P227="Orçamento",COUNTA(P225:XX225)=COUNTIF(P227:XX227,"Orçamento")))))),
ROW(),0)</f>
        <v>0</v>
      </c>
      <c r="K235" s="66"/>
      <c r="L235" s="29" t="s">
        <v>362</v>
      </c>
      <c r="M235" s="30">
        <f t="shared" ref="M235" si="658" xml:space="preserve">
IF(H233&gt;2,MEDIAN(P232:XX233),
IF(H235&gt;2,MEDIAN(P234:XX235),
IF(H237&gt;2,MEDIAN(P236:XX237),
IF(H239&gt;2,MEDIAN(P238:XX239),
IF(H241&gt;2,MEDIAN(P240:XX241),
IF(H243&gt;2,MEDIAN(P242:XX243),
MEDIAN(P230:XX231)))))))</f>
        <v>1.5820971945575804</v>
      </c>
      <c r="N235" s="71"/>
      <c r="O235" s="27" t="str">
        <f t="shared" ref="O235" si="659">"2 RODADA"</f>
        <v>2 RODADA</v>
      </c>
      <c r="P235" s="107">
        <f t="shared" ref="P235:AI235" si="660">IF(P233="","",IF((_xlfn.STDEV.P($P232:$XX233)/AVERAGE($P232:$XX233))&lt;=25%,P233,IF(OR(P233&gt;(AVERAGE($P232:$XX233)+_xlfn.STDEV.P($P232:$XX233)),P233&lt;(AVERAGE($P232:$XX233)-_xlfn.STDEV.P($P232:$XX233))),"DESCARTADO",P233)))</f>
        <v>1.8</v>
      </c>
      <c r="Q235" s="107">
        <f t="shared" si="660"/>
        <v>1.3641943891151609</v>
      </c>
      <c r="R235" s="107" t="str">
        <f t="shared" si="660"/>
        <v>DESCARTADO</v>
      </c>
      <c r="S235" s="107" t="str">
        <f t="shared" si="660"/>
        <v>DESCARTADO</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f t="shared" si="643"/>
        <v>11</v>
      </c>
      <c r="C236" s="128">
        <f t="shared" si="644"/>
        <v>1</v>
      </c>
      <c r="D236" s="127">
        <f t="shared" si="644"/>
        <v>11</v>
      </c>
      <c r="E236" s="743"/>
      <c r="F236" s="93"/>
      <c r="G236" s="745"/>
      <c r="H236"/>
      <c r="I236"/>
      <c r="J236"/>
      <c r="K236" s="66"/>
      <c r="L236" s="29" t="s">
        <v>359</v>
      </c>
      <c r="M236" s="30">
        <f t="shared" ref="M236" si="661">HARMEAN($P230:$XX231)</f>
        <v>1.4856641730800355</v>
      </c>
      <c r="N236" s="71"/>
      <c r="O236" s="27" t="str">
        <f t="shared" ref="O236" si="662">"3 POND"</f>
        <v>3 POND</v>
      </c>
      <c r="P236" s="107">
        <f>IF(IFERROR(VLOOKUP(P227,'Tabela de Apoio'!$D:$E,2,FALSE),1)=1,"",P237)</f>
        <v>1.8</v>
      </c>
      <c r="Q236" s="107">
        <f>IF(IFERROR(VLOOKUP(Q227,'Tabela de Apoio'!$D:$E,2,FALSE),1)=1,"",Q237)</f>
        <v>1.3641943891151609</v>
      </c>
      <c r="R236" s="107" t="str">
        <f>IF(IFERROR(VLOOKUP(R227,'Tabela de Apoio'!$D:$E,2,FALSE),1)=1,"",R237)</f>
        <v>DESCARTADO</v>
      </c>
      <c r="S236" s="107" t="str">
        <f>IF(IFERROR(VLOOKUP(S227,'Tabela de Apoio'!$D:$E,2,FALSE),1)=1,"",S237)</f>
        <v>DESCARTADO</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643"/>
        <v>11</v>
      </c>
      <c r="C237" s="128">
        <f t="shared" si="644"/>
        <v>1</v>
      </c>
      <c r="D237" s="127">
        <f t="shared" si="644"/>
        <v>11</v>
      </c>
      <c r="E237" s="743"/>
      <c r="F237" s="93"/>
      <c r="G237" s="745"/>
      <c r="H237" s="134">
        <f t="shared" ref="H237" si="663">COUNT($P237:$XX237)</f>
        <v>2</v>
      </c>
      <c r="I237" s="132">
        <f t="shared" ref="I237" si="664">_xlfn.STDEV.P($P236:$XX237)/AVERAGE($P236:$XX237)</f>
        <v>0.13773035322482527</v>
      </c>
      <c r="J237" s="7">
        <f t="shared" ref="J237" si="665">IF(AND(H237&gt;2,
OR(L225="MÉDIA SANEADA",L225="MEDIANA SANEADA",
AND(L225="PREÇO ESTIMADO",NOT(AND(P227="Orçamento",COUNTA(P225:XX225)=COUNTIF(P227:XX227,"Orçamento")))))),
ROW(),0)</f>
        <v>0</v>
      </c>
      <c r="K237" s="66"/>
      <c r="L237" s="29" t="s">
        <v>41</v>
      </c>
      <c r="M237" s="30">
        <f t="shared" ref="M237" si="666">IFERROR(_xlfn.QUARTILE.EXC($P231:$XX231,1),"")</f>
        <v>1.1051293019045845</v>
      </c>
      <c r="N237" s="71"/>
      <c r="O237" s="27" t="str">
        <f t="shared" ref="O237" si="667">"3 RODADA"</f>
        <v>3 RODADA</v>
      </c>
      <c r="P237" s="107">
        <f t="shared" ref="P237:AI237" si="668">IF(P235="","",IF((_xlfn.STDEV.P($P234:$XX235)/AVERAGE($P234:$XX235))&lt;=25%,P235,IF(OR(P235&gt;(AVERAGE($P234:$XX235)+_xlfn.STDEV.P($P234:$XX235)),P235&lt;(AVERAGE($P234:$XX235)-_xlfn.STDEV.P($P234:$XX235))),"DESCARTADO",P235)))</f>
        <v>1.8</v>
      </c>
      <c r="Q237" s="107">
        <f t="shared" si="668"/>
        <v>1.3641943891151609</v>
      </c>
      <c r="R237" s="107" t="str">
        <f t="shared" si="668"/>
        <v>DESCARTADO</v>
      </c>
      <c r="S237" s="107" t="str">
        <f t="shared" si="668"/>
        <v>DESCARTADO</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f t="shared" si="643"/>
        <v>11</v>
      </c>
      <c r="C238" s="128">
        <f t="shared" si="644"/>
        <v>1</v>
      </c>
      <c r="D238" s="127">
        <f t="shared" si="644"/>
        <v>11</v>
      </c>
      <c r="E238" s="743"/>
      <c r="F238" s="93"/>
      <c r="G238" s="745"/>
      <c r="H238"/>
      <c r="I238"/>
      <c r="J238"/>
      <c r="K238" s="66"/>
      <c r="L238" s="29" t="s">
        <v>39</v>
      </c>
      <c r="M238" s="30">
        <f t="shared" ref="M238" si="669">IFERROR(_xlfn.QUARTILE.EXC($P231:$XX231,3),"")</f>
        <v>2.226249905845803</v>
      </c>
      <c r="N238" s="71"/>
      <c r="O238" s="27" t="str">
        <f t="shared" ref="O238" si="670">"4 POND"</f>
        <v>4 POND</v>
      </c>
      <c r="P238" s="107">
        <f>IF(IFERROR(VLOOKUP(P227,'Tabela de Apoio'!$D:$E,2,FALSE),1)=1,"",P239)</f>
        <v>1.8</v>
      </c>
      <c r="Q238" s="107">
        <f>IF(IFERROR(VLOOKUP(Q227,'Tabela de Apoio'!$D:$E,2,FALSE),1)=1,"",Q239)</f>
        <v>1.3641943891151609</v>
      </c>
      <c r="R238" s="107" t="str">
        <f>IF(IFERROR(VLOOKUP(R227,'Tabela de Apoio'!$D:$E,2,FALSE),1)=1,"",R239)</f>
        <v>DESCARTADO</v>
      </c>
      <c r="S238" s="107" t="str">
        <f>IF(IFERROR(VLOOKUP(S227,'Tabela de Apoio'!$D:$E,2,FALSE),1)=1,"",S239)</f>
        <v>DESCARTADO</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643"/>
        <v>11</v>
      </c>
      <c r="C239" s="128">
        <f t="shared" si="644"/>
        <v>1</v>
      </c>
      <c r="D239" s="127">
        <f t="shared" si="644"/>
        <v>11</v>
      </c>
      <c r="E239" s="743"/>
      <c r="F239" s="93"/>
      <c r="G239" s="745"/>
      <c r="H239" s="134">
        <f t="shared" ref="H239" si="671">COUNT($P239:$XX239)</f>
        <v>2</v>
      </c>
      <c r="I239" s="132">
        <f t="shared" ref="I239" si="672">_xlfn.STDEV.P($P238:$XX239)/AVERAGE($P238:$XX239)</f>
        <v>0.13773035322482527</v>
      </c>
      <c r="J239" s="7">
        <f t="shared" ref="J239" si="673">IF(AND(H239&gt;2,
OR(L225="MÉDIA SANEADA",L225="MEDIANA SANEADA",
AND(L225="PREÇO ESTIMADO",NOT(AND(P227="Orçamento",COUNTA(P225:XX225)=COUNTIF(P227:XX227,"Orçamento")))))),
ROW(),0)</f>
        <v>0</v>
      </c>
      <c r="K239" s="66"/>
      <c r="L239" s="29" t="s">
        <v>42</v>
      </c>
      <c r="M239" s="30">
        <f t="shared" ref="M239" si="674">MIN($P231:$XX231)</f>
        <v>1.0187742728343923</v>
      </c>
      <c r="N239" s="71"/>
      <c r="O239" s="27" t="str">
        <f t="shared" ref="O239" si="675">"4 RODADA"</f>
        <v>4 RODADA</v>
      </c>
      <c r="P239" s="107">
        <f t="shared" ref="P239:AI239" si="676">IF(P237="","",IF((_xlfn.STDEV.P($P236:$XX237)/AVERAGE($P236:$XX237))&lt;=25%,P237,IF(OR(P237&gt;(AVERAGE($P236:$XX237)+_xlfn.STDEV.P($P236:$XX237)),P237&lt;(AVERAGE($P236:$XX237)-_xlfn.STDEV.P($P236:$XX237))),"DESCARTADO",P237)))</f>
        <v>1.8</v>
      </c>
      <c r="Q239" s="107">
        <f t="shared" si="676"/>
        <v>1.3641943891151609</v>
      </c>
      <c r="R239" s="107" t="str">
        <f t="shared" si="676"/>
        <v>DESCARTADO</v>
      </c>
      <c r="S239" s="107" t="str">
        <f t="shared" si="676"/>
        <v>DESCARTADO</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f t="shared" si="643"/>
        <v>11</v>
      </c>
      <c r="C240" s="128">
        <f t="shared" si="644"/>
        <v>1</v>
      </c>
      <c r="D240" s="127">
        <f t="shared" si="644"/>
        <v>11</v>
      </c>
      <c r="E240" s="743"/>
      <c r="F240" s="93"/>
      <c r="G240" s="745"/>
      <c r="H240"/>
      <c r="I240"/>
      <c r="J240"/>
      <c r="K240" s="66"/>
      <c r="L240" s="29" t="s">
        <v>40</v>
      </c>
      <c r="M240" s="30">
        <f t="shared" ref="M240" si="677">MAX($P231:$XX231)</f>
        <v>2.3683332077944037</v>
      </c>
      <c r="N240" s="71"/>
      <c r="O240" s="27" t="str">
        <f t="shared" ref="O240" si="678">"5 POND"</f>
        <v>5 POND</v>
      </c>
      <c r="P240" s="107">
        <f>IF(IFERROR(VLOOKUP(P227,'Tabela de Apoio'!$D:$E,2,FALSE),1)=1,"",P241)</f>
        <v>1.8</v>
      </c>
      <c r="Q240" s="107">
        <f>IF(IFERROR(VLOOKUP(Q227,'Tabela de Apoio'!$D:$E,2,FALSE),1)=1,"",Q241)</f>
        <v>1.3641943891151609</v>
      </c>
      <c r="R240" s="107" t="str">
        <f>IF(IFERROR(VLOOKUP(R227,'Tabela de Apoio'!$D:$E,2,FALSE),1)=1,"",R241)</f>
        <v>DESCARTADO</v>
      </c>
      <c r="S240" s="107" t="str">
        <f>IF(IFERROR(VLOOKUP(S227,'Tabela de Apoio'!$D:$E,2,FALSE),1)=1,"",S241)</f>
        <v>DESCARTADO</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643"/>
        <v>11</v>
      </c>
      <c r="C241" s="128">
        <f t="shared" si="644"/>
        <v>1</v>
      </c>
      <c r="D241" s="127">
        <f t="shared" si="644"/>
        <v>11</v>
      </c>
      <c r="E241" s="743"/>
      <c r="F241" s="93"/>
      <c r="G241" s="745"/>
      <c r="H241" s="134">
        <f t="shared" ref="H241" si="679">COUNT($P241:$XX241)</f>
        <v>2</v>
      </c>
      <c r="I241" s="132">
        <f t="shared" ref="I241" si="680">_xlfn.STDEV.P($P240:$XX241)/AVERAGE($P240:$XX241)</f>
        <v>0.13773035322482527</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f t="shared" ref="P241:AI241" si="683">IF(P239="","",IF((_xlfn.STDEV.P($P238:$XX239)/AVERAGE($P238:$XX239))&lt;=25%,P239,IF(OR(P239&gt;(AVERAGE($P238:$XX239)+_xlfn.STDEV.P($P238:$XX239)),P239&lt;(AVERAGE($P238:$XX239)-_xlfn.STDEV.P($P238:$XX239))),"DESCARTADO",P239)))</f>
        <v>1.8</v>
      </c>
      <c r="Q241" s="107">
        <f t="shared" si="683"/>
        <v>1.3641943891151609</v>
      </c>
      <c r="R241" s="107" t="str">
        <f t="shared" si="683"/>
        <v>DESCARTADO</v>
      </c>
      <c r="S241" s="107" t="str">
        <f t="shared" si="683"/>
        <v>DESCARTADO</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f t="shared" si="643"/>
        <v>11</v>
      </c>
      <c r="C242" s="128">
        <f t="shared" si="644"/>
        <v>1</v>
      </c>
      <c r="D242" s="127">
        <f t="shared" si="644"/>
        <v>11</v>
      </c>
      <c r="E242" s="743"/>
      <c r="F242" s="93"/>
      <c r="G242" s="745"/>
      <c r="H242"/>
      <c r="I242"/>
      <c r="J242"/>
      <c r="K242" s="66"/>
      <c r="L242" s="22"/>
      <c r="M242" s="22"/>
      <c r="N242" s="71"/>
      <c r="O242" s="27" t="str">
        <f t="shared" ref="O242" si="684">"6 POND"</f>
        <v>6 POND</v>
      </c>
      <c r="P242" s="107">
        <f>IF(IFERROR(VLOOKUP(P227,'Tabela de Apoio'!$D:$E,2,FALSE),1)=1,"",P243)</f>
        <v>1.8</v>
      </c>
      <c r="Q242" s="107">
        <f>IF(IFERROR(VLOOKUP(Q227,'Tabela de Apoio'!$D:$E,2,FALSE),1)=1,"",Q243)</f>
        <v>1.3641943891151609</v>
      </c>
      <c r="R242" s="107" t="str">
        <f>IF(IFERROR(VLOOKUP(R227,'Tabela de Apoio'!$D:$E,2,FALSE),1)=1,"",R243)</f>
        <v>DESCARTADO</v>
      </c>
      <c r="S242" s="107" t="str">
        <f>IF(IFERROR(VLOOKUP(S227,'Tabela de Apoio'!$D:$E,2,FALSE),1)=1,"",S243)</f>
        <v>DESCARTADO</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643"/>
        <v>11</v>
      </c>
      <c r="C243" s="128">
        <f t="shared" si="644"/>
        <v>1</v>
      </c>
      <c r="D243" s="127">
        <f t="shared" si="644"/>
        <v>11</v>
      </c>
      <c r="E243" s="743"/>
      <c r="F243" s="93"/>
      <c r="G243" s="745"/>
      <c r="H243" s="134">
        <f t="shared" ref="H243" si="685">COUNT($P243:$XX243)</f>
        <v>2</v>
      </c>
      <c r="I243" s="132">
        <f t="shared" ref="I243" si="686">_xlfn.STDEV.P($P242:$XX243)/AVERAGE($P242:$XX243)</f>
        <v>0.13773035322482527</v>
      </c>
      <c r="J243" s="7">
        <f t="shared" ref="J243" si="687">IF(AND(H243&gt;2,
OR(L225="MÉDIA SANEADA",L225="MEDIANA SANEADA",
AND(L225="PREÇO ESTIMADO",NOT(AND(P227="Orçamento",COUNTA(P225:XX225)=COUNTIF(P227:XX227,"Orçamento")))))),
ROW(),0)</f>
        <v>0</v>
      </c>
      <c r="N243" s="71"/>
      <c r="O243" s="27" t="str">
        <f t="shared" ref="O243" si="688">"6 RODADA"</f>
        <v>6 RODADA</v>
      </c>
      <c r="P243" s="107">
        <f t="shared" ref="P243:AI243" si="689">IFERROR(IF(P241="","",IF((_xlfn.STDEV.P($P240:$XX241)/AVERAGE($P240:$XX241))&lt;=25%,P241,IF(OR(P241&gt;(AVERAGE($P240:$XX241)+_xlfn.STDEV.P($P240:$XX241)),P241&lt;(AVERAGE($P240:$XX241)-_xlfn.STDEV.P($P240:$XX241))),"DESCARTADO",P241))),)</f>
        <v>1.8</v>
      </c>
      <c r="Q243" s="107">
        <f t="shared" si="689"/>
        <v>1.3641943891151609</v>
      </c>
      <c r="R243" s="107" t="str">
        <f t="shared" si="689"/>
        <v>DESCARTADO</v>
      </c>
      <c r="S243" s="107" t="str">
        <f t="shared" si="689"/>
        <v>DESCARTADO</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f t="shared" si="643"/>
        <v>11</v>
      </c>
      <c r="C244" s="128">
        <f t="shared" si="644"/>
        <v>1</v>
      </c>
      <c r="D244" s="127">
        <f t="shared" si="644"/>
        <v>11</v>
      </c>
      <c r="E244" s="743"/>
      <c r="F244" s="136"/>
      <c r="G244" s="745"/>
      <c r="H244" s="748"/>
      <c r="I244" s="748"/>
      <c r="J244" s="749"/>
      <c r="K244" s="67"/>
      <c r="L244" s="1" t="s">
        <v>43</v>
      </c>
      <c r="M244" s="144">
        <f t="shared" ref="M244" si="690">IFERROR(ROUND(M225*M227,2),"")</f>
        <v>0</v>
      </c>
      <c r="O244" s="27" t="s">
        <v>363</v>
      </c>
      <c r="P244" s="107">
        <f t="shared" ref="P244:R244" si="691">INDEX(P231:P243,MATCH(MAX($J231:$J243),$J231:$J243,0))</f>
        <v>1.8</v>
      </c>
      <c r="Q244" s="107">
        <f t="shared" si="691"/>
        <v>1.3641943891151609</v>
      </c>
      <c r="R244" s="107">
        <f t="shared" si="691"/>
        <v>2.3683332077944037</v>
      </c>
      <c r="S244" s="107">
        <f t="shared" si="625"/>
        <v>1.0187742728343923</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f t="shared" ref="B246" si="692">LARGE(IFERROR(IF(B244+1&gt;$H$8,"",B244+1),""),1)</f>
        <v>12</v>
      </c>
      <c r="C246" s="127">
        <f>IF(_xlfn.ISFORMULA(E250),MAX(INDEX('BASE FORMAÇÃO'!A:A,B246+1),1),E250)</f>
        <v>1</v>
      </c>
      <c r="D246" s="127">
        <f t="shared" ref="D246" si="693">IFERROR(IF(C246=C236,D236+1,1),1)</f>
        <v>12</v>
      </c>
      <c r="E246" s="38" t="s">
        <v>9</v>
      </c>
      <c r="F246" s="73"/>
      <c r="G246" s="38" t="s">
        <v>15</v>
      </c>
      <c r="H246" s="135">
        <f>INDEX('BASE FORMAÇÃO'!B:B,B246+1)</f>
        <v>0</v>
      </c>
      <c r="I246" s="143" t="s">
        <v>16</v>
      </c>
      <c r="J246" s="6">
        <f>INDEX('BASE FORMAÇÃO'!K:K,B246+1)</f>
        <v>0</v>
      </c>
      <c r="K246" s="65"/>
      <c r="L246" s="750" t="s">
        <v>10</v>
      </c>
      <c r="M246" s="752">
        <f t="shared" ref="M246" si="694">IF(OR(ISBLANK($O$8),ISBLANK($O$7),ISBLANK($H$8),ISBLANK($O$6),ISBLANK($O$5),ISBLANK($H$5)),"",IFERROR(IF(VLOOKUP(L246,L252:M261,2,FALSE)&lt;1,ROUND(VLOOKUP(L246,L252:M261,2,FALSE),4),ROUND(VLOOKUP(L246,L252:M261,2,FALSE),2)),""))</f>
        <v>2.65</v>
      </c>
      <c r="N246" s="69"/>
      <c r="O246" s="27" t="s">
        <v>17</v>
      </c>
      <c r="P246" s="113">
        <v>6.5</v>
      </c>
      <c r="Q246" s="113">
        <v>5</v>
      </c>
      <c r="R246" s="113">
        <v>2.58</v>
      </c>
      <c r="S246" s="113">
        <v>2.6</v>
      </c>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7" si="695">B246</f>
        <v>12</v>
      </c>
      <c r="C247" s="128">
        <f t="shared" si="695"/>
        <v>1</v>
      </c>
      <c r="D247" s="127">
        <f t="shared" si="695"/>
        <v>12</v>
      </c>
      <c r="E247" s="754">
        <f t="shared" ref="E247" si="696">D246</f>
        <v>12</v>
      </c>
      <c r="F247" s="92"/>
      <c r="G247" s="756" t="s">
        <v>1</v>
      </c>
      <c r="H247" s="765" t="s">
        <v>443</v>
      </c>
      <c r="I247" s="759"/>
      <c r="J247" s="760"/>
      <c r="K247" s="66"/>
      <c r="L247" s="751"/>
      <c r="M247" s="753"/>
      <c r="N247" s="70"/>
      <c r="O247" s="27" t="s">
        <v>13</v>
      </c>
      <c r="P247" s="122">
        <v>45730</v>
      </c>
      <c r="Q247" s="122">
        <v>45614</v>
      </c>
      <c r="R247" s="122">
        <v>45715</v>
      </c>
      <c r="S247" s="122">
        <v>45700</v>
      </c>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ref="B248:D248" si="697">B247</f>
        <v>12</v>
      </c>
      <c r="C248" s="128">
        <f t="shared" si="697"/>
        <v>1</v>
      </c>
      <c r="D248" s="127">
        <f t="shared" si="697"/>
        <v>12</v>
      </c>
      <c r="E248" s="755"/>
      <c r="F248" s="93"/>
      <c r="G248" s="757"/>
      <c r="H248" s="761"/>
      <c r="I248" s="761"/>
      <c r="J248" s="762"/>
      <c r="K248" s="64"/>
      <c r="L248" s="130" t="s">
        <v>44</v>
      </c>
      <c r="M248" s="131">
        <f>INDEX('BASE FORMAÇÃO'!H:H,B250+1)</f>
        <v>0</v>
      </c>
      <c r="N248" s="71"/>
      <c r="O248" s="27" t="s">
        <v>380</v>
      </c>
      <c r="P248" s="114" t="s">
        <v>12</v>
      </c>
      <c r="Q248" s="114" t="s">
        <v>12</v>
      </c>
      <c r="R248" s="114" t="s">
        <v>12</v>
      </c>
      <c r="S248" s="114" t="s">
        <v>12</v>
      </c>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 t="shared" ref="B249:C249" si="698">B248</f>
        <v>12</v>
      </c>
      <c r="C249" s="128">
        <f t="shared" si="698"/>
        <v>1</v>
      </c>
      <c r="D249" s="127">
        <f t="shared" si="644"/>
        <v>12</v>
      </c>
      <c r="E249" s="38" t="s">
        <v>313</v>
      </c>
      <c r="F249" s="93"/>
      <c r="G249" s="758"/>
      <c r="H249" s="763"/>
      <c r="I249" s="763"/>
      <c r="J249" s="764"/>
      <c r="K249" s="64"/>
      <c r="L249" s="1" t="s">
        <v>2</v>
      </c>
      <c r="M249" s="6">
        <f>INDEX('BASE FORMAÇÃO'!D:D,B250+1)</f>
        <v>0</v>
      </c>
      <c r="N249" s="71"/>
      <c r="O249" s="27" t="s">
        <v>381</v>
      </c>
      <c r="P249" s="182" t="s">
        <v>450</v>
      </c>
      <c r="Q249" s="182" t="s">
        <v>450</v>
      </c>
      <c r="R249" s="182" t="s">
        <v>450</v>
      </c>
      <c r="S249" s="182" t="s">
        <v>450</v>
      </c>
      <c r="T249" s="115"/>
      <c r="U249" s="118"/>
      <c r="V249" s="118"/>
      <c r="W249" s="118"/>
      <c r="X249" s="118"/>
      <c r="Y249" s="118"/>
      <c r="Z249" s="118"/>
      <c r="AA249" s="118"/>
      <c r="AB249" s="118"/>
      <c r="AC249" s="118"/>
      <c r="AD249" s="118"/>
      <c r="AE249" s="118"/>
      <c r="AF249" s="118"/>
      <c r="AG249" s="118"/>
      <c r="AH249" s="118"/>
      <c r="AI249" s="118"/>
    </row>
    <row r="250" spans="1:167" x14ac:dyDescent="0.25">
      <c r="B250" s="128">
        <f t="shared" ref="B250:C250" si="699">B248</f>
        <v>12</v>
      </c>
      <c r="C250" s="128">
        <f t="shared" si="699"/>
        <v>1</v>
      </c>
      <c r="D250" s="127">
        <f t="shared" si="644"/>
        <v>12</v>
      </c>
      <c r="E250" s="742">
        <f t="shared" ref="E250" si="700">C246</f>
        <v>1</v>
      </c>
      <c r="F250" s="93"/>
      <c r="G250" s="744" t="s">
        <v>304</v>
      </c>
      <c r="H250" s="746"/>
      <c r="I250" s="747"/>
      <c r="J250" s="747"/>
      <c r="K250" s="67"/>
      <c r="L250" s="28" t="s">
        <v>303</v>
      </c>
      <c r="M250" s="133">
        <f t="shared" ref="M250" si="701">IFERROR(INDEX(I252:I264,MATCH(MAX(J252:J264),J252:J264,0)),"")</f>
        <v>0.34046858868334712</v>
      </c>
      <c r="N250" s="71"/>
      <c r="O250" s="27" t="s">
        <v>18</v>
      </c>
      <c r="P250" s="106">
        <f>IF(P246="","",
IF(OR(P248="Orçamento",P247="",MAX('Tabela de Apoio'!$A:$A)&lt;=P247),
P246,
(INDEX('Tabela de Apoio'!$B:$B,MATCH('MAPA DE PREÇOS'!$O$8,'Tabela de Apoio'!$A:$A,1))/INDEX('Tabela de Apoio'!$B:$B,MATCH('MAPA DE PREÇOS'!P247,'Tabela de Apoio'!$A:$A,1)-1))*P246))</f>
        <v>6.5</v>
      </c>
      <c r="Q250" s="106">
        <f>IF(Q246="","",
IF(OR(Q248="Orçamento",Q247="",MAX('Tabela de Apoio'!$A:$A)&lt;=Q247),
Q246,
(INDEX('Tabela de Apoio'!$B:$B,MATCH('MAPA DE PREÇOS'!$O$8,'Tabela de Apoio'!$A:$A,1))/INDEX('Tabela de Apoio'!$B:$B,MATCH('MAPA DE PREÇOS'!Q247,'Tabela de Apoio'!$A:$A,1)-1))*Q246))</f>
        <v>5.1485504517269653</v>
      </c>
      <c r="R250" s="106">
        <f>IF(R246="","",
IF(OR(R248="Orçamento",R247="",MAX('Tabela de Apoio'!$A:$A)&lt;=R247),
R246,
(INDEX('Tabela de Apoio'!$B:$B,MATCH('MAPA DE PREÇOS'!$O$8,'Tabela de Apoio'!$A:$A,1))/INDEX('Tabela de Apoio'!$B:$B,MATCH('MAPA DE PREÇOS'!R247,'Tabela de Apoio'!$A:$A,1)-1))*R246))</f>
        <v>2.6284376239127321</v>
      </c>
      <c r="S250" s="106">
        <f>IF(S246="","",
IF(OR(S248="Orçamento",S247="",MAX('Tabela de Apoio'!$A:$A)&lt;=S247),
S246,
(INDEX('Tabela de Apoio'!$B:$B,MATCH('MAPA DE PREÇOS'!$O$8,'Tabela de Apoio'!$A:$A,1))/INDEX('Tabela de Apoio'!$B:$B,MATCH('MAPA DE PREÇOS'!S247,'Tabela de Apoio'!$A:$A,1)-1))*S246))</f>
        <v>2.6488131093694198</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 si="702">B250</f>
        <v>12</v>
      </c>
      <c r="C251" s="128">
        <f t="shared" ref="C251" si="703">C250</f>
        <v>1</v>
      </c>
      <c r="D251" s="127">
        <f t="shared" si="644"/>
        <v>12</v>
      </c>
      <c r="E251" s="743"/>
      <c r="F251" s="93"/>
      <c r="G251" s="745"/>
      <c r="H251"/>
      <c r="I251"/>
      <c r="J251"/>
      <c r="N251" s="71"/>
      <c r="O251" s="27" t="s">
        <v>375</v>
      </c>
      <c r="P251" s="107">
        <f>IF(IFERROR(VLOOKUP(P248,'Tabela de Apoio'!$D:$E,2,FALSE),1)=1,"",P252)</f>
        <v>6.5</v>
      </c>
      <c r="Q251" s="107">
        <f>IF(IFERROR(VLOOKUP(Q248,'Tabela de Apoio'!$D:$E,2,FALSE),1)=1,"",Q252)</f>
        <v>5.1485504517269653</v>
      </c>
      <c r="R251" s="107">
        <f>IF(IFERROR(VLOOKUP(R248,'Tabela de Apoio'!$D:$E,2,FALSE),1)=1,"",R252)</f>
        <v>2.6284376239127321</v>
      </c>
      <c r="S251" s="107">
        <f>IF(IFERROR(VLOOKUP(S248,'Tabela de Apoio'!$D:$E,2,FALSE),1)=1,"",S252)</f>
        <v>2.6488131093694198</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ref="B252:C252" si="704">B251</f>
        <v>12</v>
      </c>
      <c r="C252" s="128">
        <f t="shared" si="704"/>
        <v>1</v>
      </c>
      <c r="D252" s="127">
        <f t="shared" si="644"/>
        <v>12</v>
      </c>
      <c r="E252" s="743"/>
      <c r="F252" s="93"/>
      <c r="G252" s="745"/>
      <c r="H252" s="134">
        <f t="shared" ref="H252" si="705">COUNT($P252:$XX252)</f>
        <v>4</v>
      </c>
      <c r="I252" s="132">
        <f t="shared" ref="I252" si="706">_xlfn.STDEV.P($P251:$XX252)/AVERAGE($P251:$XX252)</f>
        <v>0.39300065987201532</v>
      </c>
      <c r="J252" s="7">
        <f>ROW()</f>
        <v>252</v>
      </c>
      <c r="K252" s="67"/>
      <c r="L252" s="29" t="s">
        <v>10</v>
      </c>
      <c r="M252" s="30">
        <f t="shared" ref="M252" si="707">IFERROR(
IF(COUNTA(P246:AI246)=COUNTIF(P248:XX248,"Orçamento"),MIN(M257,M254),
IF(M255&lt;&gt;"",M255,
IF(M256&lt;&gt;"",M256,
M254
))),"")</f>
        <v>2.6488131093694198</v>
      </c>
      <c r="N252" s="71"/>
      <c r="O252" s="27" t="s">
        <v>376</v>
      </c>
      <c r="P252" s="106">
        <f t="shared" ref="P252:AI252" si="708">IFERROR(IF(P250="",
            "",
            IF(COUNT($P250:$XX250)&lt;=4,
               P250,
               IF(OR(P250&gt;(QUARTILE($P250:$XX250,3)+(QUARTILE($P250:$XX250,3)-QUARTILE($P250:$XX250,1))),
                     P250&lt;(QUARTILE($P250:$XX250,1)-(QUARTILE($P250:$XX250,3)-QUARTILE($P250:$XX250,1)))
                  ),
               "DESCARTADO",P250)
             )
  ),P250)</f>
        <v>6.5</v>
      </c>
      <c r="Q252" s="106">
        <f t="shared" si="708"/>
        <v>5.1485504517269653</v>
      </c>
      <c r="R252" s="106">
        <f t="shared" si="708"/>
        <v>2.6284376239127321</v>
      </c>
      <c r="S252" s="106">
        <f t="shared" si="708"/>
        <v>2.6488131093694198</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f t="shared" ref="B253" si="709">B252</f>
        <v>12</v>
      </c>
      <c r="C253" s="128">
        <f t="shared" ref="C253" si="710">C252</f>
        <v>1</v>
      </c>
      <c r="D253" s="127">
        <f t="shared" si="644"/>
        <v>12</v>
      </c>
      <c r="E253" s="743"/>
      <c r="F253" s="93"/>
      <c r="G253" s="745"/>
      <c r="H253"/>
      <c r="I253"/>
      <c r="J253"/>
      <c r="K253" s="66"/>
      <c r="L253" s="29" t="s">
        <v>360</v>
      </c>
      <c r="M253" s="30">
        <f t="shared" ref="M253" si="711">AVERAGE($P252:$XX252)</f>
        <v>4.2314502962522793</v>
      </c>
      <c r="N253" s="71"/>
      <c r="O253" s="27" t="str">
        <f t="shared" ref="O253" si="712">"1 POND"</f>
        <v>1 POND</v>
      </c>
      <c r="P253" s="107" t="str">
        <f>IF(IFERROR(VLOOKUP(P248,'Tabela de Apoio'!$D:$E,2,FALSE),1)=1,"",P254)</f>
        <v>DESCARTADO</v>
      </c>
      <c r="Q253" s="107">
        <f>IF(IFERROR(VLOOKUP(Q248,'Tabela de Apoio'!$D:$E,2,FALSE),1)=1,"",Q254)</f>
        <v>5.1485504517269653</v>
      </c>
      <c r="R253" s="107">
        <f>IF(IFERROR(VLOOKUP(R248,'Tabela de Apoio'!$D:$E,2,FALSE),1)=1,"",R254)</f>
        <v>2.6284376239127321</v>
      </c>
      <c r="S253" s="107">
        <f>IF(IFERROR(VLOOKUP(S248,'Tabela de Apoio'!$D:$E,2,FALSE),1)=1,"",S254)</f>
        <v>2.6488131093694198</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643"/>
        <v>12</v>
      </c>
      <c r="C254" s="128">
        <f t="shared" si="644"/>
        <v>1</v>
      </c>
      <c r="D254" s="127">
        <f t="shared" si="644"/>
        <v>12</v>
      </c>
      <c r="E254" s="743"/>
      <c r="F254" s="93"/>
      <c r="G254" s="745"/>
      <c r="H254" s="134">
        <f t="shared" ref="H254" si="713">COUNT($P254:$XX254)</f>
        <v>3</v>
      </c>
      <c r="I254" s="132">
        <f t="shared" ref="I254" si="714">_xlfn.STDEV.P($P253:$XX254)/AVERAGE($P253:$XX254)</f>
        <v>0.34046858868334712</v>
      </c>
      <c r="J254" s="7">
        <f t="shared" ref="J254" si="715">IF(AND(H254&gt;2,
OR(L246="MÉDIA SANEADA",L246="MEDIANA SANEADA",
AND(L246="PREÇO ESTIMADO",NOT(AND(P248="Orçamento",COUNTA(P246:XX246)=COUNTIF(P248:XX248,"Orçamento")))))),
ROW(),0)</f>
        <v>254</v>
      </c>
      <c r="K254" s="66"/>
      <c r="L254" s="29" t="s">
        <v>361</v>
      </c>
      <c r="M254" s="30">
        <f t="shared" ref="M254" si="716">MEDIAN($P252:$XX252)</f>
        <v>3.8986817805481926</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DESCARTADO</v>
      </c>
      <c r="Q254" s="107">
        <f t="shared" si="718"/>
        <v>5.1485504517269653</v>
      </c>
      <c r="R254" s="107">
        <f t="shared" si="718"/>
        <v>2.6284376239127321</v>
      </c>
      <c r="S254" s="107">
        <f t="shared" si="718"/>
        <v>2.6488131093694198</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f t="shared" si="643"/>
        <v>12</v>
      </c>
      <c r="C255" s="128">
        <f t="shared" si="644"/>
        <v>1</v>
      </c>
      <c r="D255" s="127">
        <f t="shared" si="644"/>
        <v>12</v>
      </c>
      <c r="E255" s="743"/>
      <c r="F255" s="93"/>
      <c r="G255" s="745"/>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DESCARTADO</v>
      </c>
      <c r="Q255" s="107" t="str">
        <f>IF(IFERROR(VLOOKUP(Q248,'Tabela de Apoio'!$D:$E,2,FALSE),1)=1,"",Q256)</f>
        <v>DESCARTADO</v>
      </c>
      <c r="R255" s="107">
        <f>IF(IFERROR(VLOOKUP(R248,'Tabela de Apoio'!$D:$E,2,FALSE),1)=1,"",R256)</f>
        <v>2.6284376239127321</v>
      </c>
      <c r="S255" s="107">
        <f>IF(IFERROR(VLOOKUP(S248,'Tabela de Apoio'!$D:$E,2,FALSE),1)=1,"",S256)</f>
        <v>2.6488131093694198</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643"/>
        <v>12</v>
      </c>
      <c r="C256" s="128">
        <f t="shared" si="644"/>
        <v>1</v>
      </c>
      <c r="D256" s="127">
        <f t="shared" si="644"/>
        <v>12</v>
      </c>
      <c r="E256" s="743"/>
      <c r="F256" s="93"/>
      <c r="G256" s="745"/>
      <c r="H256" s="134">
        <f t="shared" ref="H256" si="721">COUNT($P256:$XX256)</f>
        <v>2</v>
      </c>
      <c r="I256" s="132">
        <f t="shared" ref="I256" si="722">_xlfn.STDEV.P($P255:$XX256)/AVERAGE($P255:$XX256)</f>
        <v>3.8610038610038468E-3</v>
      </c>
      <c r="J256" s="7">
        <f t="shared" ref="J256" si="723">IF(AND(H256&gt;2,
OR(L246="MÉDIA SANEADA",L246="MEDIANA SANEADA",
AND(L246="PREÇO ESTIMADO",NOT(AND(P248="Orçamento",COUNTA(P246:XX246)=COUNTIF(P248:XX248,"Orçamento")))))),
ROW(),0)</f>
        <v>0</v>
      </c>
      <c r="K256" s="66"/>
      <c r="L256" s="29" t="s">
        <v>362</v>
      </c>
      <c r="M256" s="30">
        <f t="shared" ref="M256" si="724" xml:space="preserve">
IF(H254&gt;2,MEDIAN(P253:XX254),
IF(H256&gt;2,MEDIAN(P255:XX256),
IF(H258&gt;2,MEDIAN(P257:XX258),
IF(H260&gt;2,MEDIAN(P259:XX260),
IF(H262&gt;2,MEDIAN(P261:XX262),
IF(H264&gt;2,MEDIAN(P263:XX264),
MEDIAN(P251:XX252)))))))</f>
        <v>2.6488131093694198</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DESCARTADO</v>
      </c>
      <c r="Q256" s="107" t="str">
        <f t="shared" si="726"/>
        <v>DESCARTADO</v>
      </c>
      <c r="R256" s="107">
        <f t="shared" si="726"/>
        <v>2.6284376239127321</v>
      </c>
      <c r="S256" s="107">
        <f t="shared" si="726"/>
        <v>2.6488131093694198</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f t="shared" si="643"/>
        <v>12</v>
      </c>
      <c r="C257" s="128">
        <f t="shared" si="644"/>
        <v>1</v>
      </c>
      <c r="D257" s="127">
        <f t="shared" si="644"/>
        <v>12</v>
      </c>
      <c r="E257" s="743"/>
      <c r="F257" s="93"/>
      <c r="G257" s="745"/>
      <c r="H257"/>
      <c r="I257"/>
      <c r="J257"/>
      <c r="K257" s="66"/>
      <c r="L257" s="29" t="s">
        <v>359</v>
      </c>
      <c r="M257" s="30">
        <f t="shared" ref="M257" si="727">HARMEAN($P251:$XX252)</f>
        <v>3.6164491393302161</v>
      </c>
      <c r="N257" s="71"/>
      <c r="O257" s="27" t="str">
        <f t="shared" ref="O257" si="728">"3 POND"</f>
        <v>3 POND</v>
      </c>
      <c r="P257" s="107" t="str">
        <f>IF(IFERROR(VLOOKUP(P248,'Tabela de Apoio'!$D:$E,2,FALSE),1)=1,"",P258)</f>
        <v>DESCARTADO</v>
      </c>
      <c r="Q257" s="107" t="str">
        <f>IF(IFERROR(VLOOKUP(Q248,'Tabela de Apoio'!$D:$E,2,FALSE),1)=1,"",Q258)</f>
        <v>DESCARTADO</v>
      </c>
      <c r="R257" s="107">
        <f>IF(IFERROR(VLOOKUP(R248,'Tabela de Apoio'!$D:$E,2,FALSE),1)=1,"",R258)</f>
        <v>2.6284376239127321</v>
      </c>
      <c r="S257" s="107">
        <f>IF(IFERROR(VLOOKUP(S248,'Tabela de Apoio'!$D:$E,2,FALSE),1)=1,"",S258)</f>
        <v>2.6488131093694198</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643"/>
        <v>12</v>
      </c>
      <c r="C258" s="128">
        <f t="shared" si="644"/>
        <v>1</v>
      </c>
      <c r="D258" s="127">
        <f t="shared" si="644"/>
        <v>12</v>
      </c>
      <c r="E258" s="743"/>
      <c r="F258" s="93"/>
      <c r="G258" s="745"/>
      <c r="H258" s="134">
        <f t="shared" ref="H258" si="729">COUNT($P258:$XX258)</f>
        <v>2</v>
      </c>
      <c r="I258" s="132">
        <f t="shared" ref="I258" si="730">_xlfn.STDEV.P($P257:$XX258)/AVERAGE($P257:$XX258)</f>
        <v>3.8610038610038468E-3</v>
      </c>
      <c r="J258" s="7">
        <f t="shared" ref="J258" si="731">IF(AND(H258&gt;2,
OR(L246="MÉDIA SANEADA",L246="MEDIANA SANEADA",
AND(L246="PREÇO ESTIMADO",NOT(AND(P248="Orçamento",COUNTA(P246:XX246)=COUNTIF(P248:XX248,"Orçamento")))))),
ROW(),0)</f>
        <v>0</v>
      </c>
      <c r="K258" s="66"/>
      <c r="L258" s="29" t="s">
        <v>41</v>
      </c>
      <c r="M258" s="30">
        <f t="shared" ref="M258" si="732">IFERROR(_xlfn.QUARTILE.EXC($P252:$XX252,1),"")</f>
        <v>2.633531495276904</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DESCARTADO</v>
      </c>
      <c r="Q258" s="107" t="str">
        <f t="shared" si="734"/>
        <v>DESCARTADO</v>
      </c>
      <c r="R258" s="107">
        <f t="shared" si="734"/>
        <v>2.6284376239127321</v>
      </c>
      <c r="S258" s="107">
        <f t="shared" si="734"/>
        <v>2.6488131093694198</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f t="shared" si="643"/>
        <v>12</v>
      </c>
      <c r="C259" s="128">
        <f t="shared" si="644"/>
        <v>1</v>
      </c>
      <c r="D259" s="127">
        <f t="shared" si="644"/>
        <v>12</v>
      </c>
      <c r="E259" s="743"/>
      <c r="F259" s="93"/>
      <c r="G259" s="745"/>
      <c r="H259"/>
      <c r="I259"/>
      <c r="J259"/>
      <c r="K259" s="66"/>
      <c r="L259" s="29" t="s">
        <v>39</v>
      </c>
      <c r="M259" s="30">
        <f t="shared" ref="M259" si="735">IFERROR(_xlfn.QUARTILE.EXC($P252:$XX252,3),"")</f>
        <v>6.1621376129317413</v>
      </c>
      <c r="N259" s="71"/>
      <c r="O259" s="27" t="str">
        <f t="shared" ref="O259" si="736">"4 POND"</f>
        <v>4 POND</v>
      </c>
      <c r="P259" s="107" t="str">
        <f>IF(IFERROR(VLOOKUP(P248,'Tabela de Apoio'!$D:$E,2,FALSE),1)=1,"",P260)</f>
        <v>DESCARTADO</v>
      </c>
      <c r="Q259" s="107" t="str">
        <f>IF(IFERROR(VLOOKUP(Q248,'Tabela de Apoio'!$D:$E,2,FALSE),1)=1,"",Q260)</f>
        <v>DESCARTADO</v>
      </c>
      <c r="R259" s="107">
        <f>IF(IFERROR(VLOOKUP(R248,'Tabela de Apoio'!$D:$E,2,FALSE),1)=1,"",R260)</f>
        <v>2.6284376239127321</v>
      </c>
      <c r="S259" s="107">
        <f>IF(IFERROR(VLOOKUP(S248,'Tabela de Apoio'!$D:$E,2,FALSE),1)=1,"",S260)</f>
        <v>2.6488131093694198</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643"/>
        <v>12</v>
      </c>
      <c r="C260" s="128">
        <f t="shared" si="644"/>
        <v>1</v>
      </c>
      <c r="D260" s="127">
        <f t="shared" si="644"/>
        <v>12</v>
      </c>
      <c r="E260" s="743"/>
      <c r="F260" s="93"/>
      <c r="G260" s="745"/>
      <c r="H260" s="134">
        <f t="shared" ref="H260" si="737">COUNT($P260:$XX260)</f>
        <v>2</v>
      </c>
      <c r="I260" s="132">
        <f t="shared" ref="I260" si="738">_xlfn.STDEV.P($P259:$XX260)/AVERAGE($P259:$XX260)</f>
        <v>3.8610038610038468E-3</v>
      </c>
      <c r="J260" s="7">
        <f t="shared" ref="J260" si="739">IF(AND(H260&gt;2,
OR(L246="MÉDIA SANEADA",L246="MEDIANA SANEADA",
AND(L246="PREÇO ESTIMADO",NOT(AND(P248="Orçamento",COUNTA(P246:XX246)=COUNTIF(P248:XX248,"Orçamento")))))),
ROW(),0)</f>
        <v>0</v>
      </c>
      <c r="K260" s="66"/>
      <c r="L260" s="29" t="s">
        <v>42</v>
      </c>
      <c r="M260" s="30">
        <f t="shared" ref="M260" si="740">MIN($P252:$XX252)</f>
        <v>2.6284376239127321</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DESCARTADO</v>
      </c>
      <c r="Q260" s="107" t="str">
        <f t="shared" si="742"/>
        <v>DESCARTADO</v>
      </c>
      <c r="R260" s="107">
        <f t="shared" si="742"/>
        <v>2.6284376239127321</v>
      </c>
      <c r="S260" s="107">
        <f t="shared" si="742"/>
        <v>2.6488131093694198</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f t="shared" si="643"/>
        <v>12</v>
      </c>
      <c r="C261" s="128">
        <f t="shared" si="644"/>
        <v>1</v>
      </c>
      <c r="D261" s="127">
        <f t="shared" si="644"/>
        <v>12</v>
      </c>
      <c r="E261" s="743"/>
      <c r="F261" s="93"/>
      <c r="G261" s="745"/>
      <c r="H261"/>
      <c r="I261"/>
      <c r="J261"/>
      <c r="K261" s="66"/>
      <c r="L261" s="29" t="s">
        <v>40</v>
      </c>
      <c r="M261" s="30">
        <f t="shared" ref="M261" si="743">MAX($P252:$XX252)</f>
        <v>6.5</v>
      </c>
      <c r="N261" s="71"/>
      <c r="O261" s="27" t="str">
        <f t="shared" ref="O261" si="744">"5 POND"</f>
        <v>5 POND</v>
      </c>
      <c r="P261" s="107" t="str">
        <f>IF(IFERROR(VLOOKUP(P248,'Tabela de Apoio'!$D:$E,2,FALSE),1)=1,"",P262)</f>
        <v>DESCARTADO</v>
      </c>
      <c r="Q261" s="107" t="str">
        <f>IF(IFERROR(VLOOKUP(Q248,'Tabela de Apoio'!$D:$E,2,FALSE),1)=1,"",Q262)</f>
        <v>DESCARTADO</v>
      </c>
      <c r="R261" s="107">
        <f>IF(IFERROR(VLOOKUP(R248,'Tabela de Apoio'!$D:$E,2,FALSE),1)=1,"",R262)</f>
        <v>2.6284376239127321</v>
      </c>
      <c r="S261" s="107">
        <f>IF(IFERROR(VLOOKUP(S248,'Tabela de Apoio'!$D:$E,2,FALSE),1)=1,"",S262)</f>
        <v>2.6488131093694198</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643"/>
        <v>12</v>
      </c>
      <c r="C262" s="128">
        <f t="shared" si="644"/>
        <v>1</v>
      </c>
      <c r="D262" s="127">
        <f t="shared" si="644"/>
        <v>12</v>
      </c>
      <c r="E262" s="743"/>
      <c r="F262" s="93"/>
      <c r="G262" s="745"/>
      <c r="H262" s="134">
        <f t="shared" ref="H262" si="745">COUNT($P262:$XX262)</f>
        <v>2</v>
      </c>
      <c r="I262" s="132">
        <f t="shared" ref="I262" si="746">_xlfn.STDEV.P($P261:$XX262)/AVERAGE($P261:$XX262)</f>
        <v>3.8610038610038468E-3</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DESCARTADO</v>
      </c>
      <c r="Q262" s="107" t="str">
        <f t="shared" si="749"/>
        <v>DESCARTADO</v>
      </c>
      <c r="R262" s="107">
        <f t="shared" si="749"/>
        <v>2.6284376239127321</v>
      </c>
      <c r="S262" s="107">
        <f t="shared" si="749"/>
        <v>2.6488131093694198</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f t="shared" si="643"/>
        <v>12</v>
      </c>
      <c r="C263" s="128">
        <f t="shared" si="644"/>
        <v>1</v>
      </c>
      <c r="D263" s="127">
        <f t="shared" si="644"/>
        <v>12</v>
      </c>
      <c r="E263" s="743"/>
      <c r="F263" s="93"/>
      <c r="G263" s="745"/>
      <c r="H263"/>
      <c r="I263"/>
      <c r="J263"/>
      <c r="K263" s="66"/>
      <c r="L263" s="22"/>
      <c r="M263" s="22"/>
      <c r="N263" s="71"/>
      <c r="O263" s="27" t="str">
        <f t="shared" ref="O263" si="750">"6 POND"</f>
        <v>6 POND</v>
      </c>
      <c r="P263" s="107" t="str">
        <f>IF(IFERROR(VLOOKUP(P248,'Tabela de Apoio'!$D:$E,2,FALSE),1)=1,"",P264)</f>
        <v>DESCARTADO</v>
      </c>
      <c r="Q263" s="107" t="str">
        <f>IF(IFERROR(VLOOKUP(Q248,'Tabela de Apoio'!$D:$E,2,FALSE),1)=1,"",Q264)</f>
        <v>DESCARTADO</v>
      </c>
      <c r="R263" s="107">
        <f>IF(IFERROR(VLOOKUP(R248,'Tabela de Apoio'!$D:$E,2,FALSE),1)=1,"",R264)</f>
        <v>2.6284376239127321</v>
      </c>
      <c r="S263" s="107">
        <f>IF(IFERROR(VLOOKUP(S248,'Tabela de Apoio'!$D:$E,2,FALSE),1)=1,"",S264)</f>
        <v>2.6488131093694198</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643"/>
        <v>12</v>
      </c>
      <c r="C264" s="128">
        <f t="shared" si="644"/>
        <v>1</v>
      </c>
      <c r="D264" s="127">
        <f t="shared" si="644"/>
        <v>12</v>
      </c>
      <c r="E264" s="743"/>
      <c r="F264" s="93"/>
      <c r="G264" s="745"/>
      <c r="H264" s="134">
        <f t="shared" ref="H264" si="751">COUNT($P264:$XX264)</f>
        <v>2</v>
      </c>
      <c r="I264" s="132">
        <f t="shared" ref="I264" si="752">_xlfn.STDEV.P($P263:$XX264)/AVERAGE($P263:$XX264)</f>
        <v>3.8610038610038468E-3</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DESCARTADO</v>
      </c>
      <c r="Q264" s="107" t="str">
        <f t="shared" si="755"/>
        <v>DESCARTADO</v>
      </c>
      <c r="R264" s="107">
        <f t="shared" si="755"/>
        <v>2.6284376239127321</v>
      </c>
      <c r="S264" s="107">
        <f t="shared" si="755"/>
        <v>2.6488131093694198</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f t="shared" si="643"/>
        <v>12</v>
      </c>
      <c r="C265" s="128">
        <f t="shared" si="644"/>
        <v>1</v>
      </c>
      <c r="D265" s="127">
        <f t="shared" si="644"/>
        <v>12</v>
      </c>
      <c r="E265" s="743"/>
      <c r="F265" s="136"/>
      <c r="G265" s="745"/>
      <c r="H265" s="748"/>
      <c r="I265" s="748"/>
      <c r="J265" s="749"/>
      <c r="K265" s="67"/>
      <c r="L265" s="1" t="s">
        <v>43</v>
      </c>
      <c r="M265" s="144">
        <f t="shared" ref="M265" si="756">IFERROR(ROUND(M246*M248,2),"")</f>
        <v>0</v>
      </c>
      <c r="O265" s="27" t="s">
        <v>363</v>
      </c>
      <c r="P265" s="107" t="str">
        <f t="shared" ref="P265:AI286" si="757">INDEX(P252:P264,MATCH(MAX($J252:$J264),$J252:$J264,0))</f>
        <v>DESCARTADO</v>
      </c>
      <c r="Q265" s="107">
        <f t="shared" si="757"/>
        <v>5.1485504517269653</v>
      </c>
      <c r="R265" s="107">
        <f t="shared" si="757"/>
        <v>2.6284376239127321</v>
      </c>
      <c r="S265" s="107">
        <f t="shared" si="757"/>
        <v>2.6488131093694198</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f t="shared" ref="B267" si="758">LARGE(IFERROR(IF(B265+1&gt;$H$8,"",B265+1),""),1)</f>
        <v>13</v>
      </c>
      <c r="C267" s="127">
        <f>IF(_xlfn.ISFORMULA(E271),MAX(INDEX('BASE FORMAÇÃO'!A:A,B267+1),1),E271)</f>
        <v>1</v>
      </c>
      <c r="D267" s="127">
        <f t="shared" ref="D267" si="759">IFERROR(IF(C267=C257,D257+1,1),1)</f>
        <v>13</v>
      </c>
      <c r="E267" s="38" t="s">
        <v>9</v>
      </c>
      <c r="F267" s="73"/>
      <c r="G267" s="38" t="s">
        <v>15</v>
      </c>
      <c r="H267" s="135">
        <f>INDEX('BASE FORMAÇÃO'!B:B,B267+1)</f>
        <v>0</v>
      </c>
      <c r="I267" s="143" t="s">
        <v>16</v>
      </c>
      <c r="J267" s="6">
        <f>INDEX('BASE FORMAÇÃO'!K:K,B267+1)</f>
        <v>0</v>
      </c>
      <c r="K267" s="65"/>
      <c r="L267" s="750" t="s">
        <v>10</v>
      </c>
      <c r="M267" s="752">
        <f t="shared" ref="M267" si="760">IF(OR(ISBLANK($O$8),ISBLANK($O$7),ISBLANK($H$8),ISBLANK($O$6),ISBLANK($O$5),ISBLANK($H$5)),"",IFERROR(IF(VLOOKUP(L267,L273:M282,2,FALSE)&lt;1,ROUND(VLOOKUP(L267,L273:M282,2,FALSE),4),ROUND(VLOOKUP(L267,L273:M282,2,FALSE),2)),""))</f>
        <v>53.9</v>
      </c>
      <c r="N267" s="69"/>
      <c r="O267" s="27" t="s">
        <v>17</v>
      </c>
      <c r="P267" s="113">
        <v>52</v>
      </c>
      <c r="Q267" s="113">
        <v>18.45</v>
      </c>
      <c r="R267" s="113">
        <v>54.09</v>
      </c>
      <c r="S267" s="113">
        <v>128</v>
      </c>
      <c r="T267" s="113">
        <v>54</v>
      </c>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8" si="761">B267</f>
        <v>13</v>
      </c>
      <c r="C268" s="128">
        <f t="shared" si="761"/>
        <v>1</v>
      </c>
      <c r="D268" s="127">
        <f t="shared" si="761"/>
        <v>13</v>
      </c>
      <c r="E268" s="754">
        <f t="shared" ref="E268" si="762">D267</f>
        <v>13</v>
      </c>
      <c r="F268" s="92"/>
      <c r="G268" s="756" t="s">
        <v>1</v>
      </c>
      <c r="H268" s="765" t="s">
        <v>444</v>
      </c>
      <c r="I268" s="759"/>
      <c r="J268" s="760"/>
      <c r="K268" s="66"/>
      <c r="L268" s="751"/>
      <c r="M268" s="753"/>
      <c r="N268" s="70"/>
      <c r="O268" s="27" t="s">
        <v>13</v>
      </c>
      <c r="P268" s="122">
        <v>45776</v>
      </c>
      <c r="Q268" s="122">
        <v>45735</v>
      </c>
      <c r="R268" s="122">
        <v>45727</v>
      </c>
      <c r="S268" s="122">
        <v>45715</v>
      </c>
      <c r="T268" s="122">
        <v>45622</v>
      </c>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ref="B269:D269" si="763">B268</f>
        <v>13</v>
      </c>
      <c r="C269" s="128">
        <f t="shared" si="763"/>
        <v>1</v>
      </c>
      <c r="D269" s="127">
        <f t="shared" si="763"/>
        <v>13</v>
      </c>
      <c r="E269" s="755"/>
      <c r="F269" s="93"/>
      <c r="G269" s="757"/>
      <c r="H269" s="761"/>
      <c r="I269" s="761"/>
      <c r="J269" s="762"/>
      <c r="K269" s="64"/>
      <c r="L269" s="130" t="s">
        <v>44</v>
      </c>
      <c r="M269" s="131">
        <f>INDEX('BASE FORMAÇÃO'!H:H,B271+1)</f>
        <v>0</v>
      </c>
      <c r="N269" s="71"/>
      <c r="O269" s="27" t="s">
        <v>380</v>
      </c>
      <c r="P269" s="114" t="s">
        <v>12</v>
      </c>
      <c r="Q269" s="114" t="s">
        <v>12</v>
      </c>
      <c r="R269" s="114" t="s">
        <v>12</v>
      </c>
      <c r="S269" s="114" t="s">
        <v>12</v>
      </c>
      <c r="T269" s="114" t="s">
        <v>12</v>
      </c>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 t="shared" ref="B270:C270" si="764">B269</f>
        <v>13</v>
      </c>
      <c r="C270" s="128">
        <f t="shared" si="764"/>
        <v>1</v>
      </c>
      <c r="D270" s="127">
        <f t="shared" si="644"/>
        <v>13</v>
      </c>
      <c r="E270" s="38" t="s">
        <v>313</v>
      </c>
      <c r="F270" s="93"/>
      <c r="G270" s="758"/>
      <c r="H270" s="763"/>
      <c r="I270" s="763"/>
      <c r="J270" s="764"/>
      <c r="K270" s="64"/>
      <c r="L270" s="1" t="s">
        <v>2</v>
      </c>
      <c r="M270" s="6">
        <f>INDEX('BASE FORMAÇÃO'!D:D,B271+1)</f>
        <v>0</v>
      </c>
      <c r="N270" s="71"/>
      <c r="O270" s="27" t="s">
        <v>381</v>
      </c>
      <c r="P270" s="182" t="s">
        <v>450</v>
      </c>
      <c r="Q270" s="182" t="s">
        <v>450</v>
      </c>
      <c r="R270" s="182" t="s">
        <v>450</v>
      </c>
      <c r="S270" s="182" t="s">
        <v>450</v>
      </c>
      <c r="T270" s="182" t="s">
        <v>450</v>
      </c>
      <c r="U270" s="118"/>
      <c r="V270" s="118"/>
      <c r="W270" s="118"/>
      <c r="X270" s="118"/>
      <c r="Y270" s="118"/>
      <c r="Z270" s="118"/>
      <c r="AA270" s="118"/>
      <c r="AB270" s="118"/>
      <c r="AC270" s="118"/>
      <c r="AD270" s="118"/>
      <c r="AE270" s="118"/>
      <c r="AF270" s="118"/>
      <c r="AG270" s="118"/>
      <c r="AH270" s="118"/>
      <c r="AI270" s="118"/>
    </row>
    <row r="271" spans="1:167" x14ac:dyDescent="0.25">
      <c r="B271" s="128">
        <f t="shared" ref="B271:C271" si="765">B269</f>
        <v>13</v>
      </c>
      <c r="C271" s="128">
        <f t="shared" si="765"/>
        <v>1</v>
      </c>
      <c r="D271" s="127">
        <f t="shared" si="644"/>
        <v>13</v>
      </c>
      <c r="E271" s="742">
        <f t="shared" ref="E271" si="766">C267</f>
        <v>1</v>
      </c>
      <c r="F271" s="93"/>
      <c r="G271" s="744" t="s">
        <v>304</v>
      </c>
      <c r="H271" s="746"/>
      <c r="I271" s="747"/>
      <c r="J271" s="747"/>
      <c r="K271" s="67"/>
      <c r="L271" s="28" t="s">
        <v>303</v>
      </c>
      <c r="M271" s="133">
        <f t="shared" ref="M271" si="767">IFERROR(INDEX(I273:I285,MATCH(MAX(J273:J285),J273:J285,0)),"")</f>
        <v>2.7416729358614614E-2</v>
      </c>
      <c r="N271" s="71"/>
      <c r="O271" s="27" t="s">
        <v>18</v>
      </c>
      <c r="P271" s="106">
        <f>IF(P267="","",
IF(OR(P269="Orçamento",P268="",MAX('Tabela de Apoio'!$A:$A)&lt;=P268),
P267,
(INDEX('Tabela de Apoio'!$B:$B,MATCH('MAPA DE PREÇOS'!$O$8,'Tabela de Apoio'!$A:$A,1))/INDEX('Tabela de Apoio'!$B:$B,MATCH('MAPA DE PREÇOS'!P268,'Tabela de Apoio'!$A:$A,1)-1))*P267))</f>
        <v>52</v>
      </c>
      <c r="Q271" s="106">
        <f>IF(Q267="","",
IF(OR(Q269="Orçamento",Q268="",MAX('Tabela de Apoio'!$A:$A)&lt;=Q268),
Q267,
(INDEX('Tabela de Apoio'!$B:$B,MATCH('MAPA DE PREÇOS'!$O$8,'Tabela de Apoio'!$A:$A,1))/INDEX('Tabela de Apoio'!$B:$B,MATCH('MAPA DE PREÇOS'!Q268,'Tabela de Apoio'!$A:$A,1)-1))*Q267))</f>
        <v>18.45</v>
      </c>
      <c r="R271" s="106">
        <f>IF(R267="","",
IF(OR(R269="Orçamento",R268="",MAX('Tabela de Apoio'!$A:$A)&lt;=R268),
R267,
(INDEX('Tabela de Apoio'!$B:$B,MATCH('MAPA DE PREÇOS'!$O$8,'Tabela de Apoio'!$A:$A,1))/INDEX('Tabela de Apoio'!$B:$B,MATCH('MAPA DE PREÇOS'!R268,'Tabela de Apoio'!$A:$A,1)-1))*R267))</f>
        <v>54.09</v>
      </c>
      <c r="S271" s="106">
        <f>IF(S267="","",
IF(OR(S269="Orçamento",S268="",MAX('Tabela de Apoio'!$A:$A)&lt;=S268),
S267,
(INDEX('Tabela de Apoio'!$B:$B,MATCH('MAPA DE PREÇOS'!$O$8,'Tabela de Apoio'!$A:$A,1))/INDEX('Tabela de Apoio'!$B:$B,MATCH('MAPA DE PREÇOS'!S268,'Tabela de Apoio'!$A:$A,1)-1))*S267))</f>
        <v>130.40310692280221</v>
      </c>
      <c r="T271" s="106">
        <f>IF(T267="","",
IF(OR(T269="Orçamento",T268="",MAX('Tabela de Apoio'!$A:$A)&lt;=T268),
T267,
(INDEX('Tabela de Apoio'!$B:$B,MATCH('MAPA DE PREÇOS'!$O$8,'Tabela de Apoio'!$A:$A,1))/INDEX('Tabela de Apoio'!$B:$B,MATCH('MAPA DE PREÇOS'!T268,'Tabela de Apoio'!$A:$A,1)-1))*T267))</f>
        <v>55.604344878651226</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 si="768">B271</f>
        <v>13</v>
      </c>
      <c r="C272" s="128">
        <f t="shared" ref="C272" si="769">C271</f>
        <v>1</v>
      </c>
      <c r="D272" s="127">
        <f t="shared" si="644"/>
        <v>13</v>
      </c>
      <c r="E272" s="743"/>
      <c r="F272" s="93"/>
      <c r="G272" s="745"/>
      <c r="H272"/>
      <c r="I272"/>
      <c r="J272"/>
      <c r="N272" s="71"/>
      <c r="O272" s="27" t="s">
        <v>375</v>
      </c>
      <c r="P272" s="107">
        <f>IF(IFERROR(VLOOKUP(P269,'Tabela de Apoio'!$D:$E,2,FALSE),1)=1,"",P273)</f>
        <v>52</v>
      </c>
      <c r="Q272" s="107" t="str">
        <f>IF(IFERROR(VLOOKUP(Q269,'Tabela de Apoio'!$D:$E,2,FALSE),1)=1,"",Q273)</f>
        <v>DESCARTADO</v>
      </c>
      <c r="R272" s="107">
        <f>IF(IFERROR(VLOOKUP(R269,'Tabela de Apoio'!$D:$E,2,FALSE),1)=1,"",R273)</f>
        <v>54.09</v>
      </c>
      <c r="S272" s="107" t="str">
        <f>IF(IFERROR(VLOOKUP(S269,'Tabela de Apoio'!$D:$E,2,FALSE),1)=1,"",S273)</f>
        <v>DESCARTADO</v>
      </c>
      <c r="T272" s="107">
        <f>IF(IFERROR(VLOOKUP(T269,'Tabela de Apoio'!$D:$E,2,FALSE),1)=1,"",T273)</f>
        <v>55.604344878651226</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ref="B273:C273" si="770">B272</f>
        <v>13</v>
      </c>
      <c r="C273" s="128">
        <f t="shared" si="770"/>
        <v>1</v>
      </c>
      <c r="D273" s="127">
        <f t="shared" si="644"/>
        <v>13</v>
      </c>
      <c r="E273" s="743"/>
      <c r="F273" s="93"/>
      <c r="G273" s="745"/>
      <c r="H273" s="134">
        <f t="shared" ref="H273" si="771">COUNT($P273:$XX273)</f>
        <v>3</v>
      </c>
      <c r="I273" s="132">
        <f t="shared" ref="I273" si="772">_xlfn.STDEV.P($P272:$XX273)/AVERAGE($P272:$XX273)</f>
        <v>2.7416729358614614E-2</v>
      </c>
      <c r="J273" s="7">
        <f>ROW()</f>
        <v>273</v>
      </c>
      <c r="K273" s="67"/>
      <c r="L273" s="29" t="s">
        <v>10</v>
      </c>
      <c r="M273" s="30">
        <f t="shared" ref="M273" si="773">IFERROR(
IF(COUNTA(P267:AI267)=COUNTIF(P269:XX269,"Orçamento"),MIN(M278,M275),
IF(M276&lt;&gt;"",M276,
IF(M277&lt;&gt;"",M277,
M275
))),"")</f>
        <v>53.898114959550412</v>
      </c>
      <c r="N273" s="71"/>
      <c r="O273" s="27" t="s">
        <v>376</v>
      </c>
      <c r="P273" s="106">
        <f t="shared" ref="P273:AI273" si="774">IFERROR(IF(P271="",
            "",
            IF(COUNT($P271:$XX271)&lt;=4,
               P271,
               IF(OR(P271&gt;(QUARTILE($P271:$XX271,3)+(QUARTILE($P271:$XX271,3)-QUARTILE($P271:$XX271,1))),
                     P271&lt;(QUARTILE($P271:$XX271,1)-(QUARTILE($P271:$XX271,3)-QUARTILE($P271:$XX271,1)))
                  ),
               "DESCARTADO",P271)
             )
  ),P271)</f>
        <v>52</v>
      </c>
      <c r="Q273" s="106" t="str">
        <f t="shared" si="774"/>
        <v>DESCARTADO</v>
      </c>
      <c r="R273" s="106">
        <f t="shared" si="774"/>
        <v>54.09</v>
      </c>
      <c r="S273" s="106" t="str">
        <f t="shared" si="774"/>
        <v>DESCARTADO</v>
      </c>
      <c r="T273" s="106">
        <f t="shared" si="774"/>
        <v>55.604344878651226</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f t="shared" ref="B274" si="775">B273</f>
        <v>13</v>
      </c>
      <c r="C274" s="128">
        <f t="shared" ref="C274" si="776">C273</f>
        <v>1</v>
      </c>
      <c r="D274" s="127">
        <f t="shared" si="644"/>
        <v>13</v>
      </c>
      <c r="E274" s="743"/>
      <c r="F274" s="93"/>
      <c r="G274" s="745"/>
      <c r="H274"/>
      <c r="I274"/>
      <c r="J274"/>
      <c r="K274" s="66"/>
      <c r="L274" s="29" t="s">
        <v>360</v>
      </c>
      <c r="M274" s="30">
        <f t="shared" ref="M274" si="777">AVERAGE($P273:$XX273)</f>
        <v>53.898114959550412</v>
      </c>
      <c r="N274" s="71"/>
      <c r="O274" s="27" t="str">
        <f t="shared" ref="O274" si="778">"1 POND"</f>
        <v>1 POND</v>
      </c>
      <c r="P274" s="107">
        <f>IF(IFERROR(VLOOKUP(P269,'Tabela de Apoio'!$D:$E,2,FALSE),1)=1,"",P275)</f>
        <v>52</v>
      </c>
      <c r="Q274" s="107" t="str">
        <f>IF(IFERROR(VLOOKUP(Q269,'Tabela de Apoio'!$D:$E,2,FALSE),1)=1,"",Q275)</f>
        <v>DESCARTADO</v>
      </c>
      <c r="R274" s="107">
        <f>IF(IFERROR(VLOOKUP(R269,'Tabela de Apoio'!$D:$E,2,FALSE),1)=1,"",R275)</f>
        <v>54.09</v>
      </c>
      <c r="S274" s="107" t="str">
        <f>IF(IFERROR(VLOOKUP(S269,'Tabela de Apoio'!$D:$E,2,FALSE),1)=1,"",S275)</f>
        <v>DESCARTADO</v>
      </c>
      <c r="T274" s="107">
        <f>IF(IFERROR(VLOOKUP(T269,'Tabela de Apoio'!$D:$E,2,FALSE),1)=1,"",T275)</f>
        <v>55.604344878651226</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643"/>
        <v>13</v>
      </c>
      <c r="C275" s="128">
        <f t="shared" si="644"/>
        <v>1</v>
      </c>
      <c r="D275" s="127">
        <f t="shared" si="644"/>
        <v>13</v>
      </c>
      <c r="E275" s="743"/>
      <c r="F275" s="93"/>
      <c r="G275" s="745"/>
      <c r="H275" s="134">
        <f t="shared" ref="H275" si="779">COUNT($P275:$XX275)</f>
        <v>3</v>
      </c>
      <c r="I275" s="132">
        <f t="shared" ref="I275" si="780">_xlfn.STDEV.P($P274:$XX275)/AVERAGE($P274:$XX275)</f>
        <v>2.7416729358614614E-2</v>
      </c>
      <c r="J275" s="7">
        <f t="shared" ref="J275" si="781">IF(AND(H275&gt;2,
OR(L267="MÉDIA SANEADA",L267="MEDIANA SANEADA",
AND(L267="PREÇO ESTIMADO",NOT(AND(P269="Orçamento",COUNTA(P267:XX267)=COUNTIF(P269:XX269,"Orçamento")))))),
ROW(),0)</f>
        <v>275</v>
      </c>
      <c r="K275" s="66"/>
      <c r="L275" s="29" t="s">
        <v>361</v>
      </c>
      <c r="M275" s="30">
        <f t="shared" ref="M275" si="782">MEDIAN($P273:$XX273)</f>
        <v>54.09</v>
      </c>
      <c r="N275" s="71"/>
      <c r="O275" s="27" t="str">
        <f t="shared" ref="O275" si="783">"1 RODADA"</f>
        <v>1 RODADA</v>
      </c>
      <c r="P275" s="107">
        <f t="shared" ref="P275:AI275" si="784">IF(P273="","",IF((_xlfn.STDEV.P($P272:$XX273)/AVERAGE($P272:$XX273))&lt;=25%,P273,IF(OR(P273&gt;(AVERAGE($P272:$XX273)+_xlfn.STDEV.P($P272:$XX273)),P273&lt;(AVERAGE($P272:$XX273)-_xlfn.STDEV.P($P272:$XX273))),"DESCARTADO",P273)))</f>
        <v>52</v>
      </c>
      <c r="Q275" s="107" t="str">
        <f t="shared" si="784"/>
        <v>DESCARTADO</v>
      </c>
      <c r="R275" s="107">
        <f t="shared" si="784"/>
        <v>54.09</v>
      </c>
      <c r="S275" s="107" t="str">
        <f t="shared" si="784"/>
        <v>DESCARTADO</v>
      </c>
      <c r="T275" s="107">
        <f t="shared" si="784"/>
        <v>55.604344878651226</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f t="shared" si="643"/>
        <v>13</v>
      </c>
      <c r="C276" s="128">
        <f t="shared" si="644"/>
        <v>1</v>
      </c>
      <c r="D276" s="127">
        <f t="shared" si="644"/>
        <v>13</v>
      </c>
      <c r="E276" s="743"/>
      <c r="F276" s="93"/>
      <c r="G276" s="745"/>
      <c r="H276"/>
      <c r="I276"/>
      <c r="J276"/>
      <c r="L276" s="29" t="s">
        <v>38</v>
      </c>
      <c r="M276" s="30">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53.898114959550412</v>
      </c>
      <c r="N276" s="71"/>
      <c r="O276" s="27" t="str">
        <f t="shared" ref="O276" si="786">"2 POND"</f>
        <v>2 POND</v>
      </c>
      <c r="P276" s="107">
        <f>IF(IFERROR(VLOOKUP(P269,'Tabela de Apoio'!$D:$E,2,FALSE),1)=1,"",P277)</f>
        <v>52</v>
      </c>
      <c r="Q276" s="107" t="str">
        <f>IF(IFERROR(VLOOKUP(Q269,'Tabela de Apoio'!$D:$E,2,FALSE),1)=1,"",Q277)</f>
        <v>DESCARTADO</v>
      </c>
      <c r="R276" s="107">
        <f>IF(IFERROR(VLOOKUP(R269,'Tabela de Apoio'!$D:$E,2,FALSE),1)=1,"",R277)</f>
        <v>54.09</v>
      </c>
      <c r="S276" s="107" t="str">
        <f>IF(IFERROR(VLOOKUP(S269,'Tabela de Apoio'!$D:$E,2,FALSE),1)=1,"",S277)</f>
        <v>DESCARTADO</v>
      </c>
      <c r="T276" s="107">
        <f>IF(IFERROR(VLOOKUP(T269,'Tabela de Apoio'!$D:$E,2,FALSE),1)=1,"",T277)</f>
        <v>55.604344878651226</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643"/>
        <v>13</v>
      </c>
      <c r="C277" s="128">
        <f t="shared" si="644"/>
        <v>1</v>
      </c>
      <c r="D277" s="127">
        <f t="shared" si="644"/>
        <v>13</v>
      </c>
      <c r="E277" s="743"/>
      <c r="F277" s="93"/>
      <c r="G277" s="745"/>
      <c r="H277" s="134">
        <f t="shared" ref="H277" si="787">COUNT($P277:$XX277)</f>
        <v>3</v>
      </c>
      <c r="I277" s="132">
        <f t="shared" ref="I277" si="788">_xlfn.STDEV.P($P276:$XX277)/AVERAGE($P276:$XX277)</f>
        <v>2.7416729358614614E-2</v>
      </c>
      <c r="J277" s="7">
        <f t="shared" ref="J277" si="789">IF(AND(H277&gt;2,
OR(L267="MÉDIA SANEADA",L267="MEDIANA SANEADA",
AND(L267="PREÇO ESTIMADO",NOT(AND(P269="Orçamento",COUNTA(P267:XX267)=COUNTIF(P269:XX269,"Orçamento")))))),
ROW(),0)</f>
        <v>277</v>
      </c>
      <c r="K277" s="66"/>
      <c r="L277" s="29" t="s">
        <v>362</v>
      </c>
      <c r="M277" s="30">
        <f t="shared" ref="M277" si="790" xml:space="preserve">
IF(H275&gt;2,MEDIAN(P274:XX275),
IF(H277&gt;2,MEDIAN(P276:XX277),
IF(H279&gt;2,MEDIAN(P278:XX279),
IF(H281&gt;2,MEDIAN(P280:XX281),
IF(H283&gt;2,MEDIAN(P282:XX283),
IF(H285&gt;2,MEDIAN(P284:XX285),
MEDIAN(P272:XX273)))))))</f>
        <v>54.09</v>
      </c>
      <c r="N277" s="71"/>
      <c r="O277" s="27" t="str">
        <f t="shared" ref="O277" si="791">"2 RODADA"</f>
        <v>2 RODADA</v>
      </c>
      <c r="P277" s="107">
        <f t="shared" ref="P277:AI277" si="792">IF(P275="","",IF((_xlfn.STDEV.P($P274:$XX275)/AVERAGE($P274:$XX275))&lt;=25%,P275,IF(OR(P275&gt;(AVERAGE($P274:$XX275)+_xlfn.STDEV.P($P274:$XX275)),P275&lt;(AVERAGE($P274:$XX275)-_xlfn.STDEV.P($P274:$XX275))),"DESCARTADO",P275)))</f>
        <v>52</v>
      </c>
      <c r="Q277" s="107" t="str">
        <f t="shared" si="792"/>
        <v>DESCARTADO</v>
      </c>
      <c r="R277" s="107">
        <f t="shared" si="792"/>
        <v>54.09</v>
      </c>
      <c r="S277" s="107" t="str">
        <f t="shared" si="792"/>
        <v>DESCARTADO</v>
      </c>
      <c r="T277" s="107">
        <f t="shared" si="792"/>
        <v>55.604344878651226</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f t="shared" si="643"/>
        <v>13</v>
      </c>
      <c r="C278" s="128">
        <f t="shared" si="644"/>
        <v>1</v>
      </c>
      <c r="D278" s="127">
        <f t="shared" si="644"/>
        <v>13</v>
      </c>
      <c r="E278" s="743"/>
      <c r="F278" s="93"/>
      <c r="G278" s="745"/>
      <c r="H278"/>
      <c r="I278"/>
      <c r="J278"/>
      <c r="K278" s="66"/>
      <c r="L278" s="29" t="s">
        <v>359</v>
      </c>
      <c r="M278" s="30">
        <f t="shared" ref="M278" si="793">HARMEAN($P272:$XX273)</f>
        <v>53.857371749397252</v>
      </c>
      <c r="N278" s="71"/>
      <c r="O278" s="27" t="str">
        <f t="shared" ref="O278" si="794">"3 POND"</f>
        <v>3 POND</v>
      </c>
      <c r="P278" s="107">
        <f>IF(IFERROR(VLOOKUP(P269,'Tabela de Apoio'!$D:$E,2,FALSE),1)=1,"",P279)</f>
        <v>52</v>
      </c>
      <c r="Q278" s="107" t="str">
        <f>IF(IFERROR(VLOOKUP(Q269,'Tabela de Apoio'!$D:$E,2,FALSE),1)=1,"",Q279)</f>
        <v>DESCARTADO</v>
      </c>
      <c r="R278" s="107">
        <f>IF(IFERROR(VLOOKUP(R269,'Tabela de Apoio'!$D:$E,2,FALSE),1)=1,"",R279)</f>
        <v>54.09</v>
      </c>
      <c r="S278" s="107" t="str">
        <f>IF(IFERROR(VLOOKUP(S269,'Tabela de Apoio'!$D:$E,2,FALSE),1)=1,"",S279)</f>
        <v>DESCARTADO</v>
      </c>
      <c r="T278" s="107">
        <f>IF(IFERROR(VLOOKUP(T269,'Tabela de Apoio'!$D:$E,2,FALSE),1)=1,"",T279)</f>
        <v>55.604344878651226</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643"/>
        <v>13</v>
      </c>
      <c r="C279" s="128">
        <f t="shared" si="644"/>
        <v>1</v>
      </c>
      <c r="D279" s="127">
        <f t="shared" si="644"/>
        <v>13</v>
      </c>
      <c r="E279" s="743"/>
      <c r="F279" s="93"/>
      <c r="G279" s="745"/>
      <c r="H279" s="134">
        <f t="shared" ref="H279" si="795">COUNT($P279:$XX279)</f>
        <v>3</v>
      </c>
      <c r="I279" s="132">
        <f t="shared" ref="I279" si="796">_xlfn.STDEV.P($P278:$XX279)/AVERAGE($P278:$XX279)</f>
        <v>2.7416729358614614E-2</v>
      </c>
      <c r="J279" s="7">
        <f t="shared" ref="J279" si="797">IF(AND(H279&gt;2,
OR(L267="MÉDIA SANEADA",L267="MEDIANA SANEADA",
AND(L267="PREÇO ESTIMADO",NOT(AND(P269="Orçamento",COUNTA(P267:XX267)=COUNTIF(P269:XX269,"Orçamento")))))),
ROW(),0)</f>
        <v>279</v>
      </c>
      <c r="K279" s="66"/>
      <c r="L279" s="29" t="s">
        <v>41</v>
      </c>
      <c r="M279" s="30">
        <f t="shared" ref="M279" si="798">IFERROR(_xlfn.QUARTILE.EXC($P273:$XX273,1),"")</f>
        <v>52</v>
      </c>
      <c r="N279" s="71"/>
      <c r="O279" s="27" t="str">
        <f t="shared" ref="O279" si="799">"3 RODADA"</f>
        <v>3 RODADA</v>
      </c>
      <c r="P279" s="107">
        <f t="shared" ref="P279:AI279" si="800">IF(P277="","",IF((_xlfn.STDEV.P($P276:$XX277)/AVERAGE($P276:$XX277))&lt;=25%,P277,IF(OR(P277&gt;(AVERAGE($P276:$XX277)+_xlfn.STDEV.P($P276:$XX277)),P277&lt;(AVERAGE($P276:$XX277)-_xlfn.STDEV.P($P276:$XX277))),"DESCARTADO",P277)))</f>
        <v>52</v>
      </c>
      <c r="Q279" s="107" t="str">
        <f t="shared" si="800"/>
        <v>DESCARTADO</v>
      </c>
      <c r="R279" s="107">
        <f t="shared" si="800"/>
        <v>54.09</v>
      </c>
      <c r="S279" s="107" t="str">
        <f t="shared" si="800"/>
        <v>DESCARTADO</v>
      </c>
      <c r="T279" s="107">
        <f t="shared" si="800"/>
        <v>55.604344878651226</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f t="shared" si="643"/>
        <v>13</v>
      </c>
      <c r="C280" s="128">
        <f t="shared" si="644"/>
        <v>1</v>
      </c>
      <c r="D280" s="127">
        <f t="shared" si="644"/>
        <v>13</v>
      </c>
      <c r="E280" s="743"/>
      <c r="F280" s="93"/>
      <c r="G280" s="745"/>
      <c r="H280"/>
      <c r="I280"/>
      <c r="J280"/>
      <c r="K280" s="66"/>
      <c r="L280" s="29" t="s">
        <v>39</v>
      </c>
      <c r="M280" s="30">
        <f t="shared" ref="M280" si="801">IFERROR(_xlfn.QUARTILE.EXC($P273:$XX273,3),"")</f>
        <v>55.604344878651226</v>
      </c>
      <c r="N280" s="71"/>
      <c r="O280" s="27" t="str">
        <f t="shared" ref="O280" si="802">"4 POND"</f>
        <v>4 POND</v>
      </c>
      <c r="P280" s="107">
        <f>IF(IFERROR(VLOOKUP(P269,'Tabela de Apoio'!$D:$E,2,FALSE),1)=1,"",P281)</f>
        <v>52</v>
      </c>
      <c r="Q280" s="107" t="str">
        <f>IF(IFERROR(VLOOKUP(Q269,'Tabela de Apoio'!$D:$E,2,FALSE),1)=1,"",Q281)</f>
        <v>DESCARTADO</v>
      </c>
      <c r="R280" s="107">
        <f>IF(IFERROR(VLOOKUP(R269,'Tabela de Apoio'!$D:$E,2,FALSE),1)=1,"",R281)</f>
        <v>54.09</v>
      </c>
      <c r="S280" s="107" t="str">
        <f>IF(IFERROR(VLOOKUP(S269,'Tabela de Apoio'!$D:$E,2,FALSE),1)=1,"",S281)</f>
        <v>DESCARTADO</v>
      </c>
      <c r="T280" s="107">
        <f>IF(IFERROR(VLOOKUP(T269,'Tabela de Apoio'!$D:$E,2,FALSE),1)=1,"",T281)</f>
        <v>55.604344878651226</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643"/>
        <v>13</v>
      </c>
      <c r="C281" s="128">
        <f t="shared" si="644"/>
        <v>1</v>
      </c>
      <c r="D281" s="127">
        <f t="shared" si="644"/>
        <v>13</v>
      </c>
      <c r="E281" s="743"/>
      <c r="F281" s="93"/>
      <c r="G281" s="745"/>
      <c r="H281" s="134">
        <f t="shared" ref="H281" si="803">COUNT($P281:$XX281)</f>
        <v>3</v>
      </c>
      <c r="I281" s="132">
        <f t="shared" ref="I281" si="804">_xlfn.STDEV.P($P280:$XX281)/AVERAGE($P280:$XX281)</f>
        <v>2.7416729358614614E-2</v>
      </c>
      <c r="J281" s="7">
        <f t="shared" ref="J281" si="805">IF(AND(H281&gt;2,
OR(L267="MÉDIA SANEADA",L267="MEDIANA SANEADA",
AND(L267="PREÇO ESTIMADO",NOT(AND(P269="Orçamento",COUNTA(P267:XX267)=COUNTIF(P269:XX269,"Orçamento")))))),
ROW(),0)</f>
        <v>281</v>
      </c>
      <c r="K281" s="66"/>
      <c r="L281" s="29" t="s">
        <v>42</v>
      </c>
      <c r="M281" s="30">
        <f t="shared" ref="M281" si="806">MIN($P273:$XX273)</f>
        <v>52</v>
      </c>
      <c r="N281" s="71"/>
      <c r="O281" s="27" t="str">
        <f t="shared" ref="O281" si="807">"4 RODADA"</f>
        <v>4 RODADA</v>
      </c>
      <c r="P281" s="107">
        <f t="shared" ref="P281:AI281" si="808">IF(P279="","",IF((_xlfn.STDEV.P($P278:$XX279)/AVERAGE($P278:$XX279))&lt;=25%,P279,IF(OR(P279&gt;(AVERAGE($P278:$XX279)+_xlfn.STDEV.P($P278:$XX279)),P279&lt;(AVERAGE($P278:$XX279)-_xlfn.STDEV.P($P278:$XX279))),"DESCARTADO",P279)))</f>
        <v>52</v>
      </c>
      <c r="Q281" s="107" t="str">
        <f t="shared" si="808"/>
        <v>DESCARTADO</v>
      </c>
      <c r="R281" s="107">
        <f t="shared" si="808"/>
        <v>54.09</v>
      </c>
      <c r="S281" s="107" t="str">
        <f t="shared" si="808"/>
        <v>DESCARTADO</v>
      </c>
      <c r="T281" s="107">
        <f t="shared" si="808"/>
        <v>55.604344878651226</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f t="shared" si="643"/>
        <v>13</v>
      </c>
      <c r="C282" s="128">
        <f t="shared" si="644"/>
        <v>1</v>
      </c>
      <c r="D282" s="127">
        <f t="shared" si="644"/>
        <v>13</v>
      </c>
      <c r="E282" s="743"/>
      <c r="F282" s="93"/>
      <c r="G282" s="745"/>
      <c r="H282"/>
      <c r="I282"/>
      <c r="J282"/>
      <c r="K282" s="66"/>
      <c r="L282" s="29" t="s">
        <v>40</v>
      </c>
      <c r="M282" s="30">
        <f t="shared" ref="M282" si="809">MAX($P273:$XX273)</f>
        <v>55.604344878651226</v>
      </c>
      <c r="N282" s="71"/>
      <c r="O282" s="27" t="str">
        <f t="shared" ref="O282" si="810">"5 POND"</f>
        <v>5 POND</v>
      </c>
      <c r="P282" s="107">
        <f>IF(IFERROR(VLOOKUP(P269,'Tabela de Apoio'!$D:$E,2,FALSE),1)=1,"",P283)</f>
        <v>52</v>
      </c>
      <c r="Q282" s="107" t="str">
        <f>IF(IFERROR(VLOOKUP(Q269,'Tabela de Apoio'!$D:$E,2,FALSE),1)=1,"",Q283)</f>
        <v>DESCARTADO</v>
      </c>
      <c r="R282" s="107">
        <f>IF(IFERROR(VLOOKUP(R269,'Tabela de Apoio'!$D:$E,2,FALSE),1)=1,"",R283)</f>
        <v>54.09</v>
      </c>
      <c r="S282" s="107" t="str">
        <f>IF(IFERROR(VLOOKUP(S269,'Tabela de Apoio'!$D:$E,2,FALSE),1)=1,"",S283)</f>
        <v>DESCARTADO</v>
      </c>
      <c r="T282" s="107">
        <f>IF(IFERROR(VLOOKUP(T269,'Tabela de Apoio'!$D:$E,2,FALSE),1)=1,"",T283)</f>
        <v>55.604344878651226</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643"/>
        <v>13</v>
      </c>
      <c r="C283" s="128">
        <f t="shared" si="644"/>
        <v>1</v>
      </c>
      <c r="D283" s="127">
        <f t="shared" si="644"/>
        <v>13</v>
      </c>
      <c r="E283" s="743"/>
      <c r="F283" s="93"/>
      <c r="G283" s="745"/>
      <c r="H283" s="134">
        <f t="shared" ref="H283" si="811">COUNT($P283:$XX283)</f>
        <v>3</v>
      </c>
      <c r="I283" s="132">
        <f t="shared" ref="I283" si="812">_xlfn.STDEV.P($P282:$XX283)/AVERAGE($P282:$XX283)</f>
        <v>2.7416729358614614E-2</v>
      </c>
      <c r="J283" s="7">
        <f t="shared" ref="J283" si="813">IF(AND(H283&gt;2,
OR(L267="MÉDIA SANEADA",L267="MEDIANA SANEADA",
AND(L267="PREÇO ESTIMADO",NOT(AND(P269="Orçamento",COUNTA(P267:XX267)=COUNTIF(P269:XX269,"Orçamento")))))),
ROW(),0)</f>
        <v>283</v>
      </c>
      <c r="K283" s="66"/>
      <c r="N283" s="71"/>
      <c r="O283" s="27" t="str">
        <f t="shared" ref="O283" si="814">"5 RODADA"</f>
        <v>5 RODADA</v>
      </c>
      <c r="P283" s="107">
        <f t="shared" ref="P283:AI283" si="815">IF(P281="","",IF((_xlfn.STDEV.P($P280:$XX281)/AVERAGE($P280:$XX281))&lt;=25%,P281,IF(OR(P281&gt;(AVERAGE($P280:$XX281)+_xlfn.STDEV.P($P280:$XX281)),P281&lt;(AVERAGE($P280:$XX281)-_xlfn.STDEV.P($P280:$XX281))),"DESCARTADO",P281)))</f>
        <v>52</v>
      </c>
      <c r="Q283" s="107" t="str">
        <f t="shared" si="815"/>
        <v>DESCARTADO</v>
      </c>
      <c r="R283" s="107">
        <f t="shared" si="815"/>
        <v>54.09</v>
      </c>
      <c r="S283" s="107" t="str">
        <f t="shared" si="815"/>
        <v>DESCARTADO</v>
      </c>
      <c r="T283" s="107">
        <f t="shared" si="815"/>
        <v>55.604344878651226</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f t="shared" si="643"/>
        <v>13</v>
      </c>
      <c r="C284" s="128">
        <f t="shared" si="644"/>
        <v>1</v>
      </c>
      <c r="D284" s="127">
        <f t="shared" si="644"/>
        <v>13</v>
      </c>
      <c r="E284" s="743"/>
      <c r="F284" s="93"/>
      <c r="G284" s="745"/>
      <c r="H284"/>
      <c r="I284"/>
      <c r="J284"/>
      <c r="K284" s="66"/>
      <c r="L284" s="22"/>
      <c r="M284" s="22"/>
      <c r="N284" s="71"/>
      <c r="O284" s="27" t="str">
        <f t="shared" ref="O284" si="816">"6 POND"</f>
        <v>6 POND</v>
      </c>
      <c r="P284" s="107">
        <f>IF(IFERROR(VLOOKUP(P269,'Tabela de Apoio'!$D:$E,2,FALSE),1)=1,"",P285)</f>
        <v>52</v>
      </c>
      <c r="Q284" s="107" t="str">
        <f>IF(IFERROR(VLOOKUP(Q269,'Tabela de Apoio'!$D:$E,2,FALSE),1)=1,"",Q285)</f>
        <v>DESCARTADO</v>
      </c>
      <c r="R284" s="107">
        <f>IF(IFERROR(VLOOKUP(R269,'Tabela de Apoio'!$D:$E,2,FALSE),1)=1,"",R285)</f>
        <v>54.09</v>
      </c>
      <c r="S284" s="107" t="str">
        <f>IF(IFERROR(VLOOKUP(S269,'Tabela de Apoio'!$D:$E,2,FALSE),1)=1,"",S285)</f>
        <v>DESCARTADO</v>
      </c>
      <c r="T284" s="107">
        <f>IF(IFERROR(VLOOKUP(T269,'Tabela de Apoio'!$D:$E,2,FALSE),1)=1,"",T285)</f>
        <v>55.604344878651226</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643"/>
        <v>13</v>
      </c>
      <c r="C285" s="128">
        <f t="shared" si="644"/>
        <v>1</v>
      </c>
      <c r="D285" s="127">
        <f t="shared" si="644"/>
        <v>13</v>
      </c>
      <c r="E285" s="743"/>
      <c r="F285" s="93"/>
      <c r="G285" s="745"/>
      <c r="H285" s="134">
        <f t="shared" ref="H285" si="817">COUNT($P285:$XX285)</f>
        <v>3</v>
      </c>
      <c r="I285" s="132">
        <f t="shared" ref="I285" si="818">_xlfn.STDEV.P($P284:$XX285)/AVERAGE($P284:$XX285)</f>
        <v>2.7416729358614614E-2</v>
      </c>
      <c r="J285" s="7">
        <f t="shared" ref="J285" si="819">IF(AND(H285&gt;2,
OR(L267="MÉDIA SANEADA",L267="MEDIANA SANEADA",
AND(L267="PREÇO ESTIMADO",NOT(AND(P269="Orçamento",COUNTA(P267:XX267)=COUNTIF(P269:XX269,"Orçamento")))))),
ROW(),0)</f>
        <v>285</v>
      </c>
      <c r="N285" s="71"/>
      <c r="O285" s="27" t="str">
        <f t="shared" ref="O285" si="820">"6 RODADA"</f>
        <v>6 RODADA</v>
      </c>
      <c r="P285" s="107">
        <f t="shared" ref="P285:AI285" si="821">IFERROR(IF(P283="","",IF((_xlfn.STDEV.P($P282:$XX283)/AVERAGE($P282:$XX283))&lt;=25%,P283,IF(OR(P283&gt;(AVERAGE($P282:$XX283)+_xlfn.STDEV.P($P282:$XX283)),P283&lt;(AVERAGE($P282:$XX283)-_xlfn.STDEV.P($P282:$XX283))),"DESCARTADO",P283))),)</f>
        <v>52</v>
      </c>
      <c r="Q285" s="107" t="str">
        <f t="shared" si="821"/>
        <v>DESCARTADO</v>
      </c>
      <c r="R285" s="107">
        <f t="shared" si="821"/>
        <v>54.09</v>
      </c>
      <c r="S285" s="107" t="str">
        <f t="shared" si="821"/>
        <v>DESCARTADO</v>
      </c>
      <c r="T285" s="107">
        <f t="shared" si="821"/>
        <v>55.604344878651226</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f t="shared" si="643"/>
        <v>13</v>
      </c>
      <c r="C286" s="128">
        <f t="shared" si="644"/>
        <v>1</v>
      </c>
      <c r="D286" s="127">
        <f t="shared" si="644"/>
        <v>13</v>
      </c>
      <c r="E286" s="743"/>
      <c r="F286" s="136"/>
      <c r="G286" s="745"/>
      <c r="H286" s="748"/>
      <c r="I286" s="748"/>
      <c r="J286" s="749"/>
      <c r="K286" s="67"/>
      <c r="L286" s="1" t="s">
        <v>43</v>
      </c>
      <c r="M286" s="144">
        <f t="shared" ref="M286" si="822">IFERROR(ROUND(M267*M269,2),"")</f>
        <v>0</v>
      </c>
      <c r="O286" s="27" t="s">
        <v>363</v>
      </c>
      <c r="P286" s="107">
        <f t="shared" ref="P286:R286" si="823">INDEX(P273:P285,MATCH(MAX($J273:$J285),$J273:$J285,0))</f>
        <v>52</v>
      </c>
      <c r="Q286" s="107" t="str">
        <f t="shared" si="823"/>
        <v>DESCARTADO</v>
      </c>
      <c r="R286" s="107">
        <f t="shared" si="823"/>
        <v>54.09</v>
      </c>
      <c r="S286" s="107" t="str">
        <f t="shared" si="757"/>
        <v>DESCARTADO</v>
      </c>
      <c r="T286" s="107">
        <f t="shared" si="757"/>
        <v>55.604344878651226</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f t="shared" ref="B288" si="824">LARGE(IFERROR(IF(B286+1&gt;$H$8,"",B286+1),""),1)</f>
        <v>14</v>
      </c>
      <c r="C288" s="127">
        <f>IF(_xlfn.ISFORMULA(E292),MAX(INDEX('BASE FORMAÇÃO'!A:A,B288+1),1),E292)</f>
        <v>1</v>
      </c>
      <c r="D288" s="127">
        <f t="shared" ref="D288" si="825">IFERROR(IF(C288=C278,D278+1,1),1)</f>
        <v>14</v>
      </c>
      <c r="E288" s="38" t="s">
        <v>9</v>
      </c>
      <c r="F288" s="73"/>
      <c r="G288" s="38" t="s">
        <v>15</v>
      </c>
      <c r="H288" s="135">
        <f>INDEX('BASE FORMAÇÃO'!B:B,B288+1)</f>
        <v>0</v>
      </c>
      <c r="I288" s="143" t="s">
        <v>16</v>
      </c>
      <c r="J288" s="6">
        <f>INDEX('BASE FORMAÇÃO'!K:K,B288+1)</f>
        <v>0</v>
      </c>
      <c r="K288" s="65"/>
      <c r="L288" s="750" t="s">
        <v>10</v>
      </c>
      <c r="M288" s="752">
        <f t="shared" ref="M288" si="826">IF(OR(ISBLANK($O$8),ISBLANK($O$7),ISBLANK($H$8),ISBLANK($O$6),ISBLANK($O$5),ISBLANK($H$5)),"",IFERROR(IF(VLOOKUP(L288,L294:M303,2,FALSE)&lt;1,ROUND(VLOOKUP(L288,L294:M303,2,FALSE),4),ROUND(VLOOKUP(L288,L294:M303,2,FALSE),2)),""))</f>
        <v>32.53</v>
      </c>
      <c r="N288" s="69"/>
      <c r="O288" s="27" t="s">
        <v>17</v>
      </c>
      <c r="P288" s="113">
        <v>36.799999999999997</v>
      </c>
      <c r="Q288" s="113">
        <v>26.32</v>
      </c>
      <c r="R288" s="113">
        <v>42</v>
      </c>
      <c r="S288" s="113">
        <v>25</v>
      </c>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f t="shared" ref="B289:D289" si="827">B288</f>
        <v>14</v>
      </c>
      <c r="C289" s="128">
        <f t="shared" si="827"/>
        <v>1</v>
      </c>
      <c r="D289" s="127">
        <f t="shared" si="827"/>
        <v>14</v>
      </c>
      <c r="E289" s="754">
        <f t="shared" ref="E289" si="828">D288</f>
        <v>14</v>
      </c>
      <c r="F289" s="92"/>
      <c r="G289" s="756" t="s">
        <v>1</v>
      </c>
      <c r="H289" s="765" t="s">
        <v>445</v>
      </c>
      <c r="I289" s="759"/>
      <c r="J289" s="760"/>
      <c r="K289" s="66"/>
      <c r="L289" s="751"/>
      <c r="M289" s="753"/>
      <c r="N289" s="70"/>
      <c r="O289" s="27" t="s">
        <v>13</v>
      </c>
      <c r="P289" s="122">
        <v>45750</v>
      </c>
      <c r="Q289" s="122">
        <v>45736</v>
      </c>
      <c r="R289" s="122">
        <v>45728</v>
      </c>
      <c r="S289" s="122">
        <v>45722</v>
      </c>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f t="shared" ref="B290:D290" si="829">B289</f>
        <v>14</v>
      </c>
      <c r="C290" s="128">
        <f t="shared" si="829"/>
        <v>1</v>
      </c>
      <c r="D290" s="127">
        <f t="shared" si="829"/>
        <v>14</v>
      </c>
      <c r="E290" s="755"/>
      <c r="F290" s="93"/>
      <c r="G290" s="757"/>
      <c r="H290" s="761"/>
      <c r="I290" s="761"/>
      <c r="J290" s="762"/>
      <c r="K290" s="64"/>
      <c r="L290" s="130" t="s">
        <v>44</v>
      </c>
      <c r="M290" s="131">
        <f>INDEX('BASE FORMAÇÃO'!H:H,B292+1)</f>
        <v>0</v>
      </c>
      <c r="N290" s="71"/>
      <c r="O290" s="27" t="s">
        <v>380</v>
      </c>
      <c r="P290" s="114" t="s">
        <v>12</v>
      </c>
      <c r="Q290" s="114" t="s">
        <v>12</v>
      </c>
      <c r="R290" s="114" t="s">
        <v>12</v>
      </c>
      <c r="S290" s="114" t="s">
        <v>12</v>
      </c>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f t="shared" ref="B291:C291" si="830">B290</f>
        <v>14</v>
      </c>
      <c r="C291" s="128">
        <f t="shared" si="830"/>
        <v>1</v>
      </c>
      <c r="D291" s="127">
        <f t="shared" si="644"/>
        <v>14</v>
      </c>
      <c r="E291" s="38" t="s">
        <v>313</v>
      </c>
      <c r="F291" s="93"/>
      <c r="G291" s="758"/>
      <c r="H291" s="763"/>
      <c r="I291" s="763"/>
      <c r="J291" s="764"/>
      <c r="K291" s="64"/>
      <c r="L291" s="1" t="s">
        <v>2</v>
      </c>
      <c r="M291" s="6">
        <f>INDEX('BASE FORMAÇÃO'!D:D,B292+1)</f>
        <v>0</v>
      </c>
      <c r="N291" s="71"/>
      <c r="O291" s="27" t="s">
        <v>381</v>
      </c>
      <c r="P291" s="182" t="s">
        <v>450</v>
      </c>
      <c r="Q291" s="182" t="s">
        <v>450</v>
      </c>
      <c r="R291" s="182" t="s">
        <v>450</v>
      </c>
      <c r="S291" s="182" t="s">
        <v>450</v>
      </c>
      <c r="T291" s="115"/>
      <c r="U291" s="118"/>
      <c r="V291" s="118"/>
      <c r="W291" s="118"/>
      <c r="X291" s="118"/>
      <c r="Y291" s="118"/>
      <c r="Z291" s="118"/>
      <c r="AA291" s="118"/>
      <c r="AB291" s="118"/>
      <c r="AC291" s="118"/>
      <c r="AD291" s="118"/>
      <c r="AE291" s="118"/>
      <c r="AF291" s="118"/>
      <c r="AG291" s="118"/>
      <c r="AH291" s="118"/>
      <c r="AI291" s="118"/>
    </row>
    <row r="292" spans="1:167" x14ac:dyDescent="0.25">
      <c r="B292" s="128">
        <f t="shared" ref="B292:C292" si="831">B290</f>
        <v>14</v>
      </c>
      <c r="C292" s="128">
        <f t="shared" si="831"/>
        <v>1</v>
      </c>
      <c r="D292" s="127">
        <f t="shared" si="644"/>
        <v>14</v>
      </c>
      <c r="E292" s="742">
        <f t="shared" ref="E292" si="832">C288</f>
        <v>1</v>
      </c>
      <c r="F292" s="93"/>
      <c r="G292" s="744" t="s">
        <v>304</v>
      </c>
      <c r="H292" s="746"/>
      <c r="I292" s="747"/>
      <c r="J292" s="747"/>
      <c r="K292" s="67"/>
      <c r="L292" s="28" t="s">
        <v>303</v>
      </c>
      <c r="M292" s="133">
        <f t="shared" ref="M292" si="833">IFERROR(INDEX(I294:I306,MATCH(MAX(J294:J306),J294:J306,0)),"")</f>
        <v>0.2190913021462724</v>
      </c>
      <c r="N292" s="71"/>
      <c r="O292" s="27" t="s">
        <v>18</v>
      </c>
      <c r="P292" s="106">
        <f>IF(P288="","",
IF(OR(P290="Orçamento",P289="",MAX('Tabela de Apoio'!$A:$A)&lt;=P289),
P288,
(INDEX('Tabela de Apoio'!$B:$B,MATCH('MAPA DE PREÇOS'!$O$8,'Tabela de Apoio'!$A:$A,1))/INDEX('Tabela de Apoio'!$B:$B,MATCH('MAPA DE PREÇOS'!P289,'Tabela de Apoio'!$A:$A,1)-1))*P288))</f>
        <v>36.799999999999997</v>
      </c>
      <c r="Q292" s="106">
        <f>IF(Q288="","",
IF(OR(Q290="Orçamento",Q289="",MAX('Tabela de Apoio'!$A:$A)&lt;=Q289),
Q288,
(INDEX('Tabela de Apoio'!$B:$B,MATCH('MAPA DE PREÇOS'!$O$8,'Tabela de Apoio'!$A:$A,1))/INDEX('Tabela de Apoio'!$B:$B,MATCH('MAPA DE PREÇOS'!Q289,'Tabela de Apoio'!$A:$A,1)-1))*Q288))</f>
        <v>26.32</v>
      </c>
      <c r="R292" s="106">
        <f>IF(R288="","",
IF(OR(R290="Orçamento",R289="",MAX('Tabela de Apoio'!$A:$A)&lt;=R289),
R288,
(INDEX('Tabela de Apoio'!$B:$B,MATCH('MAPA DE PREÇOS'!$O$8,'Tabela de Apoio'!$A:$A,1))/INDEX('Tabela de Apoio'!$B:$B,MATCH('MAPA DE PREÇOS'!R289,'Tabela de Apoio'!$A:$A,1)-1))*R288))</f>
        <v>42</v>
      </c>
      <c r="S292" s="106">
        <f>IF(S288="","",
IF(OR(S290="Orçamento",S289="",MAX('Tabela de Apoio'!$A:$A)&lt;=S289),
S288,
(INDEX('Tabela de Apoio'!$B:$B,MATCH('MAPA DE PREÇOS'!$O$8,'Tabela de Apoio'!$A:$A,1))/INDEX('Tabela de Apoio'!$B:$B,MATCH('MAPA DE PREÇOS'!S289,'Tabela de Apoio'!$A:$A,1)-1))*S288))</f>
        <v>25</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f t="shared" ref="B293" si="834">B292</f>
        <v>14</v>
      </c>
      <c r="C293" s="128">
        <f t="shared" ref="C293" si="835">C292</f>
        <v>1</v>
      </c>
      <c r="D293" s="127">
        <f t="shared" si="644"/>
        <v>14</v>
      </c>
      <c r="E293" s="743"/>
      <c r="F293" s="93"/>
      <c r="G293" s="745"/>
      <c r="H293"/>
      <c r="I293"/>
      <c r="J293"/>
      <c r="N293" s="71"/>
      <c r="O293" s="27" t="s">
        <v>375</v>
      </c>
      <c r="P293" s="107">
        <f>IF(IFERROR(VLOOKUP(P290,'Tabela de Apoio'!$D:$E,2,FALSE),1)=1,"",P294)</f>
        <v>36.799999999999997</v>
      </c>
      <c r="Q293" s="107">
        <f>IF(IFERROR(VLOOKUP(Q290,'Tabela de Apoio'!$D:$E,2,FALSE),1)=1,"",Q294)</f>
        <v>26.32</v>
      </c>
      <c r="R293" s="107">
        <f>IF(IFERROR(VLOOKUP(R290,'Tabela de Apoio'!$D:$E,2,FALSE),1)=1,"",R294)</f>
        <v>42</v>
      </c>
      <c r="S293" s="107">
        <f>IF(IFERROR(VLOOKUP(S290,'Tabela de Apoio'!$D:$E,2,FALSE),1)=1,"",S294)</f>
        <v>25</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f t="shared" ref="B294:C294" si="836">B293</f>
        <v>14</v>
      </c>
      <c r="C294" s="128">
        <f t="shared" si="836"/>
        <v>1</v>
      </c>
      <c r="D294" s="127">
        <f t="shared" si="644"/>
        <v>14</v>
      </c>
      <c r="E294" s="743"/>
      <c r="F294" s="93"/>
      <c r="G294" s="745"/>
      <c r="H294" s="134">
        <f t="shared" ref="H294" si="837">COUNT($P294:$XX294)</f>
        <v>4</v>
      </c>
      <c r="I294" s="132">
        <f t="shared" ref="I294" si="838">_xlfn.STDEV.P($P293:$XX294)/AVERAGE($P293:$XX294)</f>
        <v>0.2190913021462724</v>
      </c>
      <c r="J294" s="7">
        <f>ROW()</f>
        <v>294</v>
      </c>
      <c r="K294" s="67"/>
      <c r="L294" s="29" t="s">
        <v>10</v>
      </c>
      <c r="M294" s="30">
        <f t="shared" ref="M294" si="839">IFERROR(
IF(COUNTA(P288:AI288)=COUNTIF(P290:XX290,"Orçamento"),MIN(M299,M296),
IF(M297&lt;&gt;"",M297,
IF(M298&lt;&gt;"",M298,
M296
))),"")</f>
        <v>32.53</v>
      </c>
      <c r="N294" s="71"/>
      <c r="O294" s="27" t="s">
        <v>376</v>
      </c>
      <c r="P294" s="106">
        <f t="shared" ref="P294:AI294" si="840">IFERROR(IF(P292="",
            "",
            IF(COUNT($P292:$XX292)&lt;=4,
               P292,
               IF(OR(P292&gt;(QUARTILE($P292:$XX292,3)+(QUARTILE($P292:$XX292,3)-QUARTILE($P292:$XX292,1))),
                     P292&lt;(QUARTILE($P292:$XX292,1)-(QUARTILE($P292:$XX292,3)-QUARTILE($P292:$XX292,1)))
                  ),
               "DESCARTADO",P292)
             )
  ),P292)</f>
        <v>36.799999999999997</v>
      </c>
      <c r="Q294" s="106">
        <f t="shared" si="840"/>
        <v>26.32</v>
      </c>
      <c r="R294" s="106">
        <f t="shared" si="840"/>
        <v>42</v>
      </c>
      <c r="S294" s="106">
        <f t="shared" si="840"/>
        <v>25</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f t="shared" ref="B295:B349" si="841">B294</f>
        <v>14</v>
      </c>
      <c r="C295" s="128">
        <f t="shared" ref="C295:D358" si="842">C294</f>
        <v>1</v>
      </c>
      <c r="D295" s="127">
        <f t="shared" si="644"/>
        <v>14</v>
      </c>
      <c r="E295" s="743"/>
      <c r="F295" s="93"/>
      <c r="G295" s="745"/>
      <c r="H295"/>
      <c r="I295"/>
      <c r="J295"/>
      <c r="K295" s="66"/>
      <c r="L295" s="29" t="s">
        <v>360</v>
      </c>
      <c r="M295" s="30">
        <f t="shared" ref="M295" si="843">AVERAGE($P294:$XX294)</f>
        <v>32.53</v>
      </c>
      <c r="N295" s="71"/>
      <c r="O295" s="27" t="str">
        <f t="shared" ref="O295" si="844">"1 POND"</f>
        <v>1 POND</v>
      </c>
      <c r="P295" s="107">
        <f>IF(IFERROR(VLOOKUP(P290,'Tabela de Apoio'!$D:$E,2,FALSE),1)=1,"",P296)</f>
        <v>36.799999999999997</v>
      </c>
      <c r="Q295" s="107">
        <f>IF(IFERROR(VLOOKUP(Q290,'Tabela de Apoio'!$D:$E,2,FALSE),1)=1,"",Q296)</f>
        <v>26.32</v>
      </c>
      <c r="R295" s="107">
        <f>IF(IFERROR(VLOOKUP(R290,'Tabela de Apoio'!$D:$E,2,FALSE),1)=1,"",R296)</f>
        <v>42</v>
      </c>
      <c r="S295" s="107">
        <f>IF(IFERROR(VLOOKUP(S290,'Tabela de Apoio'!$D:$E,2,FALSE),1)=1,"",S296)</f>
        <v>25</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f t="shared" si="841"/>
        <v>14</v>
      </c>
      <c r="C296" s="128">
        <f t="shared" si="842"/>
        <v>1</v>
      </c>
      <c r="D296" s="127">
        <f t="shared" si="842"/>
        <v>14</v>
      </c>
      <c r="E296" s="743"/>
      <c r="F296" s="93"/>
      <c r="G296" s="745"/>
      <c r="H296" s="134">
        <f t="shared" ref="H296" si="845">COUNT($P296:$XX296)</f>
        <v>4</v>
      </c>
      <c r="I296" s="132">
        <f t="shared" ref="I296" si="846">_xlfn.STDEV.P($P295:$XX296)/AVERAGE($P295:$XX296)</f>
        <v>0.2190913021462724</v>
      </c>
      <c r="J296" s="7">
        <f t="shared" ref="J296" si="847">IF(AND(H296&gt;2,
OR(L288="MÉDIA SANEADA",L288="MEDIANA SANEADA",
AND(L288="PREÇO ESTIMADO",NOT(AND(P290="Orçamento",COUNTA(P288:XX288)=COUNTIF(P290:XX290,"Orçamento")))))),
ROW(),0)</f>
        <v>296</v>
      </c>
      <c r="K296" s="66"/>
      <c r="L296" s="29" t="s">
        <v>361</v>
      </c>
      <c r="M296" s="30">
        <f t="shared" ref="M296" si="848">MEDIAN($P294:$XX294)</f>
        <v>31.56</v>
      </c>
      <c r="N296" s="71"/>
      <c r="O296" s="27" t="str">
        <f t="shared" ref="O296" si="849">"1 RODADA"</f>
        <v>1 RODADA</v>
      </c>
      <c r="P296" s="107">
        <f t="shared" ref="P296:AI296" si="850">IF(P294="","",IF((_xlfn.STDEV.P($P293:$XX294)/AVERAGE($P293:$XX294))&lt;=25%,P294,IF(OR(P294&gt;(AVERAGE($P293:$XX294)+_xlfn.STDEV.P($P293:$XX294)),P294&lt;(AVERAGE($P293:$XX294)-_xlfn.STDEV.P($P293:$XX294))),"DESCARTADO",P294)))</f>
        <v>36.799999999999997</v>
      </c>
      <c r="Q296" s="107">
        <f t="shared" si="850"/>
        <v>26.32</v>
      </c>
      <c r="R296" s="107">
        <f t="shared" si="850"/>
        <v>42</v>
      </c>
      <c r="S296" s="107">
        <f t="shared" si="850"/>
        <v>25</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f t="shared" si="841"/>
        <v>14</v>
      </c>
      <c r="C297" s="128">
        <f t="shared" si="842"/>
        <v>1</v>
      </c>
      <c r="D297" s="127">
        <f t="shared" si="842"/>
        <v>14</v>
      </c>
      <c r="E297" s="743"/>
      <c r="F297" s="93"/>
      <c r="G297" s="745"/>
      <c r="H297"/>
      <c r="I297"/>
      <c r="J297"/>
      <c r="L297" s="29" t="s">
        <v>38</v>
      </c>
      <c r="M297" s="30">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32.53</v>
      </c>
      <c r="N297" s="71"/>
      <c r="O297" s="27" t="str">
        <f t="shared" ref="O297" si="852">"2 POND"</f>
        <v>2 POND</v>
      </c>
      <c r="P297" s="107">
        <f>IF(IFERROR(VLOOKUP(P290,'Tabela de Apoio'!$D:$E,2,FALSE),1)=1,"",P298)</f>
        <v>36.799999999999997</v>
      </c>
      <c r="Q297" s="107">
        <f>IF(IFERROR(VLOOKUP(Q290,'Tabela de Apoio'!$D:$E,2,FALSE),1)=1,"",Q298)</f>
        <v>26.32</v>
      </c>
      <c r="R297" s="107">
        <f>IF(IFERROR(VLOOKUP(R290,'Tabela de Apoio'!$D:$E,2,FALSE),1)=1,"",R298)</f>
        <v>42</v>
      </c>
      <c r="S297" s="107">
        <f>IF(IFERROR(VLOOKUP(S290,'Tabela de Apoio'!$D:$E,2,FALSE),1)=1,"",S298)</f>
        <v>25</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f t="shared" si="841"/>
        <v>14</v>
      </c>
      <c r="C298" s="128">
        <f t="shared" si="842"/>
        <v>1</v>
      </c>
      <c r="D298" s="127">
        <f t="shared" si="842"/>
        <v>14</v>
      </c>
      <c r="E298" s="743"/>
      <c r="F298" s="93"/>
      <c r="G298" s="745"/>
      <c r="H298" s="134">
        <f t="shared" ref="H298" si="853">COUNT($P298:$XX298)</f>
        <v>4</v>
      </c>
      <c r="I298" s="132">
        <f t="shared" ref="I298" si="854">_xlfn.STDEV.P($P297:$XX298)/AVERAGE($P297:$XX298)</f>
        <v>0.2190913021462724</v>
      </c>
      <c r="J298" s="7">
        <f t="shared" ref="J298" si="855">IF(AND(H298&gt;2,
OR(L288="MÉDIA SANEADA",L288="MEDIANA SANEADA",
AND(L288="PREÇO ESTIMADO",NOT(AND(P290="Orçamento",COUNTA(P288:XX288)=COUNTIF(P290:XX290,"Orçamento")))))),
ROW(),0)</f>
        <v>298</v>
      </c>
      <c r="K298" s="66"/>
      <c r="L298" s="29" t="s">
        <v>362</v>
      </c>
      <c r="M298" s="30">
        <f t="shared" ref="M298" si="856" xml:space="preserve">
IF(H296&gt;2,MEDIAN(P295:XX296),
IF(H298&gt;2,MEDIAN(P297:XX298),
IF(H300&gt;2,MEDIAN(P299:XX300),
IF(H302&gt;2,MEDIAN(P301:XX302),
IF(H304&gt;2,MEDIAN(P303:XX304),
IF(H306&gt;2,MEDIAN(P305:XX306),
MEDIAN(P293:XX294)))))))</f>
        <v>31.56</v>
      </c>
      <c r="N298" s="71"/>
      <c r="O298" s="27" t="str">
        <f t="shared" ref="O298" si="857">"2 RODADA"</f>
        <v>2 RODADA</v>
      </c>
      <c r="P298" s="107">
        <f t="shared" ref="P298:AI298" si="858">IF(P296="","",IF((_xlfn.STDEV.P($P295:$XX296)/AVERAGE($P295:$XX296))&lt;=25%,P296,IF(OR(P296&gt;(AVERAGE($P295:$XX296)+_xlfn.STDEV.P($P295:$XX296)),P296&lt;(AVERAGE($P295:$XX296)-_xlfn.STDEV.P($P295:$XX296))),"DESCARTADO",P296)))</f>
        <v>36.799999999999997</v>
      </c>
      <c r="Q298" s="107">
        <f t="shared" si="858"/>
        <v>26.32</v>
      </c>
      <c r="R298" s="107">
        <f t="shared" si="858"/>
        <v>42</v>
      </c>
      <c r="S298" s="107">
        <f t="shared" si="858"/>
        <v>25</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f t="shared" si="841"/>
        <v>14</v>
      </c>
      <c r="C299" s="128">
        <f t="shared" si="842"/>
        <v>1</v>
      </c>
      <c r="D299" s="127">
        <f t="shared" si="842"/>
        <v>14</v>
      </c>
      <c r="E299" s="743"/>
      <c r="F299" s="93"/>
      <c r="G299" s="745"/>
      <c r="H299"/>
      <c r="I299"/>
      <c r="J299"/>
      <c r="K299" s="66"/>
      <c r="L299" s="29" t="s">
        <v>359</v>
      </c>
      <c r="M299" s="30">
        <f t="shared" ref="M299" si="859">HARMEAN($P293:$XX294)</f>
        <v>31.013195396724289</v>
      </c>
      <c r="N299" s="71"/>
      <c r="O299" s="27" t="str">
        <f t="shared" ref="O299" si="860">"3 POND"</f>
        <v>3 POND</v>
      </c>
      <c r="P299" s="107">
        <f>IF(IFERROR(VLOOKUP(P290,'Tabela de Apoio'!$D:$E,2,FALSE),1)=1,"",P300)</f>
        <v>36.799999999999997</v>
      </c>
      <c r="Q299" s="107">
        <f>IF(IFERROR(VLOOKUP(Q290,'Tabela de Apoio'!$D:$E,2,FALSE),1)=1,"",Q300)</f>
        <v>26.32</v>
      </c>
      <c r="R299" s="107">
        <f>IF(IFERROR(VLOOKUP(R290,'Tabela de Apoio'!$D:$E,2,FALSE),1)=1,"",R300)</f>
        <v>42</v>
      </c>
      <c r="S299" s="107">
        <f>IF(IFERROR(VLOOKUP(S290,'Tabela de Apoio'!$D:$E,2,FALSE),1)=1,"",S300)</f>
        <v>25</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f t="shared" si="841"/>
        <v>14</v>
      </c>
      <c r="C300" s="128">
        <f t="shared" si="842"/>
        <v>1</v>
      </c>
      <c r="D300" s="127">
        <f t="shared" si="842"/>
        <v>14</v>
      </c>
      <c r="E300" s="743"/>
      <c r="F300" s="93"/>
      <c r="G300" s="745"/>
      <c r="H300" s="134">
        <f t="shared" ref="H300" si="861">COUNT($P300:$XX300)</f>
        <v>4</v>
      </c>
      <c r="I300" s="132">
        <f t="shared" ref="I300" si="862">_xlfn.STDEV.P($P299:$XX300)/AVERAGE($P299:$XX300)</f>
        <v>0.2190913021462724</v>
      </c>
      <c r="J300" s="7">
        <f t="shared" ref="J300" si="863">IF(AND(H300&gt;2,
OR(L288="MÉDIA SANEADA",L288="MEDIANA SANEADA",
AND(L288="PREÇO ESTIMADO",NOT(AND(P290="Orçamento",COUNTA(P288:XX288)=COUNTIF(P290:XX290,"Orçamento")))))),
ROW(),0)</f>
        <v>300</v>
      </c>
      <c r="K300" s="66"/>
      <c r="L300" s="29" t="s">
        <v>41</v>
      </c>
      <c r="M300" s="30">
        <f t="shared" ref="M300" si="864">IFERROR(_xlfn.QUARTILE.EXC($P294:$XX294,1),"")</f>
        <v>25.33</v>
      </c>
      <c r="N300" s="71"/>
      <c r="O300" s="27" t="str">
        <f t="shared" ref="O300" si="865">"3 RODADA"</f>
        <v>3 RODADA</v>
      </c>
      <c r="P300" s="107">
        <f t="shared" ref="P300:AI300" si="866">IF(P298="","",IF((_xlfn.STDEV.P($P297:$XX298)/AVERAGE($P297:$XX298))&lt;=25%,P298,IF(OR(P298&gt;(AVERAGE($P297:$XX298)+_xlfn.STDEV.P($P297:$XX298)),P298&lt;(AVERAGE($P297:$XX298)-_xlfn.STDEV.P($P297:$XX298))),"DESCARTADO",P298)))</f>
        <v>36.799999999999997</v>
      </c>
      <c r="Q300" s="107">
        <f t="shared" si="866"/>
        <v>26.32</v>
      </c>
      <c r="R300" s="107">
        <f t="shared" si="866"/>
        <v>42</v>
      </c>
      <c r="S300" s="107">
        <f t="shared" si="866"/>
        <v>25</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f t="shared" si="841"/>
        <v>14</v>
      </c>
      <c r="C301" s="128">
        <f t="shared" si="842"/>
        <v>1</v>
      </c>
      <c r="D301" s="127">
        <f t="shared" si="842"/>
        <v>14</v>
      </c>
      <c r="E301" s="743"/>
      <c r="F301" s="93"/>
      <c r="G301" s="745"/>
      <c r="H301"/>
      <c r="I301"/>
      <c r="J301"/>
      <c r="K301" s="66"/>
      <c r="L301" s="29" t="s">
        <v>39</v>
      </c>
      <c r="M301" s="30">
        <f t="shared" ref="M301" si="867">IFERROR(_xlfn.QUARTILE.EXC($P294:$XX294,3),"")</f>
        <v>40.700000000000003</v>
      </c>
      <c r="N301" s="71"/>
      <c r="O301" s="27" t="str">
        <f t="shared" ref="O301" si="868">"4 POND"</f>
        <v>4 POND</v>
      </c>
      <c r="P301" s="107">
        <f>IF(IFERROR(VLOOKUP(P290,'Tabela de Apoio'!$D:$E,2,FALSE),1)=1,"",P302)</f>
        <v>36.799999999999997</v>
      </c>
      <c r="Q301" s="107">
        <f>IF(IFERROR(VLOOKUP(Q290,'Tabela de Apoio'!$D:$E,2,FALSE),1)=1,"",Q302)</f>
        <v>26.32</v>
      </c>
      <c r="R301" s="107">
        <f>IF(IFERROR(VLOOKUP(R290,'Tabela de Apoio'!$D:$E,2,FALSE),1)=1,"",R302)</f>
        <v>42</v>
      </c>
      <c r="S301" s="107">
        <f>IF(IFERROR(VLOOKUP(S290,'Tabela de Apoio'!$D:$E,2,FALSE),1)=1,"",S302)</f>
        <v>25</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f t="shared" si="841"/>
        <v>14</v>
      </c>
      <c r="C302" s="128">
        <f t="shared" si="842"/>
        <v>1</v>
      </c>
      <c r="D302" s="127">
        <f t="shared" si="842"/>
        <v>14</v>
      </c>
      <c r="E302" s="743"/>
      <c r="F302" s="93"/>
      <c r="G302" s="745"/>
      <c r="H302" s="134">
        <f t="shared" ref="H302" si="869">COUNT($P302:$XX302)</f>
        <v>4</v>
      </c>
      <c r="I302" s="132">
        <f t="shared" ref="I302" si="870">_xlfn.STDEV.P($P301:$XX302)/AVERAGE($P301:$XX302)</f>
        <v>0.2190913021462724</v>
      </c>
      <c r="J302" s="7">
        <f t="shared" ref="J302" si="871">IF(AND(H302&gt;2,
OR(L288="MÉDIA SANEADA",L288="MEDIANA SANEADA",
AND(L288="PREÇO ESTIMADO",NOT(AND(P290="Orçamento",COUNTA(P288:XX288)=COUNTIF(P290:XX290,"Orçamento")))))),
ROW(),0)</f>
        <v>302</v>
      </c>
      <c r="K302" s="66"/>
      <c r="L302" s="29" t="s">
        <v>42</v>
      </c>
      <c r="M302" s="30">
        <f t="shared" ref="M302" si="872">MIN($P294:$XX294)</f>
        <v>25</v>
      </c>
      <c r="N302" s="71"/>
      <c r="O302" s="27" t="str">
        <f t="shared" ref="O302" si="873">"4 RODADA"</f>
        <v>4 RODADA</v>
      </c>
      <c r="P302" s="107">
        <f t="shared" ref="P302:AI302" si="874">IF(P300="","",IF((_xlfn.STDEV.P($P299:$XX300)/AVERAGE($P299:$XX300))&lt;=25%,P300,IF(OR(P300&gt;(AVERAGE($P299:$XX300)+_xlfn.STDEV.P($P299:$XX300)),P300&lt;(AVERAGE($P299:$XX300)-_xlfn.STDEV.P($P299:$XX300))),"DESCARTADO",P300)))</f>
        <v>36.799999999999997</v>
      </c>
      <c r="Q302" s="107">
        <f t="shared" si="874"/>
        <v>26.32</v>
      </c>
      <c r="R302" s="107">
        <f t="shared" si="874"/>
        <v>42</v>
      </c>
      <c r="S302" s="107">
        <f t="shared" si="874"/>
        <v>25</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f t="shared" si="841"/>
        <v>14</v>
      </c>
      <c r="C303" s="128">
        <f t="shared" si="842"/>
        <v>1</v>
      </c>
      <c r="D303" s="127">
        <f t="shared" si="842"/>
        <v>14</v>
      </c>
      <c r="E303" s="743"/>
      <c r="F303" s="93"/>
      <c r="G303" s="745"/>
      <c r="H303"/>
      <c r="I303"/>
      <c r="J303"/>
      <c r="K303" s="66"/>
      <c r="L303" s="29" t="s">
        <v>40</v>
      </c>
      <c r="M303" s="30">
        <f t="shared" ref="M303" si="875">MAX($P294:$XX294)</f>
        <v>42</v>
      </c>
      <c r="N303" s="71"/>
      <c r="O303" s="27" t="str">
        <f t="shared" ref="O303" si="876">"5 POND"</f>
        <v>5 POND</v>
      </c>
      <c r="P303" s="107">
        <f>IF(IFERROR(VLOOKUP(P290,'Tabela de Apoio'!$D:$E,2,FALSE),1)=1,"",P304)</f>
        <v>36.799999999999997</v>
      </c>
      <c r="Q303" s="107">
        <f>IF(IFERROR(VLOOKUP(Q290,'Tabela de Apoio'!$D:$E,2,FALSE),1)=1,"",Q304)</f>
        <v>26.32</v>
      </c>
      <c r="R303" s="107">
        <f>IF(IFERROR(VLOOKUP(R290,'Tabela de Apoio'!$D:$E,2,FALSE),1)=1,"",R304)</f>
        <v>42</v>
      </c>
      <c r="S303" s="107">
        <f>IF(IFERROR(VLOOKUP(S290,'Tabela de Apoio'!$D:$E,2,FALSE),1)=1,"",S304)</f>
        <v>25</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f t="shared" si="841"/>
        <v>14</v>
      </c>
      <c r="C304" s="128">
        <f t="shared" si="842"/>
        <v>1</v>
      </c>
      <c r="D304" s="127">
        <f t="shared" si="842"/>
        <v>14</v>
      </c>
      <c r="E304" s="743"/>
      <c r="F304" s="93"/>
      <c r="G304" s="745"/>
      <c r="H304" s="134">
        <f t="shared" ref="H304" si="877">COUNT($P304:$XX304)</f>
        <v>4</v>
      </c>
      <c r="I304" s="132">
        <f t="shared" ref="I304" si="878">_xlfn.STDEV.P($P303:$XX304)/AVERAGE($P303:$XX304)</f>
        <v>0.2190913021462724</v>
      </c>
      <c r="J304" s="7">
        <f t="shared" ref="J304" si="879">IF(AND(H304&gt;2,
OR(L288="MÉDIA SANEADA",L288="MEDIANA SANEADA",
AND(L288="PREÇO ESTIMADO",NOT(AND(P290="Orçamento",COUNTA(P288:XX288)=COUNTIF(P290:XX290,"Orçamento")))))),
ROW(),0)</f>
        <v>304</v>
      </c>
      <c r="K304" s="66"/>
      <c r="N304" s="71"/>
      <c r="O304" s="27" t="str">
        <f t="shared" ref="O304" si="880">"5 RODADA"</f>
        <v>5 RODADA</v>
      </c>
      <c r="P304" s="107">
        <f t="shared" ref="P304:AI304" si="881">IF(P302="","",IF((_xlfn.STDEV.P($P301:$XX302)/AVERAGE($P301:$XX302))&lt;=25%,P302,IF(OR(P302&gt;(AVERAGE($P301:$XX302)+_xlfn.STDEV.P($P301:$XX302)),P302&lt;(AVERAGE($P301:$XX302)-_xlfn.STDEV.P($P301:$XX302))),"DESCARTADO",P302)))</f>
        <v>36.799999999999997</v>
      </c>
      <c r="Q304" s="107">
        <f t="shared" si="881"/>
        <v>26.32</v>
      </c>
      <c r="R304" s="107">
        <f t="shared" si="881"/>
        <v>42</v>
      </c>
      <c r="S304" s="107">
        <f t="shared" si="881"/>
        <v>25</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f t="shared" si="841"/>
        <v>14</v>
      </c>
      <c r="C305" s="128">
        <f t="shared" si="842"/>
        <v>1</v>
      </c>
      <c r="D305" s="127">
        <f t="shared" si="842"/>
        <v>14</v>
      </c>
      <c r="E305" s="743"/>
      <c r="F305" s="93"/>
      <c r="G305" s="745"/>
      <c r="H305"/>
      <c r="I305"/>
      <c r="J305"/>
      <c r="K305" s="66"/>
      <c r="L305" s="22"/>
      <c r="M305" s="22"/>
      <c r="N305" s="71"/>
      <c r="O305" s="27" t="str">
        <f t="shared" ref="O305" si="882">"6 POND"</f>
        <v>6 POND</v>
      </c>
      <c r="P305" s="107">
        <f>IF(IFERROR(VLOOKUP(P290,'Tabela de Apoio'!$D:$E,2,FALSE),1)=1,"",P306)</f>
        <v>36.799999999999997</v>
      </c>
      <c r="Q305" s="107">
        <f>IF(IFERROR(VLOOKUP(Q290,'Tabela de Apoio'!$D:$E,2,FALSE),1)=1,"",Q306)</f>
        <v>26.32</v>
      </c>
      <c r="R305" s="107">
        <f>IF(IFERROR(VLOOKUP(R290,'Tabela de Apoio'!$D:$E,2,FALSE),1)=1,"",R306)</f>
        <v>42</v>
      </c>
      <c r="S305" s="107">
        <f>IF(IFERROR(VLOOKUP(S290,'Tabela de Apoio'!$D:$E,2,FALSE),1)=1,"",S306)</f>
        <v>25</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f t="shared" si="841"/>
        <v>14</v>
      </c>
      <c r="C306" s="128">
        <f t="shared" si="842"/>
        <v>1</v>
      </c>
      <c r="D306" s="127">
        <f t="shared" si="842"/>
        <v>14</v>
      </c>
      <c r="E306" s="743"/>
      <c r="F306" s="93"/>
      <c r="G306" s="745"/>
      <c r="H306" s="134">
        <f t="shared" ref="H306" si="883">COUNT($P306:$XX306)</f>
        <v>4</v>
      </c>
      <c r="I306" s="132">
        <f t="shared" ref="I306" si="884">_xlfn.STDEV.P($P305:$XX306)/AVERAGE($P305:$XX306)</f>
        <v>0.2190913021462724</v>
      </c>
      <c r="J306" s="7">
        <f t="shared" ref="J306" si="885">IF(AND(H306&gt;2,
OR(L288="MÉDIA SANEADA",L288="MEDIANA SANEADA",
AND(L288="PREÇO ESTIMADO",NOT(AND(P290="Orçamento",COUNTA(P288:XX288)=COUNTIF(P290:XX290,"Orçamento")))))),
ROW(),0)</f>
        <v>306</v>
      </c>
      <c r="N306" s="71"/>
      <c r="O306" s="27" t="str">
        <f t="shared" ref="O306" si="886">"6 RODADA"</f>
        <v>6 RODADA</v>
      </c>
      <c r="P306" s="107">
        <f t="shared" ref="P306:AI306" si="887">IFERROR(IF(P304="","",IF((_xlfn.STDEV.P($P303:$XX304)/AVERAGE($P303:$XX304))&lt;=25%,P304,IF(OR(P304&gt;(AVERAGE($P303:$XX304)+_xlfn.STDEV.P($P303:$XX304)),P304&lt;(AVERAGE($P303:$XX304)-_xlfn.STDEV.P($P303:$XX304))),"DESCARTADO",P304))),)</f>
        <v>36.799999999999997</v>
      </c>
      <c r="Q306" s="107">
        <f t="shared" si="887"/>
        <v>26.32</v>
      </c>
      <c r="R306" s="107">
        <f t="shared" si="887"/>
        <v>42</v>
      </c>
      <c r="S306" s="107">
        <f t="shared" si="887"/>
        <v>25</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f t="shared" si="841"/>
        <v>14</v>
      </c>
      <c r="C307" s="128">
        <f t="shared" si="842"/>
        <v>1</v>
      </c>
      <c r="D307" s="127">
        <f t="shared" si="842"/>
        <v>14</v>
      </c>
      <c r="E307" s="743"/>
      <c r="F307" s="136"/>
      <c r="G307" s="745"/>
      <c r="H307" s="748"/>
      <c r="I307" s="748"/>
      <c r="J307" s="749"/>
      <c r="K307" s="67"/>
      <c r="L307" s="1" t="s">
        <v>43</v>
      </c>
      <c r="M307" s="144">
        <f t="shared" ref="M307" si="888">IFERROR(ROUND(M288*M290,2),"")</f>
        <v>0</v>
      </c>
      <c r="O307" s="27" t="s">
        <v>363</v>
      </c>
      <c r="P307" s="107">
        <f t="shared" ref="P307:AI328" si="889">INDEX(P294:P306,MATCH(MAX($J294:$J306),$J294:$J306,0))</f>
        <v>36.799999999999997</v>
      </c>
      <c r="Q307" s="107">
        <f t="shared" si="889"/>
        <v>26.32</v>
      </c>
      <c r="R307" s="107">
        <f t="shared" si="889"/>
        <v>42</v>
      </c>
      <c r="S307" s="107">
        <f t="shared" si="889"/>
        <v>25</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f t="shared" ref="B309" si="890">LARGE(IFERROR(IF(B307+1&gt;$H$8,"",B307+1),""),1)</f>
        <v>15</v>
      </c>
      <c r="C309" s="127">
        <f>IF(_xlfn.ISFORMULA(E313),MAX(INDEX('BASE FORMAÇÃO'!A:A,B309+1),1),E313)</f>
        <v>1</v>
      </c>
      <c r="D309" s="127">
        <f t="shared" ref="D309" si="891">IFERROR(IF(C309=C299,D299+1,1),1)</f>
        <v>15</v>
      </c>
      <c r="E309" s="38" t="s">
        <v>9</v>
      </c>
      <c r="F309" s="73"/>
      <c r="G309" s="38" t="s">
        <v>15</v>
      </c>
      <c r="H309" s="135">
        <f>INDEX('BASE FORMAÇÃO'!B:B,B309+1)</f>
        <v>0</v>
      </c>
      <c r="I309" s="143" t="s">
        <v>16</v>
      </c>
      <c r="J309" s="6">
        <f>INDEX('BASE FORMAÇÃO'!K:K,B309+1)</f>
        <v>0</v>
      </c>
      <c r="K309" s="65"/>
      <c r="L309" s="750" t="s">
        <v>10</v>
      </c>
      <c r="M309" s="752">
        <f t="shared" ref="M309" si="892">IF(OR(ISBLANK($O$8),ISBLANK($O$7),ISBLANK($H$8),ISBLANK($O$6),ISBLANK($O$5),ISBLANK($H$5)),"",IFERROR(IF(VLOOKUP(L309,L315:M324,2,FALSE)&lt;1,ROUND(VLOOKUP(L309,L315:M324,2,FALSE),4),ROUND(VLOOKUP(L309,L315:M324,2,FALSE),2)),""))</f>
        <v>93.53</v>
      </c>
      <c r="N309" s="69"/>
      <c r="O309" s="27" t="s">
        <v>17</v>
      </c>
      <c r="P309" s="113">
        <v>94.8</v>
      </c>
      <c r="Q309" s="113">
        <v>79.8</v>
      </c>
      <c r="R309" s="113">
        <v>100</v>
      </c>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f t="shared" ref="B310:D310" si="893">B309</f>
        <v>15</v>
      </c>
      <c r="C310" s="128">
        <f t="shared" si="893"/>
        <v>1</v>
      </c>
      <c r="D310" s="127">
        <f t="shared" si="893"/>
        <v>15</v>
      </c>
      <c r="E310" s="754">
        <f t="shared" ref="E310" si="894">D309</f>
        <v>15</v>
      </c>
      <c r="F310" s="92"/>
      <c r="G310" s="756" t="s">
        <v>1</v>
      </c>
      <c r="H310" s="765" t="s">
        <v>446</v>
      </c>
      <c r="I310" s="759"/>
      <c r="J310" s="760"/>
      <c r="K310" s="66"/>
      <c r="L310" s="751"/>
      <c r="M310" s="753"/>
      <c r="N310" s="70"/>
      <c r="O310" s="27" t="s">
        <v>13</v>
      </c>
      <c r="P310" s="122">
        <v>45692</v>
      </c>
      <c r="Q310" s="122">
        <v>45680</v>
      </c>
      <c r="R310" s="122">
        <v>45652</v>
      </c>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f t="shared" ref="B311:D311" si="895">B310</f>
        <v>15</v>
      </c>
      <c r="C311" s="128">
        <f t="shared" si="895"/>
        <v>1</v>
      </c>
      <c r="D311" s="127">
        <f t="shared" si="895"/>
        <v>15</v>
      </c>
      <c r="E311" s="755"/>
      <c r="F311" s="93"/>
      <c r="G311" s="757"/>
      <c r="H311" s="761"/>
      <c r="I311" s="761"/>
      <c r="J311" s="762"/>
      <c r="K311" s="64"/>
      <c r="L311" s="130" t="s">
        <v>44</v>
      </c>
      <c r="M311" s="131">
        <f>INDEX('BASE FORMAÇÃO'!H:H,B313+1)</f>
        <v>0</v>
      </c>
      <c r="N311" s="71"/>
      <c r="O311" s="27" t="s">
        <v>380</v>
      </c>
      <c r="P311" s="114" t="s">
        <v>12</v>
      </c>
      <c r="Q311" s="114" t="s">
        <v>12</v>
      </c>
      <c r="R311" s="114" t="s">
        <v>12</v>
      </c>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f t="shared" ref="B312:C312" si="896">B311</f>
        <v>15</v>
      </c>
      <c r="C312" s="128">
        <f t="shared" si="896"/>
        <v>1</v>
      </c>
      <c r="D312" s="127">
        <f t="shared" si="842"/>
        <v>15</v>
      </c>
      <c r="E312" s="38" t="s">
        <v>313</v>
      </c>
      <c r="F312" s="93"/>
      <c r="G312" s="758"/>
      <c r="H312" s="763"/>
      <c r="I312" s="763"/>
      <c r="J312" s="764"/>
      <c r="K312" s="64"/>
      <c r="L312" s="1" t="s">
        <v>2</v>
      </c>
      <c r="M312" s="6">
        <f>INDEX('BASE FORMAÇÃO'!D:D,B313+1)</f>
        <v>0</v>
      </c>
      <c r="N312" s="71"/>
      <c r="O312" s="27" t="s">
        <v>381</v>
      </c>
      <c r="P312" s="182" t="s">
        <v>450</v>
      </c>
      <c r="Q312" s="182" t="s">
        <v>450</v>
      </c>
      <c r="R312" s="182" t="s">
        <v>450</v>
      </c>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f t="shared" ref="B313:C313" si="897">B311</f>
        <v>15</v>
      </c>
      <c r="C313" s="128">
        <f t="shared" si="897"/>
        <v>1</v>
      </c>
      <c r="D313" s="127">
        <f t="shared" si="842"/>
        <v>15</v>
      </c>
      <c r="E313" s="742">
        <f t="shared" ref="E313" si="898">C309</f>
        <v>1</v>
      </c>
      <c r="F313" s="93"/>
      <c r="G313" s="744" t="s">
        <v>304</v>
      </c>
      <c r="H313" s="746"/>
      <c r="I313" s="747"/>
      <c r="J313" s="747"/>
      <c r="K313" s="67"/>
      <c r="L313" s="28" t="s">
        <v>303</v>
      </c>
      <c r="M313" s="133">
        <f t="shared" ref="M313" si="899">IFERROR(INDEX(I315:I327,MATCH(MAX(J315:J327),J315:J327,0)),"")</f>
        <v>9.5132965054248536E-2</v>
      </c>
      <c r="N313" s="71"/>
      <c r="O313" s="27" t="s">
        <v>18</v>
      </c>
      <c r="P313" s="106">
        <f>IF(P309="","",
IF(OR(P311="Orçamento",P310="",MAX('Tabela de Apoio'!$A:$A)&lt;=P310),
P309,
(INDEX('Tabela de Apoio'!$B:$B,MATCH('MAPA DE PREÇOS'!$O$8,'Tabela de Apoio'!$A:$A,1))/INDEX('Tabela de Apoio'!$B:$B,MATCH('MAPA DE PREÇOS'!P310,'Tabela de Apoio'!$A:$A,1)-1))*P309))</f>
        <v>96.579801064700376</v>
      </c>
      <c r="Q313" s="106">
        <f>IF(Q309="","",
IF(OR(Q311="Orçamento",Q310="",MAX('Tabela de Apoio'!$A:$A)&lt;=Q310),
Q309,
(INDEX('Tabela de Apoio'!$B:$B,MATCH('MAPA DE PREÇOS'!$O$8,'Tabela de Apoio'!$A:$A,1))/INDEX('Tabela de Apoio'!$B:$B,MATCH('MAPA DE PREÇOS'!Q310,'Tabela de Apoio'!$A:$A,1)-1))*Q309))</f>
        <v>81.428254911625942</v>
      </c>
      <c r="R313" s="106">
        <f>IF(R309="","",
IF(OR(R311="Orçamento",R310="",MAX('Tabela de Apoio'!$A:$A)&lt;=R310),
R309,
(INDEX('Tabela de Apoio'!$B:$B,MATCH('MAPA DE PREÇOS'!$O$8,'Tabela de Apoio'!$A:$A,1))/INDEX('Tabela de Apoio'!$B:$B,MATCH('MAPA DE PREÇOS'!R310,'Tabela de Apoio'!$A:$A,1)-1))*R309))</f>
        <v>102.57100670038804</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f t="shared" ref="B314" si="900">B313</f>
        <v>15</v>
      </c>
      <c r="C314" s="128">
        <f t="shared" ref="C314" si="901">C313</f>
        <v>1</v>
      </c>
      <c r="D314" s="127">
        <f t="shared" si="842"/>
        <v>15</v>
      </c>
      <c r="E314" s="743"/>
      <c r="F314" s="93"/>
      <c r="G314" s="745"/>
      <c r="H314"/>
      <c r="I314"/>
      <c r="J314"/>
      <c r="N314" s="71"/>
      <c r="O314" s="27" t="s">
        <v>375</v>
      </c>
      <c r="P314" s="107">
        <f>IF(IFERROR(VLOOKUP(P311,'Tabela de Apoio'!$D:$E,2,FALSE),1)=1,"",P315)</f>
        <v>96.579801064700376</v>
      </c>
      <c r="Q314" s="107">
        <f>IF(IFERROR(VLOOKUP(Q311,'Tabela de Apoio'!$D:$E,2,FALSE),1)=1,"",Q315)</f>
        <v>81.428254911625942</v>
      </c>
      <c r="R314" s="107">
        <f>IF(IFERROR(VLOOKUP(R311,'Tabela de Apoio'!$D:$E,2,FALSE),1)=1,"",R315)</f>
        <v>102.57100670038804</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f t="shared" ref="B315:C315" si="902">B314</f>
        <v>15</v>
      </c>
      <c r="C315" s="128">
        <f t="shared" si="902"/>
        <v>1</v>
      </c>
      <c r="D315" s="127">
        <f t="shared" si="842"/>
        <v>15</v>
      </c>
      <c r="E315" s="743"/>
      <c r="F315" s="93"/>
      <c r="G315" s="745"/>
      <c r="H315" s="134">
        <f t="shared" ref="H315" si="903">COUNT($P315:$XX315)</f>
        <v>3</v>
      </c>
      <c r="I315" s="132">
        <f t="shared" ref="I315" si="904">_xlfn.STDEV.P($P314:$XX315)/AVERAGE($P314:$XX315)</f>
        <v>9.5132965054248536E-2</v>
      </c>
      <c r="J315" s="7">
        <f>ROW()</f>
        <v>315</v>
      </c>
      <c r="K315" s="67"/>
      <c r="L315" s="29" t="s">
        <v>10</v>
      </c>
      <c r="M315" s="30">
        <f t="shared" ref="M315" si="905">IFERROR(
IF(COUNTA(P309:AI309)=COUNTIF(P311:XX311,"Orçamento"),MIN(M320,M317),
IF(M318&lt;&gt;"",M318,
IF(M319&lt;&gt;"",M319,
M317
))),"")</f>
        <v>93.526354225571438</v>
      </c>
      <c r="N315" s="71"/>
      <c r="O315" s="27" t="s">
        <v>376</v>
      </c>
      <c r="P315" s="106">
        <f t="shared" ref="P315:AI315" si="906">IFERROR(IF(P313="",
            "",
            IF(COUNT($P313:$XX313)&lt;=4,
               P313,
               IF(OR(P313&gt;(QUARTILE($P313:$XX313,3)+(QUARTILE($P313:$XX313,3)-QUARTILE($P313:$XX313,1))),
                     P313&lt;(QUARTILE($P313:$XX313,1)-(QUARTILE($P313:$XX313,3)-QUARTILE($P313:$XX313,1)))
                  ),
               "DESCARTADO",P313)
             )
  ),P313)</f>
        <v>96.579801064700376</v>
      </c>
      <c r="Q315" s="106">
        <f t="shared" si="906"/>
        <v>81.428254911625942</v>
      </c>
      <c r="R315" s="106">
        <f t="shared" si="906"/>
        <v>102.57100670038804</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f t="shared" ref="B316" si="907">B315</f>
        <v>15</v>
      </c>
      <c r="C316" s="128">
        <f t="shared" ref="C316" si="908">C315</f>
        <v>1</v>
      </c>
      <c r="D316" s="127">
        <f t="shared" si="842"/>
        <v>15</v>
      </c>
      <c r="E316" s="743"/>
      <c r="F316" s="93"/>
      <c r="G316" s="745"/>
      <c r="H316"/>
      <c r="I316"/>
      <c r="J316"/>
      <c r="K316" s="66"/>
      <c r="L316" s="29" t="s">
        <v>360</v>
      </c>
      <c r="M316" s="30">
        <f t="shared" ref="M316" si="909">AVERAGE($P315:$XX315)</f>
        <v>93.526354225571438</v>
      </c>
      <c r="N316" s="71"/>
      <c r="O316" s="27" t="str">
        <f t="shared" ref="O316" si="910">"1 POND"</f>
        <v>1 POND</v>
      </c>
      <c r="P316" s="107">
        <f>IF(IFERROR(VLOOKUP(P311,'Tabela de Apoio'!$D:$E,2,FALSE),1)=1,"",P317)</f>
        <v>96.579801064700376</v>
      </c>
      <c r="Q316" s="107">
        <f>IF(IFERROR(VLOOKUP(Q311,'Tabela de Apoio'!$D:$E,2,FALSE),1)=1,"",Q317)</f>
        <v>81.428254911625942</v>
      </c>
      <c r="R316" s="107">
        <f>IF(IFERROR(VLOOKUP(R311,'Tabela de Apoio'!$D:$E,2,FALSE),1)=1,"",R317)</f>
        <v>102.57100670038804</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f t="shared" si="841"/>
        <v>15</v>
      </c>
      <c r="C317" s="128">
        <f t="shared" si="842"/>
        <v>1</v>
      </c>
      <c r="D317" s="127">
        <f t="shared" si="842"/>
        <v>15</v>
      </c>
      <c r="E317" s="743"/>
      <c r="F317" s="93"/>
      <c r="G317" s="745"/>
      <c r="H317" s="134">
        <f t="shared" ref="H317" si="911">COUNT($P317:$XX317)</f>
        <v>3</v>
      </c>
      <c r="I317" s="132">
        <f t="shared" ref="I317" si="912">_xlfn.STDEV.P($P316:$XX317)/AVERAGE($P316:$XX317)</f>
        <v>9.5132965054248536E-2</v>
      </c>
      <c r="J317" s="7">
        <f t="shared" ref="J317" si="913">IF(AND(H317&gt;2,
OR(L309="MÉDIA SANEADA",L309="MEDIANA SANEADA",
AND(L309="PREÇO ESTIMADO",NOT(AND(P311="Orçamento",COUNTA(P309:XX309)=COUNTIF(P311:XX311,"Orçamento")))))),
ROW(),0)</f>
        <v>317</v>
      </c>
      <c r="K317" s="66"/>
      <c r="L317" s="29" t="s">
        <v>361</v>
      </c>
      <c r="M317" s="30">
        <f t="shared" ref="M317" si="914">MEDIAN($P315:$XX315)</f>
        <v>96.579801064700376</v>
      </c>
      <c r="N317" s="71"/>
      <c r="O317" s="27" t="str">
        <f t="shared" ref="O317" si="915">"1 RODADA"</f>
        <v>1 RODADA</v>
      </c>
      <c r="P317" s="107">
        <f t="shared" ref="P317:AI317" si="916">IF(P315="","",IF((_xlfn.STDEV.P($P314:$XX315)/AVERAGE($P314:$XX315))&lt;=25%,P315,IF(OR(P315&gt;(AVERAGE($P314:$XX315)+_xlfn.STDEV.P($P314:$XX315)),P315&lt;(AVERAGE($P314:$XX315)-_xlfn.STDEV.P($P314:$XX315))),"DESCARTADO",P315)))</f>
        <v>96.579801064700376</v>
      </c>
      <c r="Q317" s="107">
        <f t="shared" si="916"/>
        <v>81.428254911625942</v>
      </c>
      <c r="R317" s="107">
        <f t="shared" si="916"/>
        <v>102.57100670038804</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f t="shared" si="841"/>
        <v>15</v>
      </c>
      <c r="C318" s="128">
        <f t="shared" si="842"/>
        <v>1</v>
      </c>
      <c r="D318" s="127">
        <f t="shared" si="842"/>
        <v>15</v>
      </c>
      <c r="E318" s="743"/>
      <c r="F318" s="93"/>
      <c r="G318" s="745"/>
      <c r="H318"/>
      <c r="I318"/>
      <c r="J318"/>
      <c r="L318" s="29" t="s">
        <v>38</v>
      </c>
      <c r="M318" s="30">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93.526354225571438</v>
      </c>
      <c r="N318" s="71"/>
      <c r="O318" s="27" t="str">
        <f t="shared" ref="O318" si="918">"2 POND"</f>
        <v>2 POND</v>
      </c>
      <c r="P318" s="107">
        <f>IF(IFERROR(VLOOKUP(P311,'Tabela de Apoio'!$D:$E,2,FALSE),1)=1,"",P319)</f>
        <v>96.579801064700376</v>
      </c>
      <c r="Q318" s="107">
        <f>IF(IFERROR(VLOOKUP(Q311,'Tabela de Apoio'!$D:$E,2,FALSE),1)=1,"",Q319)</f>
        <v>81.428254911625942</v>
      </c>
      <c r="R318" s="107">
        <f>IF(IFERROR(VLOOKUP(R311,'Tabela de Apoio'!$D:$E,2,FALSE),1)=1,"",R319)</f>
        <v>102.57100670038804</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f t="shared" si="841"/>
        <v>15</v>
      </c>
      <c r="C319" s="128">
        <f t="shared" si="842"/>
        <v>1</v>
      </c>
      <c r="D319" s="127">
        <f t="shared" si="842"/>
        <v>15</v>
      </c>
      <c r="E319" s="743"/>
      <c r="F319" s="93"/>
      <c r="G319" s="745"/>
      <c r="H319" s="134">
        <f t="shared" ref="H319" si="919">COUNT($P319:$XX319)</f>
        <v>3</v>
      </c>
      <c r="I319" s="132">
        <f t="shared" ref="I319" si="920">_xlfn.STDEV.P($P318:$XX319)/AVERAGE($P318:$XX319)</f>
        <v>9.5132965054248536E-2</v>
      </c>
      <c r="J319" s="7">
        <f t="shared" ref="J319" si="921">IF(AND(H319&gt;2,
OR(L309="MÉDIA SANEADA",L309="MEDIANA SANEADA",
AND(L309="PREÇO ESTIMADO",NOT(AND(P311="Orçamento",COUNTA(P309:XX309)=COUNTIF(P311:XX311,"Orçamento")))))),
ROW(),0)</f>
        <v>319</v>
      </c>
      <c r="K319" s="66"/>
      <c r="L319" s="29" t="s">
        <v>362</v>
      </c>
      <c r="M319" s="30">
        <f t="shared" ref="M319" si="922" xml:space="preserve">
IF(H317&gt;2,MEDIAN(P316:XX317),
IF(H319&gt;2,MEDIAN(P318:XX319),
IF(H321&gt;2,MEDIAN(P320:XX321),
IF(H323&gt;2,MEDIAN(P322:XX323),
IF(H325&gt;2,MEDIAN(P324:XX325),
IF(H327&gt;2,MEDIAN(P326:XX327),
MEDIAN(P314:XX315)))))))</f>
        <v>96.579801064700376</v>
      </c>
      <c r="N319" s="71"/>
      <c r="O319" s="27" t="str">
        <f t="shared" ref="O319" si="923">"2 RODADA"</f>
        <v>2 RODADA</v>
      </c>
      <c r="P319" s="107">
        <f t="shared" ref="P319:AI319" si="924">IF(P317="","",IF((_xlfn.STDEV.P($P316:$XX317)/AVERAGE($P316:$XX317))&lt;=25%,P317,IF(OR(P317&gt;(AVERAGE($P316:$XX317)+_xlfn.STDEV.P($P316:$XX317)),P317&lt;(AVERAGE($P316:$XX317)-_xlfn.STDEV.P($P316:$XX317))),"DESCARTADO",P317)))</f>
        <v>96.579801064700376</v>
      </c>
      <c r="Q319" s="107">
        <f t="shared" si="924"/>
        <v>81.428254911625942</v>
      </c>
      <c r="R319" s="107">
        <f t="shared" si="924"/>
        <v>102.57100670038804</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f t="shared" si="841"/>
        <v>15</v>
      </c>
      <c r="C320" s="128">
        <f t="shared" si="842"/>
        <v>1</v>
      </c>
      <c r="D320" s="127">
        <f t="shared" si="842"/>
        <v>15</v>
      </c>
      <c r="E320" s="743"/>
      <c r="F320" s="93"/>
      <c r="G320" s="745"/>
      <c r="H320"/>
      <c r="I320"/>
      <c r="J320"/>
      <c r="K320" s="66"/>
      <c r="L320" s="29" t="s">
        <v>359</v>
      </c>
      <c r="M320" s="30">
        <f t="shared" ref="M320" si="925">HARMEAN($P314:$XX315)</f>
        <v>92.63769594444409</v>
      </c>
      <c r="N320" s="71"/>
      <c r="O320" s="27" t="str">
        <f t="shared" ref="O320" si="926">"3 POND"</f>
        <v>3 POND</v>
      </c>
      <c r="P320" s="107">
        <f>IF(IFERROR(VLOOKUP(P311,'Tabela de Apoio'!$D:$E,2,FALSE),1)=1,"",P321)</f>
        <v>96.579801064700376</v>
      </c>
      <c r="Q320" s="107">
        <f>IF(IFERROR(VLOOKUP(Q311,'Tabela de Apoio'!$D:$E,2,FALSE),1)=1,"",Q321)</f>
        <v>81.428254911625942</v>
      </c>
      <c r="R320" s="107">
        <f>IF(IFERROR(VLOOKUP(R311,'Tabela de Apoio'!$D:$E,2,FALSE),1)=1,"",R321)</f>
        <v>102.57100670038804</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f t="shared" si="841"/>
        <v>15</v>
      </c>
      <c r="C321" s="128">
        <f t="shared" si="842"/>
        <v>1</v>
      </c>
      <c r="D321" s="127">
        <f t="shared" si="842"/>
        <v>15</v>
      </c>
      <c r="E321" s="743"/>
      <c r="F321" s="93"/>
      <c r="G321" s="745"/>
      <c r="H321" s="134">
        <f t="shared" ref="H321" si="927">COUNT($P321:$XX321)</f>
        <v>3</v>
      </c>
      <c r="I321" s="132">
        <f t="shared" ref="I321" si="928">_xlfn.STDEV.P($P320:$XX321)/AVERAGE($P320:$XX321)</f>
        <v>9.5132965054248536E-2</v>
      </c>
      <c r="J321" s="7">
        <f t="shared" ref="J321" si="929">IF(AND(H321&gt;2,
OR(L309="MÉDIA SANEADA",L309="MEDIANA SANEADA",
AND(L309="PREÇO ESTIMADO",NOT(AND(P311="Orçamento",COUNTA(P309:XX309)=COUNTIF(P311:XX311,"Orçamento")))))),
ROW(),0)</f>
        <v>321</v>
      </c>
      <c r="K321" s="66"/>
      <c r="L321" s="29" t="s">
        <v>41</v>
      </c>
      <c r="M321" s="30">
        <f t="shared" ref="M321" si="930">IFERROR(_xlfn.QUARTILE.EXC($P315:$XX315,1),"")</f>
        <v>81.428254911625942</v>
      </c>
      <c r="N321" s="71"/>
      <c r="O321" s="27" t="str">
        <f t="shared" ref="O321" si="931">"3 RODADA"</f>
        <v>3 RODADA</v>
      </c>
      <c r="P321" s="107">
        <f t="shared" ref="P321:AI321" si="932">IF(P319="","",IF((_xlfn.STDEV.P($P318:$XX319)/AVERAGE($P318:$XX319))&lt;=25%,P319,IF(OR(P319&gt;(AVERAGE($P318:$XX319)+_xlfn.STDEV.P($P318:$XX319)),P319&lt;(AVERAGE($P318:$XX319)-_xlfn.STDEV.P($P318:$XX319))),"DESCARTADO",P319)))</f>
        <v>96.579801064700376</v>
      </c>
      <c r="Q321" s="107">
        <f t="shared" si="932"/>
        <v>81.428254911625942</v>
      </c>
      <c r="R321" s="107">
        <f t="shared" si="932"/>
        <v>102.57100670038804</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f t="shared" si="841"/>
        <v>15</v>
      </c>
      <c r="C322" s="128">
        <f t="shared" si="842"/>
        <v>1</v>
      </c>
      <c r="D322" s="127">
        <f t="shared" si="842"/>
        <v>15</v>
      </c>
      <c r="E322" s="743"/>
      <c r="F322" s="93"/>
      <c r="G322" s="745"/>
      <c r="H322"/>
      <c r="I322"/>
      <c r="J322"/>
      <c r="K322" s="66"/>
      <c r="L322" s="29" t="s">
        <v>39</v>
      </c>
      <c r="M322" s="30">
        <f t="shared" ref="M322" si="933">IFERROR(_xlfn.QUARTILE.EXC($P315:$XX315,3),"")</f>
        <v>102.57100670038804</v>
      </c>
      <c r="N322" s="71"/>
      <c r="O322" s="27" t="str">
        <f t="shared" ref="O322" si="934">"4 POND"</f>
        <v>4 POND</v>
      </c>
      <c r="P322" s="107">
        <f>IF(IFERROR(VLOOKUP(P311,'Tabela de Apoio'!$D:$E,2,FALSE),1)=1,"",P323)</f>
        <v>96.579801064700376</v>
      </c>
      <c r="Q322" s="107">
        <f>IF(IFERROR(VLOOKUP(Q311,'Tabela de Apoio'!$D:$E,2,FALSE),1)=1,"",Q323)</f>
        <v>81.428254911625942</v>
      </c>
      <c r="R322" s="107">
        <f>IF(IFERROR(VLOOKUP(R311,'Tabela de Apoio'!$D:$E,2,FALSE),1)=1,"",R323)</f>
        <v>102.57100670038804</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f t="shared" si="841"/>
        <v>15</v>
      </c>
      <c r="C323" s="128">
        <f t="shared" si="842"/>
        <v>1</v>
      </c>
      <c r="D323" s="127">
        <f t="shared" si="842"/>
        <v>15</v>
      </c>
      <c r="E323" s="743"/>
      <c r="F323" s="93"/>
      <c r="G323" s="745"/>
      <c r="H323" s="134">
        <f t="shared" ref="H323" si="935">COUNT($P323:$XX323)</f>
        <v>3</v>
      </c>
      <c r="I323" s="132">
        <f t="shared" ref="I323" si="936">_xlfn.STDEV.P($P322:$XX323)/AVERAGE($P322:$XX323)</f>
        <v>9.5132965054248536E-2</v>
      </c>
      <c r="J323" s="7">
        <f t="shared" ref="J323" si="937">IF(AND(H323&gt;2,
OR(L309="MÉDIA SANEADA",L309="MEDIANA SANEADA",
AND(L309="PREÇO ESTIMADO",NOT(AND(P311="Orçamento",COUNTA(P309:XX309)=COUNTIF(P311:XX311,"Orçamento")))))),
ROW(),0)</f>
        <v>323</v>
      </c>
      <c r="K323" s="66"/>
      <c r="L323" s="29" t="s">
        <v>42</v>
      </c>
      <c r="M323" s="30">
        <f t="shared" ref="M323" si="938">MIN($P315:$XX315)</f>
        <v>81.428254911625942</v>
      </c>
      <c r="N323" s="71"/>
      <c r="O323" s="27" t="str">
        <f t="shared" ref="O323" si="939">"4 RODADA"</f>
        <v>4 RODADA</v>
      </c>
      <c r="P323" s="107">
        <f t="shared" ref="P323:AI323" si="940">IF(P321="","",IF((_xlfn.STDEV.P($P320:$XX321)/AVERAGE($P320:$XX321))&lt;=25%,P321,IF(OR(P321&gt;(AVERAGE($P320:$XX321)+_xlfn.STDEV.P($P320:$XX321)),P321&lt;(AVERAGE($P320:$XX321)-_xlfn.STDEV.P($P320:$XX321))),"DESCARTADO",P321)))</f>
        <v>96.579801064700376</v>
      </c>
      <c r="Q323" s="107">
        <f t="shared" si="940"/>
        <v>81.428254911625942</v>
      </c>
      <c r="R323" s="107">
        <f t="shared" si="940"/>
        <v>102.57100670038804</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f t="shared" si="841"/>
        <v>15</v>
      </c>
      <c r="C324" s="128">
        <f t="shared" si="842"/>
        <v>1</v>
      </c>
      <c r="D324" s="127">
        <f t="shared" si="842"/>
        <v>15</v>
      </c>
      <c r="E324" s="743"/>
      <c r="F324" s="93"/>
      <c r="G324" s="745"/>
      <c r="H324"/>
      <c r="I324"/>
      <c r="J324"/>
      <c r="K324" s="66"/>
      <c r="L324" s="29" t="s">
        <v>40</v>
      </c>
      <c r="M324" s="30">
        <f t="shared" ref="M324" si="941">MAX($P315:$XX315)</f>
        <v>102.57100670038804</v>
      </c>
      <c r="N324" s="71"/>
      <c r="O324" s="27" t="str">
        <f t="shared" ref="O324" si="942">"5 POND"</f>
        <v>5 POND</v>
      </c>
      <c r="P324" s="107">
        <f>IF(IFERROR(VLOOKUP(P311,'Tabela de Apoio'!$D:$E,2,FALSE),1)=1,"",P325)</f>
        <v>96.579801064700376</v>
      </c>
      <c r="Q324" s="107">
        <f>IF(IFERROR(VLOOKUP(Q311,'Tabela de Apoio'!$D:$E,2,FALSE),1)=1,"",Q325)</f>
        <v>81.428254911625942</v>
      </c>
      <c r="R324" s="107">
        <f>IF(IFERROR(VLOOKUP(R311,'Tabela de Apoio'!$D:$E,2,FALSE),1)=1,"",R325)</f>
        <v>102.57100670038804</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f t="shared" si="841"/>
        <v>15</v>
      </c>
      <c r="C325" s="128">
        <f t="shared" si="842"/>
        <v>1</v>
      </c>
      <c r="D325" s="127">
        <f t="shared" si="842"/>
        <v>15</v>
      </c>
      <c r="E325" s="743"/>
      <c r="F325" s="93"/>
      <c r="G325" s="745"/>
      <c r="H325" s="134">
        <f t="shared" ref="H325" si="943">COUNT($P325:$XX325)</f>
        <v>3</v>
      </c>
      <c r="I325" s="132">
        <f t="shared" ref="I325" si="944">_xlfn.STDEV.P($P324:$XX325)/AVERAGE($P324:$XX325)</f>
        <v>9.5132965054248536E-2</v>
      </c>
      <c r="J325" s="7">
        <f t="shared" ref="J325" si="945">IF(AND(H325&gt;2,
OR(L309="MÉDIA SANEADA",L309="MEDIANA SANEADA",
AND(L309="PREÇO ESTIMADO",NOT(AND(P311="Orçamento",COUNTA(P309:XX309)=COUNTIF(P311:XX311,"Orçamento")))))),
ROW(),0)</f>
        <v>325</v>
      </c>
      <c r="K325" s="66"/>
      <c r="N325" s="71"/>
      <c r="O325" s="27" t="str">
        <f t="shared" ref="O325" si="946">"5 RODADA"</f>
        <v>5 RODADA</v>
      </c>
      <c r="P325" s="107">
        <f t="shared" ref="P325:AI325" si="947">IF(P323="","",IF((_xlfn.STDEV.P($P322:$XX323)/AVERAGE($P322:$XX323))&lt;=25%,P323,IF(OR(P323&gt;(AVERAGE($P322:$XX323)+_xlfn.STDEV.P($P322:$XX323)),P323&lt;(AVERAGE($P322:$XX323)-_xlfn.STDEV.P($P322:$XX323))),"DESCARTADO",P323)))</f>
        <v>96.579801064700376</v>
      </c>
      <c r="Q325" s="107">
        <f t="shared" si="947"/>
        <v>81.428254911625942</v>
      </c>
      <c r="R325" s="107">
        <f t="shared" si="947"/>
        <v>102.57100670038804</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f t="shared" si="841"/>
        <v>15</v>
      </c>
      <c r="C326" s="128">
        <f t="shared" si="842"/>
        <v>1</v>
      </c>
      <c r="D326" s="127">
        <f t="shared" si="842"/>
        <v>15</v>
      </c>
      <c r="E326" s="743"/>
      <c r="F326" s="93"/>
      <c r="G326" s="745"/>
      <c r="H326"/>
      <c r="I326"/>
      <c r="J326"/>
      <c r="K326" s="66"/>
      <c r="L326" s="22"/>
      <c r="M326" s="22"/>
      <c r="N326" s="71"/>
      <c r="O326" s="27" t="str">
        <f t="shared" ref="O326" si="948">"6 POND"</f>
        <v>6 POND</v>
      </c>
      <c r="P326" s="107">
        <f>IF(IFERROR(VLOOKUP(P311,'Tabela de Apoio'!$D:$E,2,FALSE),1)=1,"",P327)</f>
        <v>96.579801064700376</v>
      </c>
      <c r="Q326" s="107">
        <f>IF(IFERROR(VLOOKUP(Q311,'Tabela de Apoio'!$D:$E,2,FALSE),1)=1,"",Q327)</f>
        <v>81.428254911625942</v>
      </c>
      <c r="R326" s="107">
        <f>IF(IFERROR(VLOOKUP(R311,'Tabela de Apoio'!$D:$E,2,FALSE),1)=1,"",R327)</f>
        <v>102.57100670038804</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f t="shared" si="841"/>
        <v>15</v>
      </c>
      <c r="C327" s="128">
        <f t="shared" si="842"/>
        <v>1</v>
      </c>
      <c r="D327" s="127">
        <f t="shared" si="842"/>
        <v>15</v>
      </c>
      <c r="E327" s="743"/>
      <c r="F327" s="93"/>
      <c r="G327" s="745"/>
      <c r="H327" s="134">
        <f t="shared" ref="H327" si="949">COUNT($P327:$XX327)</f>
        <v>3</v>
      </c>
      <c r="I327" s="132">
        <f t="shared" ref="I327" si="950">_xlfn.STDEV.P($P326:$XX327)/AVERAGE($P326:$XX327)</f>
        <v>9.5132965054248536E-2</v>
      </c>
      <c r="J327" s="7">
        <f t="shared" ref="J327" si="951">IF(AND(H327&gt;2,
OR(L309="MÉDIA SANEADA",L309="MEDIANA SANEADA",
AND(L309="PREÇO ESTIMADO",NOT(AND(P311="Orçamento",COUNTA(P309:XX309)=COUNTIF(P311:XX311,"Orçamento")))))),
ROW(),0)</f>
        <v>327</v>
      </c>
      <c r="N327" s="71"/>
      <c r="O327" s="27" t="str">
        <f t="shared" ref="O327" si="952">"6 RODADA"</f>
        <v>6 RODADA</v>
      </c>
      <c r="P327" s="107">
        <f t="shared" ref="P327:AI327" si="953">IFERROR(IF(P325="","",IF((_xlfn.STDEV.P($P324:$XX325)/AVERAGE($P324:$XX325))&lt;=25%,P325,IF(OR(P325&gt;(AVERAGE($P324:$XX325)+_xlfn.STDEV.P($P324:$XX325)),P325&lt;(AVERAGE($P324:$XX325)-_xlfn.STDEV.P($P324:$XX325))),"DESCARTADO",P325))),)</f>
        <v>96.579801064700376</v>
      </c>
      <c r="Q327" s="107">
        <f t="shared" si="953"/>
        <v>81.428254911625942</v>
      </c>
      <c r="R327" s="107">
        <f t="shared" si="953"/>
        <v>102.57100670038804</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f t="shared" si="841"/>
        <v>15</v>
      </c>
      <c r="C328" s="128">
        <f t="shared" si="842"/>
        <v>1</v>
      </c>
      <c r="D328" s="127">
        <f t="shared" si="842"/>
        <v>15</v>
      </c>
      <c r="E328" s="743"/>
      <c r="F328" s="136"/>
      <c r="G328" s="745"/>
      <c r="H328" s="748"/>
      <c r="I328" s="748"/>
      <c r="J328" s="749"/>
      <c r="K328" s="67"/>
      <c r="L328" s="1" t="s">
        <v>43</v>
      </c>
      <c r="M328" s="144">
        <f t="shared" ref="M328" si="954">IFERROR(ROUND(M309*M311,2),"")</f>
        <v>0</v>
      </c>
      <c r="O328" s="27" t="s">
        <v>363</v>
      </c>
      <c r="P328" s="107">
        <f t="shared" ref="P328:R328" si="955">INDEX(P315:P327,MATCH(MAX($J315:$J327),$J315:$J327,0))</f>
        <v>96.579801064700376</v>
      </c>
      <c r="Q328" s="107">
        <f t="shared" si="955"/>
        <v>81.428254911625942</v>
      </c>
      <c r="R328" s="107">
        <f t="shared" si="955"/>
        <v>102.57100670038804</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f t="shared" ref="B330" si="956">LARGE(IFERROR(IF(B328+1&gt;$H$8,"",B328+1),""),1)</f>
        <v>16</v>
      </c>
      <c r="C330" s="127">
        <f>IF(_xlfn.ISFORMULA(E334),MAX(INDEX('BASE FORMAÇÃO'!A:A,B330+1),1),E334)</f>
        <v>1</v>
      </c>
      <c r="D330" s="127">
        <f t="shared" ref="D330" si="957">IFERROR(IF(C330=C320,D320+1,1),1)</f>
        <v>16</v>
      </c>
      <c r="E330" s="38" t="s">
        <v>9</v>
      </c>
      <c r="F330" s="73"/>
      <c r="G330" s="38" t="s">
        <v>15</v>
      </c>
      <c r="H330" s="135">
        <f>INDEX('BASE FORMAÇÃO'!B:B,B330+1)</f>
        <v>0</v>
      </c>
      <c r="I330" s="143" t="s">
        <v>16</v>
      </c>
      <c r="J330" s="6">
        <f>INDEX('BASE FORMAÇÃO'!K:K,B330+1)</f>
        <v>0</v>
      </c>
      <c r="K330" s="65"/>
      <c r="L330" s="750" t="s">
        <v>10</v>
      </c>
      <c r="M330" s="752">
        <f t="shared" ref="M330" si="958">IF(OR(ISBLANK($O$8),ISBLANK($O$7),ISBLANK($H$8),ISBLANK($O$6),ISBLANK($O$5),ISBLANK($H$5)),"",IFERROR(IF(VLOOKUP(L330,L336:M345,2,FALSE)&lt;1,ROUND(VLOOKUP(L330,L336:M345,2,FALSE),4),ROUND(VLOOKUP(L330,L336:M345,2,FALSE),2)),""))</f>
        <v>40</v>
      </c>
      <c r="N330" s="69"/>
      <c r="O330" s="27" t="s">
        <v>17</v>
      </c>
      <c r="P330" s="113">
        <v>30.9</v>
      </c>
      <c r="Q330" s="113">
        <v>40</v>
      </c>
      <c r="R330" s="113">
        <v>56.19</v>
      </c>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f t="shared" ref="B331:D331" si="959">B330</f>
        <v>16</v>
      </c>
      <c r="C331" s="128">
        <f t="shared" si="959"/>
        <v>1</v>
      </c>
      <c r="D331" s="127">
        <f t="shared" si="959"/>
        <v>16</v>
      </c>
      <c r="E331" s="754">
        <f t="shared" ref="E331" si="960">D330</f>
        <v>16</v>
      </c>
      <c r="F331" s="92"/>
      <c r="G331" s="756" t="s">
        <v>1</v>
      </c>
      <c r="H331" s="765" t="s">
        <v>447</v>
      </c>
      <c r="I331" s="759"/>
      <c r="J331" s="760"/>
      <c r="K331" s="66"/>
      <c r="L331" s="751"/>
      <c r="M331" s="753"/>
      <c r="N331" s="70"/>
      <c r="O331" s="27" t="s">
        <v>13</v>
      </c>
      <c r="P331" s="122">
        <v>45784</v>
      </c>
      <c r="Q331" s="122">
        <v>45741</v>
      </c>
      <c r="R331" s="122">
        <v>45642</v>
      </c>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f t="shared" ref="B332:D332" si="961">B331</f>
        <v>16</v>
      </c>
      <c r="C332" s="128">
        <f t="shared" si="961"/>
        <v>1</v>
      </c>
      <c r="D332" s="127">
        <f t="shared" si="961"/>
        <v>16</v>
      </c>
      <c r="E332" s="755"/>
      <c r="F332" s="93"/>
      <c r="G332" s="757"/>
      <c r="H332" s="761"/>
      <c r="I332" s="761"/>
      <c r="J332" s="762"/>
      <c r="K332" s="64"/>
      <c r="L332" s="130" t="s">
        <v>44</v>
      </c>
      <c r="M332" s="131">
        <f>INDEX('BASE FORMAÇÃO'!H:H,B334+1)</f>
        <v>0</v>
      </c>
      <c r="N332" s="71"/>
      <c r="O332" s="27" t="s">
        <v>380</v>
      </c>
      <c r="P332" s="114" t="s">
        <v>12</v>
      </c>
      <c r="Q332" s="114" t="s">
        <v>12</v>
      </c>
      <c r="R332" s="114" t="s">
        <v>12</v>
      </c>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f t="shared" ref="B333:C333" si="962">B332</f>
        <v>16</v>
      </c>
      <c r="C333" s="128">
        <f t="shared" si="962"/>
        <v>1</v>
      </c>
      <c r="D333" s="127">
        <f t="shared" si="842"/>
        <v>16</v>
      </c>
      <c r="E333" s="38" t="s">
        <v>313</v>
      </c>
      <c r="F333" s="93"/>
      <c r="G333" s="758"/>
      <c r="H333" s="763"/>
      <c r="I333" s="763"/>
      <c r="J333" s="764"/>
      <c r="K333" s="64"/>
      <c r="L333" s="1" t="s">
        <v>2</v>
      </c>
      <c r="M333" s="6">
        <f>INDEX('BASE FORMAÇÃO'!D:D,B334+1)</f>
        <v>0</v>
      </c>
      <c r="N333" s="71"/>
      <c r="O333" s="27" t="s">
        <v>381</v>
      </c>
      <c r="P333" s="182" t="s">
        <v>450</v>
      </c>
      <c r="Q333" s="182" t="s">
        <v>450</v>
      </c>
      <c r="R333" s="182" t="s">
        <v>450</v>
      </c>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f t="shared" ref="B334:C334" si="963">B332</f>
        <v>16</v>
      </c>
      <c r="C334" s="128">
        <f t="shared" si="963"/>
        <v>1</v>
      </c>
      <c r="D334" s="127">
        <f t="shared" si="842"/>
        <v>16</v>
      </c>
      <c r="E334" s="742">
        <f t="shared" ref="E334" si="964">C330</f>
        <v>1</v>
      </c>
      <c r="F334" s="93"/>
      <c r="G334" s="744" t="s">
        <v>304</v>
      </c>
      <c r="H334" s="746"/>
      <c r="I334" s="747"/>
      <c r="J334" s="747"/>
      <c r="K334" s="67"/>
      <c r="L334" s="28" t="s">
        <v>303</v>
      </c>
      <c r="M334" s="133">
        <f t="shared" ref="M334" si="965">IFERROR(INDEX(I336:I348,MATCH(MAX(J336:J348),J336:J348,0)),"")</f>
        <v>0.25903232033459161</v>
      </c>
      <c r="N334" s="71"/>
      <c r="O334" s="27" t="s">
        <v>18</v>
      </c>
      <c r="P334" s="106">
        <f>IF(P330="","",
IF(OR(P332="Orçamento",P331="",MAX('Tabela de Apoio'!$A:$A)&lt;=P331),
P330,
(INDEX('Tabela de Apoio'!$B:$B,MATCH('MAPA DE PREÇOS'!$O$8,'Tabela de Apoio'!$A:$A,1))/INDEX('Tabela de Apoio'!$B:$B,MATCH('MAPA DE PREÇOS'!P331,'Tabela de Apoio'!$A:$A,1)-1))*P330))</f>
        <v>30.9</v>
      </c>
      <c r="Q334" s="106">
        <f>IF(Q330="","",
IF(OR(Q332="Orçamento",Q331="",MAX('Tabela de Apoio'!$A:$A)&lt;=Q331),
Q330,
(INDEX('Tabela de Apoio'!$B:$B,MATCH('MAPA DE PREÇOS'!$O$8,'Tabela de Apoio'!$A:$A,1))/INDEX('Tabela de Apoio'!$B:$B,MATCH('MAPA DE PREÇOS'!Q331,'Tabela de Apoio'!$A:$A,1)-1))*Q330))</f>
        <v>40</v>
      </c>
      <c r="R334" s="106">
        <f>IF(R330="","",
IF(OR(R332="Orçamento",R331="",MAX('Tabela de Apoio'!$A:$A)&lt;=R331),
R330,
(INDEX('Tabela de Apoio'!$B:$B,MATCH('MAPA DE PREÇOS'!$O$8,'Tabela de Apoio'!$A:$A,1))/INDEX('Tabela de Apoio'!$B:$B,MATCH('MAPA DE PREÇOS'!R331,'Tabela de Apoio'!$A:$A,1)-1))*R330))</f>
        <v>57.634648664948031</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f t="shared" ref="B335" si="966">B334</f>
        <v>16</v>
      </c>
      <c r="C335" s="128">
        <f t="shared" ref="C335" si="967">C334</f>
        <v>1</v>
      </c>
      <c r="D335" s="127">
        <f t="shared" si="842"/>
        <v>16</v>
      </c>
      <c r="E335" s="743"/>
      <c r="F335" s="93"/>
      <c r="G335" s="745"/>
      <c r="H335"/>
      <c r="I335"/>
      <c r="J335"/>
      <c r="N335" s="71"/>
      <c r="O335" s="27" t="s">
        <v>375</v>
      </c>
      <c r="P335" s="107">
        <f>IF(IFERROR(VLOOKUP(P332,'Tabela de Apoio'!$D:$E,2,FALSE),1)=1,"",P336)</f>
        <v>30.9</v>
      </c>
      <c r="Q335" s="107">
        <f>IF(IFERROR(VLOOKUP(Q332,'Tabela de Apoio'!$D:$E,2,FALSE),1)=1,"",Q336)</f>
        <v>40</v>
      </c>
      <c r="R335" s="107">
        <f>IF(IFERROR(VLOOKUP(R332,'Tabela de Apoio'!$D:$E,2,FALSE),1)=1,"",R336)</f>
        <v>57.634648664948031</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f t="shared" ref="B336:C336" si="968">B335</f>
        <v>16</v>
      </c>
      <c r="C336" s="128">
        <f t="shared" si="968"/>
        <v>1</v>
      </c>
      <c r="D336" s="127">
        <f t="shared" si="842"/>
        <v>16</v>
      </c>
      <c r="E336" s="743"/>
      <c r="F336" s="93"/>
      <c r="G336" s="745"/>
      <c r="H336" s="134">
        <f t="shared" ref="H336" si="969">COUNT($P336:$XX336)</f>
        <v>3</v>
      </c>
      <c r="I336" s="132">
        <f t="shared" ref="I336" si="970">_xlfn.STDEV.P($P335:$XX336)/AVERAGE($P335:$XX336)</f>
        <v>0.25903232033459161</v>
      </c>
      <c r="J336" s="7">
        <f>ROW()</f>
        <v>336</v>
      </c>
      <c r="K336" s="67"/>
      <c r="L336" s="29" t="s">
        <v>10</v>
      </c>
      <c r="M336" s="30">
        <f t="shared" ref="M336" si="971">IFERROR(
IF(COUNTA(P330:AI330)=COUNTIF(P332:XX332,"Orçamento"),MIN(M341,M338),
IF(M339&lt;&gt;"",M339,
IF(M340&lt;&gt;"",M340,
M338
))),"")</f>
        <v>40</v>
      </c>
      <c r="N336" s="71"/>
      <c r="O336" s="27" t="s">
        <v>376</v>
      </c>
      <c r="P336" s="106">
        <f t="shared" ref="P336:AI336" si="972">IFERROR(IF(P334="",
            "",
            IF(COUNT($P334:$XX334)&lt;=4,
               P334,
               IF(OR(P334&gt;(QUARTILE($P334:$XX334,3)+(QUARTILE($P334:$XX334,3)-QUARTILE($P334:$XX334,1))),
                     P334&lt;(QUARTILE($P334:$XX334,1)-(QUARTILE($P334:$XX334,3)-QUARTILE($P334:$XX334,1)))
                  ),
               "DESCARTADO",P334)
             )
  ),P334)</f>
        <v>30.9</v>
      </c>
      <c r="Q336" s="106">
        <f t="shared" si="972"/>
        <v>40</v>
      </c>
      <c r="R336" s="106">
        <f t="shared" si="972"/>
        <v>57.634648664948031</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f t="shared" ref="B337" si="973">B336</f>
        <v>16</v>
      </c>
      <c r="C337" s="128">
        <f t="shared" ref="C337" si="974">C336</f>
        <v>1</v>
      </c>
      <c r="D337" s="127">
        <f t="shared" si="842"/>
        <v>16</v>
      </c>
      <c r="E337" s="743"/>
      <c r="F337" s="93"/>
      <c r="G337" s="745"/>
      <c r="H337"/>
      <c r="I337"/>
      <c r="J337"/>
      <c r="K337" s="66"/>
      <c r="L337" s="29" t="s">
        <v>360</v>
      </c>
      <c r="M337" s="30">
        <f t="shared" ref="M337" si="975">AVERAGE($P336:$XX336)</f>
        <v>42.844882888316015</v>
      </c>
      <c r="N337" s="71"/>
      <c r="O337" s="27" t="str">
        <f t="shared" ref="O337" si="976">"1 POND"</f>
        <v>1 POND</v>
      </c>
      <c r="P337" s="107" t="str">
        <f>IF(IFERROR(VLOOKUP(P332,'Tabela de Apoio'!$D:$E,2,FALSE),1)=1,"",P338)</f>
        <v>DESCARTADO</v>
      </c>
      <c r="Q337" s="107">
        <f>IF(IFERROR(VLOOKUP(Q332,'Tabela de Apoio'!$D:$E,2,FALSE),1)=1,"",Q338)</f>
        <v>40</v>
      </c>
      <c r="R337" s="107" t="str">
        <f>IF(IFERROR(VLOOKUP(R332,'Tabela de Apoio'!$D:$E,2,FALSE),1)=1,"",R338)</f>
        <v>DESCARTADO</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f t="shared" si="841"/>
        <v>16</v>
      </c>
      <c r="C338" s="128">
        <f t="shared" si="842"/>
        <v>1</v>
      </c>
      <c r="D338" s="127">
        <f t="shared" si="842"/>
        <v>16</v>
      </c>
      <c r="E338" s="743"/>
      <c r="F338" s="93"/>
      <c r="G338" s="745"/>
      <c r="H338" s="134">
        <f t="shared" ref="H338" si="977">COUNT($P338:$XX338)</f>
        <v>1</v>
      </c>
      <c r="I338" s="132">
        <f t="shared" ref="I338" si="978">_xlfn.STDEV.P($P337:$XX338)/AVERAGE($P337:$XX338)</f>
        <v>0</v>
      </c>
      <c r="J338" s="7">
        <f t="shared" ref="J338" si="979">IF(AND(H338&gt;2,
OR(L330="MÉDIA SANEADA",L330="MEDIANA SANEADA",
AND(L330="PREÇO ESTIMADO",NOT(AND(P332="Orçamento",COUNTA(P330:XX330)=COUNTIF(P332:XX332,"Orçamento")))))),
ROW(),0)</f>
        <v>0</v>
      </c>
      <c r="K338" s="66"/>
      <c r="L338" s="29" t="s">
        <v>361</v>
      </c>
      <c r="M338" s="30">
        <f t="shared" ref="M338" si="980">MEDIAN($P336:$XX336)</f>
        <v>40</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DESCARTADO</v>
      </c>
      <c r="Q338" s="107">
        <f t="shared" si="982"/>
        <v>40</v>
      </c>
      <c r="R338" s="107" t="str">
        <f t="shared" si="982"/>
        <v>DESCARTADO</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f t="shared" si="841"/>
        <v>16</v>
      </c>
      <c r="C339" s="128">
        <f t="shared" si="842"/>
        <v>1</v>
      </c>
      <c r="D339" s="127">
        <f t="shared" si="842"/>
        <v>16</v>
      </c>
      <c r="E339" s="743"/>
      <c r="F339" s="93"/>
      <c r="G339" s="745"/>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DESCARTADO</v>
      </c>
      <c r="Q339" s="107">
        <f>IF(IFERROR(VLOOKUP(Q332,'Tabela de Apoio'!$D:$E,2,FALSE),1)=1,"",Q340)</f>
        <v>40</v>
      </c>
      <c r="R339" s="107" t="str">
        <f>IF(IFERROR(VLOOKUP(R332,'Tabela de Apoio'!$D:$E,2,FALSE),1)=1,"",R340)</f>
        <v>DESCARTADO</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f t="shared" si="841"/>
        <v>16</v>
      </c>
      <c r="C340" s="128">
        <f t="shared" si="842"/>
        <v>1</v>
      </c>
      <c r="D340" s="127">
        <f t="shared" si="842"/>
        <v>16</v>
      </c>
      <c r="E340" s="743"/>
      <c r="F340" s="93"/>
      <c r="G340" s="745"/>
      <c r="H340" s="134">
        <f t="shared" ref="H340" si="985">COUNT($P340:$XX340)</f>
        <v>1</v>
      </c>
      <c r="I340" s="132">
        <f t="shared" ref="I340" si="986">_xlfn.STDEV.P($P339:$XX340)/AVERAGE($P339:$XX340)</f>
        <v>0</v>
      </c>
      <c r="J340" s="7">
        <f t="shared" ref="J340" si="987">IF(AND(H340&gt;2,
OR(L330="MÉDIA SANEADA",L330="MEDIANA SANEADA",
AND(L330="PREÇO ESTIMADO",NOT(AND(P332="Orçamento",COUNTA(P330:XX330)=COUNTIF(P332:XX332,"Orçamento")))))),
ROW(),0)</f>
        <v>0</v>
      </c>
      <c r="K340" s="66"/>
      <c r="L340" s="29" t="s">
        <v>362</v>
      </c>
      <c r="M340" s="30">
        <f t="shared" ref="M340" si="988" xml:space="preserve">
IF(H338&gt;2,MEDIAN(P337:XX338),
IF(H340&gt;2,MEDIAN(P339:XX340),
IF(H342&gt;2,MEDIAN(P341:XX342),
IF(H344&gt;2,MEDIAN(P343:XX344),
IF(H346&gt;2,MEDIAN(P345:XX346),
IF(H348&gt;2,MEDIAN(P347:XX348),
MEDIAN(P335:XX336)))))))</f>
        <v>40</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DESCARTADO</v>
      </c>
      <c r="Q340" s="107">
        <f t="shared" si="990"/>
        <v>40</v>
      </c>
      <c r="R340" s="107" t="str">
        <f t="shared" si="990"/>
        <v>DESCARTADO</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f t="shared" si="841"/>
        <v>16</v>
      </c>
      <c r="C341" s="128">
        <f t="shared" si="842"/>
        <v>1</v>
      </c>
      <c r="D341" s="127">
        <f t="shared" si="842"/>
        <v>16</v>
      </c>
      <c r="E341" s="743"/>
      <c r="F341" s="93"/>
      <c r="G341" s="745"/>
      <c r="H341"/>
      <c r="I341"/>
      <c r="J341"/>
      <c r="K341" s="66"/>
      <c r="L341" s="29" t="s">
        <v>359</v>
      </c>
      <c r="M341" s="30">
        <f t="shared" ref="M341" si="991">HARMEAN($P335:$XX336)</f>
        <v>40.153582879488063</v>
      </c>
      <c r="N341" s="71"/>
      <c r="O341" s="27" t="str">
        <f t="shared" ref="O341" si="992">"3 POND"</f>
        <v>3 POND</v>
      </c>
      <c r="P341" s="107" t="str">
        <f>IF(IFERROR(VLOOKUP(P332,'Tabela de Apoio'!$D:$E,2,FALSE),1)=1,"",P342)</f>
        <v>DESCARTADO</v>
      </c>
      <c r="Q341" s="107">
        <f>IF(IFERROR(VLOOKUP(Q332,'Tabela de Apoio'!$D:$E,2,FALSE),1)=1,"",Q342)</f>
        <v>40</v>
      </c>
      <c r="R341" s="107" t="str">
        <f>IF(IFERROR(VLOOKUP(R332,'Tabela de Apoio'!$D:$E,2,FALSE),1)=1,"",R342)</f>
        <v>DESCARTADO</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f t="shared" si="841"/>
        <v>16</v>
      </c>
      <c r="C342" s="128">
        <f t="shared" si="842"/>
        <v>1</v>
      </c>
      <c r="D342" s="127">
        <f t="shared" si="842"/>
        <v>16</v>
      </c>
      <c r="E342" s="743"/>
      <c r="F342" s="93"/>
      <c r="G342" s="745"/>
      <c r="H342" s="134">
        <f t="shared" ref="H342" si="993">COUNT($P342:$XX342)</f>
        <v>1</v>
      </c>
      <c r="I342" s="132">
        <f t="shared" ref="I342" si="994">_xlfn.STDEV.P($P341:$XX342)/AVERAGE($P341:$XX342)</f>
        <v>0</v>
      </c>
      <c r="J342" s="7">
        <f t="shared" ref="J342" si="995">IF(AND(H342&gt;2,
OR(L330="MÉDIA SANEADA",L330="MEDIANA SANEADA",
AND(L330="PREÇO ESTIMADO",NOT(AND(P332="Orçamento",COUNTA(P330:XX330)=COUNTIF(P332:XX332,"Orçamento")))))),
ROW(),0)</f>
        <v>0</v>
      </c>
      <c r="K342" s="66"/>
      <c r="L342" s="29" t="s">
        <v>41</v>
      </c>
      <c r="M342" s="30">
        <f t="shared" ref="M342" si="996">IFERROR(_xlfn.QUARTILE.EXC($P336:$XX336,1),"")</f>
        <v>30.9</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DESCARTADO</v>
      </c>
      <c r="Q342" s="107">
        <f t="shared" si="998"/>
        <v>40</v>
      </c>
      <c r="R342" s="107" t="str">
        <f t="shared" si="998"/>
        <v>DESCARTADO</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f t="shared" si="841"/>
        <v>16</v>
      </c>
      <c r="C343" s="128">
        <f t="shared" si="842"/>
        <v>1</v>
      </c>
      <c r="D343" s="127">
        <f t="shared" si="842"/>
        <v>16</v>
      </c>
      <c r="E343" s="743"/>
      <c r="F343" s="93"/>
      <c r="G343" s="745"/>
      <c r="H343"/>
      <c r="I343"/>
      <c r="J343"/>
      <c r="K343" s="66"/>
      <c r="L343" s="29" t="s">
        <v>39</v>
      </c>
      <c r="M343" s="30">
        <f t="shared" ref="M343" si="999">IFERROR(_xlfn.QUARTILE.EXC($P336:$XX336,3),"")</f>
        <v>57.634648664948031</v>
      </c>
      <c r="N343" s="71"/>
      <c r="O343" s="27" t="str">
        <f t="shared" ref="O343" si="1000">"4 POND"</f>
        <v>4 POND</v>
      </c>
      <c r="P343" s="107" t="str">
        <f>IF(IFERROR(VLOOKUP(P332,'Tabela de Apoio'!$D:$E,2,FALSE),1)=1,"",P344)</f>
        <v>DESCARTADO</v>
      </c>
      <c r="Q343" s="107">
        <f>IF(IFERROR(VLOOKUP(Q332,'Tabela de Apoio'!$D:$E,2,FALSE),1)=1,"",Q344)</f>
        <v>40</v>
      </c>
      <c r="R343" s="107" t="str">
        <f>IF(IFERROR(VLOOKUP(R332,'Tabela de Apoio'!$D:$E,2,FALSE),1)=1,"",R344)</f>
        <v>DESCARTADO</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f t="shared" si="841"/>
        <v>16</v>
      </c>
      <c r="C344" s="128">
        <f t="shared" si="842"/>
        <v>1</v>
      </c>
      <c r="D344" s="127">
        <f t="shared" si="842"/>
        <v>16</v>
      </c>
      <c r="E344" s="743"/>
      <c r="F344" s="93"/>
      <c r="G344" s="745"/>
      <c r="H344" s="134">
        <f t="shared" ref="H344" si="1001">COUNT($P344:$XX344)</f>
        <v>1</v>
      </c>
      <c r="I344" s="132">
        <f t="shared" ref="I344" si="1002">_xlfn.STDEV.P($P343:$XX344)/AVERAGE($P343:$XX344)</f>
        <v>0</v>
      </c>
      <c r="J344" s="7">
        <f t="shared" ref="J344" si="1003">IF(AND(H344&gt;2,
OR(L330="MÉDIA SANEADA",L330="MEDIANA SANEADA",
AND(L330="PREÇO ESTIMADO",NOT(AND(P332="Orçamento",COUNTA(P330:XX330)=COUNTIF(P332:XX332,"Orçamento")))))),
ROW(),0)</f>
        <v>0</v>
      </c>
      <c r="K344" s="66"/>
      <c r="L344" s="29" t="s">
        <v>42</v>
      </c>
      <c r="M344" s="30">
        <f t="shared" ref="M344" si="1004">MIN($P336:$XX336)</f>
        <v>30.9</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DESCARTADO</v>
      </c>
      <c r="Q344" s="107">
        <f t="shared" si="1006"/>
        <v>40</v>
      </c>
      <c r="R344" s="107" t="str">
        <f t="shared" si="1006"/>
        <v>DESCARTADO</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f t="shared" si="841"/>
        <v>16</v>
      </c>
      <c r="C345" s="128">
        <f t="shared" si="842"/>
        <v>1</v>
      </c>
      <c r="D345" s="127">
        <f t="shared" si="842"/>
        <v>16</v>
      </c>
      <c r="E345" s="743"/>
      <c r="F345" s="93"/>
      <c r="G345" s="745"/>
      <c r="H345"/>
      <c r="I345"/>
      <c r="J345"/>
      <c r="K345" s="66"/>
      <c r="L345" s="29" t="s">
        <v>40</v>
      </c>
      <c r="M345" s="30">
        <f t="shared" ref="M345" si="1007">MAX($P336:$XX336)</f>
        <v>57.634648664948031</v>
      </c>
      <c r="N345" s="71"/>
      <c r="O345" s="27" t="str">
        <f t="shared" ref="O345" si="1008">"5 POND"</f>
        <v>5 POND</v>
      </c>
      <c r="P345" s="107" t="str">
        <f>IF(IFERROR(VLOOKUP(P332,'Tabela de Apoio'!$D:$E,2,FALSE),1)=1,"",P346)</f>
        <v>DESCARTADO</v>
      </c>
      <c r="Q345" s="107">
        <f>IF(IFERROR(VLOOKUP(Q332,'Tabela de Apoio'!$D:$E,2,FALSE),1)=1,"",Q346)</f>
        <v>40</v>
      </c>
      <c r="R345" s="107" t="str">
        <f>IF(IFERROR(VLOOKUP(R332,'Tabela de Apoio'!$D:$E,2,FALSE),1)=1,"",R346)</f>
        <v>DESCARTADO</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f t="shared" si="841"/>
        <v>16</v>
      </c>
      <c r="C346" s="128">
        <f t="shared" si="842"/>
        <v>1</v>
      </c>
      <c r="D346" s="127">
        <f t="shared" si="842"/>
        <v>16</v>
      </c>
      <c r="E346" s="743"/>
      <c r="F346" s="93"/>
      <c r="G346" s="745"/>
      <c r="H346" s="134">
        <f t="shared" ref="H346" si="1009">COUNT($P346:$XX346)</f>
        <v>1</v>
      </c>
      <c r="I346" s="132">
        <f t="shared" ref="I346" si="1010">_xlfn.STDEV.P($P345:$XX346)/AVERAGE($P345:$XX346)</f>
        <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DESCARTADO</v>
      </c>
      <c r="Q346" s="107">
        <f t="shared" si="1013"/>
        <v>40</v>
      </c>
      <c r="R346" s="107" t="str">
        <f t="shared" si="1013"/>
        <v>DESCARTADO</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f t="shared" si="841"/>
        <v>16</v>
      </c>
      <c r="C347" s="128">
        <f t="shared" si="842"/>
        <v>1</v>
      </c>
      <c r="D347" s="127">
        <f t="shared" si="842"/>
        <v>16</v>
      </c>
      <c r="E347" s="743"/>
      <c r="F347" s="93"/>
      <c r="G347" s="745"/>
      <c r="H347"/>
      <c r="I347"/>
      <c r="J347"/>
      <c r="K347" s="66"/>
      <c r="L347" s="22"/>
      <c r="M347" s="22"/>
      <c r="N347" s="71"/>
      <c r="O347" s="27" t="str">
        <f t="shared" ref="O347" si="1014">"6 POND"</f>
        <v>6 POND</v>
      </c>
      <c r="P347" s="107" t="str">
        <f>IF(IFERROR(VLOOKUP(P332,'Tabela de Apoio'!$D:$E,2,FALSE),1)=1,"",P348)</f>
        <v>DESCARTADO</v>
      </c>
      <c r="Q347" s="107">
        <f>IF(IFERROR(VLOOKUP(Q332,'Tabela de Apoio'!$D:$E,2,FALSE),1)=1,"",Q348)</f>
        <v>40</v>
      </c>
      <c r="R347" s="107" t="str">
        <f>IF(IFERROR(VLOOKUP(R332,'Tabela de Apoio'!$D:$E,2,FALSE),1)=1,"",R348)</f>
        <v>DESCARTADO</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f t="shared" si="841"/>
        <v>16</v>
      </c>
      <c r="C348" s="128">
        <f t="shared" si="842"/>
        <v>1</v>
      </c>
      <c r="D348" s="127">
        <f t="shared" si="842"/>
        <v>16</v>
      </c>
      <c r="E348" s="743"/>
      <c r="F348" s="93"/>
      <c r="G348" s="745"/>
      <c r="H348" s="134">
        <f t="shared" ref="H348" si="1015">COUNT($P348:$XX348)</f>
        <v>1</v>
      </c>
      <c r="I348" s="132">
        <f t="shared" ref="I348" si="1016">_xlfn.STDEV.P($P347:$XX348)/AVERAGE($P347:$XX348)</f>
        <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DESCARTADO</v>
      </c>
      <c r="Q348" s="107">
        <f t="shared" si="1019"/>
        <v>40</v>
      </c>
      <c r="R348" s="107" t="str">
        <f t="shared" si="1019"/>
        <v>DESCARTADO</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f t="shared" si="841"/>
        <v>16</v>
      </c>
      <c r="C349" s="128">
        <f t="shared" si="842"/>
        <v>1</v>
      </c>
      <c r="D349" s="127">
        <f t="shared" si="842"/>
        <v>16</v>
      </c>
      <c r="E349" s="743"/>
      <c r="F349" s="136"/>
      <c r="G349" s="745"/>
      <c r="H349" s="748"/>
      <c r="I349" s="748"/>
      <c r="J349" s="749"/>
      <c r="K349" s="67"/>
      <c r="L349" s="1" t="s">
        <v>43</v>
      </c>
      <c r="M349" s="144">
        <f t="shared" ref="M349" si="1020">IFERROR(ROUND(M330*M332,2),"")</f>
        <v>0</v>
      </c>
      <c r="O349" s="27" t="s">
        <v>363</v>
      </c>
      <c r="P349" s="107">
        <f t="shared" ref="P349:AI370" si="1021">INDEX(P336:P348,MATCH(MAX($J336:$J348),$J336:$J348,0))</f>
        <v>30.9</v>
      </c>
      <c r="Q349" s="107">
        <f t="shared" si="1021"/>
        <v>40</v>
      </c>
      <c r="R349" s="107">
        <f t="shared" si="1021"/>
        <v>57.634648664948031</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f t="shared" ref="B351" si="1022">LARGE(IFERROR(IF(B349+1&gt;$H$8,"",B349+1),""),1)</f>
        <v>17</v>
      </c>
      <c r="C351" s="127">
        <f>IF(_xlfn.ISFORMULA(E355),MAX(INDEX('BASE FORMAÇÃO'!A:A,B351+1),1),E355)</f>
        <v>1</v>
      </c>
      <c r="D351" s="127">
        <f t="shared" ref="D351" si="1023">IFERROR(IF(C351=C341,D341+1,1),1)</f>
        <v>17</v>
      </c>
      <c r="E351" s="38" t="s">
        <v>9</v>
      </c>
      <c r="F351" s="73"/>
      <c r="G351" s="38" t="s">
        <v>15</v>
      </c>
      <c r="H351" s="135">
        <f>INDEX('BASE FORMAÇÃO'!B:B,B351+1)</f>
        <v>0</v>
      </c>
      <c r="I351" s="143" t="s">
        <v>16</v>
      </c>
      <c r="J351" s="6">
        <f>INDEX('BASE FORMAÇÃO'!K:K,B351+1)</f>
        <v>0</v>
      </c>
      <c r="K351" s="65"/>
      <c r="L351" s="750" t="s">
        <v>10</v>
      </c>
      <c r="M351" s="752">
        <f t="shared" ref="M351" si="1024">IF(OR(ISBLANK($O$8),ISBLANK($O$7),ISBLANK($H$8),ISBLANK($O$6),ISBLANK($O$5),ISBLANK($H$5)),"",IFERROR(IF(VLOOKUP(L351,L357:M366,2,FALSE)&lt;1,ROUND(VLOOKUP(L351,L357:M366,2,FALSE),4),ROUND(VLOOKUP(L351,L357:M366,2,FALSE),2)),""))</f>
        <v>225.55</v>
      </c>
      <c r="N351" s="69"/>
      <c r="O351" s="27" t="s">
        <v>17</v>
      </c>
      <c r="P351" s="113">
        <v>256.66000000000003</v>
      </c>
      <c r="Q351" s="113">
        <v>200</v>
      </c>
      <c r="R351" s="113">
        <v>220</v>
      </c>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f t="shared" ref="B352:D352" si="1025">B351</f>
        <v>17</v>
      </c>
      <c r="C352" s="128">
        <f t="shared" si="1025"/>
        <v>1</v>
      </c>
      <c r="D352" s="127">
        <f t="shared" si="1025"/>
        <v>17</v>
      </c>
      <c r="E352" s="754">
        <f t="shared" ref="E352" si="1026">D351</f>
        <v>17</v>
      </c>
      <c r="F352" s="92"/>
      <c r="G352" s="756" t="s">
        <v>1</v>
      </c>
      <c r="H352" s="765" t="s">
        <v>448</v>
      </c>
      <c r="I352" s="759"/>
      <c r="J352" s="760"/>
      <c r="K352" s="66"/>
      <c r="L352" s="751"/>
      <c r="M352" s="753"/>
      <c r="N352" s="70"/>
      <c r="O352" s="27" t="s">
        <v>13</v>
      </c>
      <c r="P352" s="122">
        <v>45790</v>
      </c>
      <c r="Q352" s="122">
        <v>45758</v>
      </c>
      <c r="R352" s="122">
        <v>45730</v>
      </c>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f t="shared" ref="B353:D353" si="1027">B352</f>
        <v>17</v>
      </c>
      <c r="C353" s="128">
        <f t="shared" si="1027"/>
        <v>1</v>
      </c>
      <c r="D353" s="127">
        <f t="shared" si="1027"/>
        <v>17</v>
      </c>
      <c r="E353" s="755"/>
      <c r="F353" s="93"/>
      <c r="G353" s="757"/>
      <c r="H353" s="761"/>
      <c r="I353" s="761"/>
      <c r="J353" s="762"/>
      <c r="K353" s="64"/>
      <c r="L353" s="130" t="s">
        <v>44</v>
      </c>
      <c r="M353" s="131">
        <f>INDEX('BASE FORMAÇÃO'!H:H,B355+1)</f>
        <v>0</v>
      </c>
      <c r="N353" s="71"/>
      <c r="O353" s="27" t="s">
        <v>380</v>
      </c>
      <c r="P353" s="114" t="s">
        <v>12</v>
      </c>
      <c r="Q353" s="114" t="s">
        <v>12</v>
      </c>
      <c r="R353" s="114" t="s">
        <v>12</v>
      </c>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f t="shared" ref="B354:C354" si="1028">B353</f>
        <v>17</v>
      </c>
      <c r="C354" s="128">
        <f t="shared" si="1028"/>
        <v>1</v>
      </c>
      <c r="D354" s="127">
        <f t="shared" si="842"/>
        <v>17</v>
      </c>
      <c r="E354" s="38" t="s">
        <v>313</v>
      </c>
      <c r="F354" s="93"/>
      <c r="G354" s="758"/>
      <c r="H354" s="763"/>
      <c r="I354" s="763"/>
      <c r="J354" s="764"/>
      <c r="K354" s="64"/>
      <c r="L354" s="1" t="s">
        <v>2</v>
      </c>
      <c r="M354" s="6">
        <f>INDEX('BASE FORMAÇÃO'!D:D,B355+1)</f>
        <v>0</v>
      </c>
      <c r="N354" s="71"/>
      <c r="O354" s="27" t="s">
        <v>381</v>
      </c>
      <c r="P354" s="182" t="s">
        <v>450</v>
      </c>
      <c r="Q354" s="182" t="s">
        <v>450</v>
      </c>
      <c r="R354" s="182" t="s">
        <v>450</v>
      </c>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f t="shared" ref="B355:C355" si="1029">B353</f>
        <v>17</v>
      </c>
      <c r="C355" s="128">
        <f t="shared" si="1029"/>
        <v>1</v>
      </c>
      <c r="D355" s="127">
        <f t="shared" si="842"/>
        <v>17</v>
      </c>
      <c r="E355" s="742">
        <f t="shared" ref="E355" si="1030">C351</f>
        <v>1</v>
      </c>
      <c r="F355" s="93"/>
      <c r="G355" s="744" t="s">
        <v>304</v>
      </c>
      <c r="H355" s="746"/>
      <c r="I355" s="747"/>
      <c r="J355" s="747"/>
      <c r="K355" s="67"/>
      <c r="L355" s="28" t="s">
        <v>303</v>
      </c>
      <c r="M355" s="133">
        <f t="shared" ref="M355" si="1031">IFERROR(INDEX(I357:I369,MATCH(MAX(J357:J369),J357:J369,0)),"")</f>
        <v>0.10402102694620038</v>
      </c>
      <c r="N355" s="71"/>
      <c r="O355" s="27" t="s">
        <v>18</v>
      </c>
      <c r="P355" s="106">
        <f>IF(P351="","",
IF(OR(P353="Orçamento",P352="",MAX('Tabela de Apoio'!$A:$A)&lt;=P352),
P351,
(INDEX('Tabela de Apoio'!$B:$B,MATCH('MAPA DE PREÇOS'!$O$8,'Tabela de Apoio'!$A:$A,1))/INDEX('Tabela de Apoio'!$B:$B,MATCH('MAPA DE PREÇOS'!P352,'Tabela de Apoio'!$A:$A,1)-1))*P351))</f>
        <v>256.66000000000003</v>
      </c>
      <c r="Q355" s="106">
        <f>IF(Q351="","",
IF(OR(Q353="Orçamento",Q352="",MAX('Tabela de Apoio'!$A:$A)&lt;=Q352),
Q351,
(INDEX('Tabela de Apoio'!$B:$B,MATCH('MAPA DE PREÇOS'!$O$8,'Tabela de Apoio'!$A:$A,1))/INDEX('Tabela de Apoio'!$B:$B,MATCH('MAPA DE PREÇOS'!Q352,'Tabela de Apoio'!$A:$A,1)-1))*Q351))</f>
        <v>200</v>
      </c>
      <c r="R355" s="106">
        <f>IF(R351="","",
IF(OR(R353="Orçamento",R352="",MAX('Tabela de Apoio'!$A:$A)&lt;=R352),
R351,
(INDEX('Tabela de Apoio'!$B:$B,MATCH('MAPA DE PREÇOS'!$O$8,'Tabela de Apoio'!$A:$A,1))/INDEX('Tabela de Apoio'!$B:$B,MATCH('MAPA DE PREÇOS'!R352,'Tabela de Apoio'!$A:$A,1)-1))*R351))</f>
        <v>220</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f t="shared" ref="B356" si="1032">B355</f>
        <v>17</v>
      </c>
      <c r="C356" s="128">
        <f t="shared" ref="C356" si="1033">C355</f>
        <v>1</v>
      </c>
      <c r="D356" s="127">
        <f t="shared" si="842"/>
        <v>17</v>
      </c>
      <c r="E356" s="743"/>
      <c r="F356" s="93"/>
      <c r="G356" s="745"/>
      <c r="H356"/>
      <c r="I356"/>
      <c r="J356"/>
      <c r="N356" s="71"/>
      <c r="O356" s="27" t="s">
        <v>375</v>
      </c>
      <c r="P356" s="107">
        <f>IF(IFERROR(VLOOKUP(P353,'Tabela de Apoio'!$D:$E,2,FALSE),1)=1,"",P357)</f>
        <v>256.66000000000003</v>
      </c>
      <c r="Q356" s="107">
        <f>IF(IFERROR(VLOOKUP(Q353,'Tabela de Apoio'!$D:$E,2,FALSE),1)=1,"",Q357)</f>
        <v>200</v>
      </c>
      <c r="R356" s="107">
        <f>IF(IFERROR(VLOOKUP(R353,'Tabela de Apoio'!$D:$E,2,FALSE),1)=1,"",R357)</f>
        <v>220</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f t="shared" ref="B357:C357" si="1034">B356</f>
        <v>17</v>
      </c>
      <c r="C357" s="128">
        <f t="shared" si="1034"/>
        <v>1</v>
      </c>
      <c r="D357" s="127">
        <f t="shared" si="842"/>
        <v>17</v>
      </c>
      <c r="E357" s="743"/>
      <c r="F357" s="93"/>
      <c r="G357" s="745"/>
      <c r="H357" s="134">
        <f t="shared" ref="H357" si="1035">COUNT($P357:$XX357)</f>
        <v>3</v>
      </c>
      <c r="I357" s="132">
        <f t="shared" ref="I357" si="1036">_xlfn.STDEV.P($P356:$XX357)/AVERAGE($P356:$XX357)</f>
        <v>0.10402102694620038</v>
      </c>
      <c r="J357" s="7">
        <f>ROW()</f>
        <v>357</v>
      </c>
      <c r="K357" s="67"/>
      <c r="L357" s="29" t="s">
        <v>10</v>
      </c>
      <c r="M357" s="30">
        <f t="shared" ref="M357" si="1037">IFERROR(
IF(COUNTA(P351:AI351)=COUNTIF(P353:XX353,"Orçamento"),MIN(M362,M359),
IF(M360&lt;&gt;"",M360,
IF(M361&lt;&gt;"",M361,
M359
))),"")</f>
        <v>225.55333333333337</v>
      </c>
      <c r="N357" s="71"/>
      <c r="O357" s="27" t="s">
        <v>376</v>
      </c>
      <c r="P357" s="106">
        <f t="shared" ref="P357:AI357" si="1038">IFERROR(IF(P355="",
            "",
            IF(COUNT($P355:$XX355)&lt;=4,
               P355,
               IF(OR(P355&gt;(QUARTILE($P355:$XX355,3)+(QUARTILE($P355:$XX355,3)-QUARTILE($P355:$XX355,1))),
                     P355&lt;(QUARTILE($P355:$XX355,1)-(QUARTILE($P355:$XX355,3)-QUARTILE($P355:$XX355,1)))
                  ),
               "DESCARTADO",P355)
             )
  ),P355)</f>
        <v>256.66000000000003</v>
      </c>
      <c r="Q357" s="106">
        <f t="shared" si="1038"/>
        <v>200</v>
      </c>
      <c r="R357" s="106">
        <f t="shared" si="1038"/>
        <v>220</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f t="shared" ref="B358:B412" si="1039">B357</f>
        <v>17</v>
      </c>
      <c r="C358" s="128">
        <f t="shared" ref="C358:D421" si="1040">C357</f>
        <v>1</v>
      </c>
      <c r="D358" s="127">
        <f t="shared" si="842"/>
        <v>17</v>
      </c>
      <c r="E358" s="743"/>
      <c r="F358" s="93"/>
      <c r="G358" s="745"/>
      <c r="H358"/>
      <c r="I358"/>
      <c r="J358"/>
      <c r="K358" s="66"/>
      <c r="L358" s="29" t="s">
        <v>360</v>
      </c>
      <c r="M358" s="30">
        <f t="shared" ref="M358" si="1041">AVERAGE($P357:$XX357)</f>
        <v>225.55333333333337</v>
      </c>
      <c r="N358" s="71"/>
      <c r="O358" s="27" t="str">
        <f t="shared" ref="O358" si="1042">"1 POND"</f>
        <v>1 POND</v>
      </c>
      <c r="P358" s="107">
        <f>IF(IFERROR(VLOOKUP(P353,'Tabela de Apoio'!$D:$E,2,FALSE),1)=1,"",P359)</f>
        <v>256.66000000000003</v>
      </c>
      <c r="Q358" s="107">
        <f>IF(IFERROR(VLOOKUP(Q353,'Tabela de Apoio'!$D:$E,2,FALSE),1)=1,"",Q359)</f>
        <v>200</v>
      </c>
      <c r="R358" s="107">
        <f>IF(IFERROR(VLOOKUP(R353,'Tabela de Apoio'!$D:$E,2,FALSE),1)=1,"",R359)</f>
        <v>220</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f t="shared" si="1039"/>
        <v>17</v>
      </c>
      <c r="C359" s="128">
        <f t="shared" si="1040"/>
        <v>1</v>
      </c>
      <c r="D359" s="127">
        <f t="shared" si="1040"/>
        <v>17</v>
      </c>
      <c r="E359" s="743"/>
      <c r="F359" s="93"/>
      <c r="G359" s="745"/>
      <c r="H359" s="134">
        <f t="shared" ref="H359" si="1043">COUNT($P359:$XX359)</f>
        <v>3</v>
      </c>
      <c r="I359" s="132">
        <f t="shared" ref="I359" si="1044">_xlfn.STDEV.P($P358:$XX359)/AVERAGE($P358:$XX359)</f>
        <v>0.10402102694620038</v>
      </c>
      <c r="J359" s="7">
        <f t="shared" ref="J359" si="1045">IF(AND(H359&gt;2,
OR(L351="MÉDIA SANEADA",L351="MEDIANA SANEADA",
AND(L351="PREÇO ESTIMADO",NOT(AND(P353="Orçamento",COUNTA(P351:XX351)=COUNTIF(P353:XX353,"Orçamento")))))),
ROW(),0)</f>
        <v>359</v>
      </c>
      <c r="K359" s="66"/>
      <c r="L359" s="29" t="s">
        <v>361</v>
      </c>
      <c r="M359" s="30">
        <f t="shared" ref="M359" si="1046">MEDIAN($P357:$XX357)</f>
        <v>220</v>
      </c>
      <c r="N359" s="71"/>
      <c r="O359" s="27" t="str">
        <f t="shared" ref="O359" si="1047">"1 RODADA"</f>
        <v>1 RODADA</v>
      </c>
      <c r="P359" s="107">
        <f t="shared" ref="P359:AI359" si="1048">IF(P357="","",IF((_xlfn.STDEV.P($P356:$XX357)/AVERAGE($P356:$XX357))&lt;=25%,P357,IF(OR(P357&gt;(AVERAGE($P356:$XX357)+_xlfn.STDEV.P($P356:$XX357)),P357&lt;(AVERAGE($P356:$XX357)-_xlfn.STDEV.P($P356:$XX357))),"DESCARTADO",P357)))</f>
        <v>256.66000000000003</v>
      </c>
      <c r="Q359" s="107">
        <f t="shared" si="1048"/>
        <v>200</v>
      </c>
      <c r="R359" s="107">
        <f t="shared" si="1048"/>
        <v>220</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f t="shared" si="1039"/>
        <v>17</v>
      </c>
      <c r="C360" s="128">
        <f t="shared" si="1040"/>
        <v>1</v>
      </c>
      <c r="D360" s="127">
        <f t="shared" si="1040"/>
        <v>17</v>
      </c>
      <c r="E360" s="743"/>
      <c r="F360" s="93"/>
      <c r="G360" s="745"/>
      <c r="H360"/>
      <c r="I360"/>
      <c r="J360"/>
      <c r="L360" s="29" t="s">
        <v>38</v>
      </c>
      <c r="M360" s="30">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225.55333333333337</v>
      </c>
      <c r="N360" s="71"/>
      <c r="O360" s="27" t="str">
        <f t="shared" ref="O360" si="1050">"2 POND"</f>
        <v>2 POND</v>
      </c>
      <c r="P360" s="107">
        <f>IF(IFERROR(VLOOKUP(P353,'Tabela de Apoio'!$D:$E,2,FALSE),1)=1,"",P361)</f>
        <v>256.66000000000003</v>
      </c>
      <c r="Q360" s="107">
        <f>IF(IFERROR(VLOOKUP(Q353,'Tabela de Apoio'!$D:$E,2,FALSE),1)=1,"",Q361)</f>
        <v>200</v>
      </c>
      <c r="R360" s="107">
        <f>IF(IFERROR(VLOOKUP(R353,'Tabela de Apoio'!$D:$E,2,FALSE),1)=1,"",R361)</f>
        <v>220</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f t="shared" si="1039"/>
        <v>17</v>
      </c>
      <c r="C361" s="128">
        <f t="shared" si="1040"/>
        <v>1</v>
      </c>
      <c r="D361" s="127">
        <f t="shared" si="1040"/>
        <v>17</v>
      </c>
      <c r="E361" s="743"/>
      <c r="F361" s="93"/>
      <c r="G361" s="745"/>
      <c r="H361" s="134">
        <f t="shared" ref="H361" si="1051">COUNT($P361:$XX361)</f>
        <v>3</v>
      </c>
      <c r="I361" s="132">
        <f t="shared" ref="I361" si="1052">_xlfn.STDEV.P($P360:$XX361)/AVERAGE($P360:$XX361)</f>
        <v>0.10402102694620038</v>
      </c>
      <c r="J361" s="7">
        <f t="shared" ref="J361" si="1053">IF(AND(H361&gt;2,
OR(L351="MÉDIA SANEADA",L351="MEDIANA SANEADA",
AND(L351="PREÇO ESTIMADO",NOT(AND(P353="Orçamento",COUNTA(P351:XX351)=COUNTIF(P353:XX353,"Orçamento")))))),
ROW(),0)</f>
        <v>361</v>
      </c>
      <c r="K361" s="66"/>
      <c r="L361" s="29" t="s">
        <v>362</v>
      </c>
      <c r="M361" s="30">
        <f t="shared" ref="M361" si="1054" xml:space="preserve">
IF(H359&gt;2,MEDIAN(P358:XX359),
IF(H361&gt;2,MEDIAN(P360:XX361),
IF(H363&gt;2,MEDIAN(P362:XX363),
IF(H365&gt;2,MEDIAN(P364:XX365),
IF(H367&gt;2,MEDIAN(P366:XX367),
IF(H369&gt;2,MEDIAN(P368:XX369),
MEDIAN(P356:XX357)))))))</f>
        <v>220</v>
      </c>
      <c r="N361" s="71"/>
      <c r="O361" s="27" t="str">
        <f t="shared" ref="O361" si="1055">"2 RODADA"</f>
        <v>2 RODADA</v>
      </c>
      <c r="P361" s="107">
        <f t="shared" ref="P361:AI361" si="1056">IF(P359="","",IF((_xlfn.STDEV.P($P358:$XX359)/AVERAGE($P358:$XX359))&lt;=25%,P359,IF(OR(P359&gt;(AVERAGE($P358:$XX359)+_xlfn.STDEV.P($P358:$XX359)),P359&lt;(AVERAGE($P358:$XX359)-_xlfn.STDEV.P($P358:$XX359))),"DESCARTADO",P359)))</f>
        <v>256.66000000000003</v>
      </c>
      <c r="Q361" s="107">
        <f t="shared" si="1056"/>
        <v>200</v>
      </c>
      <c r="R361" s="107">
        <f t="shared" si="1056"/>
        <v>220</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f t="shared" si="1039"/>
        <v>17</v>
      </c>
      <c r="C362" s="128">
        <f t="shared" si="1040"/>
        <v>1</v>
      </c>
      <c r="D362" s="127">
        <f t="shared" si="1040"/>
        <v>17</v>
      </c>
      <c r="E362" s="743"/>
      <c r="F362" s="93"/>
      <c r="G362" s="745"/>
      <c r="H362"/>
      <c r="I362"/>
      <c r="J362"/>
      <c r="K362" s="66"/>
      <c r="L362" s="29" t="s">
        <v>359</v>
      </c>
      <c r="M362" s="30">
        <f t="shared" ref="M362" si="1057">HARMEAN($P356:$XX357)</f>
        <v>223.18672544684622</v>
      </c>
      <c r="N362" s="71"/>
      <c r="O362" s="27" t="str">
        <f t="shared" ref="O362" si="1058">"3 POND"</f>
        <v>3 POND</v>
      </c>
      <c r="P362" s="107">
        <f>IF(IFERROR(VLOOKUP(P353,'Tabela de Apoio'!$D:$E,2,FALSE),1)=1,"",P363)</f>
        <v>256.66000000000003</v>
      </c>
      <c r="Q362" s="107">
        <f>IF(IFERROR(VLOOKUP(Q353,'Tabela de Apoio'!$D:$E,2,FALSE),1)=1,"",Q363)</f>
        <v>200</v>
      </c>
      <c r="R362" s="107">
        <f>IF(IFERROR(VLOOKUP(R353,'Tabela de Apoio'!$D:$E,2,FALSE),1)=1,"",R363)</f>
        <v>220</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f t="shared" si="1039"/>
        <v>17</v>
      </c>
      <c r="C363" s="128">
        <f t="shared" si="1040"/>
        <v>1</v>
      </c>
      <c r="D363" s="127">
        <f t="shared" si="1040"/>
        <v>17</v>
      </c>
      <c r="E363" s="743"/>
      <c r="F363" s="93"/>
      <c r="G363" s="745"/>
      <c r="H363" s="134">
        <f t="shared" ref="H363" si="1059">COUNT($P363:$XX363)</f>
        <v>3</v>
      </c>
      <c r="I363" s="132">
        <f t="shared" ref="I363" si="1060">_xlfn.STDEV.P($P362:$XX363)/AVERAGE($P362:$XX363)</f>
        <v>0.10402102694620038</v>
      </c>
      <c r="J363" s="7">
        <f t="shared" ref="J363" si="1061">IF(AND(H363&gt;2,
OR(L351="MÉDIA SANEADA",L351="MEDIANA SANEADA",
AND(L351="PREÇO ESTIMADO",NOT(AND(P353="Orçamento",COUNTA(P351:XX351)=COUNTIF(P353:XX353,"Orçamento")))))),
ROW(),0)</f>
        <v>363</v>
      </c>
      <c r="K363" s="66"/>
      <c r="L363" s="29" t="s">
        <v>41</v>
      </c>
      <c r="M363" s="30">
        <f t="shared" ref="M363" si="1062">IFERROR(_xlfn.QUARTILE.EXC($P357:$XX357,1),"")</f>
        <v>200</v>
      </c>
      <c r="N363" s="71"/>
      <c r="O363" s="27" t="str">
        <f t="shared" ref="O363" si="1063">"3 RODADA"</f>
        <v>3 RODADA</v>
      </c>
      <c r="P363" s="107">
        <f t="shared" ref="P363:AI363" si="1064">IF(P361="","",IF((_xlfn.STDEV.P($P360:$XX361)/AVERAGE($P360:$XX361))&lt;=25%,P361,IF(OR(P361&gt;(AVERAGE($P360:$XX361)+_xlfn.STDEV.P($P360:$XX361)),P361&lt;(AVERAGE($P360:$XX361)-_xlfn.STDEV.P($P360:$XX361))),"DESCARTADO",P361)))</f>
        <v>256.66000000000003</v>
      </c>
      <c r="Q363" s="107">
        <f t="shared" si="1064"/>
        <v>200</v>
      </c>
      <c r="R363" s="107">
        <f t="shared" si="1064"/>
        <v>220</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f t="shared" si="1039"/>
        <v>17</v>
      </c>
      <c r="C364" s="128">
        <f t="shared" si="1040"/>
        <v>1</v>
      </c>
      <c r="D364" s="127">
        <f t="shared" si="1040"/>
        <v>17</v>
      </c>
      <c r="E364" s="743"/>
      <c r="F364" s="93"/>
      <c r="G364" s="745"/>
      <c r="H364"/>
      <c r="I364"/>
      <c r="J364"/>
      <c r="K364" s="66"/>
      <c r="L364" s="29" t="s">
        <v>39</v>
      </c>
      <c r="M364" s="30">
        <f t="shared" ref="M364" si="1065">IFERROR(_xlfn.QUARTILE.EXC($P357:$XX357,3),"")</f>
        <v>256.66000000000003</v>
      </c>
      <c r="N364" s="71"/>
      <c r="O364" s="27" t="str">
        <f t="shared" ref="O364" si="1066">"4 POND"</f>
        <v>4 POND</v>
      </c>
      <c r="P364" s="107">
        <f>IF(IFERROR(VLOOKUP(P353,'Tabela de Apoio'!$D:$E,2,FALSE),1)=1,"",P365)</f>
        <v>256.66000000000003</v>
      </c>
      <c r="Q364" s="107">
        <f>IF(IFERROR(VLOOKUP(Q353,'Tabela de Apoio'!$D:$E,2,FALSE),1)=1,"",Q365)</f>
        <v>200</v>
      </c>
      <c r="R364" s="107">
        <f>IF(IFERROR(VLOOKUP(R353,'Tabela de Apoio'!$D:$E,2,FALSE),1)=1,"",R365)</f>
        <v>220</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f t="shared" si="1039"/>
        <v>17</v>
      </c>
      <c r="C365" s="128">
        <f t="shared" si="1040"/>
        <v>1</v>
      </c>
      <c r="D365" s="127">
        <f t="shared" si="1040"/>
        <v>17</v>
      </c>
      <c r="E365" s="743"/>
      <c r="F365" s="93"/>
      <c r="G365" s="745"/>
      <c r="H365" s="134">
        <f t="shared" ref="H365" si="1067">COUNT($P365:$XX365)</f>
        <v>3</v>
      </c>
      <c r="I365" s="132">
        <f t="shared" ref="I365" si="1068">_xlfn.STDEV.P($P364:$XX365)/AVERAGE($P364:$XX365)</f>
        <v>0.10402102694620038</v>
      </c>
      <c r="J365" s="7">
        <f t="shared" ref="J365" si="1069">IF(AND(H365&gt;2,
OR(L351="MÉDIA SANEADA",L351="MEDIANA SANEADA",
AND(L351="PREÇO ESTIMADO",NOT(AND(P353="Orçamento",COUNTA(P351:XX351)=COUNTIF(P353:XX353,"Orçamento")))))),
ROW(),0)</f>
        <v>365</v>
      </c>
      <c r="K365" s="66"/>
      <c r="L365" s="29" t="s">
        <v>42</v>
      </c>
      <c r="M365" s="30">
        <f t="shared" ref="M365" si="1070">MIN($P357:$XX357)</f>
        <v>200</v>
      </c>
      <c r="N365" s="71"/>
      <c r="O365" s="27" t="str">
        <f t="shared" ref="O365" si="1071">"4 RODADA"</f>
        <v>4 RODADA</v>
      </c>
      <c r="P365" s="107">
        <f t="shared" ref="P365:AI365" si="1072">IF(P363="","",IF((_xlfn.STDEV.P($P362:$XX363)/AVERAGE($P362:$XX363))&lt;=25%,P363,IF(OR(P363&gt;(AVERAGE($P362:$XX363)+_xlfn.STDEV.P($P362:$XX363)),P363&lt;(AVERAGE($P362:$XX363)-_xlfn.STDEV.P($P362:$XX363))),"DESCARTADO",P363)))</f>
        <v>256.66000000000003</v>
      </c>
      <c r="Q365" s="107">
        <f t="shared" si="1072"/>
        <v>200</v>
      </c>
      <c r="R365" s="107">
        <f t="shared" si="1072"/>
        <v>220</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f t="shared" si="1039"/>
        <v>17</v>
      </c>
      <c r="C366" s="128">
        <f t="shared" si="1040"/>
        <v>1</v>
      </c>
      <c r="D366" s="127">
        <f t="shared" si="1040"/>
        <v>17</v>
      </c>
      <c r="E366" s="743"/>
      <c r="F366" s="93"/>
      <c r="G366" s="745"/>
      <c r="H366"/>
      <c r="I366"/>
      <c r="J366"/>
      <c r="K366" s="66"/>
      <c r="L366" s="29" t="s">
        <v>40</v>
      </c>
      <c r="M366" s="30">
        <f t="shared" ref="M366" si="1073">MAX($P357:$XX357)</f>
        <v>256.66000000000003</v>
      </c>
      <c r="N366" s="71"/>
      <c r="O366" s="27" t="str">
        <f t="shared" ref="O366" si="1074">"5 POND"</f>
        <v>5 POND</v>
      </c>
      <c r="P366" s="107">
        <f>IF(IFERROR(VLOOKUP(P353,'Tabela de Apoio'!$D:$E,2,FALSE),1)=1,"",P367)</f>
        <v>256.66000000000003</v>
      </c>
      <c r="Q366" s="107">
        <f>IF(IFERROR(VLOOKUP(Q353,'Tabela de Apoio'!$D:$E,2,FALSE),1)=1,"",Q367)</f>
        <v>200</v>
      </c>
      <c r="R366" s="107">
        <f>IF(IFERROR(VLOOKUP(R353,'Tabela de Apoio'!$D:$E,2,FALSE),1)=1,"",R367)</f>
        <v>220</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f t="shared" si="1039"/>
        <v>17</v>
      </c>
      <c r="C367" s="128">
        <f t="shared" si="1040"/>
        <v>1</v>
      </c>
      <c r="D367" s="127">
        <f t="shared" si="1040"/>
        <v>17</v>
      </c>
      <c r="E367" s="743"/>
      <c r="F367" s="93"/>
      <c r="G367" s="745"/>
      <c r="H367" s="134">
        <f t="shared" ref="H367" si="1075">COUNT($P367:$XX367)</f>
        <v>3</v>
      </c>
      <c r="I367" s="132">
        <f t="shared" ref="I367" si="1076">_xlfn.STDEV.P($P366:$XX367)/AVERAGE($P366:$XX367)</f>
        <v>0.10402102694620038</v>
      </c>
      <c r="J367" s="7">
        <f t="shared" ref="J367" si="1077">IF(AND(H367&gt;2,
OR(L351="MÉDIA SANEADA",L351="MEDIANA SANEADA",
AND(L351="PREÇO ESTIMADO",NOT(AND(P353="Orçamento",COUNTA(P351:XX351)=COUNTIF(P353:XX353,"Orçamento")))))),
ROW(),0)</f>
        <v>367</v>
      </c>
      <c r="K367" s="66"/>
      <c r="N367" s="71"/>
      <c r="O367" s="27" t="str">
        <f t="shared" ref="O367" si="1078">"5 RODADA"</f>
        <v>5 RODADA</v>
      </c>
      <c r="P367" s="107">
        <f t="shared" ref="P367:AI367" si="1079">IF(P365="","",IF((_xlfn.STDEV.P($P364:$XX365)/AVERAGE($P364:$XX365))&lt;=25%,P365,IF(OR(P365&gt;(AVERAGE($P364:$XX365)+_xlfn.STDEV.P($P364:$XX365)),P365&lt;(AVERAGE($P364:$XX365)-_xlfn.STDEV.P($P364:$XX365))),"DESCARTADO",P365)))</f>
        <v>256.66000000000003</v>
      </c>
      <c r="Q367" s="107">
        <f t="shared" si="1079"/>
        <v>200</v>
      </c>
      <c r="R367" s="107">
        <f t="shared" si="1079"/>
        <v>220</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f t="shared" si="1039"/>
        <v>17</v>
      </c>
      <c r="C368" s="128">
        <f t="shared" si="1040"/>
        <v>1</v>
      </c>
      <c r="D368" s="127">
        <f t="shared" si="1040"/>
        <v>17</v>
      </c>
      <c r="E368" s="743"/>
      <c r="F368" s="93"/>
      <c r="G368" s="745"/>
      <c r="H368"/>
      <c r="I368"/>
      <c r="J368"/>
      <c r="K368" s="66"/>
      <c r="L368" s="22"/>
      <c r="M368" s="22"/>
      <c r="N368" s="71"/>
      <c r="O368" s="27" t="str">
        <f t="shared" ref="O368" si="1080">"6 POND"</f>
        <v>6 POND</v>
      </c>
      <c r="P368" s="107">
        <f>IF(IFERROR(VLOOKUP(P353,'Tabela de Apoio'!$D:$E,2,FALSE),1)=1,"",P369)</f>
        <v>256.66000000000003</v>
      </c>
      <c r="Q368" s="107">
        <f>IF(IFERROR(VLOOKUP(Q353,'Tabela de Apoio'!$D:$E,2,FALSE),1)=1,"",Q369)</f>
        <v>200</v>
      </c>
      <c r="R368" s="107">
        <f>IF(IFERROR(VLOOKUP(R353,'Tabela de Apoio'!$D:$E,2,FALSE),1)=1,"",R369)</f>
        <v>220</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f t="shared" si="1039"/>
        <v>17</v>
      </c>
      <c r="C369" s="128">
        <f t="shared" si="1040"/>
        <v>1</v>
      </c>
      <c r="D369" s="127">
        <f t="shared" si="1040"/>
        <v>17</v>
      </c>
      <c r="E369" s="743"/>
      <c r="F369" s="93"/>
      <c r="G369" s="745"/>
      <c r="H369" s="134">
        <f t="shared" ref="H369" si="1081">COUNT($P369:$XX369)</f>
        <v>3</v>
      </c>
      <c r="I369" s="132">
        <f t="shared" ref="I369" si="1082">_xlfn.STDEV.P($P368:$XX369)/AVERAGE($P368:$XX369)</f>
        <v>0.10402102694620038</v>
      </c>
      <c r="J369" s="7">
        <f t="shared" ref="J369" si="1083">IF(AND(H369&gt;2,
OR(L351="MÉDIA SANEADA",L351="MEDIANA SANEADA",
AND(L351="PREÇO ESTIMADO",NOT(AND(P353="Orçamento",COUNTA(P351:XX351)=COUNTIF(P353:XX353,"Orçamento")))))),
ROW(),0)</f>
        <v>369</v>
      </c>
      <c r="N369" s="71"/>
      <c r="O369" s="27" t="str">
        <f t="shared" ref="O369" si="1084">"6 RODADA"</f>
        <v>6 RODADA</v>
      </c>
      <c r="P369" s="107">
        <f t="shared" ref="P369:AI369" si="1085">IFERROR(IF(P367="","",IF((_xlfn.STDEV.P($P366:$XX367)/AVERAGE($P366:$XX367))&lt;=25%,P367,IF(OR(P367&gt;(AVERAGE($P366:$XX367)+_xlfn.STDEV.P($P366:$XX367)),P367&lt;(AVERAGE($P366:$XX367)-_xlfn.STDEV.P($P366:$XX367))),"DESCARTADO",P367))),)</f>
        <v>256.66000000000003</v>
      </c>
      <c r="Q369" s="107">
        <f t="shared" si="1085"/>
        <v>200</v>
      </c>
      <c r="R369" s="107">
        <f t="shared" si="1085"/>
        <v>220</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f t="shared" si="1039"/>
        <v>17</v>
      </c>
      <c r="C370" s="128">
        <f t="shared" si="1040"/>
        <v>1</v>
      </c>
      <c r="D370" s="127">
        <f t="shared" si="1040"/>
        <v>17</v>
      </c>
      <c r="E370" s="743"/>
      <c r="F370" s="136"/>
      <c r="G370" s="745"/>
      <c r="H370" s="748"/>
      <c r="I370" s="748"/>
      <c r="J370" s="749"/>
      <c r="K370" s="67"/>
      <c r="L370" s="1" t="s">
        <v>43</v>
      </c>
      <c r="M370" s="144">
        <f t="shared" ref="M370" si="1086">IFERROR(ROUND(M351*M353,2),"")</f>
        <v>0</v>
      </c>
      <c r="O370" s="27" t="s">
        <v>363</v>
      </c>
      <c r="P370" s="107">
        <f t="shared" ref="P370:R370" si="1087">INDEX(P357:P369,MATCH(MAX($J357:$J369),$J357:$J369,0))</f>
        <v>256.66000000000003</v>
      </c>
      <c r="Q370" s="107">
        <f t="shared" si="1087"/>
        <v>200</v>
      </c>
      <c r="R370" s="107">
        <f t="shared" si="1087"/>
        <v>220</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f t="shared" ref="B372" si="1088">LARGE(IFERROR(IF(B370+1&gt;$H$8,"",B370+1),""),1)</f>
        <v>18</v>
      </c>
      <c r="C372" s="127">
        <f>IF(_xlfn.ISFORMULA(E376),MAX(INDEX('BASE FORMAÇÃO'!A:A,B372+1),1),E376)</f>
        <v>1</v>
      </c>
      <c r="D372" s="127">
        <f t="shared" ref="D372" si="1089">IFERROR(IF(C372=C362,D362+1,1),1)</f>
        <v>18</v>
      </c>
      <c r="E372" s="38" t="s">
        <v>9</v>
      </c>
      <c r="F372" s="73"/>
      <c r="G372" s="38" t="s">
        <v>15</v>
      </c>
      <c r="H372" s="135">
        <f>INDEX('BASE FORMAÇÃO'!B:B,B372+1)</f>
        <v>0</v>
      </c>
      <c r="I372" s="143" t="s">
        <v>16</v>
      </c>
      <c r="J372" s="6">
        <f>INDEX('BASE FORMAÇÃO'!K:K,B372+1)</f>
        <v>0</v>
      </c>
      <c r="K372" s="65"/>
      <c r="L372" s="750" t="s">
        <v>10</v>
      </c>
      <c r="M372" s="752">
        <f t="shared" ref="M372" si="1090">IF(OR(ISBLANK($O$8),ISBLANK($O$7),ISBLANK($H$8),ISBLANK($O$6),ISBLANK($O$5),ISBLANK($H$5)),"",IFERROR(IF(VLOOKUP(L372,L378:M387,2,FALSE)&lt;1,ROUND(VLOOKUP(L372,L378:M387,2,FALSE),4),ROUND(VLOOKUP(L372,L378:M387,2,FALSE),2)),""))</f>
        <v>15.25</v>
      </c>
      <c r="N372" s="69"/>
      <c r="O372" s="27" t="s">
        <v>17</v>
      </c>
      <c r="P372" s="113">
        <v>44</v>
      </c>
      <c r="Q372" s="113">
        <v>14.97</v>
      </c>
      <c r="R372" s="113">
        <v>14.97</v>
      </c>
      <c r="S372" s="113">
        <v>34.9</v>
      </c>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f t="shared" ref="B373:D373" si="1091">B372</f>
        <v>18</v>
      </c>
      <c r="C373" s="128">
        <f t="shared" si="1091"/>
        <v>1</v>
      </c>
      <c r="D373" s="127">
        <f t="shared" si="1091"/>
        <v>18</v>
      </c>
      <c r="E373" s="754">
        <f t="shared" ref="E373" si="1092">D372</f>
        <v>18</v>
      </c>
      <c r="F373" s="92"/>
      <c r="G373" s="756" t="s">
        <v>1</v>
      </c>
      <c r="H373" s="765" t="s">
        <v>449</v>
      </c>
      <c r="I373" s="759"/>
      <c r="J373" s="760"/>
      <c r="K373" s="66"/>
      <c r="L373" s="751"/>
      <c r="M373" s="753"/>
      <c r="N373" s="70"/>
      <c r="O373" s="27" t="s">
        <v>13</v>
      </c>
      <c r="P373" s="122">
        <v>45749</v>
      </c>
      <c r="Q373" s="122">
        <v>45722</v>
      </c>
      <c r="R373" s="122">
        <v>45708</v>
      </c>
      <c r="S373" s="122">
        <v>45639</v>
      </c>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f t="shared" ref="B374:D374" si="1093">B373</f>
        <v>18</v>
      </c>
      <c r="C374" s="128">
        <f t="shared" si="1093"/>
        <v>1</v>
      </c>
      <c r="D374" s="127">
        <f t="shared" si="1093"/>
        <v>18</v>
      </c>
      <c r="E374" s="755"/>
      <c r="F374" s="93"/>
      <c r="G374" s="757"/>
      <c r="H374" s="761"/>
      <c r="I374" s="761"/>
      <c r="J374" s="762"/>
      <c r="K374" s="64"/>
      <c r="L374" s="130" t="s">
        <v>44</v>
      </c>
      <c r="M374" s="131">
        <f>INDEX('BASE FORMAÇÃO'!H:H,B376+1)</f>
        <v>0</v>
      </c>
      <c r="N374" s="71"/>
      <c r="O374" s="27" t="s">
        <v>380</v>
      </c>
      <c r="P374" s="114" t="s">
        <v>12</v>
      </c>
      <c r="Q374" s="114" t="s">
        <v>12</v>
      </c>
      <c r="R374" s="114" t="s">
        <v>12</v>
      </c>
      <c r="S374" s="114" t="s">
        <v>12</v>
      </c>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f t="shared" ref="B375:C375" si="1094">B374</f>
        <v>18</v>
      </c>
      <c r="C375" s="128">
        <f t="shared" si="1094"/>
        <v>1</v>
      </c>
      <c r="D375" s="127">
        <f t="shared" si="1040"/>
        <v>18</v>
      </c>
      <c r="E375" s="38" t="s">
        <v>313</v>
      </c>
      <c r="F375" s="93"/>
      <c r="G375" s="758"/>
      <c r="H375" s="763"/>
      <c r="I375" s="763"/>
      <c r="J375" s="764"/>
      <c r="K375" s="64"/>
      <c r="L375" s="1" t="s">
        <v>2</v>
      </c>
      <c r="M375" s="6">
        <f>INDEX('BASE FORMAÇÃO'!D:D,B376+1)</f>
        <v>0</v>
      </c>
      <c r="N375" s="71"/>
      <c r="O375" s="27" t="s">
        <v>381</v>
      </c>
      <c r="P375" s="182" t="s">
        <v>450</v>
      </c>
      <c r="Q375" s="182" t="s">
        <v>450</v>
      </c>
      <c r="R375" s="182" t="s">
        <v>450</v>
      </c>
      <c r="S375" s="182" t="s">
        <v>450</v>
      </c>
      <c r="T375" s="115"/>
      <c r="U375" s="118"/>
      <c r="V375" s="118"/>
      <c r="W375" s="118"/>
      <c r="X375" s="118"/>
      <c r="Y375" s="118"/>
      <c r="Z375" s="118"/>
      <c r="AA375" s="118"/>
      <c r="AB375" s="118"/>
      <c r="AC375" s="118"/>
      <c r="AD375" s="118"/>
      <c r="AE375" s="118"/>
      <c r="AF375" s="118"/>
      <c r="AG375" s="118"/>
      <c r="AH375" s="118"/>
      <c r="AI375" s="118"/>
    </row>
    <row r="376" spans="1:167" x14ac:dyDescent="0.25">
      <c r="B376" s="128">
        <f t="shared" ref="B376:C376" si="1095">B374</f>
        <v>18</v>
      </c>
      <c r="C376" s="128">
        <f t="shared" si="1095"/>
        <v>1</v>
      </c>
      <c r="D376" s="127">
        <f t="shared" si="1040"/>
        <v>18</v>
      </c>
      <c r="E376" s="742">
        <f t="shared" ref="E376" si="1096">C372</f>
        <v>1</v>
      </c>
      <c r="F376" s="93"/>
      <c r="G376" s="744" t="s">
        <v>304</v>
      </c>
      <c r="H376" s="746"/>
      <c r="I376" s="747"/>
      <c r="J376" s="747"/>
      <c r="K376" s="67"/>
      <c r="L376" s="28" t="s">
        <v>303</v>
      </c>
      <c r="M376" s="133">
        <f t="shared" ref="M376" si="1097">IFERROR(INDEX(I378:I390,MATCH(MAX(J378:J390),J378:J390,0)),"")</f>
        <v>0.44317259633493755</v>
      </c>
      <c r="N376" s="71"/>
      <c r="O376" s="27" t="s">
        <v>18</v>
      </c>
      <c r="P376" s="106">
        <f>IF(P372="","",
IF(OR(P374="Orçamento",P373="",MAX('Tabela de Apoio'!$A:$A)&lt;=P373),
P372,
(INDEX('Tabela de Apoio'!$B:$B,MATCH('MAPA DE PREÇOS'!$O$8,'Tabela de Apoio'!$A:$A,1))/INDEX('Tabela de Apoio'!$B:$B,MATCH('MAPA DE PREÇOS'!P373,'Tabela de Apoio'!$A:$A,1)-1))*P372))</f>
        <v>44</v>
      </c>
      <c r="Q376" s="106">
        <f>IF(Q372="","",
IF(OR(Q374="Orçamento",Q373="",MAX('Tabela de Apoio'!$A:$A)&lt;=Q373),
Q372,
(INDEX('Tabela de Apoio'!$B:$B,MATCH('MAPA DE PREÇOS'!$O$8,'Tabela de Apoio'!$A:$A,1))/INDEX('Tabela de Apoio'!$B:$B,MATCH('MAPA DE PREÇOS'!Q373,'Tabela de Apoio'!$A:$A,1)-1))*Q372))</f>
        <v>14.97</v>
      </c>
      <c r="R376" s="106">
        <f>IF(R372="","",
IF(OR(R374="Orçamento",R373="",MAX('Tabela de Apoio'!$A:$A)&lt;=R373),
R372,
(INDEX('Tabela de Apoio'!$B:$B,MATCH('MAPA DE PREÇOS'!$O$8,'Tabela de Apoio'!$A:$A,1))/INDEX('Tabela de Apoio'!$B:$B,MATCH('MAPA DE PREÇOS'!R373,'Tabela de Apoio'!$A:$A,1)-1))*R372))</f>
        <v>15.251050864330853</v>
      </c>
      <c r="S376" s="106">
        <f>IF(S372="","",
IF(OR(S374="Orçamento",S373="",MAX('Tabela de Apoio'!$A:$A)&lt;=S373),
S372,
(INDEX('Tabela de Apoio'!$B:$B,MATCH('MAPA DE PREÇOS'!$O$8,'Tabela de Apoio'!$A:$A,1))/INDEX('Tabela de Apoio'!$B:$B,MATCH('MAPA DE PREÇOS'!S373,'Tabela de Apoio'!$A:$A,1)-1))*S372))</f>
        <v>35.797281338435425</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f t="shared" ref="B377" si="1098">B376</f>
        <v>18</v>
      </c>
      <c r="C377" s="128">
        <f t="shared" ref="C377" si="1099">C376</f>
        <v>1</v>
      </c>
      <c r="D377" s="127">
        <f t="shared" si="1040"/>
        <v>18</v>
      </c>
      <c r="E377" s="743"/>
      <c r="F377" s="93"/>
      <c r="G377" s="745"/>
      <c r="H377"/>
      <c r="I377"/>
      <c r="J377"/>
      <c r="N377" s="71"/>
      <c r="O377" s="27" t="s">
        <v>375</v>
      </c>
      <c r="P377" s="107">
        <f>IF(IFERROR(VLOOKUP(P374,'Tabela de Apoio'!$D:$E,2,FALSE),1)=1,"",P378)</f>
        <v>44</v>
      </c>
      <c r="Q377" s="107">
        <f>IF(IFERROR(VLOOKUP(Q374,'Tabela de Apoio'!$D:$E,2,FALSE),1)=1,"",Q378)</f>
        <v>14.97</v>
      </c>
      <c r="R377" s="107">
        <f>IF(IFERROR(VLOOKUP(R374,'Tabela de Apoio'!$D:$E,2,FALSE),1)=1,"",R378)</f>
        <v>15.251050864330853</v>
      </c>
      <c r="S377" s="107">
        <f>IF(IFERROR(VLOOKUP(S374,'Tabela de Apoio'!$D:$E,2,FALSE),1)=1,"",S378)</f>
        <v>35.797281338435425</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f t="shared" ref="B378:C378" si="1100">B377</f>
        <v>18</v>
      </c>
      <c r="C378" s="128">
        <f t="shared" si="1100"/>
        <v>1</v>
      </c>
      <c r="D378" s="127">
        <f t="shared" si="1040"/>
        <v>18</v>
      </c>
      <c r="E378" s="743"/>
      <c r="F378" s="93"/>
      <c r="G378" s="745"/>
      <c r="H378" s="134">
        <f t="shared" ref="H378" si="1101">COUNT($P378:$XX378)</f>
        <v>4</v>
      </c>
      <c r="I378" s="132">
        <f t="shared" ref="I378" si="1102">_xlfn.STDEV.P($P377:$XX378)/AVERAGE($P377:$XX378)</f>
        <v>0.46280369852364533</v>
      </c>
      <c r="J378" s="7">
        <f>ROW()</f>
        <v>378</v>
      </c>
      <c r="K378" s="67"/>
      <c r="L378" s="29" t="s">
        <v>10</v>
      </c>
      <c r="M378" s="30">
        <f t="shared" ref="M378" si="1103">IFERROR(
IF(COUNTA(P372:AI372)=COUNTIF(P374:XX374,"Orçamento"),MIN(M383,M380),
IF(M381&lt;&gt;"",M381,
IF(M382&lt;&gt;"",M382,
M380
))),"")</f>
        <v>15.251050864330853</v>
      </c>
      <c r="N378" s="71"/>
      <c r="O378" s="27" t="s">
        <v>376</v>
      </c>
      <c r="P378" s="106">
        <f t="shared" ref="P378:AI378" si="1104">IFERROR(IF(P376="",
            "",
            IF(COUNT($P376:$XX376)&lt;=4,
               P376,
               IF(OR(P376&gt;(QUARTILE($P376:$XX376,3)+(QUARTILE($P376:$XX376,3)-QUARTILE($P376:$XX376,1))),
                     P376&lt;(QUARTILE($P376:$XX376,1)-(QUARTILE($P376:$XX376,3)-QUARTILE($P376:$XX376,1)))
                  ),
               "DESCARTADO",P376)
             )
  ),P376)</f>
        <v>44</v>
      </c>
      <c r="Q378" s="106">
        <f t="shared" si="1104"/>
        <v>14.97</v>
      </c>
      <c r="R378" s="106">
        <f t="shared" si="1104"/>
        <v>15.251050864330853</v>
      </c>
      <c r="S378" s="106">
        <f t="shared" si="1104"/>
        <v>35.797281338435425</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f t="shared" ref="B379" si="1105">B378</f>
        <v>18</v>
      </c>
      <c r="C379" s="128">
        <f t="shared" ref="C379" si="1106">C378</f>
        <v>1</v>
      </c>
      <c r="D379" s="127">
        <f t="shared" si="1040"/>
        <v>18</v>
      </c>
      <c r="E379" s="743"/>
      <c r="F379" s="93"/>
      <c r="G379" s="745"/>
      <c r="H379"/>
      <c r="I379"/>
      <c r="J379"/>
      <c r="K379" s="66"/>
      <c r="L379" s="29" t="s">
        <v>360</v>
      </c>
      <c r="M379" s="30">
        <f t="shared" ref="M379" si="1107">AVERAGE($P378:$XX378)</f>
        <v>27.504583050691569</v>
      </c>
      <c r="N379" s="71"/>
      <c r="O379" s="27" t="str">
        <f t="shared" ref="O379" si="1108">"1 POND"</f>
        <v>1 POND</v>
      </c>
      <c r="P379" s="107" t="str">
        <f>IF(IFERROR(VLOOKUP(P374,'Tabela de Apoio'!$D:$E,2,FALSE),1)=1,"",P380)</f>
        <v>DESCARTADO</v>
      </c>
      <c r="Q379" s="107">
        <f>IF(IFERROR(VLOOKUP(Q374,'Tabela de Apoio'!$D:$E,2,FALSE),1)=1,"",Q380)</f>
        <v>14.97</v>
      </c>
      <c r="R379" s="107">
        <f>IF(IFERROR(VLOOKUP(R374,'Tabela de Apoio'!$D:$E,2,FALSE),1)=1,"",R380)</f>
        <v>15.251050864330853</v>
      </c>
      <c r="S379" s="107">
        <f>IF(IFERROR(VLOOKUP(S374,'Tabela de Apoio'!$D:$E,2,FALSE),1)=1,"",S380)</f>
        <v>35.797281338435425</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f t="shared" si="1039"/>
        <v>18</v>
      </c>
      <c r="C380" s="128">
        <f t="shared" si="1040"/>
        <v>1</v>
      </c>
      <c r="D380" s="127">
        <f t="shared" si="1040"/>
        <v>18</v>
      </c>
      <c r="E380" s="743"/>
      <c r="F380" s="93"/>
      <c r="G380" s="745"/>
      <c r="H380" s="134">
        <f t="shared" ref="H380" si="1109">COUNT($P380:$XX380)</f>
        <v>3</v>
      </c>
      <c r="I380" s="132">
        <f t="shared" ref="I380" si="1110">_xlfn.STDEV.P($P379:$XX380)/AVERAGE($P379:$XX380)</f>
        <v>0.44317259633493755</v>
      </c>
      <c r="J380" s="7">
        <f t="shared" ref="J380" si="1111">IF(AND(H380&gt;2,
OR(L372="MÉDIA SANEADA",L372="MEDIANA SANEADA",
AND(L372="PREÇO ESTIMADO",NOT(AND(P374="Orçamento",COUNTA(P372:XX372)=COUNTIF(P374:XX374,"Orçamento")))))),
ROW(),0)</f>
        <v>380</v>
      </c>
      <c r="K380" s="66"/>
      <c r="L380" s="29" t="s">
        <v>361</v>
      </c>
      <c r="M380" s="30">
        <f t="shared" ref="M380" si="1112">MEDIAN($P378:$XX378)</f>
        <v>25.524166101383138</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DESCARTADO</v>
      </c>
      <c r="Q380" s="107">
        <f t="shared" si="1114"/>
        <v>14.97</v>
      </c>
      <c r="R380" s="107">
        <f t="shared" si="1114"/>
        <v>15.251050864330853</v>
      </c>
      <c r="S380" s="107">
        <f t="shared" si="1114"/>
        <v>35.797281338435425</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f t="shared" si="1039"/>
        <v>18</v>
      </c>
      <c r="C381" s="128">
        <f t="shared" si="1040"/>
        <v>1</v>
      </c>
      <c r="D381" s="127">
        <f t="shared" si="1040"/>
        <v>18</v>
      </c>
      <c r="E381" s="743"/>
      <c r="F381" s="93"/>
      <c r="G381" s="745"/>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DESCARTADO</v>
      </c>
      <c r="Q381" s="107">
        <f>IF(IFERROR(VLOOKUP(Q374,'Tabela de Apoio'!$D:$E,2,FALSE),1)=1,"",Q382)</f>
        <v>14.97</v>
      </c>
      <c r="R381" s="107">
        <f>IF(IFERROR(VLOOKUP(R374,'Tabela de Apoio'!$D:$E,2,FALSE),1)=1,"",R382)</f>
        <v>15.251050864330853</v>
      </c>
      <c r="S381" s="107" t="str">
        <f>IF(IFERROR(VLOOKUP(S374,'Tabela de Apoio'!$D:$E,2,FALSE),1)=1,"",S382)</f>
        <v>DESCARTADO</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f t="shared" si="1039"/>
        <v>18</v>
      </c>
      <c r="C382" s="128">
        <f t="shared" si="1040"/>
        <v>1</v>
      </c>
      <c r="D382" s="127">
        <f t="shared" si="1040"/>
        <v>18</v>
      </c>
      <c r="E382" s="743"/>
      <c r="F382" s="93"/>
      <c r="G382" s="745"/>
      <c r="H382" s="134">
        <f t="shared" ref="H382" si="1117">COUNT($P382:$XX382)</f>
        <v>2</v>
      </c>
      <c r="I382" s="132">
        <f t="shared" ref="I382" si="1118">_xlfn.STDEV.P($P381:$XX382)/AVERAGE($P381:$XX382)</f>
        <v>9.2998375732383926E-3</v>
      </c>
      <c r="J382" s="7">
        <f t="shared" ref="J382" si="1119">IF(AND(H382&gt;2,
OR(L372="MÉDIA SANEADA",L372="MEDIANA SANEADA",
AND(L372="PREÇO ESTIMADO",NOT(AND(P374="Orçamento",COUNTA(P372:XX372)=COUNTIF(P374:XX374,"Orçamento")))))),
ROW(),0)</f>
        <v>0</v>
      </c>
      <c r="K382" s="66"/>
      <c r="L382" s="29" t="s">
        <v>362</v>
      </c>
      <c r="M382" s="30">
        <f t="shared" ref="M382" si="1120" xml:space="preserve">
IF(H380&gt;2,MEDIAN(P379:XX380),
IF(H382&gt;2,MEDIAN(P381:XX382),
IF(H384&gt;2,MEDIAN(P383:XX384),
IF(H386&gt;2,MEDIAN(P385:XX386),
IF(H388&gt;2,MEDIAN(P387:XX388),
IF(H390&gt;2,MEDIAN(P389:XX390),
MEDIAN(P377:XX378)))))))</f>
        <v>15.251050864330853</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DESCARTADO</v>
      </c>
      <c r="Q382" s="107">
        <f t="shared" si="1122"/>
        <v>14.97</v>
      </c>
      <c r="R382" s="107">
        <f t="shared" si="1122"/>
        <v>15.251050864330853</v>
      </c>
      <c r="S382" s="107" t="str">
        <f t="shared" si="1122"/>
        <v>DESCARTADO</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f t="shared" si="1039"/>
        <v>18</v>
      </c>
      <c r="C383" s="128">
        <f t="shared" si="1040"/>
        <v>1</v>
      </c>
      <c r="D383" s="127">
        <f t="shared" si="1040"/>
        <v>18</v>
      </c>
      <c r="E383" s="743"/>
      <c r="F383" s="93"/>
      <c r="G383" s="745"/>
      <c r="H383"/>
      <c r="I383"/>
      <c r="J383"/>
      <c r="K383" s="66"/>
      <c r="L383" s="29" t="s">
        <v>359</v>
      </c>
      <c r="M383" s="30">
        <f t="shared" ref="M383" si="1123">HARMEAN($P377:$XX378)</f>
        <v>21.854117012720792</v>
      </c>
      <c r="N383" s="71"/>
      <c r="O383" s="27" t="str">
        <f t="shared" ref="O383" si="1124">"3 POND"</f>
        <v>3 POND</v>
      </c>
      <c r="P383" s="107" t="str">
        <f>IF(IFERROR(VLOOKUP(P374,'Tabela de Apoio'!$D:$E,2,FALSE),1)=1,"",P384)</f>
        <v>DESCARTADO</v>
      </c>
      <c r="Q383" s="107">
        <f>IF(IFERROR(VLOOKUP(Q374,'Tabela de Apoio'!$D:$E,2,FALSE),1)=1,"",Q384)</f>
        <v>14.97</v>
      </c>
      <c r="R383" s="107">
        <f>IF(IFERROR(VLOOKUP(R374,'Tabela de Apoio'!$D:$E,2,FALSE),1)=1,"",R384)</f>
        <v>15.251050864330853</v>
      </c>
      <c r="S383" s="107" t="str">
        <f>IF(IFERROR(VLOOKUP(S374,'Tabela de Apoio'!$D:$E,2,FALSE),1)=1,"",S384)</f>
        <v>DESCARTADO</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f t="shared" si="1039"/>
        <v>18</v>
      </c>
      <c r="C384" s="128">
        <f t="shared" si="1040"/>
        <v>1</v>
      </c>
      <c r="D384" s="127">
        <f t="shared" si="1040"/>
        <v>18</v>
      </c>
      <c r="E384" s="743"/>
      <c r="F384" s="93"/>
      <c r="G384" s="745"/>
      <c r="H384" s="134">
        <f t="shared" ref="H384" si="1125">COUNT($P384:$XX384)</f>
        <v>2</v>
      </c>
      <c r="I384" s="132">
        <f t="shared" ref="I384" si="1126">_xlfn.STDEV.P($P383:$XX384)/AVERAGE($P383:$XX384)</f>
        <v>9.2998375732383926E-3</v>
      </c>
      <c r="J384" s="7">
        <f t="shared" ref="J384" si="1127">IF(AND(H384&gt;2,
OR(L372="MÉDIA SANEADA",L372="MEDIANA SANEADA",
AND(L372="PREÇO ESTIMADO",NOT(AND(P374="Orçamento",COUNTA(P372:XX372)=COUNTIF(P374:XX374,"Orçamento")))))),
ROW(),0)</f>
        <v>0</v>
      </c>
      <c r="K384" s="66"/>
      <c r="L384" s="29" t="s">
        <v>41</v>
      </c>
      <c r="M384" s="30">
        <f t="shared" ref="M384" si="1128">IFERROR(_xlfn.QUARTILE.EXC($P378:$XX378,1),"")</f>
        <v>15.040262716082713</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DESCARTADO</v>
      </c>
      <c r="Q384" s="107">
        <f t="shared" si="1130"/>
        <v>14.97</v>
      </c>
      <c r="R384" s="107">
        <f t="shared" si="1130"/>
        <v>15.251050864330853</v>
      </c>
      <c r="S384" s="107" t="str">
        <f t="shared" si="1130"/>
        <v>DESCARTADO</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f t="shared" si="1039"/>
        <v>18</v>
      </c>
      <c r="C385" s="128">
        <f t="shared" si="1040"/>
        <v>1</v>
      </c>
      <c r="D385" s="127">
        <f t="shared" si="1040"/>
        <v>18</v>
      </c>
      <c r="E385" s="743"/>
      <c r="F385" s="93"/>
      <c r="G385" s="745"/>
      <c r="H385"/>
      <c r="I385"/>
      <c r="J385"/>
      <c r="K385" s="66"/>
      <c r="L385" s="29" t="s">
        <v>39</v>
      </c>
      <c r="M385" s="30">
        <f t="shared" ref="M385" si="1131">IFERROR(_xlfn.QUARTILE.EXC($P378:$XX378,3),"")</f>
        <v>41.949320334608856</v>
      </c>
      <c r="N385" s="71"/>
      <c r="O385" s="27" t="str">
        <f t="shared" ref="O385" si="1132">"4 POND"</f>
        <v>4 POND</v>
      </c>
      <c r="P385" s="107" t="str">
        <f>IF(IFERROR(VLOOKUP(P374,'Tabela de Apoio'!$D:$E,2,FALSE),1)=1,"",P386)</f>
        <v>DESCARTADO</v>
      </c>
      <c r="Q385" s="107">
        <f>IF(IFERROR(VLOOKUP(Q374,'Tabela de Apoio'!$D:$E,2,FALSE),1)=1,"",Q386)</f>
        <v>14.97</v>
      </c>
      <c r="R385" s="107">
        <f>IF(IFERROR(VLOOKUP(R374,'Tabela de Apoio'!$D:$E,2,FALSE),1)=1,"",R386)</f>
        <v>15.251050864330853</v>
      </c>
      <c r="S385" s="107" t="str">
        <f>IF(IFERROR(VLOOKUP(S374,'Tabela de Apoio'!$D:$E,2,FALSE),1)=1,"",S386)</f>
        <v>DESCARTADO</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f t="shared" si="1039"/>
        <v>18</v>
      </c>
      <c r="C386" s="128">
        <f t="shared" si="1040"/>
        <v>1</v>
      </c>
      <c r="D386" s="127">
        <f t="shared" si="1040"/>
        <v>18</v>
      </c>
      <c r="E386" s="743"/>
      <c r="F386" s="93"/>
      <c r="G386" s="745"/>
      <c r="H386" s="134">
        <f t="shared" ref="H386" si="1133">COUNT($P386:$XX386)</f>
        <v>2</v>
      </c>
      <c r="I386" s="132">
        <f t="shared" ref="I386" si="1134">_xlfn.STDEV.P($P385:$XX386)/AVERAGE($P385:$XX386)</f>
        <v>9.2998375732383926E-3</v>
      </c>
      <c r="J386" s="7">
        <f t="shared" ref="J386" si="1135">IF(AND(H386&gt;2,
OR(L372="MÉDIA SANEADA",L372="MEDIANA SANEADA",
AND(L372="PREÇO ESTIMADO",NOT(AND(P374="Orçamento",COUNTA(P372:XX372)=COUNTIF(P374:XX374,"Orçamento")))))),
ROW(),0)</f>
        <v>0</v>
      </c>
      <c r="K386" s="66"/>
      <c r="L386" s="29" t="s">
        <v>42</v>
      </c>
      <c r="M386" s="30">
        <f t="shared" ref="M386" si="1136">MIN($P378:$XX378)</f>
        <v>14.97</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DESCARTADO</v>
      </c>
      <c r="Q386" s="107">
        <f t="shared" si="1138"/>
        <v>14.97</v>
      </c>
      <c r="R386" s="107">
        <f t="shared" si="1138"/>
        <v>15.251050864330853</v>
      </c>
      <c r="S386" s="107" t="str">
        <f t="shared" si="1138"/>
        <v>DESCARTADO</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f t="shared" si="1039"/>
        <v>18</v>
      </c>
      <c r="C387" s="128">
        <f t="shared" si="1040"/>
        <v>1</v>
      </c>
      <c r="D387" s="127">
        <f t="shared" si="1040"/>
        <v>18</v>
      </c>
      <c r="E387" s="743"/>
      <c r="F387" s="93"/>
      <c r="G387" s="745"/>
      <c r="H387"/>
      <c r="I387"/>
      <c r="J387"/>
      <c r="K387" s="66"/>
      <c r="L387" s="29" t="s">
        <v>40</v>
      </c>
      <c r="M387" s="30">
        <f t="shared" ref="M387" si="1139">MAX($P378:$XX378)</f>
        <v>44</v>
      </c>
      <c r="N387" s="71"/>
      <c r="O387" s="27" t="str">
        <f t="shared" ref="O387" si="1140">"5 POND"</f>
        <v>5 POND</v>
      </c>
      <c r="P387" s="107" t="str">
        <f>IF(IFERROR(VLOOKUP(P374,'Tabela de Apoio'!$D:$E,2,FALSE),1)=1,"",P388)</f>
        <v>DESCARTADO</v>
      </c>
      <c r="Q387" s="107">
        <f>IF(IFERROR(VLOOKUP(Q374,'Tabela de Apoio'!$D:$E,2,FALSE),1)=1,"",Q388)</f>
        <v>14.97</v>
      </c>
      <c r="R387" s="107">
        <f>IF(IFERROR(VLOOKUP(R374,'Tabela de Apoio'!$D:$E,2,FALSE),1)=1,"",R388)</f>
        <v>15.251050864330853</v>
      </c>
      <c r="S387" s="107" t="str">
        <f>IF(IFERROR(VLOOKUP(S374,'Tabela de Apoio'!$D:$E,2,FALSE),1)=1,"",S388)</f>
        <v>DESCARTADO</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f t="shared" si="1039"/>
        <v>18</v>
      </c>
      <c r="C388" s="128">
        <f t="shared" si="1040"/>
        <v>1</v>
      </c>
      <c r="D388" s="127">
        <f t="shared" si="1040"/>
        <v>18</v>
      </c>
      <c r="E388" s="743"/>
      <c r="F388" s="93"/>
      <c r="G388" s="745"/>
      <c r="H388" s="134">
        <f t="shared" ref="H388" si="1141">COUNT($P388:$XX388)</f>
        <v>2</v>
      </c>
      <c r="I388" s="132">
        <f t="shared" ref="I388" si="1142">_xlfn.STDEV.P($P387:$XX388)/AVERAGE($P387:$XX388)</f>
        <v>9.2998375732383926E-3</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DESCARTADO</v>
      </c>
      <c r="Q388" s="107">
        <f t="shared" si="1145"/>
        <v>14.97</v>
      </c>
      <c r="R388" s="107">
        <f t="shared" si="1145"/>
        <v>15.251050864330853</v>
      </c>
      <c r="S388" s="107" t="str">
        <f t="shared" si="1145"/>
        <v>DESCARTADO</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f t="shared" si="1039"/>
        <v>18</v>
      </c>
      <c r="C389" s="128">
        <f t="shared" si="1040"/>
        <v>1</v>
      </c>
      <c r="D389" s="127">
        <f t="shared" si="1040"/>
        <v>18</v>
      </c>
      <c r="E389" s="743"/>
      <c r="F389" s="93"/>
      <c r="G389" s="745"/>
      <c r="H389"/>
      <c r="I389"/>
      <c r="J389"/>
      <c r="K389" s="66"/>
      <c r="L389" s="22"/>
      <c r="M389" s="22"/>
      <c r="N389" s="71"/>
      <c r="O389" s="27" t="str">
        <f t="shared" ref="O389" si="1146">"6 POND"</f>
        <v>6 POND</v>
      </c>
      <c r="P389" s="107" t="str">
        <f>IF(IFERROR(VLOOKUP(P374,'Tabela de Apoio'!$D:$E,2,FALSE),1)=1,"",P390)</f>
        <v>DESCARTADO</v>
      </c>
      <c r="Q389" s="107">
        <f>IF(IFERROR(VLOOKUP(Q374,'Tabela de Apoio'!$D:$E,2,FALSE),1)=1,"",Q390)</f>
        <v>14.97</v>
      </c>
      <c r="R389" s="107">
        <f>IF(IFERROR(VLOOKUP(R374,'Tabela de Apoio'!$D:$E,2,FALSE),1)=1,"",R390)</f>
        <v>15.251050864330853</v>
      </c>
      <c r="S389" s="107" t="str">
        <f>IF(IFERROR(VLOOKUP(S374,'Tabela de Apoio'!$D:$E,2,FALSE),1)=1,"",S390)</f>
        <v>DESCARTADO</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f t="shared" si="1039"/>
        <v>18</v>
      </c>
      <c r="C390" s="128">
        <f t="shared" si="1040"/>
        <v>1</v>
      </c>
      <c r="D390" s="127">
        <f t="shared" si="1040"/>
        <v>18</v>
      </c>
      <c r="E390" s="743"/>
      <c r="F390" s="93"/>
      <c r="G390" s="745"/>
      <c r="H390" s="134">
        <f t="shared" ref="H390" si="1147">COUNT($P390:$XX390)</f>
        <v>2</v>
      </c>
      <c r="I390" s="132">
        <f t="shared" ref="I390" si="1148">_xlfn.STDEV.P($P389:$XX390)/AVERAGE($P389:$XX390)</f>
        <v>9.2998375732383926E-3</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DESCARTADO</v>
      </c>
      <c r="Q390" s="107">
        <f t="shared" si="1151"/>
        <v>14.97</v>
      </c>
      <c r="R390" s="107">
        <f t="shared" si="1151"/>
        <v>15.251050864330853</v>
      </c>
      <c r="S390" s="107" t="str">
        <f t="shared" si="1151"/>
        <v>DESCARTADO</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f t="shared" si="1039"/>
        <v>18</v>
      </c>
      <c r="C391" s="128">
        <f t="shared" si="1040"/>
        <v>1</v>
      </c>
      <c r="D391" s="127">
        <f t="shared" si="1040"/>
        <v>18</v>
      </c>
      <c r="E391" s="743"/>
      <c r="F391" s="136"/>
      <c r="G391" s="745"/>
      <c r="H391" s="748"/>
      <c r="I391" s="748"/>
      <c r="J391" s="749"/>
      <c r="K391" s="67"/>
      <c r="L391" s="1" t="s">
        <v>43</v>
      </c>
      <c r="M391" s="144">
        <f t="shared" ref="M391" si="1152">IFERROR(ROUND(M372*M374,2),"")</f>
        <v>0</v>
      </c>
      <c r="O391" s="27" t="s">
        <v>363</v>
      </c>
      <c r="P391" s="107" t="str">
        <f t="shared" ref="P391:AI412" si="1153">INDEX(P378:P390,MATCH(MAX($J378:$J390),$J378:$J390,0))</f>
        <v>DESCARTADO</v>
      </c>
      <c r="Q391" s="107">
        <f t="shared" si="1153"/>
        <v>14.97</v>
      </c>
      <c r="R391" s="107">
        <f t="shared" si="1153"/>
        <v>15.251050864330853</v>
      </c>
      <c r="S391" s="107">
        <f t="shared" si="1153"/>
        <v>35.797281338435425</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f t="shared" ref="B393" si="1154">LARGE(IFERROR(IF(B391+1&gt;$H$8,"",B391+1),""),1)</f>
        <v>19</v>
      </c>
      <c r="C393" s="127">
        <f>IF(_xlfn.ISFORMULA(E397),MAX(INDEX('BASE FORMAÇÃO'!A:A,B393+1),1),E397)</f>
        <v>1</v>
      </c>
      <c r="D393" s="127">
        <f t="shared" ref="D393" si="1155">IFERROR(IF(C393=C383,D383+1,1),1)</f>
        <v>19</v>
      </c>
      <c r="E393" s="38" t="s">
        <v>9</v>
      </c>
      <c r="F393" s="73"/>
      <c r="G393" s="38" t="s">
        <v>15</v>
      </c>
      <c r="H393" s="135">
        <f>INDEX('BASE FORMAÇÃO'!B:B,B393+1)</f>
        <v>0</v>
      </c>
      <c r="I393" s="143" t="s">
        <v>16</v>
      </c>
      <c r="J393" s="6">
        <f>INDEX('BASE FORMAÇÃO'!K:K,B393+1)</f>
        <v>0</v>
      </c>
      <c r="K393" s="65"/>
      <c r="L393" s="750" t="s">
        <v>10</v>
      </c>
      <c r="M393" s="752">
        <f t="shared" ref="M393" si="1156">IF(OR(ISBLANK($O$8),ISBLANK($O$7),ISBLANK($H$8),ISBLANK($O$6),ISBLANK($O$5),ISBLANK($H$5)),"",IFERROR(IF(VLOOKUP(L393,L399:M408,2,FALSE)&lt;1,ROUND(VLOOKUP(L393,L399:M408,2,FALSE),4),ROUND(VLOOKUP(L393,L399:M408,2,FALSE),2)),""))</f>
        <v>1.41</v>
      </c>
      <c r="N393" s="69"/>
      <c r="O393" s="27" t="s">
        <v>17</v>
      </c>
      <c r="P393" s="113">
        <v>1.40578</v>
      </c>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f t="shared" ref="B394:D394" si="1157">B393</f>
        <v>19</v>
      </c>
      <c r="C394" s="128">
        <f t="shared" si="1157"/>
        <v>1</v>
      </c>
      <c r="D394" s="127">
        <f t="shared" si="1157"/>
        <v>19</v>
      </c>
      <c r="E394" s="754">
        <f t="shared" ref="E394" si="1158">D393</f>
        <v>19</v>
      </c>
      <c r="F394" s="92"/>
      <c r="G394" s="756" t="s">
        <v>1</v>
      </c>
      <c r="H394" s="765" t="s">
        <v>695</v>
      </c>
      <c r="I394" s="759"/>
      <c r="J394" s="760"/>
      <c r="K394" s="66"/>
      <c r="L394" s="751"/>
      <c r="M394" s="753"/>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f t="shared" ref="B395:D395" si="1159">B394</f>
        <v>19</v>
      </c>
      <c r="C395" s="128">
        <f t="shared" si="1159"/>
        <v>1</v>
      </c>
      <c r="D395" s="127">
        <f t="shared" si="1159"/>
        <v>19</v>
      </c>
      <c r="E395" s="755"/>
      <c r="F395" s="93"/>
      <c r="G395" s="757"/>
      <c r="H395" s="761"/>
      <c r="I395" s="761"/>
      <c r="J395" s="762"/>
      <c r="K395" s="64"/>
      <c r="L395" s="130" t="s">
        <v>44</v>
      </c>
      <c r="M395" s="131">
        <v>1</v>
      </c>
      <c r="N395" s="71"/>
      <c r="O395" s="27" t="s">
        <v>380</v>
      </c>
      <c r="P395" s="114" t="s">
        <v>348</v>
      </c>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f t="shared" ref="B396:C396" si="1160">B395</f>
        <v>19</v>
      </c>
      <c r="C396" s="128">
        <f t="shared" si="1160"/>
        <v>1</v>
      </c>
      <c r="D396" s="127">
        <f t="shared" si="1040"/>
        <v>19</v>
      </c>
      <c r="E396" s="38" t="s">
        <v>313</v>
      </c>
      <c r="F396" s="93"/>
      <c r="G396" s="758"/>
      <c r="H396" s="763"/>
      <c r="I396" s="763"/>
      <c r="J396" s="764"/>
      <c r="K396" s="64"/>
      <c r="L396" s="1" t="s">
        <v>2</v>
      </c>
      <c r="M396" s="6" t="s">
        <v>168</v>
      </c>
      <c r="N396" s="71"/>
      <c r="O396" s="27" t="s">
        <v>381</v>
      </c>
      <c r="P396" s="115" t="s">
        <v>765</v>
      </c>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f t="shared" ref="B397:C397" si="1161">B395</f>
        <v>19</v>
      </c>
      <c r="C397" s="128">
        <f t="shared" si="1161"/>
        <v>1</v>
      </c>
      <c r="D397" s="127">
        <f t="shared" si="1040"/>
        <v>19</v>
      </c>
      <c r="E397" s="742">
        <f t="shared" ref="E397" si="1162">C393</f>
        <v>1</v>
      </c>
      <c r="F397" s="93"/>
      <c r="G397" s="744" t="s">
        <v>304</v>
      </c>
      <c r="H397" s="746"/>
      <c r="I397" s="747"/>
      <c r="J397" s="747"/>
      <c r="K397" s="67"/>
      <c r="L397" s="28" t="s">
        <v>303</v>
      </c>
      <c r="M397" s="133">
        <f t="shared" ref="M397" si="1163">IFERROR(INDEX(I399:I411,MATCH(MAX(J399:J411),J399:J411,0)),"")</f>
        <v>0</v>
      </c>
      <c r="N397" s="71"/>
      <c r="O397" s="27" t="s">
        <v>18</v>
      </c>
      <c r="P397" s="106">
        <f>IF(P393="","",
IF(OR(P395="Orçamento",P394="",MAX('Tabela de Apoio'!$A:$A)&lt;=P394),
P393,
(INDEX('Tabela de Apoio'!$B:$B,MATCH('MAPA DE PREÇOS'!$O$8,'Tabela de Apoio'!$A:$A,1))/INDEX('Tabela de Apoio'!$B:$B,MATCH('MAPA DE PREÇOS'!P394,'Tabela de Apoio'!$A:$A,1)-1))*P393))</f>
        <v>1.40578</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f t="shared" ref="B398" si="1164">B397</f>
        <v>19</v>
      </c>
      <c r="C398" s="128">
        <f t="shared" ref="C398" si="1165">C397</f>
        <v>1</v>
      </c>
      <c r="D398" s="127">
        <f t="shared" si="1040"/>
        <v>19</v>
      </c>
      <c r="E398" s="743"/>
      <c r="F398" s="93"/>
      <c r="G398" s="745"/>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f t="shared" ref="B399:C399" si="1166">B398</f>
        <v>19</v>
      </c>
      <c r="C399" s="128">
        <f t="shared" si="1166"/>
        <v>1</v>
      </c>
      <c r="D399" s="127">
        <f t="shared" si="1040"/>
        <v>19</v>
      </c>
      <c r="E399" s="743"/>
      <c r="F399" s="93"/>
      <c r="G399" s="745"/>
      <c r="H399" s="134">
        <f t="shared" ref="H399" si="1167">COUNT($P399:$XX399)</f>
        <v>1</v>
      </c>
      <c r="I399" s="132">
        <f t="shared" ref="I399" si="1168">_xlfn.STDEV.P($P398:$XX399)/AVERAGE($P398:$XX399)</f>
        <v>0</v>
      </c>
      <c r="J399" s="7">
        <f>ROW()</f>
        <v>399</v>
      </c>
      <c r="K399" s="67"/>
      <c r="L399" s="29" t="s">
        <v>10</v>
      </c>
      <c r="M399" s="30">
        <f t="shared" ref="M399" si="1169">IFERROR(
IF(COUNTA(P393:AI393)=COUNTIF(P395:XX395,"Orçamento"),MIN(M404,M401),
IF(M402&lt;&gt;"",M402,
IF(M403&lt;&gt;"",M403,
M401
))),"")</f>
        <v>1.40578</v>
      </c>
      <c r="N399" s="71"/>
      <c r="O399" s="27" t="s">
        <v>376</v>
      </c>
      <c r="P399" s="106">
        <f t="shared" ref="P399:AI399" si="1170">IFERROR(IF(P397="",
            "",
            IF(COUNT($P397:$XX397)&lt;=4,
               P397,
               IF(OR(P397&gt;(QUARTILE($P397:$XX397,3)+(QUARTILE($P397:$XX397,3)-QUARTILE($P397:$XX397,1))),
                     P397&lt;(QUARTILE($P397:$XX397,1)-(QUARTILE($P397:$XX397,3)-QUARTILE($P397:$XX397,1)))
                  ),
               "DESCARTADO",P397)
             )
  ),P397)</f>
        <v>1.40578</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f t="shared" ref="B400" si="1171">B399</f>
        <v>19</v>
      </c>
      <c r="C400" s="128">
        <f t="shared" ref="C400" si="1172">C399</f>
        <v>1</v>
      </c>
      <c r="D400" s="127">
        <f t="shared" si="1040"/>
        <v>19</v>
      </c>
      <c r="E400" s="743"/>
      <c r="F400" s="93"/>
      <c r="G400" s="745"/>
      <c r="H400"/>
      <c r="I400"/>
      <c r="J400"/>
      <c r="K400" s="66"/>
      <c r="L400" s="29" t="s">
        <v>360</v>
      </c>
      <c r="M400" s="30">
        <f t="shared" ref="M400" si="1173">AVERAGE($P399:$XX399)</f>
        <v>1.40578</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f t="shared" si="1039"/>
        <v>19</v>
      </c>
      <c r="C401" s="128">
        <f t="shared" si="1040"/>
        <v>1</v>
      </c>
      <c r="D401" s="127">
        <f t="shared" si="1040"/>
        <v>19</v>
      </c>
      <c r="E401" s="743"/>
      <c r="F401" s="93"/>
      <c r="G401" s="745"/>
      <c r="H401" s="134">
        <f t="shared" ref="H401" si="1175">COUNT($P401:$XX401)</f>
        <v>1</v>
      </c>
      <c r="I401" s="132">
        <f t="shared" ref="I401" si="1176">_xlfn.STDEV.P($P400:$XX401)/AVERAGE($P400:$XX401)</f>
        <v>0</v>
      </c>
      <c r="J401" s="7">
        <f t="shared" ref="J401" si="1177">IF(AND(H401&gt;2,
OR(L393="MÉDIA SANEADA",L393="MEDIANA SANEADA",
AND(L393="PREÇO ESTIMADO",NOT(AND(P395="Orçamento",COUNTA(P393:XX393)=COUNTIF(P395:XX395,"Orçamento")))))),
ROW(),0)</f>
        <v>0</v>
      </c>
      <c r="K401" s="66"/>
      <c r="L401" s="29" t="s">
        <v>361</v>
      </c>
      <c r="M401" s="30">
        <f t="shared" ref="M401" si="1178">MEDIAN($P399:$XX399)</f>
        <v>1.40578</v>
      </c>
      <c r="N401" s="71"/>
      <c r="O401" s="27" t="str">
        <f t="shared" ref="O401" si="1179">"1 RODADA"</f>
        <v>1 RODADA</v>
      </c>
      <c r="P401" s="107">
        <f t="shared" ref="P401:AI401" si="1180">IF(P399="","",IF((_xlfn.STDEV.P($P398:$XX399)/AVERAGE($P398:$XX399))&lt;=25%,P399,IF(OR(P399&gt;(AVERAGE($P398:$XX399)+_xlfn.STDEV.P($P398:$XX399)),P399&lt;(AVERAGE($P398:$XX399)-_xlfn.STDEV.P($P398:$XX399))),"DESCARTADO",P399)))</f>
        <v>1.40578</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f t="shared" si="1039"/>
        <v>19</v>
      </c>
      <c r="C402" s="128">
        <f t="shared" si="1040"/>
        <v>1</v>
      </c>
      <c r="D402" s="127">
        <f t="shared" si="1040"/>
        <v>19</v>
      </c>
      <c r="E402" s="743"/>
      <c r="F402" s="93"/>
      <c r="G402" s="745"/>
      <c r="H402"/>
      <c r="I402"/>
      <c r="J402"/>
      <c r="L402" s="29" t="s">
        <v>38</v>
      </c>
      <c r="M402" s="30">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1.40578</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f t="shared" si="1039"/>
        <v>19</v>
      </c>
      <c r="C403" s="128">
        <f t="shared" si="1040"/>
        <v>1</v>
      </c>
      <c r="D403" s="127">
        <f t="shared" si="1040"/>
        <v>19</v>
      </c>
      <c r="E403" s="743"/>
      <c r="F403" s="93"/>
      <c r="G403" s="745"/>
      <c r="H403" s="134">
        <f t="shared" ref="H403" si="1183">COUNT($P403:$XX403)</f>
        <v>1</v>
      </c>
      <c r="I403" s="132">
        <f t="shared" ref="I403" si="1184">_xlfn.STDEV.P($P402:$XX403)/AVERAGE($P402:$XX403)</f>
        <v>0</v>
      </c>
      <c r="J403" s="7">
        <f t="shared" ref="J403" si="1185">IF(AND(H403&gt;2,
OR(L393="MÉDIA SANEADA",L393="MEDIANA SANEADA",
AND(L393="PREÇO ESTIMADO",NOT(AND(P395="Orçamento",COUNTA(P393:XX393)=COUNTIF(P395:XX395,"Orçamento")))))),
ROW(),0)</f>
        <v>0</v>
      </c>
      <c r="K403" s="66"/>
      <c r="L403" s="29" t="s">
        <v>362</v>
      </c>
      <c r="M403" s="30">
        <f t="shared" ref="M403" si="1186" xml:space="preserve">
IF(H401&gt;2,MEDIAN(P400:XX401),
IF(H403&gt;2,MEDIAN(P402:XX403),
IF(H405&gt;2,MEDIAN(P404:XX405),
IF(H407&gt;2,MEDIAN(P406:XX407),
IF(H409&gt;2,MEDIAN(P408:XX409),
IF(H411&gt;2,MEDIAN(P410:XX411),
MEDIAN(P398:XX399)))))))</f>
        <v>1.40578</v>
      </c>
      <c r="N403" s="71"/>
      <c r="O403" s="27" t="str">
        <f t="shared" ref="O403" si="1187">"2 RODADA"</f>
        <v>2 RODADA</v>
      </c>
      <c r="P403" s="107">
        <f t="shared" ref="P403:AI403" si="1188">IF(P401="","",IF((_xlfn.STDEV.P($P400:$XX401)/AVERAGE($P400:$XX401))&lt;=25%,P401,IF(OR(P401&gt;(AVERAGE($P400:$XX401)+_xlfn.STDEV.P($P400:$XX401)),P401&lt;(AVERAGE($P400:$XX401)-_xlfn.STDEV.P($P400:$XX401))),"DESCARTADO",P401)))</f>
        <v>1.40578</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f t="shared" si="1039"/>
        <v>19</v>
      </c>
      <c r="C404" s="128">
        <f t="shared" si="1040"/>
        <v>1</v>
      </c>
      <c r="D404" s="127">
        <f t="shared" si="1040"/>
        <v>19</v>
      </c>
      <c r="E404" s="743"/>
      <c r="F404" s="93"/>
      <c r="G404" s="745"/>
      <c r="H404"/>
      <c r="I404"/>
      <c r="J404"/>
      <c r="K404" s="66"/>
      <c r="L404" s="29" t="s">
        <v>359</v>
      </c>
      <c r="M404" s="30">
        <f t="shared" ref="M404" si="1189">HARMEAN($P398:$XX399)</f>
        <v>1.40578</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f t="shared" si="1039"/>
        <v>19</v>
      </c>
      <c r="C405" s="128">
        <f t="shared" si="1040"/>
        <v>1</v>
      </c>
      <c r="D405" s="127">
        <f t="shared" si="1040"/>
        <v>19</v>
      </c>
      <c r="E405" s="743"/>
      <c r="F405" s="93"/>
      <c r="G405" s="745"/>
      <c r="H405" s="134">
        <f t="shared" ref="H405" si="1191">COUNT($P405:$XX405)</f>
        <v>1</v>
      </c>
      <c r="I405" s="132">
        <f t="shared" ref="I405" si="1192">_xlfn.STDEV.P($P404:$XX405)/AVERAGE($P404:$XX405)</f>
        <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f t="shared" ref="P405:AI405" si="1196">IF(P403="","",IF((_xlfn.STDEV.P($P402:$XX403)/AVERAGE($P402:$XX403))&lt;=25%,P403,IF(OR(P403&gt;(AVERAGE($P402:$XX403)+_xlfn.STDEV.P($P402:$XX403)),P403&lt;(AVERAGE($P402:$XX403)-_xlfn.STDEV.P($P402:$XX403))),"DESCARTADO",P403)))</f>
        <v>1.40578</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f t="shared" si="1039"/>
        <v>19</v>
      </c>
      <c r="C406" s="128">
        <f t="shared" si="1040"/>
        <v>1</v>
      </c>
      <c r="D406" s="127">
        <f t="shared" si="1040"/>
        <v>19</v>
      </c>
      <c r="E406" s="743"/>
      <c r="F406" s="93"/>
      <c r="G406" s="745"/>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f t="shared" si="1039"/>
        <v>19</v>
      </c>
      <c r="C407" s="128">
        <f t="shared" si="1040"/>
        <v>1</v>
      </c>
      <c r="D407" s="127">
        <f t="shared" si="1040"/>
        <v>19</v>
      </c>
      <c r="E407" s="743"/>
      <c r="F407" s="93"/>
      <c r="G407" s="745"/>
      <c r="H407" s="134">
        <f t="shared" ref="H407" si="1199">COUNT($P407:$XX407)</f>
        <v>1</v>
      </c>
      <c r="I407" s="132">
        <f t="shared" ref="I407" si="1200">_xlfn.STDEV.P($P406:$XX407)/AVERAGE($P406:$XX407)</f>
        <v>0</v>
      </c>
      <c r="J407" s="7">
        <f t="shared" ref="J407" si="1201">IF(AND(H407&gt;2,
OR(L393="MÉDIA SANEADA",L393="MEDIANA SANEADA",
AND(L393="PREÇO ESTIMADO",NOT(AND(P395="Orçamento",COUNTA(P393:XX393)=COUNTIF(P395:XX395,"Orçamento")))))),
ROW(),0)</f>
        <v>0</v>
      </c>
      <c r="K407" s="66"/>
      <c r="L407" s="29" t="s">
        <v>42</v>
      </c>
      <c r="M407" s="30">
        <f t="shared" ref="M407" si="1202">MIN($P399:$XX399)</f>
        <v>1.40578</v>
      </c>
      <c r="N407" s="71"/>
      <c r="O407" s="27" t="str">
        <f t="shared" ref="O407" si="1203">"4 RODADA"</f>
        <v>4 RODADA</v>
      </c>
      <c r="P407" s="107">
        <f t="shared" ref="P407:AI407" si="1204">IF(P405="","",IF((_xlfn.STDEV.P($P404:$XX405)/AVERAGE($P404:$XX405))&lt;=25%,P405,IF(OR(P405&gt;(AVERAGE($P404:$XX405)+_xlfn.STDEV.P($P404:$XX405)),P405&lt;(AVERAGE($P404:$XX405)-_xlfn.STDEV.P($P404:$XX405))),"DESCARTADO",P405)))</f>
        <v>1.40578</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f t="shared" si="1039"/>
        <v>19</v>
      </c>
      <c r="C408" s="128">
        <f t="shared" si="1040"/>
        <v>1</v>
      </c>
      <c r="D408" s="127">
        <f t="shared" si="1040"/>
        <v>19</v>
      </c>
      <c r="E408" s="743"/>
      <c r="F408" s="93"/>
      <c r="G408" s="745"/>
      <c r="H408"/>
      <c r="I408"/>
      <c r="J408"/>
      <c r="K408" s="66"/>
      <c r="L408" s="29" t="s">
        <v>40</v>
      </c>
      <c r="M408" s="30">
        <f t="shared" ref="M408" si="1205">MAX($P399:$XX399)</f>
        <v>1.40578</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f t="shared" si="1039"/>
        <v>19</v>
      </c>
      <c r="C409" s="128">
        <f t="shared" si="1040"/>
        <v>1</v>
      </c>
      <c r="D409" s="127">
        <f t="shared" si="1040"/>
        <v>19</v>
      </c>
      <c r="E409" s="743"/>
      <c r="F409" s="93"/>
      <c r="G409" s="745"/>
      <c r="H409" s="134">
        <f t="shared" ref="H409" si="1207">COUNT($P409:$XX409)</f>
        <v>1</v>
      </c>
      <c r="I409" s="132">
        <f t="shared" ref="I409" si="1208">_xlfn.STDEV.P($P408:$XX409)/AVERAGE($P408:$XX409)</f>
        <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f t="shared" ref="P409:AI409" si="1211">IF(P407="","",IF((_xlfn.STDEV.P($P406:$XX407)/AVERAGE($P406:$XX407))&lt;=25%,P407,IF(OR(P407&gt;(AVERAGE($P406:$XX407)+_xlfn.STDEV.P($P406:$XX407)),P407&lt;(AVERAGE($P406:$XX407)-_xlfn.STDEV.P($P406:$XX407))),"DESCARTADO",P407)))</f>
        <v>1.40578</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f t="shared" si="1039"/>
        <v>19</v>
      </c>
      <c r="C410" s="128">
        <f t="shared" si="1040"/>
        <v>1</v>
      </c>
      <c r="D410" s="127">
        <f t="shared" si="1040"/>
        <v>19</v>
      </c>
      <c r="E410" s="743"/>
      <c r="F410" s="93"/>
      <c r="G410" s="745"/>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f t="shared" si="1039"/>
        <v>19</v>
      </c>
      <c r="C411" s="128">
        <f t="shared" si="1040"/>
        <v>1</v>
      </c>
      <c r="D411" s="127">
        <f t="shared" si="1040"/>
        <v>19</v>
      </c>
      <c r="E411" s="743"/>
      <c r="F411" s="93"/>
      <c r="G411" s="745"/>
      <c r="H411" s="134">
        <f t="shared" ref="H411" si="1213">COUNT($P411:$XX411)</f>
        <v>1</v>
      </c>
      <c r="I411" s="132">
        <f t="shared" ref="I411" si="1214">_xlfn.STDEV.P($P410:$XX411)/AVERAGE($P410:$XX411)</f>
        <v>0</v>
      </c>
      <c r="J411" s="7">
        <f t="shared" ref="J411" si="1215">IF(AND(H411&gt;2,
OR(L393="MÉDIA SANEADA",L393="MEDIANA SANEADA",
AND(L393="PREÇO ESTIMADO",NOT(AND(P395="Orçamento",COUNTA(P393:XX393)=COUNTIF(P395:XX395,"Orçamento")))))),
ROW(),0)</f>
        <v>0</v>
      </c>
      <c r="N411" s="71"/>
      <c r="O411" s="27" t="str">
        <f t="shared" ref="O411" si="1216">"6 RODADA"</f>
        <v>6 RODADA</v>
      </c>
      <c r="P411" s="107">
        <f t="shared" ref="P411:AI411" si="1217">IFERROR(IF(P409="","",IF((_xlfn.STDEV.P($P408:$XX409)/AVERAGE($P408:$XX409))&lt;=25%,P409,IF(OR(P409&gt;(AVERAGE($P408:$XX409)+_xlfn.STDEV.P($P408:$XX409)),P409&lt;(AVERAGE($P408:$XX409)-_xlfn.STDEV.P($P408:$XX409))),"DESCARTADO",P409))),)</f>
        <v>1.40578</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f t="shared" si="1039"/>
        <v>19</v>
      </c>
      <c r="C412" s="128">
        <f t="shared" si="1040"/>
        <v>1</v>
      </c>
      <c r="D412" s="127">
        <f t="shared" si="1040"/>
        <v>19</v>
      </c>
      <c r="E412" s="743"/>
      <c r="F412" s="136"/>
      <c r="G412" s="745"/>
      <c r="H412" s="748"/>
      <c r="I412" s="748"/>
      <c r="J412" s="749"/>
      <c r="K412" s="67"/>
      <c r="L412" s="1" t="s">
        <v>43</v>
      </c>
      <c r="M412" s="144">
        <f t="shared" ref="M412" si="1218">IFERROR(ROUND(M393*M395,2),"")</f>
        <v>1.41</v>
      </c>
      <c r="O412" s="27" t="s">
        <v>363</v>
      </c>
      <c r="P412" s="107">
        <f t="shared" ref="P412:R412" si="1219">INDEX(P399:P411,MATCH(MAX($J399:$J411),$J399:$J411,0))</f>
        <v>1.40578</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f t="shared" ref="B414" si="1220">LARGE(IFERROR(IF(B412+1&gt;$H$8,"",B412+1),""),1)</f>
        <v>20</v>
      </c>
      <c r="C414" s="127">
        <f>IF(_xlfn.ISFORMULA(E418),MAX(INDEX('BASE FORMAÇÃO'!A:A,B414+1),1),E418)</f>
        <v>1</v>
      </c>
      <c r="D414" s="127">
        <f t="shared" ref="D414" si="1221">IFERROR(IF(C414=C404,D404+1,1),1)</f>
        <v>20</v>
      </c>
      <c r="E414" s="38" t="s">
        <v>9</v>
      </c>
      <c r="F414" s="73"/>
      <c r="G414" s="38" t="s">
        <v>15</v>
      </c>
      <c r="H414" s="135">
        <f>INDEX('BASE FORMAÇÃO'!B:B,B414+1)</f>
        <v>0</v>
      </c>
      <c r="I414" s="143" t="s">
        <v>16</v>
      </c>
      <c r="J414" s="6">
        <f>INDEX('BASE FORMAÇÃO'!K:K,B414+1)</f>
        <v>0</v>
      </c>
      <c r="K414" s="65"/>
      <c r="L414" s="750" t="s">
        <v>10</v>
      </c>
      <c r="M414" s="752">
        <f t="shared" ref="M414" si="1222">IF(OR(ISBLANK($O$8),ISBLANK($O$7),ISBLANK($H$8),ISBLANK($O$6),ISBLANK($O$5),ISBLANK($H$5)),"",IFERROR(IF(VLOOKUP(L414,L420:M429,2,FALSE)&lt;1,ROUND(VLOOKUP(L414,L420:M429,2,FALSE),4),ROUND(VLOOKUP(L414,L420:M429,2,FALSE),2)),""))</f>
        <v>0.9163</v>
      </c>
      <c r="N414" s="69"/>
      <c r="O414" s="27" t="s">
        <v>17</v>
      </c>
      <c r="P414" s="113">
        <v>0.91632999999999998</v>
      </c>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f t="shared" ref="B415:D415" si="1223">B414</f>
        <v>20</v>
      </c>
      <c r="C415" s="128">
        <f t="shared" si="1223"/>
        <v>1</v>
      </c>
      <c r="D415" s="127">
        <f t="shared" si="1223"/>
        <v>20</v>
      </c>
      <c r="E415" s="754">
        <f t="shared" ref="E415" si="1224">D414</f>
        <v>20</v>
      </c>
      <c r="F415" s="92"/>
      <c r="G415" s="756" t="s">
        <v>1</v>
      </c>
      <c r="H415" s="765" t="s">
        <v>696</v>
      </c>
      <c r="I415" s="759"/>
      <c r="J415" s="760"/>
      <c r="K415" s="66"/>
      <c r="L415" s="751"/>
      <c r="M415" s="753"/>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f t="shared" ref="B416:D416" si="1225">B415</f>
        <v>20</v>
      </c>
      <c r="C416" s="128">
        <f t="shared" si="1225"/>
        <v>1</v>
      </c>
      <c r="D416" s="127">
        <f t="shared" si="1225"/>
        <v>20</v>
      </c>
      <c r="E416" s="755"/>
      <c r="F416" s="93"/>
      <c r="G416" s="757"/>
      <c r="H416" s="761"/>
      <c r="I416" s="761"/>
      <c r="J416" s="762"/>
      <c r="K416" s="64"/>
      <c r="L416" s="130" t="s">
        <v>44</v>
      </c>
      <c r="M416" s="131">
        <v>1</v>
      </c>
      <c r="N416" s="71"/>
      <c r="O416" s="27" t="s">
        <v>380</v>
      </c>
      <c r="P416" s="114" t="s">
        <v>348</v>
      </c>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f t="shared" ref="B417:C417" si="1226">B416</f>
        <v>20</v>
      </c>
      <c r="C417" s="128">
        <f t="shared" si="1226"/>
        <v>1</v>
      </c>
      <c r="D417" s="127">
        <f t="shared" si="1040"/>
        <v>20</v>
      </c>
      <c r="E417" s="38" t="s">
        <v>313</v>
      </c>
      <c r="F417" s="93"/>
      <c r="G417" s="758"/>
      <c r="H417" s="763"/>
      <c r="I417" s="763"/>
      <c r="J417" s="764"/>
      <c r="K417" s="64"/>
      <c r="L417" s="1" t="s">
        <v>2</v>
      </c>
      <c r="M417" s="6" t="s">
        <v>168</v>
      </c>
      <c r="N417" s="71"/>
      <c r="O417" s="27" t="s">
        <v>381</v>
      </c>
      <c r="P417" s="115" t="s">
        <v>765</v>
      </c>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f t="shared" ref="B418:C418" si="1227">B416</f>
        <v>20</v>
      </c>
      <c r="C418" s="128">
        <f t="shared" si="1227"/>
        <v>1</v>
      </c>
      <c r="D418" s="127">
        <f t="shared" si="1040"/>
        <v>20</v>
      </c>
      <c r="E418" s="742">
        <f t="shared" ref="E418" si="1228">C414</f>
        <v>1</v>
      </c>
      <c r="F418" s="93"/>
      <c r="G418" s="744" t="s">
        <v>304</v>
      </c>
      <c r="H418" s="746"/>
      <c r="I418" s="747"/>
      <c r="J418" s="747"/>
      <c r="K418" s="67"/>
      <c r="L418" s="28" t="s">
        <v>303</v>
      </c>
      <c r="M418" s="133">
        <f t="shared" ref="M418" si="1229">IFERROR(INDEX(I420:I432,MATCH(MAX(J420:J432),J420:J432,0)),"")</f>
        <v>0</v>
      </c>
      <c r="N418" s="71"/>
      <c r="O418" s="27" t="s">
        <v>18</v>
      </c>
      <c r="P418" s="106">
        <f>IF(P414="","",
IF(OR(P416="Orçamento",P415="",MAX('Tabela de Apoio'!$A:$A)&lt;=P415),
P414,
(INDEX('Tabela de Apoio'!$B:$B,MATCH('MAPA DE PREÇOS'!$O$8,'Tabela de Apoio'!$A:$A,1))/INDEX('Tabela de Apoio'!$B:$B,MATCH('MAPA DE PREÇOS'!P415,'Tabela de Apoio'!$A:$A,1)-1))*P414))</f>
        <v>0.91632999999999998</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f t="shared" ref="B419" si="1230">B418</f>
        <v>20</v>
      </c>
      <c r="C419" s="128">
        <f t="shared" ref="C419" si="1231">C418</f>
        <v>1</v>
      </c>
      <c r="D419" s="127">
        <f t="shared" si="1040"/>
        <v>20</v>
      </c>
      <c r="E419" s="743"/>
      <c r="F419" s="93"/>
      <c r="G419" s="745"/>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f t="shared" ref="B420:C420" si="1232">B419</f>
        <v>20</v>
      </c>
      <c r="C420" s="128">
        <f t="shared" si="1232"/>
        <v>1</v>
      </c>
      <c r="D420" s="127">
        <f t="shared" si="1040"/>
        <v>20</v>
      </c>
      <c r="E420" s="743"/>
      <c r="F420" s="93"/>
      <c r="G420" s="745"/>
      <c r="H420" s="134">
        <f t="shared" ref="H420" si="1233">COUNT($P420:$XX420)</f>
        <v>1</v>
      </c>
      <c r="I420" s="132">
        <f t="shared" ref="I420" si="1234">_xlfn.STDEV.P($P419:$XX420)/AVERAGE($P419:$XX420)</f>
        <v>0</v>
      </c>
      <c r="J420" s="7">
        <f>ROW()</f>
        <v>420</v>
      </c>
      <c r="K420" s="67"/>
      <c r="L420" s="29" t="s">
        <v>10</v>
      </c>
      <c r="M420" s="30">
        <f t="shared" ref="M420" si="1235">IFERROR(
IF(COUNTA(P414:AI414)=COUNTIF(P416:XX416,"Orçamento"),MIN(M425,M422),
IF(M423&lt;&gt;"",M423,
IF(M424&lt;&gt;"",M424,
M422
))),"")</f>
        <v>0.91632999999999998</v>
      </c>
      <c r="N420" s="71"/>
      <c r="O420" s="27" t="s">
        <v>376</v>
      </c>
      <c r="P420" s="106">
        <f t="shared" ref="P420:AI420" si="1236">IFERROR(IF(P418="",
            "",
            IF(COUNT($P418:$XX418)&lt;=4,
               P418,
               IF(OR(P418&gt;(QUARTILE($P418:$XX418,3)+(QUARTILE($P418:$XX418,3)-QUARTILE($P418:$XX418,1))),
                     P418&lt;(QUARTILE($P418:$XX418,1)-(QUARTILE($P418:$XX418,3)-QUARTILE($P418:$XX418,1)))
                  ),
               "DESCARTADO",P418)
             )
  ),P418)</f>
        <v>0.91632999999999998</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f t="shared" ref="B421:B475" si="1237">B420</f>
        <v>20</v>
      </c>
      <c r="C421" s="128">
        <f t="shared" ref="C421:D484" si="1238">C420</f>
        <v>1</v>
      </c>
      <c r="D421" s="127">
        <f t="shared" si="1040"/>
        <v>20</v>
      </c>
      <c r="E421" s="743"/>
      <c r="F421" s="93"/>
      <c r="G421" s="745"/>
      <c r="H421"/>
      <c r="I421"/>
      <c r="J421"/>
      <c r="K421" s="66"/>
      <c r="L421" s="29" t="s">
        <v>360</v>
      </c>
      <c r="M421" s="30">
        <f t="shared" ref="M421" si="1239">AVERAGE($P420:$XX420)</f>
        <v>0.91632999999999998</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f t="shared" si="1237"/>
        <v>20</v>
      </c>
      <c r="C422" s="128">
        <f t="shared" si="1238"/>
        <v>1</v>
      </c>
      <c r="D422" s="127">
        <f t="shared" si="1238"/>
        <v>20</v>
      </c>
      <c r="E422" s="743"/>
      <c r="F422" s="93"/>
      <c r="G422" s="745"/>
      <c r="H422" s="134">
        <f t="shared" ref="H422" si="1241">COUNT($P422:$XX422)</f>
        <v>1</v>
      </c>
      <c r="I422" s="132">
        <f t="shared" ref="I422" si="1242">_xlfn.STDEV.P($P421:$XX422)/AVERAGE($P421:$XX422)</f>
        <v>0</v>
      </c>
      <c r="J422" s="7">
        <f t="shared" ref="J422" si="1243">IF(AND(H422&gt;2,
OR(L414="MÉDIA SANEADA",L414="MEDIANA SANEADA",
AND(L414="PREÇO ESTIMADO",NOT(AND(P416="Orçamento",COUNTA(P414:XX414)=COUNTIF(P416:XX416,"Orçamento")))))),
ROW(),0)</f>
        <v>0</v>
      </c>
      <c r="K422" s="66"/>
      <c r="L422" s="29" t="s">
        <v>361</v>
      </c>
      <c r="M422" s="30">
        <f t="shared" ref="M422" si="1244">MEDIAN($P420:$XX420)</f>
        <v>0.91632999999999998</v>
      </c>
      <c r="N422" s="71"/>
      <c r="O422" s="27" t="str">
        <f t="shared" ref="O422" si="1245">"1 RODADA"</f>
        <v>1 RODADA</v>
      </c>
      <c r="P422" s="107">
        <f t="shared" ref="P422:AI422" si="1246">IF(P420="","",IF((_xlfn.STDEV.P($P419:$XX420)/AVERAGE($P419:$XX420))&lt;=25%,P420,IF(OR(P420&gt;(AVERAGE($P419:$XX420)+_xlfn.STDEV.P($P419:$XX420)),P420&lt;(AVERAGE($P419:$XX420)-_xlfn.STDEV.P($P419:$XX420))),"DESCARTADO",P420)))</f>
        <v>0.91632999999999998</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f t="shared" si="1237"/>
        <v>20</v>
      </c>
      <c r="C423" s="128">
        <f t="shared" si="1238"/>
        <v>1</v>
      </c>
      <c r="D423" s="127">
        <f t="shared" si="1238"/>
        <v>20</v>
      </c>
      <c r="E423" s="743"/>
      <c r="F423" s="93"/>
      <c r="G423" s="745"/>
      <c r="H423"/>
      <c r="I423"/>
      <c r="J423"/>
      <c r="L423" s="29" t="s">
        <v>38</v>
      </c>
      <c r="M423" s="30">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0.91632999999999998</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f t="shared" si="1237"/>
        <v>20</v>
      </c>
      <c r="C424" s="128">
        <f t="shared" si="1238"/>
        <v>1</v>
      </c>
      <c r="D424" s="127">
        <f t="shared" si="1238"/>
        <v>20</v>
      </c>
      <c r="E424" s="743"/>
      <c r="F424" s="93"/>
      <c r="G424" s="745"/>
      <c r="H424" s="134">
        <f t="shared" ref="H424" si="1249">COUNT($P424:$XX424)</f>
        <v>1</v>
      </c>
      <c r="I424" s="132">
        <f t="shared" ref="I424" si="1250">_xlfn.STDEV.P($P423:$XX424)/AVERAGE($P423:$XX424)</f>
        <v>0</v>
      </c>
      <c r="J424" s="7">
        <f t="shared" ref="J424" si="1251">IF(AND(H424&gt;2,
OR(L414="MÉDIA SANEADA",L414="MEDIANA SANEADA",
AND(L414="PREÇO ESTIMADO",NOT(AND(P416="Orçamento",COUNTA(P414:XX414)=COUNTIF(P416:XX416,"Orçamento")))))),
ROW(),0)</f>
        <v>0</v>
      </c>
      <c r="K424" s="66"/>
      <c r="L424" s="29" t="s">
        <v>362</v>
      </c>
      <c r="M424" s="30">
        <f t="shared" ref="M424" si="1252" xml:space="preserve">
IF(H422&gt;2,MEDIAN(P421:XX422),
IF(H424&gt;2,MEDIAN(P423:XX424),
IF(H426&gt;2,MEDIAN(P425:XX426),
IF(H428&gt;2,MEDIAN(P427:XX428),
IF(H430&gt;2,MEDIAN(P429:XX430),
IF(H432&gt;2,MEDIAN(P431:XX432),
MEDIAN(P419:XX420)))))))</f>
        <v>0.91632999999999998</v>
      </c>
      <c r="N424" s="71"/>
      <c r="O424" s="27" t="str">
        <f t="shared" ref="O424" si="1253">"2 RODADA"</f>
        <v>2 RODADA</v>
      </c>
      <c r="P424" s="107">
        <f t="shared" ref="P424:AI424" si="1254">IF(P422="","",IF((_xlfn.STDEV.P($P421:$XX422)/AVERAGE($P421:$XX422))&lt;=25%,P422,IF(OR(P422&gt;(AVERAGE($P421:$XX422)+_xlfn.STDEV.P($P421:$XX422)),P422&lt;(AVERAGE($P421:$XX422)-_xlfn.STDEV.P($P421:$XX422))),"DESCARTADO",P422)))</f>
        <v>0.91632999999999998</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f t="shared" si="1237"/>
        <v>20</v>
      </c>
      <c r="C425" s="128">
        <f t="shared" si="1238"/>
        <v>1</v>
      </c>
      <c r="D425" s="127">
        <f t="shared" si="1238"/>
        <v>20</v>
      </c>
      <c r="E425" s="743"/>
      <c r="F425" s="93"/>
      <c r="G425" s="745"/>
      <c r="H425"/>
      <c r="I425"/>
      <c r="J425"/>
      <c r="K425" s="66"/>
      <c r="L425" s="29" t="s">
        <v>359</v>
      </c>
      <c r="M425" s="30">
        <f t="shared" ref="M425" si="1255">HARMEAN($P419:$XX420)</f>
        <v>0.91632999999999987</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f t="shared" si="1237"/>
        <v>20</v>
      </c>
      <c r="C426" s="128">
        <f t="shared" si="1238"/>
        <v>1</v>
      </c>
      <c r="D426" s="127">
        <f t="shared" si="1238"/>
        <v>20</v>
      </c>
      <c r="E426" s="743"/>
      <c r="F426" s="93"/>
      <c r="G426" s="745"/>
      <c r="H426" s="134">
        <f t="shared" ref="H426" si="1257">COUNT($P426:$XX426)</f>
        <v>1</v>
      </c>
      <c r="I426" s="132">
        <f t="shared" ref="I426" si="1258">_xlfn.STDEV.P($P425:$XX426)/AVERAGE($P425:$XX426)</f>
        <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f t="shared" ref="P426:AI426" si="1262">IF(P424="","",IF((_xlfn.STDEV.P($P423:$XX424)/AVERAGE($P423:$XX424))&lt;=25%,P424,IF(OR(P424&gt;(AVERAGE($P423:$XX424)+_xlfn.STDEV.P($P423:$XX424)),P424&lt;(AVERAGE($P423:$XX424)-_xlfn.STDEV.P($P423:$XX424))),"DESCARTADO",P424)))</f>
        <v>0.91632999999999998</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f t="shared" si="1237"/>
        <v>20</v>
      </c>
      <c r="C427" s="128">
        <f t="shared" si="1238"/>
        <v>1</v>
      </c>
      <c r="D427" s="127">
        <f t="shared" si="1238"/>
        <v>20</v>
      </c>
      <c r="E427" s="743"/>
      <c r="F427" s="93"/>
      <c r="G427" s="745"/>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f t="shared" si="1237"/>
        <v>20</v>
      </c>
      <c r="C428" s="128">
        <f t="shared" si="1238"/>
        <v>1</v>
      </c>
      <c r="D428" s="127">
        <f t="shared" si="1238"/>
        <v>20</v>
      </c>
      <c r="E428" s="743"/>
      <c r="F428" s="93"/>
      <c r="G428" s="745"/>
      <c r="H428" s="134">
        <f t="shared" ref="H428" si="1265">COUNT($P428:$XX428)</f>
        <v>1</v>
      </c>
      <c r="I428" s="132">
        <f t="shared" ref="I428" si="1266">_xlfn.STDEV.P($P427:$XX428)/AVERAGE($P427:$XX428)</f>
        <v>0</v>
      </c>
      <c r="J428" s="7">
        <f t="shared" ref="J428" si="1267">IF(AND(H428&gt;2,
OR(L414="MÉDIA SANEADA",L414="MEDIANA SANEADA",
AND(L414="PREÇO ESTIMADO",NOT(AND(P416="Orçamento",COUNTA(P414:XX414)=COUNTIF(P416:XX416,"Orçamento")))))),
ROW(),0)</f>
        <v>0</v>
      </c>
      <c r="K428" s="66"/>
      <c r="L428" s="29" t="s">
        <v>42</v>
      </c>
      <c r="M428" s="30">
        <f t="shared" ref="M428" si="1268">MIN($P420:$XX420)</f>
        <v>0.91632999999999998</v>
      </c>
      <c r="N428" s="71"/>
      <c r="O428" s="27" t="str">
        <f t="shared" ref="O428" si="1269">"4 RODADA"</f>
        <v>4 RODADA</v>
      </c>
      <c r="P428" s="107">
        <f t="shared" ref="P428:AI428" si="1270">IF(P426="","",IF((_xlfn.STDEV.P($P425:$XX426)/AVERAGE($P425:$XX426))&lt;=25%,P426,IF(OR(P426&gt;(AVERAGE($P425:$XX426)+_xlfn.STDEV.P($P425:$XX426)),P426&lt;(AVERAGE($P425:$XX426)-_xlfn.STDEV.P($P425:$XX426))),"DESCARTADO",P426)))</f>
        <v>0.91632999999999998</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f t="shared" si="1237"/>
        <v>20</v>
      </c>
      <c r="C429" s="128">
        <f t="shared" si="1238"/>
        <v>1</v>
      </c>
      <c r="D429" s="127">
        <f t="shared" si="1238"/>
        <v>20</v>
      </c>
      <c r="E429" s="743"/>
      <c r="F429" s="93"/>
      <c r="G429" s="745"/>
      <c r="H429"/>
      <c r="I429"/>
      <c r="J429"/>
      <c r="K429" s="66"/>
      <c r="L429" s="29" t="s">
        <v>40</v>
      </c>
      <c r="M429" s="30">
        <f t="shared" ref="M429" si="1271">MAX($P420:$XX420)</f>
        <v>0.91632999999999998</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f t="shared" si="1237"/>
        <v>20</v>
      </c>
      <c r="C430" s="128">
        <f t="shared" si="1238"/>
        <v>1</v>
      </c>
      <c r="D430" s="127">
        <f t="shared" si="1238"/>
        <v>20</v>
      </c>
      <c r="E430" s="743"/>
      <c r="F430" s="93"/>
      <c r="G430" s="745"/>
      <c r="H430" s="134">
        <f t="shared" ref="H430" si="1273">COUNT($P430:$XX430)</f>
        <v>1</v>
      </c>
      <c r="I430" s="132">
        <f t="shared" ref="I430" si="1274">_xlfn.STDEV.P($P429:$XX430)/AVERAGE($P429:$XX430)</f>
        <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f t="shared" ref="P430:AI430" si="1277">IF(P428="","",IF((_xlfn.STDEV.P($P427:$XX428)/AVERAGE($P427:$XX428))&lt;=25%,P428,IF(OR(P428&gt;(AVERAGE($P427:$XX428)+_xlfn.STDEV.P($P427:$XX428)),P428&lt;(AVERAGE($P427:$XX428)-_xlfn.STDEV.P($P427:$XX428))),"DESCARTADO",P428)))</f>
        <v>0.91632999999999998</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f t="shared" si="1237"/>
        <v>20</v>
      </c>
      <c r="C431" s="128">
        <f t="shared" si="1238"/>
        <v>1</v>
      </c>
      <c r="D431" s="127">
        <f t="shared" si="1238"/>
        <v>20</v>
      </c>
      <c r="E431" s="743"/>
      <c r="F431" s="93"/>
      <c r="G431" s="745"/>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f t="shared" si="1237"/>
        <v>20</v>
      </c>
      <c r="C432" s="128">
        <f t="shared" si="1238"/>
        <v>1</v>
      </c>
      <c r="D432" s="127">
        <f t="shared" si="1238"/>
        <v>20</v>
      </c>
      <c r="E432" s="743"/>
      <c r="F432" s="93"/>
      <c r="G432" s="745"/>
      <c r="H432" s="134">
        <f t="shared" ref="H432" si="1279">COUNT($P432:$XX432)</f>
        <v>1</v>
      </c>
      <c r="I432" s="132">
        <f t="shared" ref="I432" si="1280">_xlfn.STDEV.P($P431:$XX432)/AVERAGE($P431:$XX432)</f>
        <v>0</v>
      </c>
      <c r="J432" s="7">
        <f t="shared" ref="J432" si="1281">IF(AND(H432&gt;2,
OR(L414="MÉDIA SANEADA",L414="MEDIANA SANEADA",
AND(L414="PREÇO ESTIMADO",NOT(AND(P416="Orçamento",COUNTA(P414:XX414)=COUNTIF(P416:XX416,"Orçamento")))))),
ROW(),0)</f>
        <v>0</v>
      </c>
      <c r="N432" s="71"/>
      <c r="O432" s="27" t="str">
        <f t="shared" ref="O432" si="1282">"6 RODADA"</f>
        <v>6 RODADA</v>
      </c>
      <c r="P432" s="107">
        <f t="shared" ref="P432:AI432" si="1283">IFERROR(IF(P430="","",IF((_xlfn.STDEV.P($P429:$XX430)/AVERAGE($P429:$XX430))&lt;=25%,P430,IF(OR(P430&gt;(AVERAGE($P429:$XX430)+_xlfn.STDEV.P($P429:$XX430)),P430&lt;(AVERAGE($P429:$XX430)-_xlfn.STDEV.P($P429:$XX430))),"DESCARTADO",P430))),)</f>
        <v>0.91632999999999998</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f t="shared" si="1237"/>
        <v>20</v>
      </c>
      <c r="C433" s="128">
        <f t="shared" si="1238"/>
        <v>1</v>
      </c>
      <c r="D433" s="127">
        <f t="shared" si="1238"/>
        <v>20</v>
      </c>
      <c r="E433" s="743"/>
      <c r="F433" s="136"/>
      <c r="G433" s="745"/>
      <c r="H433" s="748"/>
      <c r="I433" s="748"/>
      <c r="J433" s="749"/>
      <c r="K433" s="67"/>
      <c r="L433" s="1" t="s">
        <v>43</v>
      </c>
      <c r="M433" s="144">
        <f t="shared" ref="M433" si="1284">IFERROR(ROUND(M414*M416,2),"")</f>
        <v>0.92</v>
      </c>
      <c r="O433" s="27" t="s">
        <v>363</v>
      </c>
      <c r="P433" s="107">
        <f t="shared" ref="P433:AI454" si="1285">INDEX(P420:P432,MATCH(MAX($J420:$J432),$J420:$J432,0))</f>
        <v>0.91632999999999998</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f t="shared" ref="B435" si="1286">LARGE(IFERROR(IF(B433+1&gt;$H$8,"",B433+1),""),1)</f>
        <v>21</v>
      </c>
      <c r="C435" s="127">
        <f>IF(_xlfn.ISFORMULA(E439),MAX(INDEX('BASE FORMAÇÃO'!A:A,B435+1),1),E439)</f>
        <v>1</v>
      </c>
      <c r="D435" s="127">
        <f t="shared" ref="D435" si="1287">IFERROR(IF(C435=C425,D425+1,1),1)</f>
        <v>21</v>
      </c>
      <c r="E435" s="38" t="s">
        <v>9</v>
      </c>
      <c r="F435" s="73"/>
      <c r="G435" s="38" t="s">
        <v>15</v>
      </c>
      <c r="H435" s="135">
        <f>INDEX('BASE FORMAÇÃO'!B:B,B435+1)</f>
        <v>0</v>
      </c>
      <c r="I435" s="143" t="s">
        <v>16</v>
      </c>
      <c r="J435" s="6">
        <f>INDEX('BASE FORMAÇÃO'!K:K,B435+1)</f>
        <v>0</v>
      </c>
      <c r="K435" s="65"/>
      <c r="L435" s="750" t="s">
        <v>10</v>
      </c>
      <c r="M435" s="752">
        <f t="shared" ref="M435" si="1288">IF(OR(ISBLANK($O$8),ISBLANK($O$7),ISBLANK($H$8),ISBLANK($O$6),ISBLANK($O$5),ISBLANK($H$5)),"",IFERROR(IF(VLOOKUP(L435,L441:M450,2,FALSE)&lt;1,ROUND(VLOOKUP(L435,L441:M450,2,FALSE),4),ROUND(VLOOKUP(L435,L441:M450,2,FALSE),2)),""))</f>
        <v>0.57350000000000001</v>
      </c>
      <c r="N435" s="69"/>
      <c r="O435" s="27" t="s">
        <v>17</v>
      </c>
      <c r="P435" s="113">
        <v>0.57352000000000003</v>
      </c>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f t="shared" ref="B436:D436" si="1289">B435</f>
        <v>21</v>
      </c>
      <c r="C436" s="128">
        <f t="shared" si="1289"/>
        <v>1</v>
      </c>
      <c r="D436" s="127">
        <f t="shared" si="1289"/>
        <v>21</v>
      </c>
      <c r="E436" s="754">
        <f t="shared" ref="E436" si="1290">D435</f>
        <v>21</v>
      </c>
      <c r="F436" s="92"/>
      <c r="G436" s="756" t="s">
        <v>1</v>
      </c>
      <c r="H436" s="765" t="s">
        <v>697</v>
      </c>
      <c r="I436" s="759"/>
      <c r="J436" s="760"/>
      <c r="K436" s="66"/>
      <c r="L436" s="751"/>
      <c r="M436" s="753"/>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f t="shared" ref="B437:D437" si="1291">B436</f>
        <v>21</v>
      </c>
      <c r="C437" s="128">
        <f t="shared" si="1291"/>
        <v>1</v>
      </c>
      <c r="D437" s="127">
        <f t="shared" si="1291"/>
        <v>21</v>
      </c>
      <c r="E437" s="755"/>
      <c r="F437" s="93"/>
      <c r="G437" s="757"/>
      <c r="H437" s="761"/>
      <c r="I437" s="761"/>
      <c r="J437" s="762"/>
      <c r="K437" s="64"/>
      <c r="L437" s="130" t="s">
        <v>44</v>
      </c>
      <c r="M437" s="131">
        <v>1</v>
      </c>
      <c r="N437" s="71"/>
      <c r="O437" s="27" t="s">
        <v>380</v>
      </c>
      <c r="P437" s="114" t="s">
        <v>348</v>
      </c>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f t="shared" ref="B438:C438" si="1292">B437</f>
        <v>21</v>
      </c>
      <c r="C438" s="128">
        <f t="shared" si="1292"/>
        <v>1</v>
      </c>
      <c r="D438" s="127">
        <f t="shared" si="1238"/>
        <v>21</v>
      </c>
      <c r="E438" s="38" t="s">
        <v>313</v>
      </c>
      <c r="F438" s="93"/>
      <c r="G438" s="758"/>
      <c r="H438" s="763"/>
      <c r="I438" s="763"/>
      <c r="J438" s="764"/>
      <c r="K438" s="64"/>
      <c r="L438" s="1" t="s">
        <v>2</v>
      </c>
      <c r="M438" s="6" t="s">
        <v>168</v>
      </c>
      <c r="N438" s="71"/>
      <c r="O438" s="27" t="s">
        <v>381</v>
      </c>
      <c r="P438" s="115" t="s">
        <v>765</v>
      </c>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f t="shared" ref="B439:C439" si="1293">B437</f>
        <v>21</v>
      </c>
      <c r="C439" s="128">
        <f t="shared" si="1293"/>
        <v>1</v>
      </c>
      <c r="D439" s="127">
        <f t="shared" si="1238"/>
        <v>21</v>
      </c>
      <c r="E439" s="742">
        <f t="shared" ref="E439" si="1294">C435</f>
        <v>1</v>
      </c>
      <c r="F439" s="93"/>
      <c r="G439" s="744" t="s">
        <v>304</v>
      </c>
      <c r="H439" s="746"/>
      <c r="I439" s="747"/>
      <c r="J439" s="747"/>
      <c r="K439" s="67"/>
      <c r="L439" s="28" t="s">
        <v>303</v>
      </c>
      <c r="M439" s="133">
        <f t="shared" ref="M439" si="1295">IFERROR(INDEX(I441:I453,MATCH(MAX(J441:J453),J441:J453,0)),"")</f>
        <v>0</v>
      </c>
      <c r="N439" s="71"/>
      <c r="O439" s="27" t="s">
        <v>18</v>
      </c>
      <c r="P439" s="106">
        <f>IF(P435="","",
IF(OR(P437="Orçamento",P436="",MAX('Tabela de Apoio'!$A:$A)&lt;=P436),
P435,
(INDEX('Tabela de Apoio'!$B:$B,MATCH('MAPA DE PREÇOS'!$O$8,'Tabela de Apoio'!$A:$A,1))/INDEX('Tabela de Apoio'!$B:$B,MATCH('MAPA DE PREÇOS'!P436,'Tabela de Apoio'!$A:$A,1)-1))*P435))</f>
        <v>0.57352000000000003</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f t="shared" ref="B440" si="1296">B439</f>
        <v>21</v>
      </c>
      <c r="C440" s="128">
        <f t="shared" ref="C440" si="1297">C439</f>
        <v>1</v>
      </c>
      <c r="D440" s="127">
        <f t="shared" si="1238"/>
        <v>21</v>
      </c>
      <c r="E440" s="743"/>
      <c r="F440" s="93"/>
      <c r="G440" s="745"/>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f t="shared" ref="B441:C441" si="1298">B440</f>
        <v>21</v>
      </c>
      <c r="C441" s="128">
        <f t="shared" si="1298"/>
        <v>1</v>
      </c>
      <c r="D441" s="127">
        <f t="shared" si="1238"/>
        <v>21</v>
      </c>
      <c r="E441" s="743"/>
      <c r="F441" s="93"/>
      <c r="G441" s="745"/>
      <c r="H441" s="134">
        <f t="shared" ref="H441" si="1299">COUNT($P441:$XX441)</f>
        <v>1</v>
      </c>
      <c r="I441" s="132">
        <f t="shared" ref="I441" si="1300">_xlfn.STDEV.P($P440:$XX441)/AVERAGE($P440:$XX441)</f>
        <v>0</v>
      </c>
      <c r="J441" s="7">
        <f>ROW()</f>
        <v>441</v>
      </c>
      <c r="K441" s="67"/>
      <c r="L441" s="29" t="s">
        <v>10</v>
      </c>
      <c r="M441" s="30">
        <f t="shared" ref="M441" si="1301">IFERROR(
IF(COUNTA(P435:AI435)=COUNTIF(P437:XX437,"Orçamento"),MIN(M446,M443),
IF(M444&lt;&gt;"",M444,
IF(M445&lt;&gt;"",M445,
M443
))),"")</f>
        <v>0.57352000000000003</v>
      </c>
      <c r="N441" s="71"/>
      <c r="O441" s="27" t="s">
        <v>376</v>
      </c>
      <c r="P441" s="106">
        <f t="shared" ref="P441:AI441" si="1302">IFERROR(IF(P439="",
            "",
            IF(COUNT($P439:$XX439)&lt;=4,
               P439,
               IF(OR(P439&gt;(QUARTILE($P439:$XX439,3)+(QUARTILE($P439:$XX439,3)-QUARTILE($P439:$XX439,1))),
                     P439&lt;(QUARTILE($P439:$XX439,1)-(QUARTILE($P439:$XX439,3)-QUARTILE($P439:$XX439,1)))
                  ),
               "DESCARTADO",P439)
             )
  ),P439)</f>
        <v>0.57352000000000003</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f t="shared" ref="B442" si="1303">B441</f>
        <v>21</v>
      </c>
      <c r="C442" s="128">
        <f t="shared" ref="C442" si="1304">C441</f>
        <v>1</v>
      </c>
      <c r="D442" s="127">
        <f t="shared" si="1238"/>
        <v>21</v>
      </c>
      <c r="E442" s="743"/>
      <c r="F442" s="93"/>
      <c r="G442" s="745"/>
      <c r="H442"/>
      <c r="I442"/>
      <c r="J442"/>
      <c r="K442" s="66"/>
      <c r="L442" s="29" t="s">
        <v>360</v>
      </c>
      <c r="M442" s="30">
        <f t="shared" ref="M442" si="1305">AVERAGE($P441:$XX441)</f>
        <v>0.57352000000000003</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f t="shared" si="1237"/>
        <v>21</v>
      </c>
      <c r="C443" s="128">
        <f t="shared" si="1238"/>
        <v>1</v>
      </c>
      <c r="D443" s="127">
        <f t="shared" si="1238"/>
        <v>21</v>
      </c>
      <c r="E443" s="743"/>
      <c r="F443" s="93"/>
      <c r="G443" s="745"/>
      <c r="H443" s="134">
        <f t="shared" ref="H443" si="1307">COUNT($P443:$XX443)</f>
        <v>1</v>
      </c>
      <c r="I443" s="132">
        <f t="shared" ref="I443" si="1308">_xlfn.STDEV.P($P442:$XX443)/AVERAGE($P442:$XX443)</f>
        <v>0</v>
      </c>
      <c r="J443" s="7">
        <f t="shared" ref="J443" si="1309">IF(AND(H443&gt;2,
OR(L435="MÉDIA SANEADA",L435="MEDIANA SANEADA",
AND(L435="PREÇO ESTIMADO",NOT(AND(P437="Orçamento",COUNTA(P435:XX435)=COUNTIF(P437:XX437,"Orçamento")))))),
ROW(),0)</f>
        <v>0</v>
      </c>
      <c r="K443" s="66"/>
      <c r="L443" s="29" t="s">
        <v>361</v>
      </c>
      <c r="M443" s="30">
        <f t="shared" ref="M443" si="1310">MEDIAN($P441:$XX441)</f>
        <v>0.57352000000000003</v>
      </c>
      <c r="N443" s="71"/>
      <c r="O443" s="27" t="str">
        <f t="shared" ref="O443" si="1311">"1 RODADA"</f>
        <v>1 RODADA</v>
      </c>
      <c r="P443" s="107">
        <f t="shared" ref="P443:AI443" si="1312">IF(P441="","",IF((_xlfn.STDEV.P($P440:$XX441)/AVERAGE($P440:$XX441))&lt;=25%,P441,IF(OR(P441&gt;(AVERAGE($P440:$XX441)+_xlfn.STDEV.P($P440:$XX441)),P441&lt;(AVERAGE($P440:$XX441)-_xlfn.STDEV.P($P440:$XX441))),"DESCARTADO",P441)))</f>
        <v>0.57352000000000003</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f t="shared" si="1237"/>
        <v>21</v>
      </c>
      <c r="C444" s="128">
        <f t="shared" si="1238"/>
        <v>1</v>
      </c>
      <c r="D444" s="127">
        <f t="shared" si="1238"/>
        <v>21</v>
      </c>
      <c r="E444" s="743"/>
      <c r="F444" s="93"/>
      <c r="G444" s="745"/>
      <c r="H444"/>
      <c r="I444"/>
      <c r="J444"/>
      <c r="L444" s="29" t="s">
        <v>38</v>
      </c>
      <c r="M444" s="30">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0.57352000000000003</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f t="shared" si="1237"/>
        <v>21</v>
      </c>
      <c r="C445" s="128">
        <f t="shared" si="1238"/>
        <v>1</v>
      </c>
      <c r="D445" s="127">
        <f t="shared" si="1238"/>
        <v>21</v>
      </c>
      <c r="E445" s="743"/>
      <c r="F445" s="93"/>
      <c r="G445" s="745"/>
      <c r="H445" s="134">
        <f t="shared" ref="H445" si="1315">COUNT($P445:$XX445)</f>
        <v>1</v>
      </c>
      <c r="I445" s="132">
        <f t="shared" ref="I445" si="1316">_xlfn.STDEV.P($P444:$XX445)/AVERAGE($P444:$XX445)</f>
        <v>0</v>
      </c>
      <c r="J445" s="7">
        <f t="shared" ref="J445" si="1317">IF(AND(H445&gt;2,
OR(L435="MÉDIA SANEADA",L435="MEDIANA SANEADA",
AND(L435="PREÇO ESTIMADO",NOT(AND(P437="Orçamento",COUNTA(P435:XX435)=COUNTIF(P437:XX437,"Orçamento")))))),
ROW(),0)</f>
        <v>0</v>
      </c>
      <c r="K445" s="66"/>
      <c r="L445" s="29" t="s">
        <v>362</v>
      </c>
      <c r="M445" s="30">
        <f t="shared" ref="M445" si="1318" xml:space="preserve">
IF(H443&gt;2,MEDIAN(P442:XX443),
IF(H445&gt;2,MEDIAN(P444:XX445),
IF(H447&gt;2,MEDIAN(P446:XX447),
IF(H449&gt;2,MEDIAN(P448:XX449),
IF(H451&gt;2,MEDIAN(P450:XX451),
IF(H453&gt;2,MEDIAN(P452:XX453),
MEDIAN(P440:XX441)))))))</f>
        <v>0.57352000000000003</v>
      </c>
      <c r="N445" s="71"/>
      <c r="O445" s="27" t="str">
        <f t="shared" ref="O445" si="1319">"2 RODADA"</f>
        <v>2 RODADA</v>
      </c>
      <c r="P445" s="107">
        <f t="shared" ref="P445:AI445" si="1320">IF(P443="","",IF((_xlfn.STDEV.P($P442:$XX443)/AVERAGE($P442:$XX443))&lt;=25%,P443,IF(OR(P443&gt;(AVERAGE($P442:$XX443)+_xlfn.STDEV.P($P442:$XX443)),P443&lt;(AVERAGE($P442:$XX443)-_xlfn.STDEV.P($P442:$XX443))),"DESCARTADO",P443)))</f>
        <v>0.57352000000000003</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f t="shared" si="1237"/>
        <v>21</v>
      </c>
      <c r="C446" s="128">
        <f t="shared" si="1238"/>
        <v>1</v>
      </c>
      <c r="D446" s="127">
        <f t="shared" si="1238"/>
        <v>21</v>
      </c>
      <c r="E446" s="743"/>
      <c r="F446" s="93"/>
      <c r="G446" s="745"/>
      <c r="H446"/>
      <c r="I446"/>
      <c r="J446"/>
      <c r="K446" s="66"/>
      <c r="L446" s="29" t="s">
        <v>359</v>
      </c>
      <c r="M446" s="30">
        <f t="shared" ref="M446" si="1321">HARMEAN($P440:$XX441)</f>
        <v>0.57352000000000003</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f t="shared" si="1237"/>
        <v>21</v>
      </c>
      <c r="C447" s="128">
        <f t="shared" si="1238"/>
        <v>1</v>
      </c>
      <c r="D447" s="127">
        <f t="shared" si="1238"/>
        <v>21</v>
      </c>
      <c r="E447" s="743"/>
      <c r="F447" s="93"/>
      <c r="G447" s="745"/>
      <c r="H447" s="134">
        <f t="shared" ref="H447" si="1323">COUNT($P447:$XX447)</f>
        <v>1</v>
      </c>
      <c r="I447" s="132">
        <f t="shared" ref="I447" si="1324">_xlfn.STDEV.P($P446:$XX447)/AVERAGE($P446:$XX447)</f>
        <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f t="shared" ref="P447:AI447" si="1328">IF(P445="","",IF((_xlfn.STDEV.P($P444:$XX445)/AVERAGE($P444:$XX445))&lt;=25%,P445,IF(OR(P445&gt;(AVERAGE($P444:$XX445)+_xlfn.STDEV.P($P444:$XX445)),P445&lt;(AVERAGE($P444:$XX445)-_xlfn.STDEV.P($P444:$XX445))),"DESCARTADO",P445)))</f>
        <v>0.57352000000000003</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f t="shared" si="1237"/>
        <v>21</v>
      </c>
      <c r="C448" s="128">
        <f t="shared" si="1238"/>
        <v>1</v>
      </c>
      <c r="D448" s="127">
        <f t="shared" si="1238"/>
        <v>21</v>
      </c>
      <c r="E448" s="743"/>
      <c r="F448" s="93"/>
      <c r="G448" s="745"/>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f t="shared" si="1237"/>
        <v>21</v>
      </c>
      <c r="C449" s="128">
        <f t="shared" si="1238"/>
        <v>1</v>
      </c>
      <c r="D449" s="127">
        <f t="shared" si="1238"/>
        <v>21</v>
      </c>
      <c r="E449" s="743"/>
      <c r="F449" s="93"/>
      <c r="G449" s="745"/>
      <c r="H449" s="134">
        <f t="shared" ref="H449" si="1331">COUNT($P449:$XX449)</f>
        <v>1</v>
      </c>
      <c r="I449" s="132">
        <f t="shared" ref="I449" si="1332">_xlfn.STDEV.P($P448:$XX449)/AVERAGE($P448:$XX449)</f>
        <v>0</v>
      </c>
      <c r="J449" s="7">
        <f t="shared" ref="J449" si="1333">IF(AND(H449&gt;2,
OR(L435="MÉDIA SANEADA",L435="MEDIANA SANEADA",
AND(L435="PREÇO ESTIMADO",NOT(AND(P437="Orçamento",COUNTA(P435:XX435)=COUNTIF(P437:XX437,"Orçamento")))))),
ROW(),0)</f>
        <v>0</v>
      </c>
      <c r="K449" s="66"/>
      <c r="L449" s="29" t="s">
        <v>42</v>
      </c>
      <c r="M449" s="30">
        <f t="shared" ref="M449" si="1334">MIN($P441:$XX441)</f>
        <v>0.57352000000000003</v>
      </c>
      <c r="N449" s="71"/>
      <c r="O449" s="27" t="str">
        <f t="shared" ref="O449" si="1335">"4 RODADA"</f>
        <v>4 RODADA</v>
      </c>
      <c r="P449" s="107">
        <f t="shared" ref="P449:AI449" si="1336">IF(P447="","",IF((_xlfn.STDEV.P($P446:$XX447)/AVERAGE($P446:$XX447))&lt;=25%,P447,IF(OR(P447&gt;(AVERAGE($P446:$XX447)+_xlfn.STDEV.P($P446:$XX447)),P447&lt;(AVERAGE($P446:$XX447)-_xlfn.STDEV.P($P446:$XX447))),"DESCARTADO",P447)))</f>
        <v>0.57352000000000003</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f t="shared" si="1237"/>
        <v>21</v>
      </c>
      <c r="C450" s="128">
        <f t="shared" si="1238"/>
        <v>1</v>
      </c>
      <c r="D450" s="127">
        <f t="shared" si="1238"/>
        <v>21</v>
      </c>
      <c r="E450" s="743"/>
      <c r="F450" s="93"/>
      <c r="G450" s="745"/>
      <c r="H450"/>
      <c r="I450"/>
      <c r="J450"/>
      <c r="K450" s="66"/>
      <c r="L450" s="29" t="s">
        <v>40</v>
      </c>
      <c r="M450" s="30">
        <f t="shared" ref="M450" si="1337">MAX($P441:$XX441)</f>
        <v>0.57352000000000003</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f t="shared" si="1237"/>
        <v>21</v>
      </c>
      <c r="C451" s="128">
        <f t="shared" si="1238"/>
        <v>1</v>
      </c>
      <c r="D451" s="127">
        <f t="shared" si="1238"/>
        <v>21</v>
      </c>
      <c r="E451" s="743"/>
      <c r="F451" s="93"/>
      <c r="G451" s="745"/>
      <c r="H451" s="134">
        <f t="shared" ref="H451" si="1339">COUNT($P451:$XX451)</f>
        <v>1</v>
      </c>
      <c r="I451" s="132">
        <f t="shared" ref="I451" si="1340">_xlfn.STDEV.P($P450:$XX451)/AVERAGE($P450:$XX451)</f>
        <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f t="shared" ref="P451:AI451" si="1343">IF(P449="","",IF((_xlfn.STDEV.P($P448:$XX449)/AVERAGE($P448:$XX449))&lt;=25%,P449,IF(OR(P449&gt;(AVERAGE($P448:$XX449)+_xlfn.STDEV.P($P448:$XX449)),P449&lt;(AVERAGE($P448:$XX449)-_xlfn.STDEV.P($P448:$XX449))),"DESCARTADO",P449)))</f>
        <v>0.57352000000000003</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f t="shared" si="1237"/>
        <v>21</v>
      </c>
      <c r="C452" s="128">
        <f t="shared" si="1238"/>
        <v>1</v>
      </c>
      <c r="D452" s="127">
        <f t="shared" si="1238"/>
        <v>21</v>
      </c>
      <c r="E452" s="743"/>
      <c r="F452" s="93"/>
      <c r="G452" s="745"/>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f t="shared" si="1237"/>
        <v>21</v>
      </c>
      <c r="C453" s="128">
        <f t="shared" si="1238"/>
        <v>1</v>
      </c>
      <c r="D453" s="127">
        <f t="shared" si="1238"/>
        <v>21</v>
      </c>
      <c r="E453" s="743"/>
      <c r="F453" s="93"/>
      <c r="G453" s="745"/>
      <c r="H453" s="134">
        <f t="shared" ref="H453" si="1345">COUNT($P453:$XX453)</f>
        <v>1</v>
      </c>
      <c r="I453" s="132">
        <f t="shared" ref="I453" si="1346">_xlfn.STDEV.P($P452:$XX453)/AVERAGE($P452:$XX453)</f>
        <v>0</v>
      </c>
      <c r="J453" s="7">
        <f t="shared" ref="J453" si="1347">IF(AND(H453&gt;2,
OR(L435="MÉDIA SANEADA",L435="MEDIANA SANEADA",
AND(L435="PREÇO ESTIMADO",NOT(AND(P437="Orçamento",COUNTA(P435:XX435)=COUNTIF(P437:XX437,"Orçamento")))))),
ROW(),0)</f>
        <v>0</v>
      </c>
      <c r="N453" s="71"/>
      <c r="O453" s="27" t="str">
        <f t="shared" ref="O453" si="1348">"6 RODADA"</f>
        <v>6 RODADA</v>
      </c>
      <c r="P453" s="107">
        <f t="shared" ref="P453:AI453" si="1349">IFERROR(IF(P451="","",IF((_xlfn.STDEV.P($P450:$XX451)/AVERAGE($P450:$XX451))&lt;=25%,P451,IF(OR(P451&gt;(AVERAGE($P450:$XX451)+_xlfn.STDEV.P($P450:$XX451)),P451&lt;(AVERAGE($P450:$XX451)-_xlfn.STDEV.P($P450:$XX451))),"DESCARTADO",P451))),)</f>
        <v>0.57352000000000003</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f t="shared" si="1237"/>
        <v>21</v>
      </c>
      <c r="C454" s="128">
        <f t="shared" si="1238"/>
        <v>1</v>
      </c>
      <c r="D454" s="127">
        <f t="shared" si="1238"/>
        <v>21</v>
      </c>
      <c r="E454" s="743"/>
      <c r="F454" s="136"/>
      <c r="G454" s="745"/>
      <c r="H454" s="748"/>
      <c r="I454" s="748"/>
      <c r="J454" s="749"/>
      <c r="K454" s="67"/>
      <c r="L454" s="1" t="s">
        <v>43</v>
      </c>
      <c r="M454" s="144">
        <f t="shared" ref="M454" si="1350">IFERROR(ROUND(M435*M437,2),"")</f>
        <v>0.56999999999999995</v>
      </c>
      <c r="O454" s="27" t="s">
        <v>363</v>
      </c>
      <c r="P454" s="107">
        <f t="shared" ref="P454:R454" si="1351">INDEX(P441:P453,MATCH(MAX($J441:$J453),$J441:$J453,0))</f>
        <v>0.57352000000000003</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f t="shared" ref="B456" si="1352">LARGE(IFERROR(IF(B454+1&gt;$H$8,"",B454+1),""),1)</f>
        <v>22</v>
      </c>
      <c r="C456" s="127">
        <f>IF(_xlfn.ISFORMULA(E460),MAX(INDEX('BASE FORMAÇÃO'!A:A,B456+1),1),E460)</f>
        <v>1</v>
      </c>
      <c r="D456" s="127">
        <f t="shared" ref="D456" si="1353">IFERROR(IF(C456=C446,D446+1,1),1)</f>
        <v>22</v>
      </c>
      <c r="E456" s="38" t="s">
        <v>9</v>
      </c>
      <c r="F456" s="73"/>
      <c r="G456" s="38" t="s">
        <v>15</v>
      </c>
      <c r="H456" s="135">
        <f>INDEX('BASE FORMAÇÃO'!B:B,B456+1)</f>
        <v>0</v>
      </c>
      <c r="I456" s="143" t="s">
        <v>16</v>
      </c>
      <c r="J456" s="6">
        <f>INDEX('BASE FORMAÇÃO'!K:K,B456+1)</f>
        <v>0</v>
      </c>
      <c r="K456" s="65"/>
      <c r="L456" s="750" t="s">
        <v>10</v>
      </c>
      <c r="M456" s="752">
        <f t="shared" ref="M456" si="1354">IF(OR(ISBLANK($O$8),ISBLANK($O$7),ISBLANK($H$8),ISBLANK($O$6),ISBLANK($O$5),ISBLANK($H$5)),"",IFERROR(IF(VLOOKUP(L456,L462:M471,2,FALSE)&lt;1,ROUND(VLOOKUP(L456,L462:M471,2,FALSE),4),ROUND(VLOOKUP(L456,L462:M471,2,FALSE),2)),""))</f>
        <v>1.94</v>
      </c>
      <c r="N456" s="69"/>
      <c r="O456" s="27" t="s">
        <v>17</v>
      </c>
      <c r="P456" s="113">
        <f>11/5</f>
        <v>2.2000000000000002</v>
      </c>
      <c r="Q456" s="113">
        <v>1.75</v>
      </c>
      <c r="R456" s="113">
        <f>10.97/5</f>
        <v>2.194</v>
      </c>
      <c r="S456" s="113">
        <f>3/2</f>
        <v>1.5</v>
      </c>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f t="shared" ref="B457:D457" si="1355">B456</f>
        <v>22</v>
      </c>
      <c r="C457" s="128">
        <f t="shared" si="1355"/>
        <v>1</v>
      </c>
      <c r="D457" s="127">
        <f t="shared" si="1355"/>
        <v>22</v>
      </c>
      <c r="E457" s="754">
        <f t="shared" ref="E457" si="1356">D456</f>
        <v>22</v>
      </c>
      <c r="F457" s="92"/>
      <c r="G457" s="756" t="s">
        <v>1</v>
      </c>
      <c r="H457" s="765" t="s">
        <v>744</v>
      </c>
      <c r="I457" s="759"/>
      <c r="J457" s="760"/>
      <c r="K457" s="66"/>
      <c r="L457" s="751"/>
      <c r="M457" s="753"/>
      <c r="N457" s="70"/>
      <c r="O457" s="27" t="s">
        <v>13</v>
      </c>
      <c r="P457" s="122">
        <v>45789</v>
      </c>
      <c r="Q457" s="122">
        <v>45705</v>
      </c>
      <c r="R457" s="122">
        <v>45663</v>
      </c>
      <c r="S457" s="122">
        <v>45629</v>
      </c>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f t="shared" ref="B458:D458" si="1357">B457</f>
        <v>22</v>
      </c>
      <c r="C458" s="128">
        <f t="shared" si="1357"/>
        <v>1</v>
      </c>
      <c r="D458" s="127">
        <f t="shared" si="1357"/>
        <v>22</v>
      </c>
      <c r="E458" s="755"/>
      <c r="F458" s="93"/>
      <c r="G458" s="757"/>
      <c r="H458" s="761"/>
      <c r="I458" s="761"/>
      <c r="J458" s="762"/>
      <c r="K458" s="64"/>
      <c r="L458" s="130" t="s">
        <v>44</v>
      </c>
      <c r="M458" s="131">
        <v>1</v>
      </c>
      <c r="N458" s="71"/>
      <c r="O458" s="27" t="s">
        <v>380</v>
      </c>
      <c r="P458" s="114" t="s">
        <v>12</v>
      </c>
      <c r="Q458" s="114" t="s">
        <v>12</v>
      </c>
      <c r="R458" s="114" t="s">
        <v>12</v>
      </c>
      <c r="S458" s="114" t="s">
        <v>12</v>
      </c>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f t="shared" ref="B459:C459" si="1358">B458</f>
        <v>22</v>
      </c>
      <c r="C459" s="128">
        <f t="shared" si="1358"/>
        <v>1</v>
      </c>
      <c r="D459" s="127">
        <f t="shared" si="1238"/>
        <v>22</v>
      </c>
      <c r="E459" s="38" t="s">
        <v>313</v>
      </c>
      <c r="F459" s="93"/>
      <c r="G459" s="758"/>
      <c r="H459" s="763"/>
      <c r="I459" s="763"/>
      <c r="J459" s="764"/>
      <c r="K459" s="64"/>
      <c r="L459" s="1" t="s">
        <v>2</v>
      </c>
      <c r="M459" s="6" t="s">
        <v>175</v>
      </c>
      <c r="N459" s="71"/>
      <c r="O459" s="27" t="s">
        <v>381</v>
      </c>
      <c r="P459" s="182" t="s">
        <v>450</v>
      </c>
      <c r="Q459" s="182" t="s">
        <v>450</v>
      </c>
      <c r="R459" s="182" t="s">
        <v>450</v>
      </c>
      <c r="S459" s="182" t="s">
        <v>450</v>
      </c>
      <c r="T459" s="115"/>
      <c r="U459" s="118"/>
      <c r="V459" s="118"/>
      <c r="W459" s="118"/>
      <c r="X459" s="118"/>
      <c r="Y459" s="118"/>
      <c r="Z459" s="118"/>
      <c r="AA459" s="118"/>
      <c r="AB459" s="118"/>
      <c r="AC459" s="118"/>
      <c r="AD459" s="118"/>
      <c r="AE459" s="118"/>
      <c r="AF459" s="118"/>
      <c r="AG459" s="118"/>
      <c r="AH459" s="118"/>
      <c r="AI459" s="118"/>
    </row>
    <row r="460" spans="1:167" x14ac:dyDescent="0.25">
      <c r="B460" s="128">
        <f t="shared" ref="B460:C460" si="1359">B458</f>
        <v>22</v>
      </c>
      <c r="C460" s="128">
        <f t="shared" si="1359"/>
        <v>1</v>
      </c>
      <c r="D460" s="127">
        <f t="shared" si="1238"/>
        <v>22</v>
      </c>
      <c r="E460" s="742">
        <f t="shared" ref="E460" si="1360">C456</f>
        <v>1</v>
      </c>
      <c r="F460" s="93"/>
      <c r="G460" s="744" t="s">
        <v>304</v>
      </c>
      <c r="H460" s="746"/>
      <c r="I460" s="747"/>
      <c r="J460" s="747"/>
      <c r="K460" s="67"/>
      <c r="L460" s="28" t="s">
        <v>303</v>
      </c>
      <c r="M460" s="133">
        <f t="shared" ref="M460" si="1361">IFERROR(INDEX(I462:I474,MATCH(MAX(J462:J474),J462:J474,0)),"")</f>
        <v>0.15087551094991186</v>
      </c>
      <c r="N460" s="71"/>
      <c r="O460" s="27" t="s">
        <v>18</v>
      </c>
      <c r="P460" s="106">
        <f>IF(P456="","",
IF(OR(P458="Orçamento",P457="",MAX('Tabela de Apoio'!$A:$A)&lt;=P457),
P456,
(INDEX('Tabela de Apoio'!$B:$B,MATCH('MAPA DE PREÇOS'!$O$8,'Tabela de Apoio'!$A:$A,1))/INDEX('Tabela de Apoio'!$B:$B,MATCH('MAPA DE PREÇOS'!P457,'Tabela de Apoio'!$A:$A,1)-1))*P456))</f>
        <v>2.2000000000000002</v>
      </c>
      <c r="Q460" s="106">
        <f>IF(Q456="","",
IF(OR(Q458="Orçamento",Q457="",MAX('Tabela de Apoio'!$A:$A)&lt;=Q457),
Q456,
(INDEX('Tabela de Apoio'!$B:$B,MATCH('MAPA DE PREÇOS'!$O$8,'Tabela de Apoio'!$A:$A,1))/INDEX('Tabela de Apoio'!$B:$B,MATCH('MAPA DE PREÇOS'!Q457,'Tabela de Apoio'!$A:$A,1)-1))*Q456))</f>
        <v>1.7828549774601865</v>
      </c>
      <c r="R460" s="106">
        <f>IF(R456="","",
IF(OR(R458="Orçamento",R457="",MAX('Tabela de Apoio'!$A:$A)&lt;=R457),
R456,
(INDEX('Tabela de Apoio'!$B:$B,MATCH('MAPA DE PREÇOS'!$O$8,'Tabela de Apoio'!$A:$A,1))/INDEX('Tabela de Apoio'!$B:$B,MATCH('MAPA DE PREÇOS'!R457,'Tabela de Apoio'!$A:$A,1)-1))*R456))</f>
        <v>2.2387668079712699</v>
      </c>
      <c r="S460" s="106">
        <f>IF(S456="","",
IF(OR(S458="Orçamento",S457="",MAX('Tabela de Apoio'!$A:$A)&lt;=S457),
S456,
(INDEX('Tabela de Apoio'!$B:$B,MATCH('MAPA DE PREÇOS'!$O$8,'Tabela de Apoio'!$A:$A,1))/INDEX('Tabela de Apoio'!$B:$B,MATCH('MAPA DE PREÇOS'!S457,'Tabela de Apoio'!$A:$A,1)-1))*S456))</f>
        <v>1.5385651005058205</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f t="shared" ref="B461" si="1362">B460</f>
        <v>22</v>
      </c>
      <c r="C461" s="128">
        <f t="shared" ref="C461" si="1363">C460</f>
        <v>1</v>
      </c>
      <c r="D461" s="127">
        <f t="shared" si="1238"/>
        <v>22</v>
      </c>
      <c r="E461" s="743"/>
      <c r="F461" s="93"/>
      <c r="G461" s="745"/>
      <c r="H461"/>
      <c r="I461"/>
      <c r="J461"/>
      <c r="N461" s="71"/>
      <c r="O461" s="27" t="s">
        <v>375</v>
      </c>
      <c r="P461" s="107">
        <f>IF(IFERROR(VLOOKUP(P458,'Tabela de Apoio'!$D:$E,2,FALSE),1)=1,"",P462)</f>
        <v>2.2000000000000002</v>
      </c>
      <c r="Q461" s="107">
        <f>IF(IFERROR(VLOOKUP(Q458,'Tabela de Apoio'!$D:$E,2,FALSE),1)=1,"",Q462)</f>
        <v>1.7828549774601865</v>
      </c>
      <c r="R461" s="107">
        <f>IF(IFERROR(VLOOKUP(R458,'Tabela de Apoio'!$D:$E,2,FALSE),1)=1,"",R462)</f>
        <v>2.2387668079712699</v>
      </c>
      <c r="S461" s="107">
        <f>IF(IFERROR(VLOOKUP(S458,'Tabela de Apoio'!$D:$E,2,FALSE),1)=1,"",S462)</f>
        <v>1.5385651005058205</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f t="shared" ref="B462:C462" si="1364">B461</f>
        <v>22</v>
      </c>
      <c r="C462" s="128">
        <f t="shared" si="1364"/>
        <v>1</v>
      </c>
      <c r="D462" s="127">
        <f t="shared" si="1238"/>
        <v>22</v>
      </c>
      <c r="E462" s="743"/>
      <c r="F462" s="93"/>
      <c r="G462" s="745"/>
      <c r="H462" s="134">
        <f t="shared" ref="H462" si="1365">COUNT($P462:$XX462)</f>
        <v>4</v>
      </c>
      <c r="I462" s="132">
        <f t="shared" ref="I462" si="1366">_xlfn.STDEV.P($P461:$XX462)/AVERAGE($P461:$XX462)</f>
        <v>0.15087551094991186</v>
      </c>
      <c r="J462" s="7">
        <f>ROW()</f>
        <v>462</v>
      </c>
      <c r="K462" s="67"/>
      <c r="L462" s="29" t="s">
        <v>10</v>
      </c>
      <c r="M462" s="30">
        <f t="shared" ref="M462" si="1367">IFERROR(
IF(COUNTA(P456:AI456)=COUNTIF(P458:XX458,"Orçamento"),MIN(M467,M464),
IF(M465&lt;&gt;"",M465,
IF(M466&lt;&gt;"",M466,
M464
))),"")</f>
        <v>1.9400467214843193</v>
      </c>
      <c r="N462" s="71"/>
      <c r="O462" s="27" t="s">
        <v>376</v>
      </c>
      <c r="P462" s="106">
        <f t="shared" ref="P462:AI462" si="1368">IFERROR(IF(P460="",
            "",
            IF(COUNT($P460:$XX460)&lt;=4,
               P460,
               IF(OR(P460&gt;(QUARTILE($P460:$XX460,3)+(QUARTILE($P460:$XX460,3)-QUARTILE($P460:$XX460,1))),
                     P460&lt;(QUARTILE($P460:$XX460,1)-(QUARTILE($P460:$XX460,3)-QUARTILE($P460:$XX460,1)))
                  ),
               "DESCARTADO",P460)
             )
  ),P460)</f>
        <v>2.2000000000000002</v>
      </c>
      <c r="Q462" s="106">
        <f t="shared" si="1368"/>
        <v>1.7828549774601865</v>
      </c>
      <c r="R462" s="106">
        <f t="shared" si="1368"/>
        <v>2.2387668079712699</v>
      </c>
      <c r="S462" s="106">
        <f t="shared" si="1368"/>
        <v>1.5385651005058205</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f t="shared" ref="B463" si="1369">B462</f>
        <v>22</v>
      </c>
      <c r="C463" s="128">
        <f t="shared" ref="C463" si="1370">C462</f>
        <v>1</v>
      </c>
      <c r="D463" s="127">
        <f t="shared" si="1238"/>
        <v>22</v>
      </c>
      <c r="E463" s="743"/>
      <c r="F463" s="93"/>
      <c r="G463" s="745"/>
      <c r="H463"/>
      <c r="I463"/>
      <c r="J463"/>
      <c r="K463" s="66"/>
      <c r="L463" s="29" t="s">
        <v>360</v>
      </c>
      <c r="M463" s="30">
        <f t="shared" ref="M463" si="1371">AVERAGE($P462:$XX462)</f>
        <v>1.9400467214843193</v>
      </c>
      <c r="N463" s="71"/>
      <c r="O463" s="27" t="str">
        <f t="shared" ref="O463" si="1372">"1 POND"</f>
        <v>1 POND</v>
      </c>
      <c r="P463" s="107">
        <f>IF(IFERROR(VLOOKUP(P458,'Tabela de Apoio'!$D:$E,2,FALSE),1)=1,"",P464)</f>
        <v>2.2000000000000002</v>
      </c>
      <c r="Q463" s="107">
        <f>IF(IFERROR(VLOOKUP(Q458,'Tabela de Apoio'!$D:$E,2,FALSE),1)=1,"",Q464)</f>
        <v>1.7828549774601865</v>
      </c>
      <c r="R463" s="107">
        <f>IF(IFERROR(VLOOKUP(R458,'Tabela de Apoio'!$D:$E,2,FALSE),1)=1,"",R464)</f>
        <v>2.2387668079712699</v>
      </c>
      <c r="S463" s="107">
        <f>IF(IFERROR(VLOOKUP(S458,'Tabela de Apoio'!$D:$E,2,FALSE),1)=1,"",S464)</f>
        <v>1.5385651005058205</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f t="shared" si="1237"/>
        <v>22</v>
      </c>
      <c r="C464" s="128">
        <f t="shared" si="1238"/>
        <v>1</v>
      </c>
      <c r="D464" s="127">
        <f t="shared" si="1238"/>
        <v>22</v>
      </c>
      <c r="E464" s="743"/>
      <c r="F464" s="93"/>
      <c r="G464" s="745"/>
      <c r="H464" s="134">
        <f t="shared" ref="H464" si="1373">COUNT($P464:$XX464)</f>
        <v>4</v>
      </c>
      <c r="I464" s="132">
        <f t="shared" ref="I464" si="1374">_xlfn.STDEV.P($P463:$XX464)/AVERAGE($P463:$XX464)</f>
        <v>0.15087551094991186</v>
      </c>
      <c r="J464" s="7">
        <f t="shared" ref="J464" si="1375">IF(AND(H464&gt;2,
OR(L456="MÉDIA SANEADA",L456="MEDIANA SANEADA",
AND(L456="PREÇO ESTIMADO",NOT(AND(P458="Orçamento",COUNTA(P456:XX456)=COUNTIF(P458:XX458,"Orçamento")))))),
ROW(),0)</f>
        <v>464</v>
      </c>
      <c r="K464" s="66"/>
      <c r="L464" s="29" t="s">
        <v>361</v>
      </c>
      <c r="M464" s="30">
        <f t="shared" ref="M464" si="1376">MEDIAN($P462:$XX462)</f>
        <v>1.9914274887300933</v>
      </c>
      <c r="N464" s="71"/>
      <c r="O464" s="27" t="str">
        <f t="shared" ref="O464" si="1377">"1 RODADA"</f>
        <v>1 RODADA</v>
      </c>
      <c r="P464" s="107">
        <f t="shared" ref="P464:AI464" si="1378">IF(P462="","",IF((_xlfn.STDEV.P($P461:$XX462)/AVERAGE($P461:$XX462))&lt;=25%,P462,IF(OR(P462&gt;(AVERAGE($P461:$XX462)+_xlfn.STDEV.P($P461:$XX462)),P462&lt;(AVERAGE($P461:$XX462)-_xlfn.STDEV.P($P461:$XX462))),"DESCARTADO",P462)))</f>
        <v>2.2000000000000002</v>
      </c>
      <c r="Q464" s="107">
        <f t="shared" si="1378"/>
        <v>1.7828549774601865</v>
      </c>
      <c r="R464" s="107">
        <f t="shared" si="1378"/>
        <v>2.2387668079712699</v>
      </c>
      <c r="S464" s="107">
        <f t="shared" si="1378"/>
        <v>1.5385651005058205</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f t="shared" si="1237"/>
        <v>22</v>
      </c>
      <c r="C465" s="128">
        <f t="shared" si="1238"/>
        <v>1</v>
      </c>
      <c r="D465" s="127">
        <f t="shared" si="1238"/>
        <v>22</v>
      </c>
      <c r="E465" s="743"/>
      <c r="F465" s="93"/>
      <c r="G465" s="745"/>
      <c r="H465"/>
      <c r="I465"/>
      <c r="J465"/>
      <c r="L465" s="29" t="s">
        <v>38</v>
      </c>
      <c r="M465" s="30">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1.9400467214843193</v>
      </c>
      <c r="N465" s="71"/>
      <c r="O465" s="27" t="str">
        <f t="shared" ref="O465" si="1380">"2 POND"</f>
        <v>2 POND</v>
      </c>
      <c r="P465" s="107">
        <f>IF(IFERROR(VLOOKUP(P458,'Tabela de Apoio'!$D:$E,2,FALSE),1)=1,"",P466)</f>
        <v>2.2000000000000002</v>
      </c>
      <c r="Q465" s="107">
        <f>IF(IFERROR(VLOOKUP(Q458,'Tabela de Apoio'!$D:$E,2,FALSE),1)=1,"",Q466)</f>
        <v>1.7828549774601865</v>
      </c>
      <c r="R465" s="107">
        <f>IF(IFERROR(VLOOKUP(R458,'Tabela de Apoio'!$D:$E,2,FALSE),1)=1,"",R466)</f>
        <v>2.2387668079712699</v>
      </c>
      <c r="S465" s="107">
        <f>IF(IFERROR(VLOOKUP(S458,'Tabela de Apoio'!$D:$E,2,FALSE),1)=1,"",S466)</f>
        <v>1.5385651005058205</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f t="shared" si="1237"/>
        <v>22</v>
      </c>
      <c r="C466" s="128">
        <f t="shared" si="1238"/>
        <v>1</v>
      </c>
      <c r="D466" s="127">
        <f t="shared" si="1238"/>
        <v>22</v>
      </c>
      <c r="E466" s="743"/>
      <c r="F466" s="93"/>
      <c r="G466" s="745"/>
      <c r="H466" s="134">
        <f t="shared" ref="H466" si="1381">COUNT($P466:$XX466)</f>
        <v>4</v>
      </c>
      <c r="I466" s="132">
        <f t="shared" ref="I466" si="1382">_xlfn.STDEV.P($P465:$XX466)/AVERAGE($P465:$XX466)</f>
        <v>0.15087551094991186</v>
      </c>
      <c r="J466" s="7">
        <f t="shared" ref="J466" si="1383">IF(AND(H466&gt;2,
OR(L456="MÉDIA SANEADA",L456="MEDIANA SANEADA",
AND(L456="PREÇO ESTIMADO",NOT(AND(P458="Orçamento",COUNTA(P456:XX456)=COUNTIF(P458:XX458,"Orçamento")))))),
ROW(),0)</f>
        <v>466</v>
      </c>
      <c r="K466" s="66"/>
      <c r="L466" s="29" t="s">
        <v>362</v>
      </c>
      <c r="M466" s="30">
        <f t="shared" ref="M466" si="1384" xml:space="preserve">
IF(H464&gt;2,MEDIAN(P463:XX464),
IF(H466&gt;2,MEDIAN(P465:XX466),
IF(H468&gt;2,MEDIAN(P467:XX468),
IF(H470&gt;2,MEDIAN(P469:XX470),
IF(H472&gt;2,MEDIAN(P471:XX472),
IF(H474&gt;2,MEDIAN(P473:XX474),
MEDIAN(P461:XX462)))))))</f>
        <v>1.9914274887300933</v>
      </c>
      <c r="N466" s="71"/>
      <c r="O466" s="27" t="str">
        <f t="shared" ref="O466" si="1385">"2 RODADA"</f>
        <v>2 RODADA</v>
      </c>
      <c r="P466" s="107">
        <f t="shared" ref="P466:AI466" si="1386">IF(P464="","",IF((_xlfn.STDEV.P($P463:$XX464)/AVERAGE($P463:$XX464))&lt;=25%,P464,IF(OR(P464&gt;(AVERAGE($P463:$XX464)+_xlfn.STDEV.P($P463:$XX464)),P464&lt;(AVERAGE($P463:$XX464)-_xlfn.STDEV.P($P463:$XX464))),"DESCARTADO",P464)))</f>
        <v>2.2000000000000002</v>
      </c>
      <c r="Q466" s="107">
        <f t="shared" si="1386"/>
        <v>1.7828549774601865</v>
      </c>
      <c r="R466" s="107">
        <f t="shared" si="1386"/>
        <v>2.2387668079712699</v>
      </c>
      <c r="S466" s="107">
        <f t="shared" si="1386"/>
        <v>1.5385651005058205</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f t="shared" si="1237"/>
        <v>22</v>
      </c>
      <c r="C467" s="128">
        <f t="shared" si="1238"/>
        <v>1</v>
      </c>
      <c r="D467" s="127">
        <f t="shared" si="1238"/>
        <v>22</v>
      </c>
      <c r="E467" s="743"/>
      <c r="F467" s="93"/>
      <c r="G467" s="745"/>
      <c r="H467"/>
      <c r="I467"/>
      <c r="J467"/>
      <c r="K467" s="66"/>
      <c r="L467" s="29" t="s">
        <v>359</v>
      </c>
      <c r="M467" s="30">
        <f t="shared" ref="M467" si="1387">HARMEAN($P461:$XX462)</f>
        <v>1.8938727678497089</v>
      </c>
      <c r="N467" s="71"/>
      <c r="O467" s="27" t="str">
        <f t="shared" ref="O467" si="1388">"3 POND"</f>
        <v>3 POND</v>
      </c>
      <c r="P467" s="107">
        <f>IF(IFERROR(VLOOKUP(P458,'Tabela de Apoio'!$D:$E,2,FALSE),1)=1,"",P468)</f>
        <v>2.2000000000000002</v>
      </c>
      <c r="Q467" s="107">
        <f>IF(IFERROR(VLOOKUP(Q458,'Tabela de Apoio'!$D:$E,2,FALSE),1)=1,"",Q468)</f>
        <v>1.7828549774601865</v>
      </c>
      <c r="R467" s="107">
        <f>IF(IFERROR(VLOOKUP(R458,'Tabela de Apoio'!$D:$E,2,FALSE),1)=1,"",R468)</f>
        <v>2.2387668079712699</v>
      </c>
      <c r="S467" s="107">
        <f>IF(IFERROR(VLOOKUP(S458,'Tabela de Apoio'!$D:$E,2,FALSE),1)=1,"",S468)</f>
        <v>1.5385651005058205</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f t="shared" si="1237"/>
        <v>22</v>
      </c>
      <c r="C468" s="128">
        <f t="shared" si="1238"/>
        <v>1</v>
      </c>
      <c r="D468" s="127">
        <f t="shared" si="1238"/>
        <v>22</v>
      </c>
      <c r="E468" s="743"/>
      <c r="F468" s="93"/>
      <c r="G468" s="745"/>
      <c r="H468" s="134">
        <f t="shared" ref="H468" si="1389">COUNT($P468:$XX468)</f>
        <v>4</v>
      </c>
      <c r="I468" s="132">
        <f t="shared" ref="I468" si="1390">_xlfn.STDEV.P($P467:$XX468)/AVERAGE($P467:$XX468)</f>
        <v>0.15087551094991186</v>
      </c>
      <c r="J468" s="7">
        <f t="shared" ref="J468" si="1391">IF(AND(H468&gt;2,
OR(L456="MÉDIA SANEADA",L456="MEDIANA SANEADA",
AND(L456="PREÇO ESTIMADO",NOT(AND(P458="Orçamento",COUNTA(P456:XX456)=COUNTIF(P458:XX458,"Orçamento")))))),
ROW(),0)</f>
        <v>468</v>
      </c>
      <c r="K468" s="66"/>
      <c r="L468" s="29" t="s">
        <v>41</v>
      </c>
      <c r="M468" s="30">
        <f t="shared" ref="M468" si="1392">IFERROR(_xlfn.QUARTILE.EXC($P462:$XX462,1),"")</f>
        <v>1.5996375697444121</v>
      </c>
      <c r="N468" s="71"/>
      <c r="O468" s="27" t="str">
        <f t="shared" ref="O468" si="1393">"3 RODADA"</f>
        <v>3 RODADA</v>
      </c>
      <c r="P468" s="107">
        <f t="shared" ref="P468:AI468" si="1394">IF(P466="","",IF((_xlfn.STDEV.P($P465:$XX466)/AVERAGE($P465:$XX466))&lt;=25%,P466,IF(OR(P466&gt;(AVERAGE($P465:$XX466)+_xlfn.STDEV.P($P465:$XX466)),P466&lt;(AVERAGE($P465:$XX466)-_xlfn.STDEV.P($P465:$XX466))),"DESCARTADO",P466)))</f>
        <v>2.2000000000000002</v>
      </c>
      <c r="Q468" s="107">
        <f t="shared" si="1394"/>
        <v>1.7828549774601865</v>
      </c>
      <c r="R468" s="107">
        <f t="shared" si="1394"/>
        <v>2.2387668079712699</v>
      </c>
      <c r="S468" s="107">
        <f t="shared" si="1394"/>
        <v>1.5385651005058205</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f t="shared" si="1237"/>
        <v>22</v>
      </c>
      <c r="C469" s="128">
        <f t="shared" si="1238"/>
        <v>1</v>
      </c>
      <c r="D469" s="127">
        <f t="shared" si="1238"/>
        <v>22</v>
      </c>
      <c r="E469" s="743"/>
      <c r="F469" s="93"/>
      <c r="G469" s="745"/>
      <c r="H469"/>
      <c r="I469"/>
      <c r="J469"/>
      <c r="K469" s="66"/>
      <c r="L469" s="29" t="s">
        <v>39</v>
      </c>
      <c r="M469" s="30">
        <f t="shared" ref="M469" si="1395">IFERROR(_xlfn.QUARTILE.EXC($P462:$XX462,3),"")</f>
        <v>2.2290751059784526</v>
      </c>
      <c r="N469" s="71"/>
      <c r="O469" s="27" t="str">
        <f t="shared" ref="O469" si="1396">"4 POND"</f>
        <v>4 POND</v>
      </c>
      <c r="P469" s="107">
        <f>IF(IFERROR(VLOOKUP(P458,'Tabela de Apoio'!$D:$E,2,FALSE),1)=1,"",P470)</f>
        <v>2.2000000000000002</v>
      </c>
      <c r="Q469" s="107">
        <f>IF(IFERROR(VLOOKUP(Q458,'Tabela de Apoio'!$D:$E,2,FALSE),1)=1,"",Q470)</f>
        <v>1.7828549774601865</v>
      </c>
      <c r="R469" s="107">
        <f>IF(IFERROR(VLOOKUP(R458,'Tabela de Apoio'!$D:$E,2,FALSE),1)=1,"",R470)</f>
        <v>2.2387668079712699</v>
      </c>
      <c r="S469" s="107">
        <f>IF(IFERROR(VLOOKUP(S458,'Tabela de Apoio'!$D:$E,2,FALSE),1)=1,"",S470)</f>
        <v>1.5385651005058205</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f t="shared" si="1237"/>
        <v>22</v>
      </c>
      <c r="C470" s="128">
        <f t="shared" si="1238"/>
        <v>1</v>
      </c>
      <c r="D470" s="127">
        <f t="shared" si="1238"/>
        <v>22</v>
      </c>
      <c r="E470" s="743"/>
      <c r="F470" s="93"/>
      <c r="G470" s="745"/>
      <c r="H470" s="134">
        <f t="shared" ref="H470" si="1397">COUNT($P470:$XX470)</f>
        <v>4</v>
      </c>
      <c r="I470" s="132">
        <f t="shared" ref="I470" si="1398">_xlfn.STDEV.P($P469:$XX470)/AVERAGE($P469:$XX470)</f>
        <v>0.15087551094991186</v>
      </c>
      <c r="J470" s="7">
        <f t="shared" ref="J470" si="1399">IF(AND(H470&gt;2,
OR(L456="MÉDIA SANEADA",L456="MEDIANA SANEADA",
AND(L456="PREÇO ESTIMADO",NOT(AND(P458="Orçamento",COUNTA(P456:XX456)=COUNTIF(P458:XX458,"Orçamento")))))),
ROW(),0)</f>
        <v>470</v>
      </c>
      <c r="K470" s="66"/>
      <c r="L470" s="29" t="s">
        <v>42</v>
      </c>
      <c r="M470" s="30">
        <f t="shared" ref="M470" si="1400">MIN($P462:$XX462)</f>
        <v>1.5385651005058205</v>
      </c>
      <c r="N470" s="71"/>
      <c r="O470" s="27" t="str">
        <f t="shared" ref="O470" si="1401">"4 RODADA"</f>
        <v>4 RODADA</v>
      </c>
      <c r="P470" s="107">
        <f t="shared" ref="P470:AI470" si="1402">IF(P468="","",IF((_xlfn.STDEV.P($P467:$XX468)/AVERAGE($P467:$XX468))&lt;=25%,P468,IF(OR(P468&gt;(AVERAGE($P467:$XX468)+_xlfn.STDEV.P($P467:$XX468)),P468&lt;(AVERAGE($P467:$XX468)-_xlfn.STDEV.P($P467:$XX468))),"DESCARTADO",P468)))</f>
        <v>2.2000000000000002</v>
      </c>
      <c r="Q470" s="107">
        <f t="shared" si="1402"/>
        <v>1.7828549774601865</v>
      </c>
      <c r="R470" s="107">
        <f t="shared" si="1402"/>
        <v>2.2387668079712699</v>
      </c>
      <c r="S470" s="107">
        <f t="shared" si="1402"/>
        <v>1.5385651005058205</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f t="shared" si="1237"/>
        <v>22</v>
      </c>
      <c r="C471" s="128">
        <f t="shared" si="1238"/>
        <v>1</v>
      </c>
      <c r="D471" s="127">
        <f t="shared" si="1238"/>
        <v>22</v>
      </c>
      <c r="E471" s="743"/>
      <c r="F471" s="93"/>
      <c r="G471" s="745"/>
      <c r="H471"/>
      <c r="I471"/>
      <c r="J471"/>
      <c r="K471" s="66"/>
      <c r="L471" s="29" t="s">
        <v>40</v>
      </c>
      <c r="M471" s="30">
        <f t="shared" ref="M471" si="1403">MAX($P462:$XX462)</f>
        <v>2.2387668079712699</v>
      </c>
      <c r="N471" s="71"/>
      <c r="O471" s="27" t="str">
        <f t="shared" ref="O471" si="1404">"5 POND"</f>
        <v>5 POND</v>
      </c>
      <c r="P471" s="107">
        <f>IF(IFERROR(VLOOKUP(P458,'Tabela de Apoio'!$D:$E,2,FALSE),1)=1,"",P472)</f>
        <v>2.2000000000000002</v>
      </c>
      <c r="Q471" s="107">
        <f>IF(IFERROR(VLOOKUP(Q458,'Tabela de Apoio'!$D:$E,2,FALSE),1)=1,"",Q472)</f>
        <v>1.7828549774601865</v>
      </c>
      <c r="R471" s="107">
        <f>IF(IFERROR(VLOOKUP(R458,'Tabela de Apoio'!$D:$E,2,FALSE),1)=1,"",R472)</f>
        <v>2.2387668079712699</v>
      </c>
      <c r="S471" s="107">
        <f>IF(IFERROR(VLOOKUP(S458,'Tabela de Apoio'!$D:$E,2,FALSE),1)=1,"",S472)</f>
        <v>1.5385651005058205</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f t="shared" si="1237"/>
        <v>22</v>
      </c>
      <c r="C472" s="128">
        <f t="shared" si="1238"/>
        <v>1</v>
      </c>
      <c r="D472" s="127">
        <f t="shared" si="1238"/>
        <v>22</v>
      </c>
      <c r="E472" s="743"/>
      <c r="F472" s="93"/>
      <c r="G472" s="745"/>
      <c r="H472" s="134">
        <f t="shared" ref="H472" si="1405">COUNT($P472:$XX472)</f>
        <v>4</v>
      </c>
      <c r="I472" s="132">
        <f t="shared" ref="I472" si="1406">_xlfn.STDEV.P($P471:$XX472)/AVERAGE($P471:$XX472)</f>
        <v>0.15087551094991186</v>
      </c>
      <c r="J472" s="7">
        <f t="shared" ref="J472" si="1407">IF(AND(H472&gt;2,
OR(L456="MÉDIA SANEADA",L456="MEDIANA SANEADA",
AND(L456="PREÇO ESTIMADO",NOT(AND(P458="Orçamento",COUNTA(P456:XX456)=COUNTIF(P458:XX458,"Orçamento")))))),
ROW(),0)</f>
        <v>472</v>
      </c>
      <c r="K472" s="66"/>
      <c r="N472" s="71"/>
      <c r="O472" s="27" t="str">
        <f t="shared" ref="O472" si="1408">"5 RODADA"</f>
        <v>5 RODADA</v>
      </c>
      <c r="P472" s="107">
        <f t="shared" ref="P472:AI472" si="1409">IF(P470="","",IF((_xlfn.STDEV.P($P469:$XX470)/AVERAGE($P469:$XX470))&lt;=25%,P470,IF(OR(P470&gt;(AVERAGE($P469:$XX470)+_xlfn.STDEV.P($P469:$XX470)),P470&lt;(AVERAGE($P469:$XX470)-_xlfn.STDEV.P($P469:$XX470))),"DESCARTADO",P470)))</f>
        <v>2.2000000000000002</v>
      </c>
      <c r="Q472" s="107">
        <f t="shared" si="1409"/>
        <v>1.7828549774601865</v>
      </c>
      <c r="R472" s="107">
        <f t="shared" si="1409"/>
        <v>2.2387668079712699</v>
      </c>
      <c r="S472" s="107">
        <f t="shared" si="1409"/>
        <v>1.5385651005058205</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f t="shared" si="1237"/>
        <v>22</v>
      </c>
      <c r="C473" s="128">
        <f t="shared" si="1238"/>
        <v>1</v>
      </c>
      <c r="D473" s="127">
        <f t="shared" si="1238"/>
        <v>22</v>
      </c>
      <c r="E473" s="743"/>
      <c r="F473" s="93"/>
      <c r="G473" s="745"/>
      <c r="H473"/>
      <c r="I473"/>
      <c r="J473"/>
      <c r="K473" s="66"/>
      <c r="L473" s="22"/>
      <c r="M473" s="22"/>
      <c r="N473" s="71"/>
      <c r="O473" s="27" t="str">
        <f t="shared" ref="O473" si="1410">"6 POND"</f>
        <v>6 POND</v>
      </c>
      <c r="P473" s="107">
        <f>IF(IFERROR(VLOOKUP(P458,'Tabela de Apoio'!$D:$E,2,FALSE),1)=1,"",P474)</f>
        <v>2.2000000000000002</v>
      </c>
      <c r="Q473" s="107">
        <f>IF(IFERROR(VLOOKUP(Q458,'Tabela de Apoio'!$D:$E,2,FALSE),1)=1,"",Q474)</f>
        <v>1.7828549774601865</v>
      </c>
      <c r="R473" s="107">
        <f>IF(IFERROR(VLOOKUP(R458,'Tabela de Apoio'!$D:$E,2,FALSE),1)=1,"",R474)</f>
        <v>2.2387668079712699</v>
      </c>
      <c r="S473" s="107">
        <f>IF(IFERROR(VLOOKUP(S458,'Tabela de Apoio'!$D:$E,2,FALSE),1)=1,"",S474)</f>
        <v>1.5385651005058205</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f t="shared" si="1237"/>
        <v>22</v>
      </c>
      <c r="C474" s="128">
        <f t="shared" si="1238"/>
        <v>1</v>
      </c>
      <c r="D474" s="127">
        <f t="shared" si="1238"/>
        <v>22</v>
      </c>
      <c r="E474" s="743"/>
      <c r="F474" s="93"/>
      <c r="G474" s="745"/>
      <c r="H474" s="134">
        <f t="shared" ref="H474" si="1411">COUNT($P474:$XX474)</f>
        <v>4</v>
      </c>
      <c r="I474" s="132">
        <f t="shared" ref="I474" si="1412">_xlfn.STDEV.P($P473:$XX474)/AVERAGE($P473:$XX474)</f>
        <v>0.15087551094991186</v>
      </c>
      <c r="J474" s="7">
        <f t="shared" ref="J474" si="1413">IF(AND(H474&gt;2,
OR(L456="MÉDIA SANEADA",L456="MEDIANA SANEADA",
AND(L456="PREÇO ESTIMADO",NOT(AND(P458="Orçamento",COUNTA(P456:XX456)=COUNTIF(P458:XX458,"Orçamento")))))),
ROW(),0)</f>
        <v>474</v>
      </c>
      <c r="N474" s="71"/>
      <c r="O474" s="27" t="str">
        <f t="shared" ref="O474" si="1414">"6 RODADA"</f>
        <v>6 RODADA</v>
      </c>
      <c r="P474" s="107">
        <f t="shared" ref="P474:AI474" si="1415">IFERROR(IF(P472="","",IF((_xlfn.STDEV.P($P471:$XX472)/AVERAGE($P471:$XX472))&lt;=25%,P472,IF(OR(P472&gt;(AVERAGE($P471:$XX472)+_xlfn.STDEV.P($P471:$XX472)),P472&lt;(AVERAGE($P471:$XX472)-_xlfn.STDEV.P($P471:$XX472))),"DESCARTADO",P472))),)</f>
        <v>2.2000000000000002</v>
      </c>
      <c r="Q474" s="107">
        <f t="shared" si="1415"/>
        <v>1.7828549774601865</v>
      </c>
      <c r="R474" s="107">
        <f t="shared" si="1415"/>
        <v>2.2387668079712699</v>
      </c>
      <c r="S474" s="107">
        <f t="shared" si="1415"/>
        <v>1.5385651005058205</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f t="shared" si="1237"/>
        <v>22</v>
      </c>
      <c r="C475" s="128">
        <f t="shared" si="1238"/>
        <v>1</v>
      </c>
      <c r="D475" s="127">
        <f t="shared" si="1238"/>
        <v>22</v>
      </c>
      <c r="E475" s="743"/>
      <c r="F475" s="136"/>
      <c r="G475" s="745"/>
      <c r="H475" s="748"/>
      <c r="I475" s="748"/>
      <c r="J475" s="749"/>
      <c r="K475" s="67"/>
      <c r="L475" s="1" t="s">
        <v>43</v>
      </c>
      <c r="M475" s="144">
        <f t="shared" ref="M475" si="1416">IFERROR(ROUND(M456*M458,2),"")</f>
        <v>1.94</v>
      </c>
      <c r="O475" s="27" t="s">
        <v>363</v>
      </c>
      <c r="P475" s="107">
        <f t="shared" ref="P475:AI496" si="1417">INDEX(P462:P474,MATCH(MAX($J462:$J474),$J462:$J474,0))</f>
        <v>2.2000000000000002</v>
      </c>
      <c r="Q475" s="107">
        <f t="shared" si="1417"/>
        <v>1.7828549774601865</v>
      </c>
      <c r="R475" s="107">
        <f t="shared" si="1417"/>
        <v>2.2387668079712699</v>
      </c>
      <c r="S475" s="107">
        <f t="shared" si="1417"/>
        <v>1.5385651005058205</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f t="shared" ref="B477" si="1418">LARGE(IFERROR(IF(B475+1&gt;$H$8,"",B475+1),""),1)</f>
        <v>23</v>
      </c>
      <c r="C477" s="127">
        <f>IF(_xlfn.ISFORMULA(E481),MAX(INDEX('BASE FORMAÇÃO'!A:A,B477+1),1),E481)</f>
        <v>1</v>
      </c>
      <c r="D477" s="127">
        <f t="shared" ref="D477" si="1419">IFERROR(IF(C477=C467,D467+1,1),1)</f>
        <v>23</v>
      </c>
      <c r="E477" s="38" t="s">
        <v>9</v>
      </c>
      <c r="F477" s="73"/>
      <c r="G477" s="38" t="s">
        <v>15</v>
      </c>
      <c r="H477" s="135">
        <f>INDEX('BASE FORMAÇÃO'!B:B,B477+1)</f>
        <v>0</v>
      </c>
      <c r="I477" s="143" t="s">
        <v>16</v>
      </c>
      <c r="J477" s="6">
        <f>INDEX('BASE FORMAÇÃO'!K:K,B477+1)</f>
        <v>0</v>
      </c>
      <c r="K477" s="65"/>
      <c r="L477" s="750" t="s">
        <v>10</v>
      </c>
      <c r="M477" s="752">
        <f t="shared" ref="M477" si="1420">IF(OR(ISBLANK($O$8),ISBLANK($O$7),ISBLANK($H$8),ISBLANK($O$6),ISBLANK($O$5),ISBLANK($H$5)),"",IFERROR(IF(VLOOKUP(L477,L483:M492,2,FALSE)&lt;1,ROUND(VLOOKUP(L477,L483:M492,2,FALSE),4),ROUND(VLOOKUP(L477,L483:M492,2,FALSE),2)),""))</f>
        <v>5.48</v>
      </c>
      <c r="N477" s="69"/>
      <c r="O477" s="27" t="s">
        <v>17</v>
      </c>
      <c r="P477" s="113">
        <v>5.2</v>
      </c>
      <c r="Q477" s="113">
        <v>5.34</v>
      </c>
      <c r="R477" s="113">
        <v>5.73</v>
      </c>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f t="shared" ref="B478:D478" si="1421">B477</f>
        <v>23</v>
      </c>
      <c r="C478" s="128">
        <f t="shared" si="1421"/>
        <v>1</v>
      </c>
      <c r="D478" s="127">
        <f t="shared" si="1421"/>
        <v>23</v>
      </c>
      <c r="E478" s="754">
        <f t="shared" ref="E478" si="1422">D477</f>
        <v>23</v>
      </c>
      <c r="F478" s="92"/>
      <c r="G478" s="756" t="s">
        <v>1</v>
      </c>
      <c r="H478" s="765" t="s">
        <v>727</v>
      </c>
      <c r="I478" s="759"/>
      <c r="J478" s="760"/>
      <c r="K478" s="66"/>
      <c r="L478" s="751"/>
      <c r="M478" s="753"/>
      <c r="N478" s="70"/>
      <c r="O478" s="27" t="s">
        <v>13</v>
      </c>
      <c r="P478" s="122">
        <v>45744</v>
      </c>
      <c r="Q478" s="122">
        <v>45722</v>
      </c>
      <c r="R478" s="122">
        <v>45618</v>
      </c>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f t="shared" ref="B479:D479" si="1423">B478</f>
        <v>23</v>
      </c>
      <c r="C479" s="128">
        <f t="shared" si="1423"/>
        <v>1</v>
      </c>
      <c r="D479" s="127">
        <f t="shared" si="1423"/>
        <v>23</v>
      </c>
      <c r="E479" s="755"/>
      <c r="F479" s="93"/>
      <c r="G479" s="757"/>
      <c r="H479" s="761"/>
      <c r="I479" s="761"/>
      <c r="J479" s="762"/>
      <c r="K479" s="64"/>
      <c r="L479" s="130" t="s">
        <v>44</v>
      </c>
      <c r="M479" s="131">
        <v>1</v>
      </c>
      <c r="N479" s="71"/>
      <c r="O479" s="27" t="s">
        <v>380</v>
      </c>
      <c r="P479" s="114" t="s">
        <v>12</v>
      </c>
      <c r="Q479" s="114" t="s">
        <v>12</v>
      </c>
      <c r="R479" s="114" t="s">
        <v>12</v>
      </c>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f t="shared" ref="B480:C480" si="1424">B479</f>
        <v>23</v>
      </c>
      <c r="C480" s="128">
        <f t="shared" si="1424"/>
        <v>1</v>
      </c>
      <c r="D480" s="127">
        <f t="shared" si="1238"/>
        <v>23</v>
      </c>
      <c r="E480" s="38" t="s">
        <v>313</v>
      </c>
      <c r="F480" s="93"/>
      <c r="G480" s="758"/>
      <c r="H480" s="763"/>
      <c r="I480" s="763"/>
      <c r="J480" s="764"/>
      <c r="K480" s="64"/>
      <c r="L480" s="1" t="s">
        <v>2</v>
      </c>
      <c r="M480" s="427" t="s">
        <v>175</v>
      </c>
      <c r="N480" s="71"/>
      <c r="O480" s="27" t="s">
        <v>381</v>
      </c>
      <c r="P480" s="182" t="s">
        <v>450</v>
      </c>
      <c r="Q480" s="182" t="s">
        <v>450</v>
      </c>
      <c r="R480" s="182" t="s">
        <v>450</v>
      </c>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f t="shared" ref="B481:C481" si="1425">B479</f>
        <v>23</v>
      </c>
      <c r="C481" s="128">
        <f t="shared" si="1425"/>
        <v>1</v>
      </c>
      <c r="D481" s="127">
        <f t="shared" si="1238"/>
        <v>23</v>
      </c>
      <c r="E481" s="742">
        <f t="shared" ref="E481" si="1426">C477</f>
        <v>1</v>
      </c>
      <c r="F481" s="93"/>
      <c r="G481" s="744" t="s">
        <v>304</v>
      </c>
      <c r="H481" s="746"/>
      <c r="I481" s="747"/>
      <c r="J481" s="747"/>
      <c r="K481" s="67"/>
      <c r="L481" s="28" t="s">
        <v>303</v>
      </c>
      <c r="M481" s="133">
        <f t="shared" ref="M481" si="1427">IFERROR(INDEX(I483:I495,MATCH(MAX(J483:J495),J483:J495,0)),"")</f>
        <v>5.520816110995428E-2</v>
      </c>
      <c r="N481" s="71"/>
      <c r="O481" s="27" t="s">
        <v>18</v>
      </c>
      <c r="P481" s="106">
        <f>IF(P477="","",
IF(OR(P479="Orçamento",P478="",MAX('Tabela de Apoio'!$A:$A)&lt;=P478),
P477,
(INDEX('Tabela de Apoio'!$B:$B,MATCH('MAPA DE PREÇOS'!$O$8,'Tabela de Apoio'!$A:$A,1))/INDEX('Tabela de Apoio'!$B:$B,MATCH('MAPA DE PREÇOS'!P478,'Tabela de Apoio'!$A:$A,1)-1))*P477))</f>
        <v>5.2</v>
      </c>
      <c r="Q481" s="106">
        <f>IF(Q477="","",
IF(OR(Q479="Orçamento",Q478="",MAX('Tabela de Apoio'!$A:$A)&lt;=Q478),
Q477,
(INDEX('Tabela de Apoio'!$B:$B,MATCH('MAPA DE PREÇOS'!$O$8,'Tabela de Apoio'!$A:$A,1))/INDEX('Tabela de Apoio'!$B:$B,MATCH('MAPA DE PREÇOS'!Q478,'Tabela de Apoio'!$A:$A,1)-1))*Q477))</f>
        <v>5.34</v>
      </c>
      <c r="R481" s="106">
        <f>IF(R477="","",
IF(OR(R479="Orçamento",R478="",MAX('Tabela de Apoio'!$A:$A)&lt;=R478),
R477,
(INDEX('Tabela de Apoio'!$B:$B,MATCH('MAPA DE PREÇOS'!$O$8,'Tabela de Apoio'!$A:$A,1))/INDEX('Tabela de Apoio'!$B:$B,MATCH('MAPA DE PREÇOS'!R478,'Tabela de Apoio'!$A:$A,1)-1))*R477))</f>
        <v>5.900238817679103</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f t="shared" ref="B482" si="1428">B481</f>
        <v>23</v>
      </c>
      <c r="C482" s="128">
        <f t="shared" ref="C482" si="1429">C481</f>
        <v>1</v>
      </c>
      <c r="D482" s="127">
        <f t="shared" si="1238"/>
        <v>23</v>
      </c>
      <c r="E482" s="743"/>
      <c r="F482" s="93"/>
      <c r="G482" s="745"/>
      <c r="H482"/>
      <c r="I482"/>
      <c r="J482"/>
      <c r="N482" s="71"/>
      <c r="O482" s="27" t="s">
        <v>375</v>
      </c>
      <c r="P482" s="107">
        <f>IF(IFERROR(VLOOKUP(P479,'Tabela de Apoio'!$D:$E,2,FALSE),1)=1,"",P483)</f>
        <v>5.2</v>
      </c>
      <c r="Q482" s="107">
        <f>IF(IFERROR(VLOOKUP(Q479,'Tabela de Apoio'!$D:$E,2,FALSE),1)=1,"",Q483)</f>
        <v>5.34</v>
      </c>
      <c r="R482" s="107">
        <f>IF(IFERROR(VLOOKUP(R479,'Tabela de Apoio'!$D:$E,2,FALSE),1)=1,"",R483)</f>
        <v>5.900238817679103</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f t="shared" ref="B483:C483" si="1430">B482</f>
        <v>23</v>
      </c>
      <c r="C483" s="128">
        <f t="shared" si="1430"/>
        <v>1</v>
      </c>
      <c r="D483" s="127">
        <f t="shared" si="1238"/>
        <v>23</v>
      </c>
      <c r="E483" s="743"/>
      <c r="F483" s="93"/>
      <c r="G483" s="745"/>
      <c r="H483" s="134">
        <f t="shared" ref="H483" si="1431">COUNT($P483:$XX483)</f>
        <v>3</v>
      </c>
      <c r="I483" s="132">
        <f t="shared" ref="I483" si="1432">_xlfn.STDEV.P($P482:$XX483)/AVERAGE($P482:$XX483)</f>
        <v>5.520816110995428E-2</v>
      </c>
      <c r="J483" s="7">
        <f>ROW()</f>
        <v>483</v>
      </c>
      <c r="K483" s="67"/>
      <c r="L483" s="29" t="s">
        <v>10</v>
      </c>
      <c r="M483" s="30">
        <f t="shared" ref="M483" si="1433">IFERROR(
IF(COUNTA(P477:AI477)=COUNTIF(P479:XX479,"Orçamento"),MIN(M488,M485),
IF(M486&lt;&gt;"",M486,
IF(M487&lt;&gt;"",M487,
M485
))),"")</f>
        <v>5.4800796058930343</v>
      </c>
      <c r="N483" s="71"/>
      <c r="O483" s="27" t="s">
        <v>376</v>
      </c>
      <c r="P483" s="106">
        <f t="shared" ref="P483:AI483" si="1434">IFERROR(IF(P481="",
            "",
            IF(COUNT($P481:$XX481)&lt;=4,
               P481,
               IF(OR(P481&gt;(QUARTILE($P481:$XX481,3)+(QUARTILE($P481:$XX481,3)-QUARTILE($P481:$XX481,1))),
                     P481&lt;(QUARTILE($P481:$XX481,1)-(QUARTILE($P481:$XX481,3)-QUARTILE($P481:$XX481,1)))
                  ),
               "DESCARTADO",P481)
             )
  ),P481)</f>
        <v>5.2</v>
      </c>
      <c r="Q483" s="106">
        <f t="shared" si="1434"/>
        <v>5.34</v>
      </c>
      <c r="R483" s="106">
        <f t="shared" si="1434"/>
        <v>5.900238817679103</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f t="shared" ref="B484:B538" si="1435">B483</f>
        <v>23</v>
      </c>
      <c r="C484" s="128">
        <f t="shared" ref="C484:D547" si="1436">C483</f>
        <v>1</v>
      </c>
      <c r="D484" s="127">
        <f t="shared" si="1238"/>
        <v>23</v>
      </c>
      <c r="E484" s="743"/>
      <c r="F484" s="93"/>
      <c r="G484" s="745"/>
      <c r="H484"/>
      <c r="I484"/>
      <c r="J484"/>
      <c r="K484" s="66"/>
      <c r="L484" s="29" t="s">
        <v>360</v>
      </c>
      <c r="M484" s="30">
        <f t="shared" ref="M484" si="1437">AVERAGE($P483:$XX483)</f>
        <v>5.4800796058930343</v>
      </c>
      <c r="N484" s="71"/>
      <c r="O484" s="27" t="str">
        <f t="shared" ref="O484" si="1438">"1 POND"</f>
        <v>1 POND</v>
      </c>
      <c r="P484" s="107">
        <f>IF(IFERROR(VLOOKUP(P479,'Tabela de Apoio'!$D:$E,2,FALSE),1)=1,"",P485)</f>
        <v>5.2</v>
      </c>
      <c r="Q484" s="107">
        <f>IF(IFERROR(VLOOKUP(Q479,'Tabela de Apoio'!$D:$E,2,FALSE),1)=1,"",Q485)</f>
        <v>5.34</v>
      </c>
      <c r="R484" s="107">
        <f>IF(IFERROR(VLOOKUP(R479,'Tabela de Apoio'!$D:$E,2,FALSE),1)=1,"",R485)</f>
        <v>5.900238817679103</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f t="shared" si="1435"/>
        <v>23</v>
      </c>
      <c r="C485" s="128">
        <f t="shared" si="1436"/>
        <v>1</v>
      </c>
      <c r="D485" s="127">
        <f t="shared" si="1436"/>
        <v>23</v>
      </c>
      <c r="E485" s="743"/>
      <c r="F485" s="93"/>
      <c r="G485" s="745"/>
      <c r="H485" s="134">
        <f t="shared" ref="H485" si="1439">COUNT($P485:$XX485)</f>
        <v>3</v>
      </c>
      <c r="I485" s="132">
        <f t="shared" ref="I485" si="1440">_xlfn.STDEV.P($P484:$XX485)/AVERAGE($P484:$XX485)</f>
        <v>5.520816110995428E-2</v>
      </c>
      <c r="J485" s="7">
        <f t="shared" ref="J485" si="1441">IF(AND(H485&gt;2,
OR(L477="MÉDIA SANEADA",L477="MEDIANA SANEADA",
AND(L477="PREÇO ESTIMADO",NOT(AND(P479="Orçamento",COUNTA(P477:XX477)=COUNTIF(P479:XX479,"Orçamento")))))),
ROW(),0)</f>
        <v>485</v>
      </c>
      <c r="K485" s="66"/>
      <c r="L485" s="29" t="s">
        <v>361</v>
      </c>
      <c r="M485" s="30">
        <f t="shared" ref="M485" si="1442">MEDIAN($P483:$XX483)</f>
        <v>5.34</v>
      </c>
      <c r="N485" s="71"/>
      <c r="O485" s="27" t="str">
        <f t="shared" ref="O485" si="1443">"1 RODADA"</f>
        <v>1 RODADA</v>
      </c>
      <c r="P485" s="107">
        <f t="shared" ref="P485:AI485" si="1444">IF(P483="","",IF((_xlfn.STDEV.P($P482:$XX483)/AVERAGE($P482:$XX483))&lt;=25%,P483,IF(OR(P483&gt;(AVERAGE($P482:$XX483)+_xlfn.STDEV.P($P482:$XX483)),P483&lt;(AVERAGE($P482:$XX483)-_xlfn.STDEV.P($P482:$XX483))),"DESCARTADO",P483)))</f>
        <v>5.2</v>
      </c>
      <c r="Q485" s="107">
        <f t="shared" si="1444"/>
        <v>5.34</v>
      </c>
      <c r="R485" s="107">
        <f t="shared" si="1444"/>
        <v>5.900238817679103</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f t="shared" si="1435"/>
        <v>23</v>
      </c>
      <c r="C486" s="128">
        <f t="shared" si="1436"/>
        <v>1</v>
      </c>
      <c r="D486" s="127">
        <f t="shared" si="1436"/>
        <v>23</v>
      </c>
      <c r="E486" s="743"/>
      <c r="F486" s="93"/>
      <c r="G486" s="745"/>
      <c r="H486"/>
      <c r="I486"/>
      <c r="J486"/>
      <c r="L486" s="29" t="s">
        <v>38</v>
      </c>
      <c r="M486" s="30">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5.4800796058930343</v>
      </c>
      <c r="N486" s="71"/>
      <c r="O486" s="27" t="str">
        <f t="shared" ref="O486" si="1446">"2 POND"</f>
        <v>2 POND</v>
      </c>
      <c r="P486" s="107">
        <f>IF(IFERROR(VLOOKUP(P479,'Tabela de Apoio'!$D:$E,2,FALSE),1)=1,"",P487)</f>
        <v>5.2</v>
      </c>
      <c r="Q486" s="107">
        <f>IF(IFERROR(VLOOKUP(Q479,'Tabela de Apoio'!$D:$E,2,FALSE),1)=1,"",Q487)</f>
        <v>5.34</v>
      </c>
      <c r="R486" s="107">
        <f>IF(IFERROR(VLOOKUP(R479,'Tabela de Apoio'!$D:$E,2,FALSE),1)=1,"",R487)</f>
        <v>5.900238817679103</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f t="shared" si="1435"/>
        <v>23</v>
      </c>
      <c r="C487" s="128">
        <f t="shared" si="1436"/>
        <v>1</v>
      </c>
      <c r="D487" s="127">
        <f t="shared" si="1436"/>
        <v>23</v>
      </c>
      <c r="E487" s="743"/>
      <c r="F487" s="93"/>
      <c r="G487" s="745"/>
      <c r="H487" s="134">
        <f t="shared" ref="H487" si="1447">COUNT($P487:$XX487)</f>
        <v>3</v>
      </c>
      <c r="I487" s="132">
        <f t="shared" ref="I487" si="1448">_xlfn.STDEV.P($P486:$XX487)/AVERAGE($P486:$XX487)</f>
        <v>5.520816110995428E-2</v>
      </c>
      <c r="J487" s="7">
        <f t="shared" ref="J487" si="1449">IF(AND(H487&gt;2,
OR(L477="MÉDIA SANEADA",L477="MEDIANA SANEADA",
AND(L477="PREÇO ESTIMADO",NOT(AND(P479="Orçamento",COUNTA(P477:XX477)=COUNTIF(P479:XX479,"Orçamento")))))),
ROW(),0)</f>
        <v>487</v>
      </c>
      <c r="K487" s="66"/>
      <c r="L487" s="29" t="s">
        <v>362</v>
      </c>
      <c r="M487" s="30">
        <f t="shared" ref="M487" si="1450" xml:space="preserve">
IF(H485&gt;2,MEDIAN(P484:XX485),
IF(H487&gt;2,MEDIAN(P486:XX487),
IF(H489&gt;2,MEDIAN(P488:XX489),
IF(H491&gt;2,MEDIAN(P490:XX491),
IF(H493&gt;2,MEDIAN(P492:XX493),
IF(H495&gt;2,MEDIAN(P494:XX495),
MEDIAN(P482:XX483)))))))</f>
        <v>5.34</v>
      </c>
      <c r="N487" s="71"/>
      <c r="O487" s="27" t="str">
        <f t="shared" ref="O487" si="1451">"2 RODADA"</f>
        <v>2 RODADA</v>
      </c>
      <c r="P487" s="107">
        <f t="shared" ref="P487:AI487" si="1452">IF(P485="","",IF((_xlfn.STDEV.P($P484:$XX485)/AVERAGE($P484:$XX485))&lt;=25%,P485,IF(OR(P485&gt;(AVERAGE($P484:$XX485)+_xlfn.STDEV.P($P484:$XX485)),P485&lt;(AVERAGE($P484:$XX485)-_xlfn.STDEV.P($P484:$XX485))),"DESCARTADO",P485)))</f>
        <v>5.2</v>
      </c>
      <c r="Q487" s="107">
        <f t="shared" si="1452"/>
        <v>5.34</v>
      </c>
      <c r="R487" s="107">
        <f t="shared" si="1452"/>
        <v>5.900238817679103</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f t="shared" si="1435"/>
        <v>23</v>
      </c>
      <c r="C488" s="128">
        <f t="shared" si="1436"/>
        <v>1</v>
      </c>
      <c r="D488" s="127">
        <f t="shared" si="1436"/>
        <v>23</v>
      </c>
      <c r="E488" s="743"/>
      <c r="F488" s="93"/>
      <c r="G488" s="745"/>
      <c r="H488"/>
      <c r="I488"/>
      <c r="J488"/>
      <c r="K488" s="66"/>
      <c r="L488" s="29" t="s">
        <v>359</v>
      </c>
      <c r="M488" s="30">
        <f t="shared" ref="M488" si="1453">HARMEAN($P482:$XX483)</f>
        <v>5.4639008946075167</v>
      </c>
      <c r="N488" s="71"/>
      <c r="O488" s="27" t="str">
        <f t="shared" ref="O488" si="1454">"3 POND"</f>
        <v>3 POND</v>
      </c>
      <c r="P488" s="107">
        <f>IF(IFERROR(VLOOKUP(P479,'Tabela de Apoio'!$D:$E,2,FALSE),1)=1,"",P489)</f>
        <v>5.2</v>
      </c>
      <c r="Q488" s="107">
        <f>IF(IFERROR(VLOOKUP(Q479,'Tabela de Apoio'!$D:$E,2,FALSE),1)=1,"",Q489)</f>
        <v>5.34</v>
      </c>
      <c r="R488" s="107">
        <f>IF(IFERROR(VLOOKUP(R479,'Tabela de Apoio'!$D:$E,2,FALSE),1)=1,"",R489)</f>
        <v>5.900238817679103</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f t="shared" si="1435"/>
        <v>23</v>
      </c>
      <c r="C489" s="128">
        <f t="shared" si="1436"/>
        <v>1</v>
      </c>
      <c r="D489" s="127">
        <f t="shared" si="1436"/>
        <v>23</v>
      </c>
      <c r="E489" s="743"/>
      <c r="F489" s="93"/>
      <c r="G489" s="745"/>
      <c r="H489" s="134">
        <f t="shared" ref="H489" si="1455">COUNT($P489:$XX489)</f>
        <v>3</v>
      </c>
      <c r="I489" s="132">
        <f t="shared" ref="I489" si="1456">_xlfn.STDEV.P($P488:$XX489)/AVERAGE($P488:$XX489)</f>
        <v>5.520816110995428E-2</v>
      </c>
      <c r="J489" s="7">
        <f t="shared" ref="J489" si="1457">IF(AND(H489&gt;2,
OR(L477="MÉDIA SANEADA",L477="MEDIANA SANEADA",
AND(L477="PREÇO ESTIMADO",NOT(AND(P479="Orçamento",COUNTA(P477:XX477)=COUNTIF(P479:XX479,"Orçamento")))))),
ROW(),0)</f>
        <v>489</v>
      </c>
      <c r="K489" s="66"/>
      <c r="L489" s="29" t="s">
        <v>41</v>
      </c>
      <c r="M489" s="30">
        <f t="shared" ref="M489" si="1458">IFERROR(_xlfn.QUARTILE.EXC($P483:$XX483,1),"")</f>
        <v>5.2</v>
      </c>
      <c r="N489" s="71"/>
      <c r="O489" s="27" t="str">
        <f t="shared" ref="O489" si="1459">"3 RODADA"</f>
        <v>3 RODADA</v>
      </c>
      <c r="P489" s="107">
        <f t="shared" ref="P489:AI489" si="1460">IF(P487="","",IF((_xlfn.STDEV.P($P486:$XX487)/AVERAGE($P486:$XX487))&lt;=25%,P487,IF(OR(P487&gt;(AVERAGE($P486:$XX487)+_xlfn.STDEV.P($P486:$XX487)),P487&lt;(AVERAGE($P486:$XX487)-_xlfn.STDEV.P($P486:$XX487))),"DESCARTADO",P487)))</f>
        <v>5.2</v>
      </c>
      <c r="Q489" s="107">
        <f t="shared" si="1460"/>
        <v>5.34</v>
      </c>
      <c r="R489" s="107">
        <f t="shared" si="1460"/>
        <v>5.900238817679103</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f t="shared" si="1435"/>
        <v>23</v>
      </c>
      <c r="C490" s="128">
        <f t="shared" si="1436"/>
        <v>1</v>
      </c>
      <c r="D490" s="127">
        <f t="shared" si="1436"/>
        <v>23</v>
      </c>
      <c r="E490" s="743"/>
      <c r="F490" s="93"/>
      <c r="G490" s="745"/>
      <c r="H490"/>
      <c r="I490"/>
      <c r="J490"/>
      <c r="K490" s="66"/>
      <c r="L490" s="29" t="s">
        <v>39</v>
      </c>
      <c r="M490" s="30">
        <f t="shared" ref="M490" si="1461">IFERROR(_xlfn.QUARTILE.EXC($P483:$XX483,3),"")</f>
        <v>5.900238817679103</v>
      </c>
      <c r="N490" s="71"/>
      <c r="O490" s="27" t="str">
        <f t="shared" ref="O490" si="1462">"4 POND"</f>
        <v>4 POND</v>
      </c>
      <c r="P490" s="107">
        <f>IF(IFERROR(VLOOKUP(P479,'Tabela de Apoio'!$D:$E,2,FALSE),1)=1,"",P491)</f>
        <v>5.2</v>
      </c>
      <c r="Q490" s="107">
        <f>IF(IFERROR(VLOOKUP(Q479,'Tabela de Apoio'!$D:$E,2,FALSE),1)=1,"",Q491)</f>
        <v>5.34</v>
      </c>
      <c r="R490" s="107">
        <f>IF(IFERROR(VLOOKUP(R479,'Tabela de Apoio'!$D:$E,2,FALSE),1)=1,"",R491)</f>
        <v>5.900238817679103</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f t="shared" si="1435"/>
        <v>23</v>
      </c>
      <c r="C491" s="128">
        <f t="shared" si="1436"/>
        <v>1</v>
      </c>
      <c r="D491" s="127">
        <f t="shared" si="1436"/>
        <v>23</v>
      </c>
      <c r="E491" s="743"/>
      <c r="F491" s="93"/>
      <c r="G491" s="745"/>
      <c r="H491" s="134">
        <f t="shared" ref="H491" si="1463">COUNT($P491:$XX491)</f>
        <v>3</v>
      </c>
      <c r="I491" s="132">
        <f t="shared" ref="I491" si="1464">_xlfn.STDEV.P($P490:$XX491)/AVERAGE($P490:$XX491)</f>
        <v>5.520816110995428E-2</v>
      </c>
      <c r="J491" s="7">
        <f t="shared" ref="J491" si="1465">IF(AND(H491&gt;2,
OR(L477="MÉDIA SANEADA",L477="MEDIANA SANEADA",
AND(L477="PREÇO ESTIMADO",NOT(AND(P479="Orçamento",COUNTA(P477:XX477)=COUNTIF(P479:XX479,"Orçamento")))))),
ROW(),0)</f>
        <v>491</v>
      </c>
      <c r="K491" s="66"/>
      <c r="L491" s="29" t="s">
        <v>42</v>
      </c>
      <c r="M491" s="30">
        <f t="shared" ref="M491" si="1466">MIN($P483:$XX483)</f>
        <v>5.2</v>
      </c>
      <c r="N491" s="71"/>
      <c r="O491" s="27" t="str">
        <f t="shared" ref="O491" si="1467">"4 RODADA"</f>
        <v>4 RODADA</v>
      </c>
      <c r="P491" s="107">
        <f t="shared" ref="P491:AI491" si="1468">IF(P489="","",IF((_xlfn.STDEV.P($P488:$XX489)/AVERAGE($P488:$XX489))&lt;=25%,P489,IF(OR(P489&gt;(AVERAGE($P488:$XX489)+_xlfn.STDEV.P($P488:$XX489)),P489&lt;(AVERAGE($P488:$XX489)-_xlfn.STDEV.P($P488:$XX489))),"DESCARTADO",P489)))</f>
        <v>5.2</v>
      </c>
      <c r="Q491" s="107">
        <f t="shared" si="1468"/>
        <v>5.34</v>
      </c>
      <c r="R491" s="107">
        <f t="shared" si="1468"/>
        <v>5.900238817679103</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f t="shared" si="1435"/>
        <v>23</v>
      </c>
      <c r="C492" s="128">
        <f t="shared" si="1436"/>
        <v>1</v>
      </c>
      <c r="D492" s="127">
        <f t="shared" si="1436"/>
        <v>23</v>
      </c>
      <c r="E492" s="743"/>
      <c r="F492" s="93"/>
      <c r="G492" s="745"/>
      <c r="H492"/>
      <c r="I492"/>
      <c r="J492"/>
      <c r="K492" s="66"/>
      <c r="L492" s="29" t="s">
        <v>40</v>
      </c>
      <c r="M492" s="30">
        <f t="shared" ref="M492" si="1469">MAX($P483:$XX483)</f>
        <v>5.900238817679103</v>
      </c>
      <c r="N492" s="71"/>
      <c r="O492" s="27" t="str">
        <f t="shared" ref="O492" si="1470">"5 POND"</f>
        <v>5 POND</v>
      </c>
      <c r="P492" s="107">
        <f>IF(IFERROR(VLOOKUP(P479,'Tabela de Apoio'!$D:$E,2,FALSE),1)=1,"",P493)</f>
        <v>5.2</v>
      </c>
      <c r="Q492" s="107">
        <f>IF(IFERROR(VLOOKUP(Q479,'Tabela de Apoio'!$D:$E,2,FALSE),1)=1,"",Q493)</f>
        <v>5.34</v>
      </c>
      <c r="R492" s="107">
        <f>IF(IFERROR(VLOOKUP(R479,'Tabela de Apoio'!$D:$E,2,FALSE),1)=1,"",R493)</f>
        <v>5.900238817679103</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f t="shared" si="1435"/>
        <v>23</v>
      </c>
      <c r="C493" s="128">
        <f t="shared" si="1436"/>
        <v>1</v>
      </c>
      <c r="D493" s="127">
        <f t="shared" si="1436"/>
        <v>23</v>
      </c>
      <c r="E493" s="743"/>
      <c r="F493" s="93"/>
      <c r="G493" s="745"/>
      <c r="H493" s="134">
        <f t="shared" ref="H493" si="1471">COUNT($P493:$XX493)</f>
        <v>3</v>
      </c>
      <c r="I493" s="132">
        <f t="shared" ref="I493" si="1472">_xlfn.STDEV.P($P492:$XX493)/AVERAGE($P492:$XX493)</f>
        <v>5.520816110995428E-2</v>
      </c>
      <c r="J493" s="7">
        <f t="shared" ref="J493" si="1473">IF(AND(H493&gt;2,
OR(L477="MÉDIA SANEADA",L477="MEDIANA SANEADA",
AND(L477="PREÇO ESTIMADO",NOT(AND(P479="Orçamento",COUNTA(P477:XX477)=COUNTIF(P479:XX479,"Orçamento")))))),
ROW(),0)</f>
        <v>493</v>
      </c>
      <c r="K493" s="66"/>
      <c r="N493" s="71"/>
      <c r="O493" s="27" t="str">
        <f t="shared" ref="O493" si="1474">"5 RODADA"</f>
        <v>5 RODADA</v>
      </c>
      <c r="P493" s="107">
        <f t="shared" ref="P493:AI493" si="1475">IF(P491="","",IF((_xlfn.STDEV.P($P490:$XX491)/AVERAGE($P490:$XX491))&lt;=25%,P491,IF(OR(P491&gt;(AVERAGE($P490:$XX491)+_xlfn.STDEV.P($P490:$XX491)),P491&lt;(AVERAGE($P490:$XX491)-_xlfn.STDEV.P($P490:$XX491))),"DESCARTADO",P491)))</f>
        <v>5.2</v>
      </c>
      <c r="Q493" s="107">
        <f t="shared" si="1475"/>
        <v>5.34</v>
      </c>
      <c r="R493" s="107">
        <f t="shared" si="1475"/>
        <v>5.900238817679103</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f t="shared" si="1435"/>
        <v>23</v>
      </c>
      <c r="C494" s="128">
        <f t="shared" si="1436"/>
        <v>1</v>
      </c>
      <c r="D494" s="127">
        <f t="shared" si="1436"/>
        <v>23</v>
      </c>
      <c r="E494" s="743"/>
      <c r="F494" s="93"/>
      <c r="G494" s="745"/>
      <c r="H494"/>
      <c r="I494"/>
      <c r="J494"/>
      <c r="K494" s="66"/>
      <c r="L494" s="22"/>
      <c r="M494" s="22"/>
      <c r="N494" s="71"/>
      <c r="O494" s="27" t="str">
        <f t="shared" ref="O494" si="1476">"6 POND"</f>
        <v>6 POND</v>
      </c>
      <c r="P494" s="107">
        <f>IF(IFERROR(VLOOKUP(P479,'Tabela de Apoio'!$D:$E,2,FALSE),1)=1,"",P495)</f>
        <v>5.2</v>
      </c>
      <c r="Q494" s="107">
        <f>IF(IFERROR(VLOOKUP(Q479,'Tabela de Apoio'!$D:$E,2,FALSE),1)=1,"",Q495)</f>
        <v>5.34</v>
      </c>
      <c r="R494" s="107">
        <f>IF(IFERROR(VLOOKUP(R479,'Tabela de Apoio'!$D:$E,2,FALSE),1)=1,"",R495)</f>
        <v>5.900238817679103</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f t="shared" si="1435"/>
        <v>23</v>
      </c>
      <c r="C495" s="128">
        <f t="shared" si="1436"/>
        <v>1</v>
      </c>
      <c r="D495" s="127">
        <f t="shared" si="1436"/>
        <v>23</v>
      </c>
      <c r="E495" s="743"/>
      <c r="F495" s="93"/>
      <c r="G495" s="745"/>
      <c r="H495" s="134">
        <f t="shared" ref="H495" si="1477">COUNT($P495:$XX495)</f>
        <v>3</v>
      </c>
      <c r="I495" s="132">
        <f t="shared" ref="I495" si="1478">_xlfn.STDEV.P($P494:$XX495)/AVERAGE($P494:$XX495)</f>
        <v>5.520816110995428E-2</v>
      </c>
      <c r="J495" s="7">
        <f t="shared" ref="J495" si="1479">IF(AND(H495&gt;2,
OR(L477="MÉDIA SANEADA",L477="MEDIANA SANEADA",
AND(L477="PREÇO ESTIMADO",NOT(AND(P479="Orçamento",COUNTA(P477:XX477)=COUNTIF(P479:XX479,"Orçamento")))))),
ROW(),0)</f>
        <v>495</v>
      </c>
      <c r="N495" s="71"/>
      <c r="O495" s="27" t="str">
        <f t="shared" ref="O495" si="1480">"6 RODADA"</f>
        <v>6 RODADA</v>
      </c>
      <c r="P495" s="107">
        <f t="shared" ref="P495:AI495" si="1481">IFERROR(IF(P493="","",IF((_xlfn.STDEV.P($P492:$XX493)/AVERAGE($P492:$XX493))&lt;=25%,P493,IF(OR(P493&gt;(AVERAGE($P492:$XX493)+_xlfn.STDEV.P($P492:$XX493)),P493&lt;(AVERAGE($P492:$XX493)-_xlfn.STDEV.P($P492:$XX493))),"DESCARTADO",P493))),)</f>
        <v>5.2</v>
      </c>
      <c r="Q495" s="107">
        <f t="shared" si="1481"/>
        <v>5.34</v>
      </c>
      <c r="R495" s="107">
        <f t="shared" si="1481"/>
        <v>5.900238817679103</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f t="shared" si="1435"/>
        <v>23</v>
      </c>
      <c r="C496" s="128">
        <f t="shared" si="1436"/>
        <v>1</v>
      </c>
      <c r="D496" s="127">
        <f t="shared" si="1436"/>
        <v>23</v>
      </c>
      <c r="E496" s="743"/>
      <c r="F496" s="136"/>
      <c r="G496" s="745"/>
      <c r="H496" s="748"/>
      <c r="I496" s="748"/>
      <c r="J496" s="749"/>
      <c r="K496" s="67"/>
      <c r="L496" s="1" t="s">
        <v>43</v>
      </c>
      <c r="M496" s="144">
        <f t="shared" ref="M496" si="1482">IFERROR(ROUND(M477*M479,2),"")</f>
        <v>5.48</v>
      </c>
      <c r="O496" s="27" t="s">
        <v>363</v>
      </c>
      <c r="P496" s="107">
        <f t="shared" ref="P496:R496" si="1483">INDEX(P483:P495,MATCH(MAX($J483:$J495),$J483:$J495,0))</f>
        <v>5.2</v>
      </c>
      <c r="Q496" s="107">
        <f t="shared" si="1483"/>
        <v>5.34</v>
      </c>
      <c r="R496" s="107">
        <f t="shared" si="1483"/>
        <v>5.900238817679103</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f t="shared" ref="B498" si="1484">LARGE(IFERROR(IF(B496+1&gt;$H$8,"",B496+1),""),1)</f>
        <v>24</v>
      </c>
      <c r="C498" s="127">
        <f>IF(_xlfn.ISFORMULA(E502),MAX(INDEX('BASE FORMAÇÃO'!A:A,B498+1),1),E502)</f>
        <v>1</v>
      </c>
      <c r="D498" s="127">
        <f t="shared" ref="D498" si="1485">IFERROR(IF(C498=C488,D488+1,1),1)</f>
        <v>24</v>
      </c>
      <c r="E498" s="38" t="s">
        <v>9</v>
      </c>
      <c r="F498" s="73"/>
      <c r="G498" s="38" t="s">
        <v>15</v>
      </c>
      <c r="H498" s="135">
        <f>INDEX('BASE FORMAÇÃO'!B:B,B498+1)</f>
        <v>0</v>
      </c>
      <c r="I498" s="143" t="s">
        <v>16</v>
      </c>
      <c r="J498" s="6">
        <f>INDEX('BASE FORMAÇÃO'!K:K,B498+1)</f>
        <v>0</v>
      </c>
      <c r="K498" s="65"/>
      <c r="L498" s="750" t="s">
        <v>10</v>
      </c>
      <c r="M498" s="752">
        <f t="shared" ref="M498" si="1486">IF(OR(ISBLANK($O$8),ISBLANK($O$7),ISBLANK($H$8),ISBLANK($O$6),ISBLANK($O$5),ISBLANK($H$5)),"",IFERROR(IF(VLOOKUP(L498,L504:M513,2,FALSE)&lt;1,ROUND(VLOOKUP(L498,L504:M513,2,FALSE),4),ROUND(VLOOKUP(L498,L504:M513,2,FALSE),2)),""))</f>
        <v>2682.93</v>
      </c>
      <c r="N498" s="69"/>
      <c r="O498" s="27" t="s">
        <v>17</v>
      </c>
      <c r="P498" s="113">
        <v>2449</v>
      </c>
      <c r="Q498" s="113">
        <v>3150</v>
      </c>
      <c r="R498" s="113">
        <v>2468.6999999999998</v>
      </c>
      <c r="S498" s="113">
        <v>2170.6999999999998</v>
      </c>
      <c r="T498" s="113">
        <v>3000</v>
      </c>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f t="shared" ref="B499:D499" si="1487">B498</f>
        <v>24</v>
      </c>
      <c r="C499" s="128">
        <f t="shared" si="1487"/>
        <v>1</v>
      </c>
      <c r="D499" s="127">
        <f t="shared" si="1487"/>
        <v>24</v>
      </c>
      <c r="E499" s="754">
        <f t="shared" ref="E499" si="1488">D498</f>
        <v>24</v>
      </c>
      <c r="F499" s="92"/>
      <c r="G499" s="756" t="s">
        <v>1</v>
      </c>
      <c r="H499" s="765" t="s">
        <v>745</v>
      </c>
      <c r="I499" s="759"/>
      <c r="J499" s="760"/>
      <c r="K499" s="66"/>
      <c r="L499" s="751"/>
      <c r="M499" s="753"/>
      <c r="N499" s="70"/>
      <c r="O499" s="27" t="s">
        <v>13</v>
      </c>
      <c r="P499" s="122">
        <v>45736</v>
      </c>
      <c r="Q499" s="122">
        <v>45726</v>
      </c>
      <c r="R499" s="122">
        <v>45715</v>
      </c>
      <c r="S499" s="122">
        <v>45713</v>
      </c>
      <c r="T499" s="122">
        <v>45618</v>
      </c>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f t="shared" ref="B500:D500" si="1489">B499</f>
        <v>24</v>
      </c>
      <c r="C500" s="128">
        <f t="shared" si="1489"/>
        <v>1</v>
      </c>
      <c r="D500" s="127">
        <f t="shared" si="1489"/>
        <v>24</v>
      </c>
      <c r="E500" s="755"/>
      <c r="F500" s="93"/>
      <c r="G500" s="757"/>
      <c r="H500" s="761"/>
      <c r="I500" s="761"/>
      <c r="J500" s="762"/>
      <c r="K500" s="64"/>
      <c r="L500" s="130" t="s">
        <v>44</v>
      </c>
      <c r="M500" s="131">
        <f>INDEX('BASE FORMAÇÃO'!H:H,B502+1)</f>
        <v>0</v>
      </c>
      <c r="N500" s="71"/>
      <c r="O500" s="27" t="s">
        <v>380</v>
      </c>
      <c r="P500" s="114" t="s">
        <v>12</v>
      </c>
      <c r="Q500" s="114" t="s">
        <v>12</v>
      </c>
      <c r="R500" s="114" t="s">
        <v>12</v>
      </c>
      <c r="S500" s="114" t="s">
        <v>12</v>
      </c>
      <c r="T500" s="114" t="s">
        <v>12</v>
      </c>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f t="shared" ref="B501:C501" si="1490">B500</f>
        <v>24</v>
      </c>
      <c r="C501" s="128">
        <f t="shared" si="1490"/>
        <v>1</v>
      </c>
      <c r="D501" s="127">
        <f t="shared" si="1436"/>
        <v>24</v>
      </c>
      <c r="E501" s="38" t="s">
        <v>313</v>
      </c>
      <c r="F501" s="93"/>
      <c r="G501" s="758"/>
      <c r="H501" s="763"/>
      <c r="I501" s="763"/>
      <c r="J501" s="764"/>
      <c r="K501" s="64"/>
      <c r="L501" s="1" t="s">
        <v>2</v>
      </c>
      <c r="M501" s="6">
        <f>INDEX('BASE FORMAÇÃO'!D:D,B502+1)</f>
        <v>0</v>
      </c>
      <c r="N501" s="71"/>
      <c r="O501" s="27" t="s">
        <v>381</v>
      </c>
      <c r="P501" s="182" t="s">
        <v>450</v>
      </c>
      <c r="Q501" s="182" t="s">
        <v>450</v>
      </c>
      <c r="R501" s="182" t="s">
        <v>450</v>
      </c>
      <c r="S501" s="182" t="s">
        <v>450</v>
      </c>
      <c r="T501" s="182" t="s">
        <v>450</v>
      </c>
      <c r="U501" s="118"/>
      <c r="V501" s="118"/>
      <c r="W501" s="118"/>
      <c r="X501" s="118"/>
      <c r="Y501" s="118"/>
      <c r="Z501" s="118"/>
      <c r="AA501" s="118"/>
      <c r="AB501" s="118"/>
      <c r="AC501" s="118"/>
      <c r="AD501" s="118"/>
      <c r="AE501" s="118"/>
      <c r="AF501" s="118"/>
      <c r="AG501" s="118"/>
      <c r="AH501" s="118"/>
      <c r="AI501" s="118"/>
    </row>
    <row r="502" spans="1:167" x14ac:dyDescent="0.25">
      <c r="B502" s="128">
        <f t="shared" ref="B502:C502" si="1491">B500</f>
        <v>24</v>
      </c>
      <c r="C502" s="128">
        <f t="shared" si="1491"/>
        <v>1</v>
      </c>
      <c r="D502" s="127">
        <f t="shared" si="1436"/>
        <v>24</v>
      </c>
      <c r="E502" s="742">
        <f t="shared" ref="E502" si="1492">C498</f>
        <v>1</v>
      </c>
      <c r="F502" s="93"/>
      <c r="G502" s="744" t="s">
        <v>304</v>
      </c>
      <c r="H502" s="746"/>
      <c r="I502" s="747"/>
      <c r="J502" s="747"/>
      <c r="K502" s="67"/>
      <c r="L502" s="28" t="s">
        <v>303</v>
      </c>
      <c r="M502" s="133">
        <f t="shared" ref="M502" si="1493">IFERROR(INDEX(I504:I516,MATCH(MAX(J504:J516),J504:J516,0)),"")</f>
        <v>0.13829650178651204</v>
      </c>
      <c r="N502" s="71"/>
      <c r="O502" s="27" t="s">
        <v>18</v>
      </c>
      <c r="P502" s="106">
        <f>IF(P498="","",
IF(OR(P500="Orçamento",P499="",MAX('Tabela de Apoio'!$A:$A)&lt;=P499),
P498,
(INDEX('Tabela de Apoio'!$B:$B,MATCH('MAPA DE PREÇOS'!$O$8,'Tabela de Apoio'!$A:$A,1))/INDEX('Tabela de Apoio'!$B:$B,MATCH('MAPA DE PREÇOS'!P499,'Tabela de Apoio'!$A:$A,1)-1))*P498))</f>
        <v>2449</v>
      </c>
      <c r="Q502" s="106">
        <f>IF(Q498="","",
IF(OR(Q500="Orçamento",Q499="",MAX('Tabela de Apoio'!$A:$A)&lt;=Q499),
Q498,
(INDEX('Tabela de Apoio'!$B:$B,MATCH('MAPA DE PREÇOS'!$O$8,'Tabela de Apoio'!$A:$A,1))/INDEX('Tabela de Apoio'!$B:$B,MATCH('MAPA DE PREÇOS'!Q499,'Tabela de Apoio'!$A:$A,1)-1))*Q498))</f>
        <v>3150</v>
      </c>
      <c r="R502" s="106">
        <f>IF(R498="","",
IF(OR(R500="Orçamento",R499="",MAX('Tabela de Apoio'!$A:$A)&lt;=R499),
R498,
(INDEX('Tabela de Apoio'!$B:$B,MATCH('MAPA DE PREÇOS'!$O$8,'Tabela de Apoio'!$A:$A,1))/INDEX('Tabela de Apoio'!$B:$B,MATCH('MAPA DE PREÇOS'!R499,'Tabela de Apoio'!$A:$A,1)-1))*R498))</f>
        <v>2515.048047346264</v>
      </c>
      <c r="S502" s="106">
        <f>IF(S498="","",
IF(OR(S500="Orçamento",S499="",MAX('Tabela de Apoio'!$A:$A)&lt;=S499),
S498,
(INDEX('Tabela de Apoio'!$B:$B,MATCH('MAPA DE PREÇOS'!$O$8,'Tabela de Apoio'!$A:$A,1))/INDEX('Tabela de Apoio'!$B:$B,MATCH('MAPA DE PREÇOS'!S499,'Tabela de Apoio'!$A:$A,1)-1))*S498))</f>
        <v>2211.4533140416152</v>
      </c>
      <c r="T502" s="106">
        <f>IF(T498="","",
IF(OR(T500="Orçamento",T499="",MAX('Tabela de Apoio'!$A:$A)&lt;=T499),
T498,
(INDEX('Tabela de Apoio'!$B:$B,MATCH('MAPA DE PREÇOS'!$O$8,'Tabela de Apoio'!$A:$A,1))/INDEX('Tabela de Apoio'!$B:$B,MATCH('MAPA DE PREÇOS'!T499,'Tabela de Apoio'!$A:$A,1)-1))*T498))</f>
        <v>3089.1302710361792</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f t="shared" ref="B503" si="1494">B502</f>
        <v>24</v>
      </c>
      <c r="C503" s="128">
        <f t="shared" ref="C503" si="1495">C502</f>
        <v>1</v>
      </c>
      <c r="D503" s="127">
        <f t="shared" si="1436"/>
        <v>24</v>
      </c>
      <c r="E503" s="743"/>
      <c r="F503" s="93"/>
      <c r="G503" s="745"/>
      <c r="H503"/>
      <c r="I503"/>
      <c r="J503"/>
      <c r="N503" s="71"/>
      <c r="O503" s="27" t="s">
        <v>375</v>
      </c>
      <c r="P503" s="107">
        <f>IF(IFERROR(VLOOKUP(P500,'Tabela de Apoio'!$D:$E,2,FALSE),1)=1,"",P504)</f>
        <v>2449</v>
      </c>
      <c r="Q503" s="107">
        <f>IF(IFERROR(VLOOKUP(Q500,'Tabela de Apoio'!$D:$E,2,FALSE),1)=1,"",Q504)</f>
        <v>3150</v>
      </c>
      <c r="R503" s="107">
        <f>IF(IFERROR(VLOOKUP(R500,'Tabela de Apoio'!$D:$E,2,FALSE),1)=1,"",R504)</f>
        <v>2515.048047346264</v>
      </c>
      <c r="S503" s="107">
        <f>IF(IFERROR(VLOOKUP(S500,'Tabela de Apoio'!$D:$E,2,FALSE),1)=1,"",S504)</f>
        <v>2211.4533140416152</v>
      </c>
      <c r="T503" s="107">
        <f>IF(IFERROR(VLOOKUP(T500,'Tabela de Apoio'!$D:$E,2,FALSE),1)=1,"",T504)</f>
        <v>3089.1302710361792</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f t="shared" ref="B504:C504" si="1496">B503</f>
        <v>24</v>
      </c>
      <c r="C504" s="128">
        <f t="shared" si="1496"/>
        <v>1</v>
      </c>
      <c r="D504" s="127">
        <f t="shared" si="1436"/>
        <v>24</v>
      </c>
      <c r="E504" s="743"/>
      <c r="F504" s="93"/>
      <c r="G504" s="745"/>
      <c r="H504" s="134">
        <f t="shared" ref="H504" si="1497">COUNT($P504:$XX504)</f>
        <v>5</v>
      </c>
      <c r="I504" s="132">
        <f t="shared" ref="I504" si="1498">_xlfn.STDEV.P($P503:$XX504)/AVERAGE($P503:$XX504)</f>
        <v>0.13829650178651204</v>
      </c>
      <c r="J504" s="7">
        <f>ROW()</f>
        <v>504</v>
      </c>
      <c r="K504" s="67"/>
      <c r="L504" s="29" t="s">
        <v>10</v>
      </c>
      <c r="M504" s="30">
        <f t="shared" ref="M504" si="1499">IFERROR(
IF(COUNTA(P498:AI498)=COUNTIF(P500:XX500,"Orçamento"),MIN(M509,M506),
IF(M507&lt;&gt;"",M507,
IF(M508&lt;&gt;"",M508,
M506
))),"")</f>
        <v>2682.9263264848114</v>
      </c>
      <c r="N504" s="71"/>
      <c r="O504" s="27" t="s">
        <v>376</v>
      </c>
      <c r="P504" s="106">
        <f t="shared" ref="P504:AI504" si="1500">IFERROR(IF(P502="",
            "",
            IF(COUNT($P502:$XX502)&lt;=4,
               P502,
               IF(OR(P502&gt;(QUARTILE($P502:$XX502,3)+(QUARTILE($P502:$XX502,3)-QUARTILE($P502:$XX502,1))),
                     P502&lt;(QUARTILE($P502:$XX502,1)-(QUARTILE($P502:$XX502,3)-QUARTILE($P502:$XX502,1)))
                  ),
               "DESCARTADO",P502)
             )
  ),P502)</f>
        <v>2449</v>
      </c>
      <c r="Q504" s="106">
        <f t="shared" si="1500"/>
        <v>3150</v>
      </c>
      <c r="R504" s="106">
        <f t="shared" si="1500"/>
        <v>2515.048047346264</v>
      </c>
      <c r="S504" s="106">
        <f t="shared" si="1500"/>
        <v>2211.4533140416152</v>
      </c>
      <c r="T504" s="106">
        <f t="shared" si="1500"/>
        <v>3089.1302710361792</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f t="shared" ref="B505" si="1501">B504</f>
        <v>24</v>
      </c>
      <c r="C505" s="128">
        <f t="shared" ref="C505" si="1502">C504</f>
        <v>1</v>
      </c>
      <c r="D505" s="127">
        <f t="shared" si="1436"/>
        <v>24</v>
      </c>
      <c r="E505" s="743"/>
      <c r="F505" s="93"/>
      <c r="G505" s="745"/>
      <c r="H505"/>
      <c r="I505"/>
      <c r="J505"/>
      <c r="K505" s="66"/>
      <c r="L505" s="29" t="s">
        <v>360</v>
      </c>
      <c r="M505" s="30">
        <f t="shared" ref="M505" si="1503">AVERAGE($P504:$XX504)</f>
        <v>2682.9263264848119</v>
      </c>
      <c r="N505" s="71"/>
      <c r="O505" s="27" t="str">
        <f t="shared" ref="O505" si="1504">"1 POND"</f>
        <v>1 POND</v>
      </c>
      <c r="P505" s="107">
        <f>IF(IFERROR(VLOOKUP(P500,'Tabela de Apoio'!$D:$E,2,FALSE),1)=1,"",P506)</f>
        <v>2449</v>
      </c>
      <c r="Q505" s="107">
        <f>IF(IFERROR(VLOOKUP(Q500,'Tabela de Apoio'!$D:$E,2,FALSE),1)=1,"",Q506)</f>
        <v>3150</v>
      </c>
      <c r="R505" s="107">
        <f>IF(IFERROR(VLOOKUP(R500,'Tabela de Apoio'!$D:$E,2,FALSE),1)=1,"",R506)</f>
        <v>2515.048047346264</v>
      </c>
      <c r="S505" s="107">
        <f>IF(IFERROR(VLOOKUP(S500,'Tabela de Apoio'!$D:$E,2,FALSE),1)=1,"",S506)</f>
        <v>2211.4533140416152</v>
      </c>
      <c r="T505" s="107">
        <f>IF(IFERROR(VLOOKUP(T500,'Tabela de Apoio'!$D:$E,2,FALSE),1)=1,"",T506)</f>
        <v>3089.1302710361792</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f t="shared" si="1435"/>
        <v>24</v>
      </c>
      <c r="C506" s="128">
        <f t="shared" si="1436"/>
        <v>1</v>
      </c>
      <c r="D506" s="127">
        <f t="shared" si="1436"/>
        <v>24</v>
      </c>
      <c r="E506" s="743"/>
      <c r="F506" s="93"/>
      <c r="G506" s="745"/>
      <c r="H506" s="134">
        <f t="shared" ref="H506" si="1505">COUNT($P506:$XX506)</f>
        <v>5</v>
      </c>
      <c r="I506" s="132">
        <f t="shared" ref="I506" si="1506">_xlfn.STDEV.P($P505:$XX506)/AVERAGE($P505:$XX506)</f>
        <v>0.13829650178651204</v>
      </c>
      <c r="J506" s="7">
        <f t="shared" ref="J506" si="1507">IF(AND(H506&gt;2,
OR(L498="MÉDIA SANEADA",L498="MEDIANA SANEADA",
AND(L498="PREÇO ESTIMADO",NOT(AND(P500="Orçamento",COUNTA(P498:XX498)=COUNTIF(P500:XX500,"Orçamento")))))),
ROW(),0)</f>
        <v>506</v>
      </c>
      <c r="K506" s="66"/>
      <c r="L506" s="29" t="s">
        <v>361</v>
      </c>
      <c r="M506" s="30">
        <f t="shared" ref="M506" si="1508">MEDIAN($P504:$XX504)</f>
        <v>2515.048047346264</v>
      </c>
      <c r="N506" s="71"/>
      <c r="O506" s="27" t="str">
        <f t="shared" ref="O506" si="1509">"1 RODADA"</f>
        <v>1 RODADA</v>
      </c>
      <c r="P506" s="107">
        <f t="shared" ref="P506:AI506" si="1510">IF(P504="","",IF((_xlfn.STDEV.P($P503:$XX504)/AVERAGE($P503:$XX504))&lt;=25%,P504,IF(OR(P504&gt;(AVERAGE($P503:$XX504)+_xlfn.STDEV.P($P503:$XX504)),P504&lt;(AVERAGE($P503:$XX504)-_xlfn.STDEV.P($P503:$XX504))),"DESCARTADO",P504)))</f>
        <v>2449</v>
      </c>
      <c r="Q506" s="107">
        <f t="shared" si="1510"/>
        <v>3150</v>
      </c>
      <c r="R506" s="107">
        <f t="shared" si="1510"/>
        <v>2515.048047346264</v>
      </c>
      <c r="S506" s="107">
        <f t="shared" si="1510"/>
        <v>2211.4533140416152</v>
      </c>
      <c r="T506" s="107">
        <f t="shared" si="1510"/>
        <v>3089.1302710361792</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f t="shared" si="1435"/>
        <v>24</v>
      </c>
      <c r="C507" s="128">
        <f t="shared" si="1436"/>
        <v>1</v>
      </c>
      <c r="D507" s="127">
        <f t="shared" si="1436"/>
        <v>24</v>
      </c>
      <c r="E507" s="743"/>
      <c r="F507" s="93"/>
      <c r="G507" s="745"/>
      <c r="H507"/>
      <c r="I507"/>
      <c r="J507"/>
      <c r="L507" s="29" t="s">
        <v>38</v>
      </c>
      <c r="M507" s="30">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2682.9263264848114</v>
      </c>
      <c r="N507" s="71"/>
      <c r="O507" s="27" t="str">
        <f t="shared" ref="O507" si="1512">"2 POND"</f>
        <v>2 POND</v>
      </c>
      <c r="P507" s="107">
        <f>IF(IFERROR(VLOOKUP(P500,'Tabela de Apoio'!$D:$E,2,FALSE),1)=1,"",P508)</f>
        <v>2449</v>
      </c>
      <c r="Q507" s="107">
        <f>IF(IFERROR(VLOOKUP(Q500,'Tabela de Apoio'!$D:$E,2,FALSE),1)=1,"",Q508)</f>
        <v>3150</v>
      </c>
      <c r="R507" s="107">
        <f>IF(IFERROR(VLOOKUP(R500,'Tabela de Apoio'!$D:$E,2,FALSE),1)=1,"",R508)</f>
        <v>2515.048047346264</v>
      </c>
      <c r="S507" s="107">
        <f>IF(IFERROR(VLOOKUP(S500,'Tabela de Apoio'!$D:$E,2,FALSE),1)=1,"",S508)</f>
        <v>2211.4533140416152</v>
      </c>
      <c r="T507" s="107">
        <f>IF(IFERROR(VLOOKUP(T500,'Tabela de Apoio'!$D:$E,2,FALSE),1)=1,"",T508)</f>
        <v>3089.1302710361792</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f t="shared" si="1435"/>
        <v>24</v>
      </c>
      <c r="C508" s="128">
        <f t="shared" si="1436"/>
        <v>1</v>
      </c>
      <c r="D508" s="127">
        <f t="shared" si="1436"/>
        <v>24</v>
      </c>
      <c r="E508" s="743"/>
      <c r="F508" s="93"/>
      <c r="G508" s="745"/>
      <c r="H508" s="134">
        <f t="shared" ref="H508" si="1513">COUNT($P508:$XX508)</f>
        <v>5</v>
      </c>
      <c r="I508" s="132">
        <f t="shared" ref="I508" si="1514">_xlfn.STDEV.P($P507:$XX508)/AVERAGE($P507:$XX508)</f>
        <v>0.13829650178651204</v>
      </c>
      <c r="J508" s="7">
        <f t="shared" ref="J508" si="1515">IF(AND(H508&gt;2,
OR(L498="MÉDIA SANEADA",L498="MEDIANA SANEADA",
AND(L498="PREÇO ESTIMADO",NOT(AND(P500="Orçamento",COUNTA(P498:XX498)=COUNTIF(P500:XX500,"Orçamento")))))),
ROW(),0)</f>
        <v>508</v>
      </c>
      <c r="K508" s="66"/>
      <c r="L508" s="29" t="s">
        <v>362</v>
      </c>
      <c r="M508" s="30">
        <f t="shared" ref="M508" si="1516" xml:space="preserve">
IF(H506&gt;2,MEDIAN(P505:XX506),
IF(H508&gt;2,MEDIAN(P507:XX508),
IF(H510&gt;2,MEDIAN(P509:XX510),
IF(H512&gt;2,MEDIAN(P511:XX512),
IF(H514&gt;2,MEDIAN(P513:XX514),
IF(H516&gt;2,MEDIAN(P515:XX516),
MEDIAN(P503:XX504)))))))</f>
        <v>2515.048047346264</v>
      </c>
      <c r="N508" s="71"/>
      <c r="O508" s="27" t="str">
        <f t="shared" ref="O508" si="1517">"2 RODADA"</f>
        <v>2 RODADA</v>
      </c>
      <c r="P508" s="107">
        <f t="shared" ref="P508:AI508" si="1518">IF(P506="","",IF((_xlfn.STDEV.P($P505:$XX506)/AVERAGE($P505:$XX506))&lt;=25%,P506,IF(OR(P506&gt;(AVERAGE($P505:$XX506)+_xlfn.STDEV.P($P505:$XX506)),P506&lt;(AVERAGE($P505:$XX506)-_xlfn.STDEV.P($P505:$XX506))),"DESCARTADO",P506)))</f>
        <v>2449</v>
      </c>
      <c r="Q508" s="107">
        <f t="shared" si="1518"/>
        <v>3150</v>
      </c>
      <c r="R508" s="107">
        <f t="shared" si="1518"/>
        <v>2515.048047346264</v>
      </c>
      <c r="S508" s="107">
        <f t="shared" si="1518"/>
        <v>2211.4533140416152</v>
      </c>
      <c r="T508" s="107">
        <f t="shared" si="1518"/>
        <v>3089.1302710361792</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f t="shared" si="1435"/>
        <v>24</v>
      </c>
      <c r="C509" s="128">
        <f t="shared" si="1436"/>
        <v>1</v>
      </c>
      <c r="D509" s="127">
        <f t="shared" si="1436"/>
        <v>24</v>
      </c>
      <c r="E509" s="743"/>
      <c r="F509" s="93"/>
      <c r="G509" s="745"/>
      <c r="H509"/>
      <c r="I509"/>
      <c r="J509"/>
      <c r="K509" s="66"/>
      <c r="L509" s="29" t="s">
        <v>359</v>
      </c>
      <c r="M509" s="30">
        <f t="shared" ref="M509" si="1519">HARMEAN($P503:$XX504)</f>
        <v>2632.5432901422473</v>
      </c>
      <c r="N509" s="71"/>
      <c r="O509" s="27" t="str">
        <f t="shared" ref="O509" si="1520">"3 POND"</f>
        <v>3 POND</v>
      </c>
      <c r="P509" s="107">
        <f>IF(IFERROR(VLOOKUP(P500,'Tabela de Apoio'!$D:$E,2,FALSE),1)=1,"",P510)</f>
        <v>2449</v>
      </c>
      <c r="Q509" s="107">
        <f>IF(IFERROR(VLOOKUP(Q500,'Tabela de Apoio'!$D:$E,2,FALSE),1)=1,"",Q510)</f>
        <v>3150</v>
      </c>
      <c r="R509" s="107">
        <f>IF(IFERROR(VLOOKUP(R500,'Tabela de Apoio'!$D:$E,2,FALSE),1)=1,"",R510)</f>
        <v>2515.048047346264</v>
      </c>
      <c r="S509" s="107">
        <f>IF(IFERROR(VLOOKUP(S500,'Tabela de Apoio'!$D:$E,2,FALSE),1)=1,"",S510)</f>
        <v>2211.4533140416152</v>
      </c>
      <c r="T509" s="107">
        <f>IF(IFERROR(VLOOKUP(T500,'Tabela de Apoio'!$D:$E,2,FALSE),1)=1,"",T510)</f>
        <v>3089.1302710361792</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f t="shared" si="1435"/>
        <v>24</v>
      </c>
      <c r="C510" s="128">
        <f t="shared" si="1436"/>
        <v>1</v>
      </c>
      <c r="D510" s="127">
        <f t="shared" si="1436"/>
        <v>24</v>
      </c>
      <c r="E510" s="743"/>
      <c r="F510" s="93"/>
      <c r="G510" s="745"/>
      <c r="H510" s="134">
        <f t="shared" ref="H510" si="1521">COUNT($P510:$XX510)</f>
        <v>5</v>
      </c>
      <c r="I510" s="132">
        <f t="shared" ref="I510" si="1522">_xlfn.STDEV.P($P509:$XX510)/AVERAGE($P509:$XX510)</f>
        <v>0.13829650178651204</v>
      </c>
      <c r="J510" s="7">
        <f t="shared" ref="J510" si="1523">IF(AND(H510&gt;2,
OR(L498="MÉDIA SANEADA",L498="MEDIANA SANEADA",
AND(L498="PREÇO ESTIMADO",NOT(AND(P500="Orçamento",COUNTA(P498:XX498)=COUNTIF(P500:XX500,"Orçamento")))))),
ROW(),0)</f>
        <v>510</v>
      </c>
      <c r="K510" s="66"/>
      <c r="L510" s="29" t="s">
        <v>41</v>
      </c>
      <c r="M510" s="30">
        <f t="shared" ref="M510" si="1524">IFERROR(_xlfn.QUARTILE.EXC($P504:$XX504,1),"")</f>
        <v>2330.2266570208076</v>
      </c>
      <c r="N510" s="71"/>
      <c r="O510" s="27" t="str">
        <f t="shared" ref="O510" si="1525">"3 RODADA"</f>
        <v>3 RODADA</v>
      </c>
      <c r="P510" s="107">
        <f t="shared" ref="P510:AI510" si="1526">IF(P508="","",IF((_xlfn.STDEV.P($P507:$XX508)/AVERAGE($P507:$XX508))&lt;=25%,P508,IF(OR(P508&gt;(AVERAGE($P507:$XX508)+_xlfn.STDEV.P($P507:$XX508)),P508&lt;(AVERAGE($P507:$XX508)-_xlfn.STDEV.P($P507:$XX508))),"DESCARTADO",P508)))</f>
        <v>2449</v>
      </c>
      <c r="Q510" s="107">
        <f t="shared" si="1526"/>
        <v>3150</v>
      </c>
      <c r="R510" s="107">
        <f t="shared" si="1526"/>
        <v>2515.048047346264</v>
      </c>
      <c r="S510" s="107">
        <f t="shared" si="1526"/>
        <v>2211.4533140416152</v>
      </c>
      <c r="T510" s="107">
        <f t="shared" si="1526"/>
        <v>3089.1302710361792</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f t="shared" si="1435"/>
        <v>24</v>
      </c>
      <c r="C511" s="128">
        <f t="shared" si="1436"/>
        <v>1</v>
      </c>
      <c r="D511" s="127">
        <f t="shared" si="1436"/>
        <v>24</v>
      </c>
      <c r="E511" s="743"/>
      <c r="F511" s="93"/>
      <c r="G511" s="745"/>
      <c r="H511"/>
      <c r="I511"/>
      <c r="J511"/>
      <c r="K511" s="66"/>
      <c r="L511" s="29" t="s">
        <v>39</v>
      </c>
      <c r="M511" s="30">
        <f t="shared" ref="M511" si="1527">IFERROR(_xlfn.QUARTILE.EXC($P504:$XX504,3),"")</f>
        <v>3119.5651355180898</v>
      </c>
      <c r="N511" s="71"/>
      <c r="O511" s="27" t="str">
        <f t="shared" ref="O511" si="1528">"4 POND"</f>
        <v>4 POND</v>
      </c>
      <c r="P511" s="107">
        <f>IF(IFERROR(VLOOKUP(P500,'Tabela de Apoio'!$D:$E,2,FALSE),1)=1,"",P512)</f>
        <v>2449</v>
      </c>
      <c r="Q511" s="107">
        <f>IF(IFERROR(VLOOKUP(Q500,'Tabela de Apoio'!$D:$E,2,FALSE),1)=1,"",Q512)</f>
        <v>3150</v>
      </c>
      <c r="R511" s="107">
        <f>IF(IFERROR(VLOOKUP(R500,'Tabela de Apoio'!$D:$E,2,FALSE),1)=1,"",R512)</f>
        <v>2515.048047346264</v>
      </c>
      <c r="S511" s="107">
        <f>IF(IFERROR(VLOOKUP(S500,'Tabela de Apoio'!$D:$E,2,FALSE),1)=1,"",S512)</f>
        <v>2211.4533140416152</v>
      </c>
      <c r="T511" s="107">
        <f>IF(IFERROR(VLOOKUP(T500,'Tabela de Apoio'!$D:$E,2,FALSE),1)=1,"",T512)</f>
        <v>3089.1302710361792</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f t="shared" si="1435"/>
        <v>24</v>
      </c>
      <c r="C512" s="128">
        <f t="shared" si="1436"/>
        <v>1</v>
      </c>
      <c r="D512" s="127">
        <f t="shared" si="1436"/>
        <v>24</v>
      </c>
      <c r="E512" s="743"/>
      <c r="F512" s="93"/>
      <c r="G512" s="745"/>
      <c r="H512" s="134">
        <f t="shared" ref="H512" si="1529">COUNT($P512:$XX512)</f>
        <v>5</v>
      </c>
      <c r="I512" s="132">
        <f t="shared" ref="I512" si="1530">_xlfn.STDEV.P($P511:$XX512)/AVERAGE($P511:$XX512)</f>
        <v>0.13829650178651204</v>
      </c>
      <c r="J512" s="7">
        <f t="shared" ref="J512" si="1531">IF(AND(H512&gt;2,
OR(L498="MÉDIA SANEADA",L498="MEDIANA SANEADA",
AND(L498="PREÇO ESTIMADO",NOT(AND(P500="Orçamento",COUNTA(P498:XX498)=COUNTIF(P500:XX500,"Orçamento")))))),
ROW(),0)</f>
        <v>512</v>
      </c>
      <c r="K512" s="66"/>
      <c r="L512" s="29" t="s">
        <v>42</v>
      </c>
      <c r="M512" s="30">
        <f t="shared" ref="M512" si="1532">MIN($P504:$XX504)</f>
        <v>2211.4533140416152</v>
      </c>
      <c r="N512" s="71"/>
      <c r="O512" s="27" t="str">
        <f t="shared" ref="O512" si="1533">"4 RODADA"</f>
        <v>4 RODADA</v>
      </c>
      <c r="P512" s="107">
        <f t="shared" ref="P512:AI512" si="1534">IF(P510="","",IF((_xlfn.STDEV.P($P509:$XX510)/AVERAGE($P509:$XX510))&lt;=25%,P510,IF(OR(P510&gt;(AVERAGE($P509:$XX510)+_xlfn.STDEV.P($P509:$XX510)),P510&lt;(AVERAGE($P509:$XX510)-_xlfn.STDEV.P($P509:$XX510))),"DESCARTADO",P510)))</f>
        <v>2449</v>
      </c>
      <c r="Q512" s="107">
        <f t="shared" si="1534"/>
        <v>3150</v>
      </c>
      <c r="R512" s="107">
        <f t="shared" si="1534"/>
        <v>2515.048047346264</v>
      </c>
      <c r="S512" s="107">
        <f t="shared" si="1534"/>
        <v>2211.4533140416152</v>
      </c>
      <c r="T512" s="107">
        <f t="shared" si="1534"/>
        <v>3089.1302710361792</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f t="shared" si="1435"/>
        <v>24</v>
      </c>
      <c r="C513" s="128">
        <f t="shared" si="1436"/>
        <v>1</v>
      </c>
      <c r="D513" s="127">
        <f t="shared" si="1436"/>
        <v>24</v>
      </c>
      <c r="E513" s="743"/>
      <c r="F513" s="93"/>
      <c r="G513" s="745"/>
      <c r="H513"/>
      <c r="I513"/>
      <c r="J513"/>
      <c r="K513" s="66"/>
      <c r="L513" s="29" t="s">
        <v>40</v>
      </c>
      <c r="M513" s="30">
        <f t="shared" ref="M513" si="1535">MAX($P504:$XX504)</f>
        <v>3150</v>
      </c>
      <c r="N513" s="71"/>
      <c r="O513" s="27" t="str">
        <f t="shared" ref="O513" si="1536">"5 POND"</f>
        <v>5 POND</v>
      </c>
      <c r="P513" s="107">
        <f>IF(IFERROR(VLOOKUP(P500,'Tabela de Apoio'!$D:$E,2,FALSE),1)=1,"",P514)</f>
        <v>2449</v>
      </c>
      <c r="Q513" s="107">
        <f>IF(IFERROR(VLOOKUP(Q500,'Tabela de Apoio'!$D:$E,2,FALSE),1)=1,"",Q514)</f>
        <v>3150</v>
      </c>
      <c r="R513" s="107">
        <f>IF(IFERROR(VLOOKUP(R500,'Tabela de Apoio'!$D:$E,2,FALSE),1)=1,"",R514)</f>
        <v>2515.048047346264</v>
      </c>
      <c r="S513" s="107">
        <f>IF(IFERROR(VLOOKUP(S500,'Tabela de Apoio'!$D:$E,2,FALSE),1)=1,"",S514)</f>
        <v>2211.4533140416152</v>
      </c>
      <c r="T513" s="107">
        <f>IF(IFERROR(VLOOKUP(T500,'Tabela de Apoio'!$D:$E,2,FALSE),1)=1,"",T514)</f>
        <v>3089.1302710361792</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f t="shared" si="1435"/>
        <v>24</v>
      </c>
      <c r="C514" s="128">
        <f t="shared" si="1436"/>
        <v>1</v>
      </c>
      <c r="D514" s="127">
        <f t="shared" si="1436"/>
        <v>24</v>
      </c>
      <c r="E514" s="743"/>
      <c r="F514" s="93"/>
      <c r="G514" s="745"/>
      <c r="H514" s="134">
        <f t="shared" ref="H514" si="1537">COUNT($P514:$XX514)</f>
        <v>5</v>
      </c>
      <c r="I514" s="132">
        <f t="shared" ref="I514" si="1538">_xlfn.STDEV.P($P513:$XX514)/AVERAGE($P513:$XX514)</f>
        <v>0.13829650178651204</v>
      </c>
      <c r="J514" s="7">
        <f t="shared" ref="J514" si="1539">IF(AND(H514&gt;2,
OR(L498="MÉDIA SANEADA",L498="MEDIANA SANEADA",
AND(L498="PREÇO ESTIMADO",NOT(AND(P500="Orçamento",COUNTA(P498:XX498)=COUNTIF(P500:XX500,"Orçamento")))))),
ROW(),0)</f>
        <v>514</v>
      </c>
      <c r="K514" s="66"/>
      <c r="N514" s="71"/>
      <c r="O514" s="27" t="str">
        <f t="shared" ref="O514" si="1540">"5 RODADA"</f>
        <v>5 RODADA</v>
      </c>
      <c r="P514" s="107">
        <f t="shared" ref="P514:AI514" si="1541">IF(P512="","",IF((_xlfn.STDEV.P($P511:$XX512)/AVERAGE($P511:$XX512))&lt;=25%,P512,IF(OR(P512&gt;(AVERAGE($P511:$XX512)+_xlfn.STDEV.P($P511:$XX512)),P512&lt;(AVERAGE($P511:$XX512)-_xlfn.STDEV.P($P511:$XX512))),"DESCARTADO",P512)))</f>
        <v>2449</v>
      </c>
      <c r="Q514" s="107">
        <f t="shared" si="1541"/>
        <v>3150</v>
      </c>
      <c r="R514" s="107">
        <f t="shared" si="1541"/>
        <v>2515.048047346264</v>
      </c>
      <c r="S514" s="107">
        <f t="shared" si="1541"/>
        <v>2211.4533140416152</v>
      </c>
      <c r="T514" s="107">
        <f t="shared" si="1541"/>
        <v>3089.1302710361792</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f t="shared" si="1435"/>
        <v>24</v>
      </c>
      <c r="C515" s="128">
        <f t="shared" si="1436"/>
        <v>1</v>
      </c>
      <c r="D515" s="127">
        <f t="shared" si="1436"/>
        <v>24</v>
      </c>
      <c r="E515" s="743"/>
      <c r="F515" s="93"/>
      <c r="G515" s="745"/>
      <c r="H515"/>
      <c r="I515"/>
      <c r="J515"/>
      <c r="K515" s="66"/>
      <c r="L515" s="22"/>
      <c r="M515" s="22"/>
      <c r="N515" s="71"/>
      <c r="O515" s="27" t="str">
        <f t="shared" ref="O515" si="1542">"6 POND"</f>
        <v>6 POND</v>
      </c>
      <c r="P515" s="107">
        <f>IF(IFERROR(VLOOKUP(P500,'Tabela de Apoio'!$D:$E,2,FALSE),1)=1,"",P516)</f>
        <v>2449</v>
      </c>
      <c r="Q515" s="107">
        <f>IF(IFERROR(VLOOKUP(Q500,'Tabela de Apoio'!$D:$E,2,FALSE),1)=1,"",Q516)</f>
        <v>3150</v>
      </c>
      <c r="R515" s="107">
        <f>IF(IFERROR(VLOOKUP(R500,'Tabela de Apoio'!$D:$E,2,FALSE),1)=1,"",R516)</f>
        <v>2515.048047346264</v>
      </c>
      <c r="S515" s="107">
        <f>IF(IFERROR(VLOOKUP(S500,'Tabela de Apoio'!$D:$E,2,FALSE),1)=1,"",S516)</f>
        <v>2211.4533140416152</v>
      </c>
      <c r="T515" s="107">
        <f>IF(IFERROR(VLOOKUP(T500,'Tabela de Apoio'!$D:$E,2,FALSE),1)=1,"",T516)</f>
        <v>3089.1302710361792</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f t="shared" si="1435"/>
        <v>24</v>
      </c>
      <c r="C516" s="128">
        <f t="shared" si="1436"/>
        <v>1</v>
      </c>
      <c r="D516" s="127">
        <f t="shared" si="1436"/>
        <v>24</v>
      </c>
      <c r="E516" s="743"/>
      <c r="F516" s="93"/>
      <c r="G516" s="745"/>
      <c r="H516" s="134">
        <f t="shared" ref="H516" si="1543">COUNT($P516:$XX516)</f>
        <v>5</v>
      </c>
      <c r="I516" s="132">
        <f t="shared" ref="I516" si="1544">_xlfn.STDEV.P($P515:$XX516)/AVERAGE($P515:$XX516)</f>
        <v>0.13829650178651204</v>
      </c>
      <c r="J516" s="7">
        <f t="shared" ref="J516" si="1545">IF(AND(H516&gt;2,
OR(L498="MÉDIA SANEADA",L498="MEDIANA SANEADA",
AND(L498="PREÇO ESTIMADO",NOT(AND(P500="Orçamento",COUNTA(P498:XX498)=COUNTIF(P500:XX500,"Orçamento")))))),
ROW(),0)</f>
        <v>516</v>
      </c>
      <c r="N516" s="71"/>
      <c r="O516" s="27" t="str">
        <f t="shared" ref="O516" si="1546">"6 RODADA"</f>
        <v>6 RODADA</v>
      </c>
      <c r="P516" s="107">
        <f t="shared" ref="P516:AI516" si="1547">IFERROR(IF(P514="","",IF((_xlfn.STDEV.P($P513:$XX514)/AVERAGE($P513:$XX514))&lt;=25%,P514,IF(OR(P514&gt;(AVERAGE($P513:$XX514)+_xlfn.STDEV.P($P513:$XX514)),P514&lt;(AVERAGE($P513:$XX514)-_xlfn.STDEV.P($P513:$XX514))),"DESCARTADO",P514))),)</f>
        <v>2449</v>
      </c>
      <c r="Q516" s="107">
        <f t="shared" si="1547"/>
        <v>3150</v>
      </c>
      <c r="R516" s="107">
        <f t="shared" si="1547"/>
        <v>2515.048047346264</v>
      </c>
      <c r="S516" s="107">
        <f t="shared" si="1547"/>
        <v>2211.4533140416152</v>
      </c>
      <c r="T516" s="107">
        <f t="shared" si="1547"/>
        <v>3089.1302710361792</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f t="shared" si="1435"/>
        <v>24</v>
      </c>
      <c r="C517" s="128">
        <f t="shared" si="1436"/>
        <v>1</v>
      </c>
      <c r="D517" s="127">
        <f t="shared" si="1436"/>
        <v>24</v>
      </c>
      <c r="E517" s="743"/>
      <c r="F517" s="136"/>
      <c r="G517" s="745"/>
      <c r="H517" s="748"/>
      <c r="I517" s="748"/>
      <c r="J517" s="749"/>
      <c r="K517" s="67"/>
      <c r="L517" s="1" t="s">
        <v>43</v>
      </c>
      <c r="M517" s="144">
        <f t="shared" ref="M517" si="1548">IFERROR(ROUND(M498*M500,2),"")</f>
        <v>0</v>
      </c>
      <c r="O517" s="27" t="s">
        <v>363</v>
      </c>
      <c r="P517" s="107">
        <f t="shared" ref="P517:AI538" si="1549">INDEX(P504:P516,MATCH(MAX($J504:$J516),$J504:$J516,0))</f>
        <v>2449</v>
      </c>
      <c r="Q517" s="107">
        <f t="shared" si="1549"/>
        <v>3150</v>
      </c>
      <c r="R517" s="107">
        <f t="shared" si="1549"/>
        <v>2515.048047346264</v>
      </c>
      <c r="S517" s="107">
        <f t="shared" si="1549"/>
        <v>2211.4533140416152</v>
      </c>
      <c r="T517" s="107">
        <f t="shared" si="1549"/>
        <v>3089.1302710361792</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f t="shared" ref="B519" si="1550">LARGE(IFERROR(IF(B517+1&gt;$H$8,"",B517+1),""),1)</f>
        <v>25</v>
      </c>
      <c r="C519" s="127">
        <f>IF(_xlfn.ISFORMULA(E523),MAX(INDEX('BASE FORMAÇÃO'!A:A,B519+1),1),E523)</f>
        <v>1</v>
      </c>
      <c r="D519" s="127">
        <f t="shared" ref="D519" si="1551">IFERROR(IF(C519=C509,D509+1,1),1)</f>
        <v>25</v>
      </c>
      <c r="E519" s="38" t="s">
        <v>9</v>
      </c>
      <c r="F519" s="73"/>
      <c r="G519" s="38" t="s">
        <v>15</v>
      </c>
      <c r="H519" s="135">
        <f>INDEX('BASE FORMAÇÃO'!B:B,B519+1)</f>
        <v>0</v>
      </c>
      <c r="I519" s="143" t="s">
        <v>16</v>
      </c>
      <c r="J519" s="6">
        <f>INDEX('BASE FORMAÇÃO'!K:K,B519+1)</f>
        <v>0</v>
      </c>
      <c r="K519" s="65"/>
      <c r="L519" s="750" t="s">
        <v>10</v>
      </c>
      <c r="M519" s="752">
        <f t="shared" ref="M519" si="1552">IF(OR(ISBLANK($O$8),ISBLANK($O$7),ISBLANK($H$8),ISBLANK($O$6),ISBLANK($O$5),ISBLANK($H$5)),"",IFERROR(IF(VLOOKUP(L519,L525:M534,2,FALSE)&lt;1,ROUND(VLOOKUP(L519,L525:M534,2,FALSE),4),ROUND(VLOOKUP(L519,L525:M534,2,FALSE),2)),""))</f>
        <v>1462.08</v>
      </c>
      <c r="N519" s="69"/>
      <c r="O519" s="27" t="s">
        <v>17</v>
      </c>
      <c r="P519" s="113">
        <v>1462.08</v>
      </c>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f t="shared" ref="B520:D520" si="1553">B519</f>
        <v>25</v>
      </c>
      <c r="C520" s="128">
        <f t="shared" si="1553"/>
        <v>1</v>
      </c>
      <c r="D520" s="127">
        <f t="shared" si="1553"/>
        <v>25</v>
      </c>
      <c r="E520" s="754">
        <f t="shared" ref="E520" si="1554">D519</f>
        <v>25</v>
      </c>
      <c r="F520" s="92"/>
      <c r="G520" s="756" t="s">
        <v>1</v>
      </c>
      <c r="H520" s="765" t="s">
        <v>750</v>
      </c>
      <c r="I520" s="759"/>
      <c r="J520" s="760"/>
      <c r="K520" s="66"/>
      <c r="L520" s="751"/>
      <c r="M520" s="753"/>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f t="shared" ref="B521:D521" si="1555">B520</f>
        <v>25</v>
      </c>
      <c r="C521" s="128">
        <f t="shared" si="1555"/>
        <v>1</v>
      </c>
      <c r="D521" s="127">
        <f t="shared" si="1555"/>
        <v>25</v>
      </c>
      <c r="E521" s="755"/>
      <c r="F521" s="93"/>
      <c r="G521" s="757"/>
      <c r="H521" s="761"/>
      <c r="I521" s="761"/>
      <c r="J521" s="762"/>
      <c r="K521" s="64"/>
      <c r="L521" s="130" t="s">
        <v>44</v>
      </c>
      <c r="M521" s="131">
        <v>1</v>
      </c>
      <c r="N521" s="71"/>
      <c r="O521" s="27" t="s">
        <v>380</v>
      </c>
      <c r="P521" s="114" t="s">
        <v>349</v>
      </c>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f t="shared" ref="B522:C522" si="1556">B521</f>
        <v>25</v>
      </c>
      <c r="C522" s="128">
        <f t="shared" si="1556"/>
        <v>1</v>
      </c>
      <c r="D522" s="127">
        <f t="shared" si="1436"/>
        <v>25</v>
      </c>
      <c r="E522" s="38" t="s">
        <v>313</v>
      </c>
      <c r="F522" s="93"/>
      <c r="G522" s="758"/>
      <c r="H522" s="763"/>
      <c r="I522" s="763"/>
      <c r="J522" s="764"/>
      <c r="K522" s="64"/>
      <c r="L522" s="1" t="s">
        <v>2</v>
      </c>
      <c r="M522" s="6" t="s">
        <v>206</v>
      </c>
      <c r="N522" s="71"/>
      <c r="O522" s="27" t="s">
        <v>381</v>
      </c>
      <c r="P522" s="182" t="s">
        <v>749</v>
      </c>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f t="shared" ref="B523:C523" si="1557">B521</f>
        <v>25</v>
      </c>
      <c r="C523" s="128">
        <f t="shared" si="1557"/>
        <v>1</v>
      </c>
      <c r="D523" s="127">
        <f t="shared" si="1436"/>
        <v>25</v>
      </c>
      <c r="E523" s="742">
        <f t="shared" ref="E523" si="1558">C519</f>
        <v>1</v>
      </c>
      <c r="F523" s="93"/>
      <c r="G523" s="744" t="s">
        <v>304</v>
      </c>
      <c r="H523" s="746"/>
      <c r="I523" s="747"/>
      <c r="J523" s="747"/>
      <c r="K523" s="67"/>
      <c r="L523" s="28" t="s">
        <v>303</v>
      </c>
      <c r="M523" s="133">
        <f t="shared" ref="M523" si="1559">IFERROR(INDEX(I525:I537,MATCH(MAX(J525:J537),J525:J537,0)),"")</f>
        <v>0</v>
      </c>
      <c r="N523" s="71"/>
      <c r="O523" s="27" t="s">
        <v>18</v>
      </c>
      <c r="P523" s="106">
        <f>IF(P519="","",
IF(OR(P521="Orçamento",P520="",MAX('Tabela de Apoio'!$A:$A)&lt;=P520),
P519,
(INDEX('Tabela de Apoio'!$B:$B,MATCH('MAPA DE PREÇOS'!$O$8,'Tabela de Apoio'!$A:$A,1))/INDEX('Tabela de Apoio'!$B:$B,MATCH('MAPA DE PREÇOS'!P520,'Tabela de Apoio'!$A:$A,1)-1))*P519))</f>
        <v>1462.08</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f t="shared" ref="B524" si="1560">B523</f>
        <v>25</v>
      </c>
      <c r="C524" s="128">
        <f t="shared" ref="C524" si="1561">C523</f>
        <v>1</v>
      </c>
      <c r="D524" s="127">
        <f t="shared" si="1436"/>
        <v>25</v>
      </c>
      <c r="E524" s="743"/>
      <c r="F524" s="93"/>
      <c r="G524" s="745"/>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f t="shared" ref="B525:C525" si="1562">B524</f>
        <v>25</v>
      </c>
      <c r="C525" s="128">
        <f t="shared" si="1562"/>
        <v>1</v>
      </c>
      <c r="D525" s="127">
        <f t="shared" si="1436"/>
        <v>25</v>
      </c>
      <c r="E525" s="743"/>
      <c r="F525" s="93"/>
      <c r="G525" s="745"/>
      <c r="H525" s="134">
        <f t="shared" ref="H525" si="1563">COUNT($P525:$XX525)</f>
        <v>1</v>
      </c>
      <c r="I525" s="132">
        <f t="shared" ref="I525" si="1564">_xlfn.STDEV.P($P524:$XX525)/AVERAGE($P524:$XX525)</f>
        <v>0</v>
      </c>
      <c r="J525" s="7">
        <f>ROW()</f>
        <v>525</v>
      </c>
      <c r="K525" s="67"/>
      <c r="L525" s="29" t="s">
        <v>10</v>
      </c>
      <c r="M525" s="30">
        <f t="shared" ref="M525" si="1565">IFERROR(
IF(COUNTA(P519:AI519)=COUNTIF(P521:XX521,"Orçamento"),MIN(M530,M527),
IF(M528&lt;&gt;"",M528,
IF(M529&lt;&gt;"",M529,
M527
))),"")</f>
        <v>1462.08</v>
      </c>
      <c r="N525" s="71"/>
      <c r="O525" s="27" t="s">
        <v>376</v>
      </c>
      <c r="P525" s="106">
        <f t="shared" ref="P525:AI525" si="1566">IFERROR(IF(P523="",
            "",
            IF(COUNT($P523:$XX523)&lt;=4,
               P523,
               IF(OR(P523&gt;(QUARTILE($P523:$XX523,3)+(QUARTILE($P523:$XX523,3)-QUARTILE($P523:$XX523,1))),
                     P523&lt;(QUARTILE($P523:$XX523,1)-(QUARTILE($P523:$XX523,3)-QUARTILE($P523:$XX523,1)))
                  ),
               "DESCARTADO",P523)
             )
  ),P523)</f>
        <v>1462.08</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f t="shared" ref="B526" si="1567">B525</f>
        <v>25</v>
      </c>
      <c r="C526" s="128">
        <f t="shared" ref="C526" si="1568">C525</f>
        <v>1</v>
      </c>
      <c r="D526" s="127">
        <f t="shared" si="1436"/>
        <v>25</v>
      </c>
      <c r="E526" s="743"/>
      <c r="F526" s="93"/>
      <c r="G526" s="745"/>
      <c r="H526"/>
      <c r="I526"/>
      <c r="J526"/>
      <c r="K526" s="66"/>
      <c r="L526" s="29" t="s">
        <v>360</v>
      </c>
      <c r="M526" s="30">
        <f t="shared" ref="M526" si="1569">AVERAGE($P525:$XX525)</f>
        <v>1462.08</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f t="shared" si="1435"/>
        <v>25</v>
      </c>
      <c r="C527" s="128">
        <f t="shared" si="1436"/>
        <v>1</v>
      </c>
      <c r="D527" s="127">
        <f t="shared" si="1436"/>
        <v>25</v>
      </c>
      <c r="E527" s="743"/>
      <c r="F527" s="93"/>
      <c r="G527" s="745"/>
      <c r="H527" s="134">
        <f t="shared" ref="H527" si="1571">COUNT($P527:$XX527)</f>
        <v>1</v>
      </c>
      <c r="I527" s="132">
        <f t="shared" ref="I527" si="1572">_xlfn.STDEV.P($P526:$XX527)/AVERAGE($P526:$XX527)</f>
        <v>0</v>
      </c>
      <c r="J527" s="7">
        <f t="shared" ref="J527" si="1573">IF(AND(H527&gt;2,
OR(L519="MÉDIA SANEADA",L519="MEDIANA SANEADA",
AND(L519="PREÇO ESTIMADO",NOT(AND(P521="Orçamento",COUNTA(P519:XX519)=COUNTIF(P521:XX521,"Orçamento")))))),
ROW(),0)</f>
        <v>0</v>
      </c>
      <c r="K527" s="66"/>
      <c r="L527" s="29" t="s">
        <v>361</v>
      </c>
      <c r="M527" s="30">
        <f t="shared" ref="M527" si="1574">MEDIAN($P525:$XX525)</f>
        <v>1462.08</v>
      </c>
      <c r="N527" s="71"/>
      <c r="O527" s="27" t="str">
        <f t="shared" ref="O527" si="1575">"1 RODADA"</f>
        <v>1 RODADA</v>
      </c>
      <c r="P527" s="107">
        <f t="shared" ref="P527:AI527" si="1576">IF(P525="","",IF((_xlfn.STDEV.P($P524:$XX525)/AVERAGE($P524:$XX525))&lt;=25%,P525,IF(OR(P525&gt;(AVERAGE($P524:$XX525)+_xlfn.STDEV.P($P524:$XX525)),P525&lt;(AVERAGE($P524:$XX525)-_xlfn.STDEV.P($P524:$XX525))),"DESCARTADO",P525)))</f>
        <v>1462.08</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f t="shared" si="1435"/>
        <v>25</v>
      </c>
      <c r="C528" s="128">
        <f t="shared" si="1436"/>
        <v>1</v>
      </c>
      <c r="D528" s="127">
        <f t="shared" si="1436"/>
        <v>25</v>
      </c>
      <c r="E528" s="743"/>
      <c r="F528" s="93"/>
      <c r="G528" s="745"/>
      <c r="H528"/>
      <c r="I528"/>
      <c r="J528"/>
      <c r="L528" s="29" t="s">
        <v>38</v>
      </c>
      <c r="M528" s="30">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1462.08</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f t="shared" si="1435"/>
        <v>25</v>
      </c>
      <c r="C529" s="128">
        <f t="shared" si="1436"/>
        <v>1</v>
      </c>
      <c r="D529" s="127">
        <f t="shared" si="1436"/>
        <v>25</v>
      </c>
      <c r="E529" s="743"/>
      <c r="F529" s="93"/>
      <c r="G529" s="745"/>
      <c r="H529" s="134">
        <f t="shared" ref="H529" si="1579">COUNT($P529:$XX529)</f>
        <v>1</v>
      </c>
      <c r="I529" s="132">
        <f t="shared" ref="I529" si="1580">_xlfn.STDEV.P($P528:$XX529)/AVERAGE($P528:$XX529)</f>
        <v>0</v>
      </c>
      <c r="J529" s="7">
        <f t="shared" ref="J529" si="1581">IF(AND(H529&gt;2,
OR(L519="MÉDIA SANEADA",L519="MEDIANA SANEADA",
AND(L519="PREÇO ESTIMADO",NOT(AND(P521="Orçamento",COUNTA(P519:XX519)=COUNTIF(P521:XX521,"Orçamento")))))),
ROW(),0)</f>
        <v>0</v>
      </c>
      <c r="K529" s="66"/>
      <c r="L529" s="29" t="s">
        <v>362</v>
      </c>
      <c r="M529" s="30">
        <f t="shared" ref="M529" si="1582" xml:space="preserve">
IF(H527&gt;2,MEDIAN(P526:XX527),
IF(H529&gt;2,MEDIAN(P528:XX529),
IF(H531&gt;2,MEDIAN(P530:XX531),
IF(H533&gt;2,MEDIAN(P532:XX533),
IF(H535&gt;2,MEDIAN(P534:XX535),
IF(H537&gt;2,MEDIAN(P536:XX537),
MEDIAN(P524:XX525)))))))</f>
        <v>1462.08</v>
      </c>
      <c r="N529" s="71"/>
      <c r="O529" s="27" t="str">
        <f t="shared" ref="O529" si="1583">"2 RODADA"</f>
        <v>2 RODADA</v>
      </c>
      <c r="P529" s="107">
        <f t="shared" ref="P529:AI529" si="1584">IF(P527="","",IF((_xlfn.STDEV.P($P526:$XX527)/AVERAGE($P526:$XX527))&lt;=25%,P527,IF(OR(P527&gt;(AVERAGE($P526:$XX527)+_xlfn.STDEV.P($P526:$XX527)),P527&lt;(AVERAGE($P526:$XX527)-_xlfn.STDEV.P($P526:$XX527))),"DESCARTADO",P527)))</f>
        <v>1462.08</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f t="shared" si="1435"/>
        <v>25</v>
      </c>
      <c r="C530" s="128">
        <f t="shared" si="1436"/>
        <v>1</v>
      </c>
      <c r="D530" s="127">
        <f t="shared" si="1436"/>
        <v>25</v>
      </c>
      <c r="E530" s="743"/>
      <c r="F530" s="93"/>
      <c r="G530" s="745"/>
      <c r="H530"/>
      <c r="I530"/>
      <c r="J530"/>
      <c r="K530" s="66"/>
      <c r="L530" s="29" t="s">
        <v>359</v>
      </c>
      <c r="M530" s="30">
        <f t="shared" ref="M530" si="1585">HARMEAN($P524:$XX525)</f>
        <v>1462.08</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f t="shared" si="1435"/>
        <v>25</v>
      </c>
      <c r="C531" s="128">
        <f t="shared" si="1436"/>
        <v>1</v>
      </c>
      <c r="D531" s="127">
        <f t="shared" si="1436"/>
        <v>25</v>
      </c>
      <c r="E531" s="743"/>
      <c r="F531" s="93"/>
      <c r="G531" s="745"/>
      <c r="H531" s="134">
        <f t="shared" ref="H531" si="1587">COUNT($P531:$XX531)</f>
        <v>1</v>
      </c>
      <c r="I531" s="132">
        <f t="shared" ref="I531" si="1588">_xlfn.STDEV.P($P530:$XX531)/AVERAGE($P530:$XX531)</f>
        <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f t="shared" ref="P531:AI531" si="1592">IF(P529="","",IF((_xlfn.STDEV.P($P528:$XX529)/AVERAGE($P528:$XX529))&lt;=25%,P529,IF(OR(P529&gt;(AVERAGE($P528:$XX529)+_xlfn.STDEV.P($P528:$XX529)),P529&lt;(AVERAGE($P528:$XX529)-_xlfn.STDEV.P($P528:$XX529))),"DESCARTADO",P529)))</f>
        <v>1462.08</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f t="shared" si="1435"/>
        <v>25</v>
      </c>
      <c r="C532" s="128">
        <f t="shared" si="1436"/>
        <v>1</v>
      </c>
      <c r="D532" s="127">
        <f t="shared" si="1436"/>
        <v>25</v>
      </c>
      <c r="E532" s="743"/>
      <c r="F532" s="93"/>
      <c r="G532" s="745"/>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f t="shared" si="1435"/>
        <v>25</v>
      </c>
      <c r="C533" s="128">
        <f t="shared" si="1436"/>
        <v>1</v>
      </c>
      <c r="D533" s="127">
        <f t="shared" si="1436"/>
        <v>25</v>
      </c>
      <c r="E533" s="743"/>
      <c r="F533" s="93"/>
      <c r="G533" s="745"/>
      <c r="H533" s="134">
        <f t="shared" ref="H533" si="1595">COUNT($P533:$XX533)</f>
        <v>1</v>
      </c>
      <c r="I533" s="132">
        <f t="shared" ref="I533" si="1596">_xlfn.STDEV.P($P532:$XX533)/AVERAGE($P532:$XX533)</f>
        <v>0</v>
      </c>
      <c r="J533" s="7">
        <f t="shared" ref="J533" si="1597">IF(AND(H533&gt;2,
OR(L519="MÉDIA SANEADA",L519="MEDIANA SANEADA",
AND(L519="PREÇO ESTIMADO",NOT(AND(P521="Orçamento",COUNTA(P519:XX519)=COUNTIF(P521:XX521,"Orçamento")))))),
ROW(),0)</f>
        <v>0</v>
      </c>
      <c r="K533" s="66"/>
      <c r="L533" s="29" t="s">
        <v>42</v>
      </c>
      <c r="M533" s="30">
        <f t="shared" ref="M533" si="1598">MIN($P525:$XX525)</f>
        <v>1462.08</v>
      </c>
      <c r="N533" s="71"/>
      <c r="O533" s="27" t="str">
        <f t="shared" ref="O533" si="1599">"4 RODADA"</f>
        <v>4 RODADA</v>
      </c>
      <c r="P533" s="107">
        <f t="shared" ref="P533:AI533" si="1600">IF(P531="","",IF((_xlfn.STDEV.P($P530:$XX531)/AVERAGE($P530:$XX531))&lt;=25%,P531,IF(OR(P531&gt;(AVERAGE($P530:$XX531)+_xlfn.STDEV.P($P530:$XX531)),P531&lt;(AVERAGE($P530:$XX531)-_xlfn.STDEV.P($P530:$XX531))),"DESCARTADO",P531)))</f>
        <v>1462.08</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f t="shared" si="1435"/>
        <v>25</v>
      </c>
      <c r="C534" s="128">
        <f t="shared" si="1436"/>
        <v>1</v>
      </c>
      <c r="D534" s="127">
        <f t="shared" si="1436"/>
        <v>25</v>
      </c>
      <c r="E534" s="743"/>
      <c r="F534" s="93"/>
      <c r="G534" s="745"/>
      <c r="H534"/>
      <c r="I534"/>
      <c r="J534"/>
      <c r="K534" s="66"/>
      <c r="L534" s="29" t="s">
        <v>40</v>
      </c>
      <c r="M534" s="30">
        <f t="shared" ref="M534" si="1601">MAX($P525:$XX525)</f>
        <v>1462.08</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f t="shared" si="1435"/>
        <v>25</v>
      </c>
      <c r="C535" s="128">
        <f t="shared" si="1436"/>
        <v>1</v>
      </c>
      <c r="D535" s="127">
        <f t="shared" si="1436"/>
        <v>25</v>
      </c>
      <c r="E535" s="743"/>
      <c r="F535" s="93"/>
      <c r="G535" s="745"/>
      <c r="H535" s="134">
        <f t="shared" ref="H535" si="1603">COUNT($P535:$XX535)</f>
        <v>1</v>
      </c>
      <c r="I535" s="132">
        <f t="shared" ref="I535" si="1604">_xlfn.STDEV.P($P534:$XX535)/AVERAGE($P534:$XX535)</f>
        <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f t="shared" ref="P535:AI535" si="1607">IF(P533="","",IF((_xlfn.STDEV.P($P532:$XX533)/AVERAGE($P532:$XX533))&lt;=25%,P533,IF(OR(P533&gt;(AVERAGE($P532:$XX533)+_xlfn.STDEV.P($P532:$XX533)),P533&lt;(AVERAGE($P532:$XX533)-_xlfn.STDEV.P($P532:$XX533))),"DESCARTADO",P533)))</f>
        <v>1462.08</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f t="shared" si="1435"/>
        <v>25</v>
      </c>
      <c r="C536" s="128">
        <f t="shared" si="1436"/>
        <v>1</v>
      </c>
      <c r="D536" s="127">
        <f t="shared" si="1436"/>
        <v>25</v>
      </c>
      <c r="E536" s="743"/>
      <c r="F536" s="93"/>
      <c r="G536" s="745"/>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f t="shared" si="1435"/>
        <v>25</v>
      </c>
      <c r="C537" s="128">
        <f t="shared" si="1436"/>
        <v>1</v>
      </c>
      <c r="D537" s="127">
        <f t="shared" si="1436"/>
        <v>25</v>
      </c>
      <c r="E537" s="743"/>
      <c r="F537" s="93"/>
      <c r="G537" s="745"/>
      <c r="H537" s="134">
        <f t="shared" ref="H537" si="1609">COUNT($P537:$XX537)</f>
        <v>1</v>
      </c>
      <c r="I537" s="132">
        <f t="shared" ref="I537" si="1610">_xlfn.STDEV.P($P536:$XX537)/AVERAGE($P536:$XX537)</f>
        <v>0</v>
      </c>
      <c r="J537" s="7">
        <f t="shared" ref="J537" si="1611">IF(AND(H537&gt;2,
OR(L519="MÉDIA SANEADA",L519="MEDIANA SANEADA",
AND(L519="PREÇO ESTIMADO",NOT(AND(P521="Orçamento",COUNTA(P519:XX519)=COUNTIF(P521:XX521,"Orçamento")))))),
ROW(),0)</f>
        <v>0</v>
      </c>
      <c r="N537" s="71"/>
      <c r="O537" s="27" t="str">
        <f t="shared" ref="O537" si="1612">"6 RODADA"</f>
        <v>6 RODADA</v>
      </c>
      <c r="P537" s="107">
        <f t="shared" ref="P537:AI537" si="1613">IFERROR(IF(P535="","",IF((_xlfn.STDEV.P($P534:$XX535)/AVERAGE($P534:$XX535))&lt;=25%,P535,IF(OR(P535&gt;(AVERAGE($P534:$XX535)+_xlfn.STDEV.P($P534:$XX535)),P535&lt;(AVERAGE($P534:$XX535)-_xlfn.STDEV.P($P534:$XX535))),"DESCARTADO",P535))),)</f>
        <v>1462.08</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f t="shared" si="1435"/>
        <v>25</v>
      </c>
      <c r="C538" s="128">
        <f t="shared" si="1436"/>
        <v>1</v>
      </c>
      <c r="D538" s="127">
        <f t="shared" si="1436"/>
        <v>25</v>
      </c>
      <c r="E538" s="743"/>
      <c r="F538" s="136"/>
      <c r="G538" s="745"/>
      <c r="H538" s="748"/>
      <c r="I538" s="748"/>
      <c r="J538" s="749"/>
      <c r="K538" s="67"/>
      <c r="L538" s="1" t="s">
        <v>43</v>
      </c>
      <c r="M538" s="144">
        <f t="shared" ref="M538" si="1614">IFERROR(ROUND(M519*M521,2),"")</f>
        <v>1462.08</v>
      </c>
      <c r="O538" s="27" t="s">
        <v>363</v>
      </c>
      <c r="P538" s="107">
        <f t="shared" ref="P538:R538" si="1615">INDEX(P525:P537,MATCH(MAX($J525:$J537),$J525:$J537,0))</f>
        <v>1462.08</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f t="shared" ref="B540" si="1616">LARGE(IFERROR(IF(B538+1&gt;$H$8,"",B538+1),""),1)</f>
        <v>26</v>
      </c>
      <c r="C540" s="127">
        <f>IF(_xlfn.ISFORMULA(E544),MAX(INDEX('BASE FORMAÇÃO'!A:A,B540+1),1),E544)</f>
        <v>1</v>
      </c>
      <c r="D540" s="127">
        <f t="shared" ref="D540" si="1617">IFERROR(IF(C540=C530,D530+1,1),1)</f>
        <v>26</v>
      </c>
      <c r="E540" s="38" t="s">
        <v>9</v>
      </c>
      <c r="F540" s="73"/>
      <c r="G540" s="38" t="s">
        <v>15</v>
      </c>
      <c r="H540" s="135">
        <f>INDEX('BASE FORMAÇÃO'!B:B,B540+1)</f>
        <v>0</v>
      </c>
      <c r="I540" s="143" t="s">
        <v>16</v>
      </c>
      <c r="J540" s="6">
        <f>INDEX('BASE FORMAÇÃO'!K:K,B540+1)</f>
        <v>0</v>
      </c>
      <c r="K540" s="65"/>
      <c r="L540" s="750" t="s">
        <v>10</v>
      </c>
      <c r="M540" s="752">
        <f t="shared" ref="M540" si="1618">IF(OR(ISBLANK($O$8),ISBLANK($O$7),ISBLANK($H$8),ISBLANK($O$6),ISBLANK($O$5),ISBLANK($H$5)),"",IFERROR(IF(VLOOKUP(L540,L546:M555,2,FALSE)&lt;1,ROUND(VLOOKUP(L540,L546:M555,2,FALSE),4),ROUND(VLOOKUP(L540,L546:M555,2,FALSE),2)),""))</f>
        <v>231.56</v>
      </c>
      <c r="N540" s="69"/>
      <c r="O540" s="27" t="s">
        <v>17</v>
      </c>
      <c r="P540" s="113">
        <v>231.56</v>
      </c>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f t="shared" ref="B541:D541" si="1619">B540</f>
        <v>26</v>
      </c>
      <c r="C541" s="128">
        <f t="shared" si="1619"/>
        <v>1</v>
      </c>
      <c r="D541" s="127">
        <f t="shared" si="1619"/>
        <v>26</v>
      </c>
      <c r="E541" s="754">
        <f t="shared" ref="E541" si="1620">D540</f>
        <v>26</v>
      </c>
      <c r="F541" s="92"/>
      <c r="G541" s="756" t="s">
        <v>1</v>
      </c>
      <c r="H541" s="765" t="s">
        <v>763</v>
      </c>
      <c r="I541" s="759"/>
      <c r="J541" s="760"/>
      <c r="K541" s="66"/>
      <c r="L541" s="751"/>
      <c r="M541" s="753"/>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f t="shared" ref="B542:D542" si="1621">B541</f>
        <v>26</v>
      </c>
      <c r="C542" s="128">
        <f t="shared" si="1621"/>
        <v>1</v>
      </c>
      <c r="D542" s="127">
        <f t="shared" si="1621"/>
        <v>26</v>
      </c>
      <c r="E542" s="755"/>
      <c r="F542" s="93"/>
      <c r="G542" s="757"/>
      <c r="H542" s="761"/>
      <c r="I542" s="761"/>
      <c r="J542" s="762"/>
      <c r="K542" s="64"/>
      <c r="L542" s="130" t="s">
        <v>44</v>
      </c>
      <c r="M542" s="131">
        <v>1</v>
      </c>
      <c r="N542" s="71"/>
      <c r="O542" s="27" t="s">
        <v>380</v>
      </c>
      <c r="P542" s="114" t="s">
        <v>348</v>
      </c>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f t="shared" ref="B543:C543" si="1622">B542</f>
        <v>26</v>
      </c>
      <c r="C543" s="128">
        <f t="shared" si="1622"/>
        <v>1</v>
      </c>
      <c r="D543" s="127">
        <f t="shared" si="1436"/>
        <v>26</v>
      </c>
      <c r="E543" s="38" t="s">
        <v>313</v>
      </c>
      <c r="F543" s="93"/>
      <c r="G543" s="758"/>
      <c r="H543" s="763"/>
      <c r="I543" s="763"/>
      <c r="J543" s="764"/>
      <c r="K543" s="64"/>
      <c r="L543" s="1" t="s">
        <v>2</v>
      </c>
      <c r="M543" s="6" t="s">
        <v>168</v>
      </c>
      <c r="N543" s="71"/>
      <c r="O543" s="27" t="s">
        <v>381</v>
      </c>
      <c r="P543" s="115" t="s">
        <v>765</v>
      </c>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f t="shared" ref="B544:C544" si="1623">B542</f>
        <v>26</v>
      </c>
      <c r="C544" s="128">
        <f t="shared" si="1623"/>
        <v>1</v>
      </c>
      <c r="D544" s="127">
        <f t="shared" si="1436"/>
        <v>26</v>
      </c>
      <c r="E544" s="742">
        <f t="shared" ref="E544" si="1624">C540</f>
        <v>1</v>
      </c>
      <c r="F544" s="93"/>
      <c r="G544" s="744" t="s">
        <v>304</v>
      </c>
      <c r="H544" s="746"/>
      <c r="I544" s="747"/>
      <c r="J544" s="747"/>
      <c r="K544" s="67"/>
      <c r="L544" s="28" t="s">
        <v>303</v>
      </c>
      <c r="M544" s="133">
        <f t="shared" ref="M544" si="1625">IFERROR(INDEX(I546:I558,MATCH(MAX(J546:J558),J546:J558,0)),"")</f>
        <v>0</v>
      </c>
      <c r="N544" s="71"/>
      <c r="O544" s="27" t="s">
        <v>18</v>
      </c>
      <c r="P544" s="106">
        <f>IF(P540="","",
IF(OR(P542="Orçamento",P541="",MAX('Tabela de Apoio'!$A:$A)&lt;=P541),
P540,
(INDEX('Tabela de Apoio'!$B:$B,MATCH('MAPA DE PREÇOS'!$O$8,'Tabela de Apoio'!$A:$A,1))/INDEX('Tabela de Apoio'!$B:$B,MATCH('MAPA DE PREÇOS'!P541,'Tabela de Apoio'!$A:$A,1)-1))*P540))</f>
        <v>231.56</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f t="shared" ref="B545" si="1626">B544</f>
        <v>26</v>
      </c>
      <c r="C545" s="128">
        <f t="shared" ref="C545" si="1627">C544</f>
        <v>1</v>
      </c>
      <c r="D545" s="127">
        <f t="shared" si="1436"/>
        <v>26</v>
      </c>
      <c r="E545" s="743"/>
      <c r="F545" s="93"/>
      <c r="G545" s="745"/>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f t="shared" ref="B546:C546" si="1628">B545</f>
        <v>26</v>
      </c>
      <c r="C546" s="128">
        <f t="shared" si="1628"/>
        <v>1</v>
      </c>
      <c r="D546" s="127">
        <f t="shared" si="1436"/>
        <v>26</v>
      </c>
      <c r="E546" s="743"/>
      <c r="F546" s="93"/>
      <c r="G546" s="745"/>
      <c r="H546" s="134">
        <f t="shared" ref="H546" si="1629">COUNT($P546:$XX546)</f>
        <v>1</v>
      </c>
      <c r="I546" s="132">
        <f t="shared" ref="I546" si="1630">_xlfn.STDEV.P($P545:$XX546)/AVERAGE($P545:$XX546)</f>
        <v>0</v>
      </c>
      <c r="J546" s="7">
        <f>ROW()</f>
        <v>546</v>
      </c>
      <c r="K546" s="67"/>
      <c r="L546" s="29" t="s">
        <v>10</v>
      </c>
      <c r="M546" s="30">
        <f t="shared" ref="M546" si="1631">IFERROR(
IF(COUNTA(P540:AI540)=COUNTIF(P542:XX542,"Orçamento"),MIN(M551,M548),
IF(M549&lt;&gt;"",M549,
IF(M550&lt;&gt;"",M550,
M548
))),"")</f>
        <v>231.56</v>
      </c>
      <c r="N546" s="71"/>
      <c r="O546" s="27" t="s">
        <v>376</v>
      </c>
      <c r="P546" s="106">
        <f t="shared" ref="P546:AI546" si="1632">IFERROR(IF(P544="",
            "",
            IF(COUNT($P544:$XX544)&lt;=4,
               P544,
               IF(OR(P544&gt;(QUARTILE($P544:$XX544,3)+(QUARTILE($P544:$XX544,3)-QUARTILE($P544:$XX544,1))),
                     P544&lt;(QUARTILE($P544:$XX544,1)-(QUARTILE($P544:$XX544,3)-QUARTILE($P544:$XX544,1)))
                  ),
               "DESCARTADO",P544)
             )
  ),P544)</f>
        <v>231.56</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f t="shared" ref="B547:B601" si="1633">B546</f>
        <v>26</v>
      </c>
      <c r="C547" s="128">
        <f t="shared" ref="C547:D610" si="1634">C546</f>
        <v>1</v>
      </c>
      <c r="D547" s="127">
        <f t="shared" si="1436"/>
        <v>26</v>
      </c>
      <c r="E547" s="743"/>
      <c r="F547" s="93"/>
      <c r="G547" s="745"/>
      <c r="H547"/>
      <c r="I547"/>
      <c r="J547"/>
      <c r="K547" s="66"/>
      <c r="L547" s="29" t="s">
        <v>360</v>
      </c>
      <c r="M547" s="30">
        <f t="shared" ref="M547" si="1635">AVERAGE($P546:$XX546)</f>
        <v>231.56</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f t="shared" si="1633"/>
        <v>26</v>
      </c>
      <c r="C548" s="128">
        <f t="shared" si="1634"/>
        <v>1</v>
      </c>
      <c r="D548" s="127">
        <f t="shared" si="1634"/>
        <v>26</v>
      </c>
      <c r="E548" s="743"/>
      <c r="F548" s="93"/>
      <c r="G548" s="745"/>
      <c r="H548" s="134">
        <f t="shared" ref="H548" si="1637">COUNT($P548:$XX548)</f>
        <v>1</v>
      </c>
      <c r="I548" s="132">
        <f t="shared" ref="I548" si="1638">_xlfn.STDEV.P($P547:$XX548)/AVERAGE($P547:$XX548)</f>
        <v>0</v>
      </c>
      <c r="J548" s="7">
        <f t="shared" ref="J548" si="1639">IF(AND(H548&gt;2,
OR(L540="MÉDIA SANEADA",L540="MEDIANA SANEADA",
AND(L540="PREÇO ESTIMADO",NOT(AND(P542="Orçamento",COUNTA(P540:XX540)=COUNTIF(P542:XX542,"Orçamento")))))),
ROW(),0)</f>
        <v>0</v>
      </c>
      <c r="K548" s="66"/>
      <c r="L548" s="29" t="s">
        <v>361</v>
      </c>
      <c r="M548" s="30">
        <f t="shared" ref="M548" si="1640">MEDIAN($P546:$XX546)</f>
        <v>231.56</v>
      </c>
      <c r="N548" s="71"/>
      <c r="O548" s="27" t="str">
        <f t="shared" ref="O548" si="1641">"1 RODADA"</f>
        <v>1 RODADA</v>
      </c>
      <c r="P548" s="107">
        <f t="shared" ref="P548:AI548" si="1642">IF(P546="","",IF((_xlfn.STDEV.P($P545:$XX546)/AVERAGE($P545:$XX546))&lt;=25%,P546,IF(OR(P546&gt;(AVERAGE($P545:$XX546)+_xlfn.STDEV.P($P545:$XX546)),P546&lt;(AVERAGE($P545:$XX546)-_xlfn.STDEV.P($P545:$XX546))),"DESCARTADO",P546)))</f>
        <v>231.56</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f t="shared" si="1633"/>
        <v>26</v>
      </c>
      <c r="C549" s="128">
        <f t="shared" si="1634"/>
        <v>1</v>
      </c>
      <c r="D549" s="127">
        <f t="shared" si="1634"/>
        <v>26</v>
      </c>
      <c r="E549" s="743"/>
      <c r="F549" s="93"/>
      <c r="G549" s="745"/>
      <c r="H549"/>
      <c r="I549"/>
      <c r="J549"/>
      <c r="L549" s="29" t="s">
        <v>38</v>
      </c>
      <c r="M549" s="30">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231.56</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f t="shared" si="1633"/>
        <v>26</v>
      </c>
      <c r="C550" s="128">
        <f t="shared" si="1634"/>
        <v>1</v>
      </c>
      <c r="D550" s="127">
        <f t="shared" si="1634"/>
        <v>26</v>
      </c>
      <c r="E550" s="743"/>
      <c r="F550" s="93"/>
      <c r="G550" s="745"/>
      <c r="H550" s="134">
        <f t="shared" ref="H550" si="1645">COUNT($P550:$XX550)</f>
        <v>1</v>
      </c>
      <c r="I550" s="132">
        <f t="shared" ref="I550" si="1646">_xlfn.STDEV.P($P549:$XX550)/AVERAGE($P549:$XX550)</f>
        <v>0</v>
      </c>
      <c r="J550" s="7">
        <f t="shared" ref="J550" si="1647">IF(AND(H550&gt;2,
OR(L540="MÉDIA SANEADA",L540="MEDIANA SANEADA",
AND(L540="PREÇO ESTIMADO",NOT(AND(P542="Orçamento",COUNTA(P540:XX540)=COUNTIF(P542:XX542,"Orçamento")))))),
ROW(),0)</f>
        <v>0</v>
      </c>
      <c r="K550" s="66"/>
      <c r="L550" s="29" t="s">
        <v>362</v>
      </c>
      <c r="M550" s="30">
        <f t="shared" ref="M550" si="1648" xml:space="preserve">
IF(H548&gt;2,MEDIAN(P547:XX548),
IF(H550&gt;2,MEDIAN(P549:XX550),
IF(H552&gt;2,MEDIAN(P551:XX552),
IF(H554&gt;2,MEDIAN(P553:XX554),
IF(H556&gt;2,MEDIAN(P555:XX556),
IF(H558&gt;2,MEDIAN(P557:XX558),
MEDIAN(P545:XX546)))))))</f>
        <v>231.56</v>
      </c>
      <c r="N550" s="71"/>
      <c r="O550" s="27" t="str">
        <f t="shared" ref="O550" si="1649">"2 RODADA"</f>
        <v>2 RODADA</v>
      </c>
      <c r="P550" s="107">
        <f t="shared" ref="P550:AI550" si="1650">IF(P548="","",IF((_xlfn.STDEV.P($P547:$XX548)/AVERAGE($P547:$XX548))&lt;=25%,P548,IF(OR(P548&gt;(AVERAGE($P547:$XX548)+_xlfn.STDEV.P($P547:$XX548)),P548&lt;(AVERAGE($P547:$XX548)-_xlfn.STDEV.P($P547:$XX548))),"DESCARTADO",P548)))</f>
        <v>231.56</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f t="shared" si="1633"/>
        <v>26</v>
      </c>
      <c r="C551" s="128">
        <f t="shared" si="1634"/>
        <v>1</v>
      </c>
      <c r="D551" s="127">
        <f t="shared" si="1634"/>
        <v>26</v>
      </c>
      <c r="E551" s="743"/>
      <c r="F551" s="93"/>
      <c r="G551" s="745"/>
      <c r="H551"/>
      <c r="I551"/>
      <c r="J551"/>
      <c r="K551" s="66"/>
      <c r="L551" s="29" t="s">
        <v>359</v>
      </c>
      <c r="M551" s="30">
        <f t="shared" ref="M551" si="1651">HARMEAN($P545:$XX546)</f>
        <v>231.56</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f t="shared" si="1633"/>
        <v>26</v>
      </c>
      <c r="C552" s="128">
        <f t="shared" si="1634"/>
        <v>1</v>
      </c>
      <c r="D552" s="127">
        <f t="shared" si="1634"/>
        <v>26</v>
      </c>
      <c r="E552" s="743"/>
      <c r="F552" s="93"/>
      <c r="G552" s="745"/>
      <c r="H552" s="134">
        <f t="shared" ref="H552" si="1653">COUNT($P552:$XX552)</f>
        <v>1</v>
      </c>
      <c r="I552" s="132">
        <f t="shared" ref="I552" si="1654">_xlfn.STDEV.P($P551:$XX552)/AVERAGE($P551:$XX552)</f>
        <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f t="shared" ref="P552:AI552" si="1658">IF(P550="","",IF((_xlfn.STDEV.P($P549:$XX550)/AVERAGE($P549:$XX550))&lt;=25%,P550,IF(OR(P550&gt;(AVERAGE($P549:$XX550)+_xlfn.STDEV.P($P549:$XX550)),P550&lt;(AVERAGE($P549:$XX550)-_xlfn.STDEV.P($P549:$XX550))),"DESCARTADO",P550)))</f>
        <v>231.56</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f t="shared" si="1633"/>
        <v>26</v>
      </c>
      <c r="C553" s="128">
        <f t="shared" si="1634"/>
        <v>1</v>
      </c>
      <c r="D553" s="127">
        <f t="shared" si="1634"/>
        <v>26</v>
      </c>
      <c r="E553" s="743"/>
      <c r="F553" s="93"/>
      <c r="G553" s="745"/>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f t="shared" si="1633"/>
        <v>26</v>
      </c>
      <c r="C554" s="128">
        <f t="shared" si="1634"/>
        <v>1</v>
      </c>
      <c r="D554" s="127">
        <f t="shared" si="1634"/>
        <v>26</v>
      </c>
      <c r="E554" s="743"/>
      <c r="F554" s="93"/>
      <c r="G554" s="745"/>
      <c r="H554" s="134">
        <f t="shared" ref="H554" si="1661">COUNT($P554:$XX554)</f>
        <v>1</v>
      </c>
      <c r="I554" s="132">
        <f t="shared" ref="I554" si="1662">_xlfn.STDEV.P($P553:$XX554)/AVERAGE($P553:$XX554)</f>
        <v>0</v>
      </c>
      <c r="J554" s="7">
        <f t="shared" ref="J554" si="1663">IF(AND(H554&gt;2,
OR(L540="MÉDIA SANEADA",L540="MEDIANA SANEADA",
AND(L540="PREÇO ESTIMADO",NOT(AND(P542="Orçamento",COUNTA(P540:XX540)=COUNTIF(P542:XX542,"Orçamento")))))),
ROW(),0)</f>
        <v>0</v>
      </c>
      <c r="K554" s="66"/>
      <c r="L554" s="29" t="s">
        <v>42</v>
      </c>
      <c r="M554" s="30">
        <f t="shared" ref="M554" si="1664">MIN($P546:$XX546)</f>
        <v>231.56</v>
      </c>
      <c r="N554" s="71"/>
      <c r="O554" s="27" t="str">
        <f t="shared" ref="O554" si="1665">"4 RODADA"</f>
        <v>4 RODADA</v>
      </c>
      <c r="P554" s="107">
        <f t="shared" ref="P554:AI554" si="1666">IF(P552="","",IF((_xlfn.STDEV.P($P551:$XX552)/AVERAGE($P551:$XX552))&lt;=25%,P552,IF(OR(P552&gt;(AVERAGE($P551:$XX552)+_xlfn.STDEV.P($P551:$XX552)),P552&lt;(AVERAGE($P551:$XX552)-_xlfn.STDEV.P($P551:$XX552))),"DESCARTADO",P552)))</f>
        <v>231.56</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f t="shared" si="1633"/>
        <v>26</v>
      </c>
      <c r="C555" s="128">
        <f t="shared" si="1634"/>
        <v>1</v>
      </c>
      <c r="D555" s="127">
        <f t="shared" si="1634"/>
        <v>26</v>
      </c>
      <c r="E555" s="743"/>
      <c r="F555" s="93"/>
      <c r="G555" s="745"/>
      <c r="H555"/>
      <c r="I555"/>
      <c r="J555"/>
      <c r="K555" s="66"/>
      <c r="L555" s="29" t="s">
        <v>40</v>
      </c>
      <c r="M555" s="30">
        <f t="shared" ref="M555" si="1667">MAX($P546:$XX546)</f>
        <v>231.56</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f t="shared" si="1633"/>
        <v>26</v>
      </c>
      <c r="C556" s="128">
        <f t="shared" si="1634"/>
        <v>1</v>
      </c>
      <c r="D556" s="127">
        <f t="shared" si="1634"/>
        <v>26</v>
      </c>
      <c r="E556" s="743"/>
      <c r="F556" s="93"/>
      <c r="G556" s="745"/>
      <c r="H556" s="134">
        <f t="shared" ref="H556" si="1669">COUNT($P556:$XX556)</f>
        <v>1</v>
      </c>
      <c r="I556" s="132">
        <f t="shared" ref="I556" si="1670">_xlfn.STDEV.P($P555:$XX556)/AVERAGE($P555:$XX556)</f>
        <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f t="shared" ref="P556:AI556" si="1673">IF(P554="","",IF((_xlfn.STDEV.P($P553:$XX554)/AVERAGE($P553:$XX554))&lt;=25%,P554,IF(OR(P554&gt;(AVERAGE($P553:$XX554)+_xlfn.STDEV.P($P553:$XX554)),P554&lt;(AVERAGE($P553:$XX554)-_xlfn.STDEV.P($P553:$XX554))),"DESCARTADO",P554)))</f>
        <v>231.56</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f t="shared" si="1633"/>
        <v>26</v>
      </c>
      <c r="C557" s="128">
        <f t="shared" si="1634"/>
        <v>1</v>
      </c>
      <c r="D557" s="127">
        <f t="shared" si="1634"/>
        <v>26</v>
      </c>
      <c r="E557" s="743"/>
      <c r="F557" s="93"/>
      <c r="G557" s="745"/>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f t="shared" si="1633"/>
        <v>26</v>
      </c>
      <c r="C558" s="128">
        <f t="shared" si="1634"/>
        <v>1</v>
      </c>
      <c r="D558" s="127">
        <f t="shared" si="1634"/>
        <v>26</v>
      </c>
      <c r="E558" s="743"/>
      <c r="F558" s="93"/>
      <c r="G558" s="745"/>
      <c r="H558" s="134">
        <f t="shared" ref="H558" si="1675">COUNT($P558:$XX558)</f>
        <v>1</v>
      </c>
      <c r="I558" s="132">
        <f t="shared" ref="I558" si="1676">_xlfn.STDEV.P($P557:$XX558)/AVERAGE($P557:$XX558)</f>
        <v>0</v>
      </c>
      <c r="J558" s="7">
        <f t="shared" ref="J558" si="1677">IF(AND(H558&gt;2,
OR(L540="MÉDIA SANEADA",L540="MEDIANA SANEADA",
AND(L540="PREÇO ESTIMADO",NOT(AND(P542="Orçamento",COUNTA(P540:XX540)=COUNTIF(P542:XX542,"Orçamento")))))),
ROW(),0)</f>
        <v>0</v>
      </c>
      <c r="N558" s="71"/>
      <c r="O558" s="27" t="str">
        <f t="shared" ref="O558" si="1678">"6 RODADA"</f>
        <v>6 RODADA</v>
      </c>
      <c r="P558" s="107">
        <f t="shared" ref="P558:AI558" si="1679">IFERROR(IF(P556="","",IF((_xlfn.STDEV.P($P555:$XX556)/AVERAGE($P555:$XX556))&lt;=25%,P556,IF(OR(P556&gt;(AVERAGE($P555:$XX556)+_xlfn.STDEV.P($P555:$XX556)),P556&lt;(AVERAGE($P555:$XX556)-_xlfn.STDEV.P($P555:$XX556))),"DESCARTADO",P556))),)</f>
        <v>231.56</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f t="shared" si="1633"/>
        <v>26</v>
      </c>
      <c r="C559" s="128">
        <f t="shared" si="1634"/>
        <v>1</v>
      </c>
      <c r="D559" s="127">
        <f t="shared" si="1634"/>
        <v>26</v>
      </c>
      <c r="E559" s="743"/>
      <c r="F559" s="136"/>
      <c r="G559" s="745"/>
      <c r="H559" s="748"/>
      <c r="I559" s="748"/>
      <c r="J559" s="749"/>
      <c r="K559" s="67"/>
      <c r="L559" s="1" t="s">
        <v>43</v>
      </c>
      <c r="M559" s="144">
        <f t="shared" ref="M559" si="1680">IFERROR(ROUND(M540*M542,2),"")</f>
        <v>231.56</v>
      </c>
      <c r="O559" s="27" t="s">
        <v>363</v>
      </c>
      <c r="P559" s="107">
        <f t="shared" ref="P559:AI580" si="1681">INDEX(P546:P558,MATCH(MAX($J546:$J558),$J546:$J558,0))</f>
        <v>231.56</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f t="shared" ref="B561" si="1682">LARGE(IFERROR(IF(B559+1&gt;$H$8,"",B559+1),""),1)</f>
        <v>27</v>
      </c>
      <c r="C561" s="127">
        <f>IF(_xlfn.ISFORMULA(E565),MAX(INDEX('BASE FORMAÇÃO'!A:A,B561+1),1),E565)</f>
        <v>1</v>
      </c>
      <c r="D561" s="127">
        <f t="shared" ref="D561" si="1683">IFERROR(IF(C561=C551,D551+1,1),1)</f>
        <v>27</v>
      </c>
      <c r="E561" s="38" t="s">
        <v>9</v>
      </c>
      <c r="F561" s="73"/>
      <c r="G561" s="38" t="s">
        <v>15</v>
      </c>
      <c r="H561" s="135">
        <f>INDEX('BASE FORMAÇÃO'!B:B,B561+1)</f>
        <v>0</v>
      </c>
      <c r="I561" s="143" t="s">
        <v>16</v>
      </c>
      <c r="J561" s="6">
        <f>INDEX('BASE FORMAÇÃO'!K:K,B561+1)</f>
        <v>0</v>
      </c>
      <c r="K561" s="65"/>
      <c r="L561" s="750" t="s">
        <v>10</v>
      </c>
      <c r="M561" s="752">
        <f t="shared" ref="M561" si="1684">IF(OR(ISBLANK($O$8),ISBLANK($O$7),ISBLANK($H$8),ISBLANK($O$6),ISBLANK($O$5),ISBLANK($H$5)),"",IFERROR(IF(VLOOKUP(L561,L567:M576,2,FALSE)&lt;1,ROUND(VLOOKUP(L561,L567:M576,2,FALSE),4),ROUND(VLOOKUP(L561,L567:M576,2,FALSE),2)),""))</f>
        <v>139.16999999999999</v>
      </c>
      <c r="N561" s="69"/>
      <c r="O561" s="27" t="s">
        <v>17</v>
      </c>
      <c r="P561" s="113">
        <v>139.16999999999999</v>
      </c>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f t="shared" ref="B562:D562" si="1685">B561</f>
        <v>27</v>
      </c>
      <c r="C562" s="128">
        <f t="shared" si="1685"/>
        <v>1</v>
      </c>
      <c r="D562" s="127">
        <f t="shared" si="1685"/>
        <v>27</v>
      </c>
      <c r="E562" s="754">
        <f t="shared" ref="E562" si="1686">D561</f>
        <v>27</v>
      </c>
      <c r="F562" s="92"/>
      <c r="G562" s="756" t="s">
        <v>1</v>
      </c>
      <c r="H562" s="765" t="s">
        <v>764</v>
      </c>
      <c r="I562" s="759"/>
      <c r="J562" s="760"/>
      <c r="K562" s="66"/>
      <c r="L562" s="751"/>
      <c r="M562" s="753"/>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f t="shared" ref="B563:D563" si="1687">B562</f>
        <v>27</v>
      </c>
      <c r="C563" s="128">
        <f t="shared" si="1687"/>
        <v>1</v>
      </c>
      <c r="D563" s="127">
        <f t="shared" si="1687"/>
        <v>27</v>
      </c>
      <c r="E563" s="755"/>
      <c r="F563" s="93"/>
      <c r="G563" s="757"/>
      <c r="H563" s="761"/>
      <c r="I563" s="761"/>
      <c r="J563" s="762"/>
      <c r="K563" s="64"/>
      <c r="L563" s="130" t="s">
        <v>44</v>
      </c>
      <c r="M563" s="131">
        <v>1</v>
      </c>
      <c r="N563" s="71"/>
      <c r="O563" s="27" t="s">
        <v>380</v>
      </c>
      <c r="P563" s="114" t="s">
        <v>348</v>
      </c>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f t="shared" ref="B564:C564" si="1688">B563</f>
        <v>27</v>
      </c>
      <c r="C564" s="128">
        <f t="shared" si="1688"/>
        <v>1</v>
      </c>
      <c r="D564" s="127">
        <f t="shared" si="1634"/>
        <v>27</v>
      </c>
      <c r="E564" s="38" t="s">
        <v>313</v>
      </c>
      <c r="F564" s="93"/>
      <c r="G564" s="758"/>
      <c r="H564" s="763"/>
      <c r="I564" s="763"/>
      <c r="J564" s="764"/>
      <c r="K564" s="64"/>
      <c r="L564" s="1" t="s">
        <v>2</v>
      </c>
      <c r="M564" s="6" t="s">
        <v>168</v>
      </c>
      <c r="N564" s="71"/>
      <c r="O564" s="27" t="s">
        <v>381</v>
      </c>
      <c r="P564" s="115" t="s">
        <v>765</v>
      </c>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f t="shared" ref="B565:C565" si="1689">B563</f>
        <v>27</v>
      </c>
      <c r="C565" s="128">
        <f t="shared" si="1689"/>
        <v>1</v>
      </c>
      <c r="D565" s="127">
        <f t="shared" si="1634"/>
        <v>27</v>
      </c>
      <c r="E565" s="742">
        <f t="shared" ref="E565" si="1690">C561</f>
        <v>1</v>
      </c>
      <c r="F565" s="93"/>
      <c r="G565" s="744" t="s">
        <v>304</v>
      </c>
      <c r="H565" s="746"/>
      <c r="I565" s="747"/>
      <c r="J565" s="747"/>
      <c r="K565" s="67"/>
      <c r="L565" s="28" t="s">
        <v>303</v>
      </c>
      <c r="M565" s="133">
        <f t="shared" ref="M565" si="1691">IFERROR(INDEX(I567:I579,MATCH(MAX(J567:J579),J567:J579,0)),"")</f>
        <v>0</v>
      </c>
      <c r="N565" s="71"/>
      <c r="O565" s="27" t="s">
        <v>18</v>
      </c>
      <c r="P565" s="106">
        <f>IF(P561="","",
IF(OR(P563="Orçamento",P562="",MAX('Tabela de Apoio'!$A:$A)&lt;=P562),
P561,
(INDEX('Tabela de Apoio'!$B:$B,MATCH('MAPA DE PREÇOS'!$O$8,'Tabela de Apoio'!$A:$A,1))/INDEX('Tabela de Apoio'!$B:$B,MATCH('MAPA DE PREÇOS'!P562,'Tabela de Apoio'!$A:$A,1)-1))*P561))</f>
        <v>139.16999999999999</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f t="shared" ref="B566" si="1692">B565</f>
        <v>27</v>
      </c>
      <c r="C566" s="128">
        <f t="shared" ref="C566" si="1693">C565</f>
        <v>1</v>
      </c>
      <c r="D566" s="127">
        <f t="shared" si="1634"/>
        <v>27</v>
      </c>
      <c r="E566" s="743"/>
      <c r="F566" s="93"/>
      <c r="G566" s="745"/>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f t="shared" ref="B567:C567" si="1694">B566</f>
        <v>27</v>
      </c>
      <c r="C567" s="128">
        <f t="shared" si="1694"/>
        <v>1</v>
      </c>
      <c r="D567" s="127">
        <f t="shared" si="1634"/>
        <v>27</v>
      </c>
      <c r="E567" s="743"/>
      <c r="F567" s="93"/>
      <c r="G567" s="745"/>
      <c r="H567" s="134">
        <f t="shared" ref="H567" si="1695">COUNT($P567:$XX567)</f>
        <v>1</v>
      </c>
      <c r="I567" s="132">
        <f t="shared" ref="I567" si="1696">_xlfn.STDEV.P($P566:$XX567)/AVERAGE($P566:$XX567)</f>
        <v>0</v>
      </c>
      <c r="J567" s="7">
        <f>ROW()</f>
        <v>567</v>
      </c>
      <c r="K567" s="67"/>
      <c r="L567" s="29" t="s">
        <v>10</v>
      </c>
      <c r="M567" s="30">
        <f t="shared" ref="M567" si="1697">IFERROR(
IF(COUNTA(P561:AI561)=COUNTIF(P563:XX563,"Orçamento"),MIN(M572,M569),
IF(M570&lt;&gt;"",M570,
IF(M571&lt;&gt;"",M571,
M569
))),"")</f>
        <v>139.16999999999999</v>
      </c>
      <c r="N567" s="71"/>
      <c r="O567" s="27" t="s">
        <v>376</v>
      </c>
      <c r="P567" s="106">
        <f t="shared" ref="P567:AI567" si="1698">IFERROR(IF(P565="",
            "",
            IF(COUNT($P565:$XX565)&lt;=4,
               P565,
               IF(OR(P565&gt;(QUARTILE($P565:$XX565,3)+(QUARTILE($P565:$XX565,3)-QUARTILE($P565:$XX565,1))),
                     P565&lt;(QUARTILE($P565:$XX565,1)-(QUARTILE($P565:$XX565,3)-QUARTILE($P565:$XX565,1)))
                  ),
               "DESCARTADO",P565)
             )
  ),P565)</f>
        <v>139.16999999999999</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f t="shared" ref="B568" si="1699">B567</f>
        <v>27</v>
      </c>
      <c r="C568" s="128">
        <f t="shared" ref="C568" si="1700">C567</f>
        <v>1</v>
      </c>
      <c r="D568" s="127">
        <f t="shared" si="1634"/>
        <v>27</v>
      </c>
      <c r="E568" s="743"/>
      <c r="F568" s="93"/>
      <c r="G568" s="745"/>
      <c r="H568"/>
      <c r="I568"/>
      <c r="J568"/>
      <c r="K568" s="66"/>
      <c r="L568" s="29" t="s">
        <v>360</v>
      </c>
      <c r="M568" s="30">
        <f t="shared" ref="M568" si="1701">AVERAGE($P567:$XX567)</f>
        <v>139.16999999999999</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f t="shared" si="1633"/>
        <v>27</v>
      </c>
      <c r="C569" s="128">
        <f t="shared" si="1634"/>
        <v>1</v>
      </c>
      <c r="D569" s="127">
        <f t="shared" si="1634"/>
        <v>27</v>
      </c>
      <c r="E569" s="743"/>
      <c r="F569" s="93"/>
      <c r="G569" s="745"/>
      <c r="H569" s="134">
        <f t="shared" ref="H569" si="1703">COUNT($P569:$XX569)</f>
        <v>1</v>
      </c>
      <c r="I569" s="132">
        <f t="shared" ref="I569" si="1704">_xlfn.STDEV.P($P568:$XX569)/AVERAGE($P568:$XX569)</f>
        <v>0</v>
      </c>
      <c r="J569" s="7">
        <f t="shared" ref="J569" si="1705">IF(AND(H569&gt;2,
OR(L561="MÉDIA SANEADA",L561="MEDIANA SANEADA",
AND(L561="PREÇO ESTIMADO",NOT(AND(P563="Orçamento",COUNTA(P561:XX561)=COUNTIF(P563:XX563,"Orçamento")))))),
ROW(),0)</f>
        <v>0</v>
      </c>
      <c r="K569" s="66"/>
      <c r="L569" s="29" t="s">
        <v>361</v>
      </c>
      <c r="M569" s="30">
        <f t="shared" ref="M569" si="1706">MEDIAN($P567:$XX567)</f>
        <v>139.16999999999999</v>
      </c>
      <c r="N569" s="71"/>
      <c r="O569" s="27" t="str">
        <f t="shared" ref="O569" si="1707">"1 RODADA"</f>
        <v>1 RODADA</v>
      </c>
      <c r="P569" s="107">
        <f t="shared" ref="P569:AI569" si="1708">IF(P567="","",IF((_xlfn.STDEV.P($P566:$XX567)/AVERAGE($P566:$XX567))&lt;=25%,P567,IF(OR(P567&gt;(AVERAGE($P566:$XX567)+_xlfn.STDEV.P($P566:$XX567)),P567&lt;(AVERAGE($P566:$XX567)-_xlfn.STDEV.P($P566:$XX567))),"DESCARTADO",P567)))</f>
        <v>139.16999999999999</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f t="shared" si="1633"/>
        <v>27</v>
      </c>
      <c r="C570" s="128">
        <f t="shared" si="1634"/>
        <v>1</v>
      </c>
      <c r="D570" s="127">
        <f t="shared" si="1634"/>
        <v>27</v>
      </c>
      <c r="E570" s="743"/>
      <c r="F570" s="93"/>
      <c r="G570" s="745"/>
      <c r="H570"/>
      <c r="I570"/>
      <c r="J570"/>
      <c r="L570" s="29" t="s">
        <v>38</v>
      </c>
      <c r="M570" s="30">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139.16999999999999</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f t="shared" si="1633"/>
        <v>27</v>
      </c>
      <c r="C571" s="128">
        <f t="shared" si="1634"/>
        <v>1</v>
      </c>
      <c r="D571" s="127">
        <f t="shared" si="1634"/>
        <v>27</v>
      </c>
      <c r="E571" s="743"/>
      <c r="F571" s="93"/>
      <c r="G571" s="745"/>
      <c r="H571" s="134">
        <f t="shared" ref="H571" si="1711">COUNT($P571:$XX571)</f>
        <v>1</v>
      </c>
      <c r="I571" s="132">
        <f t="shared" ref="I571" si="1712">_xlfn.STDEV.P($P570:$XX571)/AVERAGE($P570:$XX571)</f>
        <v>0</v>
      </c>
      <c r="J571" s="7">
        <f t="shared" ref="J571" si="1713">IF(AND(H571&gt;2,
OR(L561="MÉDIA SANEADA",L561="MEDIANA SANEADA",
AND(L561="PREÇO ESTIMADO",NOT(AND(P563="Orçamento",COUNTA(P561:XX561)=COUNTIF(P563:XX563,"Orçamento")))))),
ROW(),0)</f>
        <v>0</v>
      </c>
      <c r="K571" s="66"/>
      <c r="L571" s="29" t="s">
        <v>362</v>
      </c>
      <c r="M571" s="30">
        <f t="shared" ref="M571" si="1714" xml:space="preserve">
IF(H569&gt;2,MEDIAN(P568:XX569),
IF(H571&gt;2,MEDIAN(P570:XX571),
IF(H573&gt;2,MEDIAN(P572:XX573),
IF(H575&gt;2,MEDIAN(P574:XX575),
IF(H577&gt;2,MEDIAN(P576:XX577),
IF(H579&gt;2,MEDIAN(P578:XX579),
MEDIAN(P566:XX567)))))))</f>
        <v>139.16999999999999</v>
      </c>
      <c r="N571" s="71"/>
      <c r="O571" s="27" t="str">
        <f t="shared" ref="O571" si="1715">"2 RODADA"</f>
        <v>2 RODADA</v>
      </c>
      <c r="P571" s="107">
        <f t="shared" ref="P571:AI571" si="1716">IF(P569="","",IF((_xlfn.STDEV.P($P568:$XX569)/AVERAGE($P568:$XX569))&lt;=25%,P569,IF(OR(P569&gt;(AVERAGE($P568:$XX569)+_xlfn.STDEV.P($P568:$XX569)),P569&lt;(AVERAGE($P568:$XX569)-_xlfn.STDEV.P($P568:$XX569))),"DESCARTADO",P569)))</f>
        <v>139.16999999999999</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f t="shared" si="1633"/>
        <v>27</v>
      </c>
      <c r="C572" s="128">
        <f t="shared" si="1634"/>
        <v>1</v>
      </c>
      <c r="D572" s="127">
        <f t="shared" si="1634"/>
        <v>27</v>
      </c>
      <c r="E572" s="743"/>
      <c r="F572" s="93"/>
      <c r="G572" s="745"/>
      <c r="H572"/>
      <c r="I572"/>
      <c r="J572"/>
      <c r="K572" s="66"/>
      <c r="L572" s="29" t="s">
        <v>359</v>
      </c>
      <c r="M572" s="30">
        <f t="shared" ref="M572" si="1717">HARMEAN($P566:$XX567)</f>
        <v>139.16999999999999</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f t="shared" si="1633"/>
        <v>27</v>
      </c>
      <c r="C573" s="128">
        <f t="shared" si="1634"/>
        <v>1</v>
      </c>
      <c r="D573" s="127">
        <f t="shared" si="1634"/>
        <v>27</v>
      </c>
      <c r="E573" s="743"/>
      <c r="F573" s="93"/>
      <c r="G573" s="745"/>
      <c r="H573" s="134">
        <f t="shared" ref="H573" si="1719">COUNT($P573:$XX573)</f>
        <v>1</v>
      </c>
      <c r="I573" s="132">
        <f t="shared" ref="I573" si="1720">_xlfn.STDEV.P($P572:$XX573)/AVERAGE($P572:$XX573)</f>
        <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f t="shared" ref="P573:AI573" si="1724">IF(P571="","",IF((_xlfn.STDEV.P($P570:$XX571)/AVERAGE($P570:$XX571))&lt;=25%,P571,IF(OR(P571&gt;(AVERAGE($P570:$XX571)+_xlfn.STDEV.P($P570:$XX571)),P571&lt;(AVERAGE($P570:$XX571)-_xlfn.STDEV.P($P570:$XX571))),"DESCARTADO",P571)))</f>
        <v>139.16999999999999</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f t="shared" si="1633"/>
        <v>27</v>
      </c>
      <c r="C574" s="128">
        <f t="shared" si="1634"/>
        <v>1</v>
      </c>
      <c r="D574" s="127">
        <f t="shared" si="1634"/>
        <v>27</v>
      </c>
      <c r="E574" s="743"/>
      <c r="F574" s="93"/>
      <c r="G574" s="745"/>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f t="shared" si="1633"/>
        <v>27</v>
      </c>
      <c r="C575" s="128">
        <f t="shared" si="1634"/>
        <v>1</v>
      </c>
      <c r="D575" s="127">
        <f t="shared" si="1634"/>
        <v>27</v>
      </c>
      <c r="E575" s="743"/>
      <c r="F575" s="93"/>
      <c r="G575" s="745"/>
      <c r="H575" s="134">
        <f t="shared" ref="H575" si="1727">COUNT($P575:$XX575)</f>
        <v>1</v>
      </c>
      <c r="I575" s="132">
        <f t="shared" ref="I575" si="1728">_xlfn.STDEV.P($P574:$XX575)/AVERAGE($P574:$XX575)</f>
        <v>0</v>
      </c>
      <c r="J575" s="7">
        <f t="shared" ref="J575" si="1729">IF(AND(H575&gt;2,
OR(L561="MÉDIA SANEADA",L561="MEDIANA SANEADA",
AND(L561="PREÇO ESTIMADO",NOT(AND(P563="Orçamento",COUNTA(P561:XX561)=COUNTIF(P563:XX563,"Orçamento")))))),
ROW(),0)</f>
        <v>0</v>
      </c>
      <c r="K575" s="66"/>
      <c r="L575" s="29" t="s">
        <v>42</v>
      </c>
      <c r="M575" s="30">
        <f t="shared" ref="M575" si="1730">MIN($P567:$XX567)</f>
        <v>139.16999999999999</v>
      </c>
      <c r="N575" s="71"/>
      <c r="O575" s="27" t="str">
        <f t="shared" ref="O575" si="1731">"4 RODADA"</f>
        <v>4 RODADA</v>
      </c>
      <c r="P575" s="107">
        <f t="shared" ref="P575:AI575" si="1732">IF(P573="","",IF((_xlfn.STDEV.P($P572:$XX573)/AVERAGE($P572:$XX573))&lt;=25%,P573,IF(OR(P573&gt;(AVERAGE($P572:$XX573)+_xlfn.STDEV.P($P572:$XX573)),P573&lt;(AVERAGE($P572:$XX573)-_xlfn.STDEV.P($P572:$XX573))),"DESCARTADO",P573)))</f>
        <v>139.16999999999999</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f t="shared" si="1633"/>
        <v>27</v>
      </c>
      <c r="C576" s="128">
        <f t="shared" si="1634"/>
        <v>1</v>
      </c>
      <c r="D576" s="127">
        <f t="shared" si="1634"/>
        <v>27</v>
      </c>
      <c r="E576" s="743"/>
      <c r="F576" s="93"/>
      <c r="G576" s="745"/>
      <c r="H576"/>
      <c r="I576"/>
      <c r="J576"/>
      <c r="K576" s="66"/>
      <c r="L576" s="29" t="s">
        <v>40</v>
      </c>
      <c r="M576" s="30">
        <f t="shared" ref="M576" si="1733">MAX($P567:$XX567)</f>
        <v>139.16999999999999</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f t="shared" si="1633"/>
        <v>27</v>
      </c>
      <c r="C577" s="128">
        <f t="shared" si="1634"/>
        <v>1</v>
      </c>
      <c r="D577" s="127">
        <f t="shared" si="1634"/>
        <v>27</v>
      </c>
      <c r="E577" s="743"/>
      <c r="F577" s="93"/>
      <c r="G577" s="745"/>
      <c r="H577" s="134">
        <f t="shared" ref="H577" si="1735">COUNT($P577:$XX577)</f>
        <v>1</v>
      </c>
      <c r="I577" s="132">
        <f t="shared" ref="I577" si="1736">_xlfn.STDEV.P($P576:$XX577)/AVERAGE($P576:$XX577)</f>
        <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f t="shared" ref="P577:AI577" si="1739">IF(P575="","",IF((_xlfn.STDEV.P($P574:$XX575)/AVERAGE($P574:$XX575))&lt;=25%,P575,IF(OR(P575&gt;(AVERAGE($P574:$XX575)+_xlfn.STDEV.P($P574:$XX575)),P575&lt;(AVERAGE($P574:$XX575)-_xlfn.STDEV.P($P574:$XX575))),"DESCARTADO",P575)))</f>
        <v>139.16999999999999</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f t="shared" si="1633"/>
        <v>27</v>
      </c>
      <c r="C578" s="128">
        <f t="shared" si="1634"/>
        <v>1</v>
      </c>
      <c r="D578" s="127">
        <f t="shared" si="1634"/>
        <v>27</v>
      </c>
      <c r="E578" s="743"/>
      <c r="F578" s="93"/>
      <c r="G578" s="745"/>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f t="shared" si="1633"/>
        <v>27</v>
      </c>
      <c r="C579" s="128">
        <f t="shared" si="1634"/>
        <v>1</v>
      </c>
      <c r="D579" s="127">
        <f t="shared" si="1634"/>
        <v>27</v>
      </c>
      <c r="E579" s="743"/>
      <c r="F579" s="93"/>
      <c r="G579" s="745"/>
      <c r="H579" s="134">
        <f t="shared" ref="H579" si="1741">COUNT($P579:$XX579)</f>
        <v>1</v>
      </c>
      <c r="I579" s="132">
        <f t="shared" ref="I579" si="1742">_xlfn.STDEV.P($P578:$XX579)/AVERAGE($P578:$XX579)</f>
        <v>0</v>
      </c>
      <c r="J579" s="7">
        <f t="shared" ref="J579" si="1743">IF(AND(H579&gt;2,
OR(L561="MÉDIA SANEADA",L561="MEDIANA SANEADA",
AND(L561="PREÇO ESTIMADO",NOT(AND(P563="Orçamento",COUNTA(P561:XX561)=COUNTIF(P563:XX563,"Orçamento")))))),
ROW(),0)</f>
        <v>0</v>
      </c>
      <c r="N579" s="71"/>
      <c r="O579" s="27" t="str">
        <f t="shared" ref="O579" si="1744">"6 RODADA"</f>
        <v>6 RODADA</v>
      </c>
      <c r="P579" s="107">
        <f t="shared" ref="P579:AI579" si="1745">IFERROR(IF(P577="","",IF((_xlfn.STDEV.P($P576:$XX577)/AVERAGE($P576:$XX577))&lt;=25%,P577,IF(OR(P577&gt;(AVERAGE($P576:$XX577)+_xlfn.STDEV.P($P576:$XX577)),P577&lt;(AVERAGE($P576:$XX577)-_xlfn.STDEV.P($P576:$XX577))),"DESCARTADO",P577))),)</f>
        <v>139.16999999999999</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f t="shared" si="1633"/>
        <v>27</v>
      </c>
      <c r="C580" s="128">
        <f t="shared" si="1634"/>
        <v>1</v>
      </c>
      <c r="D580" s="127">
        <f t="shared" si="1634"/>
        <v>27</v>
      </c>
      <c r="E580" s="743"/>
      <c r="F580" s="136"/>
      <c r="G580" s="745"/>
      <c r="H580" s="748"/>
      <c r="I580" s="748"/>
      <c r="J580" s="749"/>
      <c r="K580" s="67"/>
      <c r="L580" s="1" t="s">
        <v>43</v>
      </c>
      <c r="M580" s="144">
        <f t="shared" ref="M580" si="1746">IFERROR(ROUND(M561*M563,2),"")</f>
        <v>139.16999999999999</v>
      </c>
      <c r="O580" s="27" t="s">
        <v>363</v>
      </c>
      <c r="P580" s="107">
        <f t="shared" ref="P580:R580" si="1747">INDEX(P567:P579,MATCH(MAX($J567:$J579),$J567:$J579,0))</f>
        <v>139.16999999999999</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f t="shared" ref="B582" si="1748">LARGE(IFERROR(IF(B580+1&gt;$H$8,"",B580+1),""),1)</f>
        <v>28</v>
      </c>
      <c r="C582" s="127">
        <f>IF(_xlfn.ISFORMULA(E586),MAX(INDEX('BASE FORMAÇÃO'!A:A,B582+1),1),E586)</f>
        <v>1</v>
      </c>
      <c r="D582" s="127">
        <f t="shared" ref="D582" si="1749">IFERROR(IF(C582=C572,D572+1,1),1)</f>
        <v>28</v>
      </c>
      <c r="E582" s="38" t="s">
        <v>9</v>
      </c>
      <c r="F582" s="73"/>
      <c r="G582" s="38" t="s">
        <v>15</v>
      </c>
      <c r="H582" s="135">
        <f>INDEX('BASE FORMAÇÃO'!B:B,B582+1)</f>
        <v>0</v>
      </c>
      <c r="I582" s="143" t="s">
        <v>16</v>
      </c>
      <c r="J582" s="6">
        <f>INDEX('BASE FORMAÇÃO'!K:K,B582+1)</f>
        <v>0</v>
      </c>
      <c r="K582" s="65"/>
      <c r="L582" s="750" t="s">
        <v>10</v>
      </c>
      <c r="M582" s="752">
        <f t="shared" ref="M582" si="1750">IF(OR(ISBLANK($O$8),ISBLANK($O$7),ISBLANK($H$8),ISBLANK($O$6),ISBLANK($O$5),ISBLANK($H$5)),"",IFERROR(IF(VLOOKUP(L582,L588:M597,2,FALSE)&lt;1,ROUND(VLOOKUP(L582,L588:M597,2,FALSE),4),ROUND(VLOOKUP(L582,L588:M597,2,FALSE),2)),""))</f>
        <v>2431.67</v>
      </c>
      <c r="N582" s="69"/>
      <c r="O582" s="27" t="s">
        <v>17</v>
      </c>
      <c r="P582" s="113">
        <v>2300</v>
      </c>
      <c r="Q582" s="113">
        <v>2500</v>
      </c>
      <c r="R582" s="113">
        <v>2495</v>
      </c>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f t="shared" ref="B583:D583" si="1751">B582</f>
        <v>28</v>
      </c>
      <c r="C583" s="128">
        <f t="shared" si="1751"/>
        <v>1</v>
      </c>
      <c r="D583" s="127">
        <f t="shared" si="1751"/>
        <v>28</v>
      </c>
      <c r="E583" s="754">
        <f t="shared" ref="E583" si="1752">D582</f>
        <v>28</v>
      </c>
      <c r="F583" s="92"/>
      <c r="G583" s="756" t="s">
        <v>1</v>
      </c>
      <c r="H583" s="765" t="s">
        <v>767</v>
      </c>
      <c r="I583" s="759"/>
      <c r="J583" s="760"/>
      <c r="K583" s="66"/>
      <c r="L583" s="751"/>
      <c r="M583" s="753"/>
      <c r="N583" s="70"/>
      <c r="O583" s="27" t="s">
        <v>13</v>
      </c>
      <c r="P583" s="122">
        <v>45751</v>
      </c>
      <c r="Q583" s="122">
        <v>45748</v>
      </c>
      <c r="R583" s="122">
        <v>45734</v>
      </c>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f t="shared" ref="B584:D584" si="1753">B583</f>
        <v>28</v>
      </c>
      <c r="C584" s="128">
        <f t="shared" si="1753"/>
        <v>1</v>
      </c>
      <c r="D584" s="127">
        <f t="shared" si="1753"/>
        <v>28</v>
      </c>
      <c r="E584" s="755"/>
      <c r="F584" s="93"/>
      <c r="G584" s="757"/>
      <c r="H584" s="761"/>
      <c r="I584" s="761"/>
      <c r="J584" s="762"/>
      <c r="K584" s="64"/>
      <c r="L584" s="130" t="s">
        <v>44</v>
      </c>
      <c r="M584" s="131">
        <v>1</v>
      </c>
      <c r="N584" s="71"/>
      <c r="O584" s="27" t="s">
        <v>380</v>
      </c>
      <c r="P584" s="114" t="s">
        <v>12</v>
      </c>
      <c r="Q584" s="114" t="s">
        <v>12</v>
      </c>
      <c r="R584" s="114" t="s">
        <v>12</v>
      </c>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f t="shared" ref="B585:C585" si="1754">B584</f>
        <v>28</v>
      </c>
      <c r="C585" s="128">
        <f t="shared" si="1754"/>
        <v>1</v>
      </c>
      <c r="D585" s="127">
        <f t="shared" si="1634"/>
        <v>28</v>
      </c>
      <c r="E585" s="38" t="s">
        <v>313</v>
      </c>
      <c r="F585" s="93"/>
      <c r="G585" s="758"/>
      <c r="H585" s="763"/>
      <c r="I585" s="763"/>
      <c r="J585" s="764"/>
      <c r="K585" s="64"/>
      <c r="L585" s="1" t="s">
        <v>2</v>
      </c>
      <c r="M585" s="6" t="s">
        <v>206</v>
      </c>
      <c r="N585" s="71"/>
      <c r="O585" s="27" t="s">
        <v>381</v>
      </c>
      <c r="P585" s="182" t="s">
        <v>450</v>
      </c>
      <c r="Q585" s="182" t="s">
        <v>450</v>
      </c>
      <c r="R585" s="182" t="s">
        <v>450</v>
      </c>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f t="shared" ref="B586:C586" si="1755">B584</f>
        <v>28</v>
      </c>
      <c r="C586" s="128">
        <f t="shared" si="1755"/>
        <v>1</v>
      </c>
      <c r="D586" s="127">
        <f t="shared" si="1634"/>
        <v>28</v>
      </c>
      <c r="E586" s="742">
        <f t="shared" ref="E586" si="1756">C582</f>
        <v>1</v>
      </c>
      <c r="F586" s="93"/>
      <c r="G586" s="744" t="s">
        <v>304</v>
      </c>
      <c r="H586" s="746"/>
      <c r="I586" s="747"/>
      <c r="J586" s="747"/>
      <c r="K586" s="67"/>
      <c r="L586" s="28" t="s">
        <v>303</v>
      </c>
      <c r="M586" s="133">
        <f t="shared" ref="M586" si="1757">IFERROR(INDEX(I588:I600,MATCH(MAX(J588:J600),J588:J600,0)),"")</f>
        <v>3.8296682781902659E-2</v>
      </c>
      <c r="N586" s="71"/>
      <c r="O586" s="27" t="s">
        <v>18</v>
      </c>
      <c r="P586" s="106">
        <f>IF(P582="","",
IF(OR(P584="Orçamento",P583="",MAX('Tabela de Apoio'!$A:$A)&lt;=P583),
P582,
(INDEX('Tabela de Apoio'!$B:$B,MATCH('MAPA DE PREÇOS'!$O$8,'Tabela de Apoio'!$A:$A,1))/INDEX('Tabela de Apoio'!$B:$B,MATCH('MAPA DE PREÇOS'!P583,'Tabela de Apoio'!$A:$A,1)-1))*P582))</f>
        <v>2300</v>
      </c>
      <c r="Q586" s="106">
        <f>IF(Q582="","",
IF(OR(Q584="Orçamento",Q583="",MAX('Tabela de Apoio'!$A:$A)&lt;=Q583),
Q582,
(INDEX('Tabela de Apoio'!$B:$B,MATCH('MAPA DE PREÇOS'!$O$8,'Tabela de Apoio'!$A:$A,1))/INDEX('Tabela de Apoio'!$B:$B,MATCH('MAPA DE PREÇOS'!Q583,'Tabela de Apoio'!$A:$A,1)-1))*Q582))</f>
        <v>2500</v>
      </c>
      <c r="R586" s="106">
        <f>IF(R582="","",
IF(OR(R584="Orçamento",R583="",MAX('Tabela de Apoio'!$A:$A)&lt;=R583),
R582,
(INDEX('Tabela de Apoio'!$B:$B,MATCH('MAPA DE PREÇOS'!$O$8,'Tabela de Apoio'!$A:$A,1))/INDEX('Tabela de Apoio'!$B:$B,MATCH('MAPA DE PREÇOS'!R583,'Tabela de Apoio'!$A:$A,1)-1))*R582))</f>
        <v>2495</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f t="shared" ref="B587" si="1758">B586</f>
        <v>28</v>
      </c>
      <c r="C587" s="128">
        <f t="shared" ref="C587" si="1759">C586</f>
        <v>1</v>
      </c>
      <c r="D587" s="127">
        <f t="shared" si="1634"/>
        <v>28</v>
      </c>
      <c r="E587" s="743"/>
      <c r="F587" s="93"/>
      <c r="G587" s="745"/>
      <c r="H587"/>
      <c r="I587"/>
      <c r="J587"/>
      <c r="N587" s="71"/>
      <c r="O587" s="27" t="s">
        <v>375</v>
      </c>
      <c r="P587" s="107">
        <f>IF(IFERROR(VLOOKUP(P584,'Tabela de Apoio'!$D:$E,2,FALSE),1)=1,"",P588)</f>
        <v>2300</v>
      </c>
      <c r="Q587" s="107">
        <f>IF(IFERROR(VLOOKUP(Q584,'Tabela de Apoio'!$D:$E,2,FALSE),1)=1,"",Q588)</f>
        <v>2500</v>
      </c>
      <c r="R587" s="107">
        <f>IF(IFERROR(VLOOKUP(R584,'Tabela de Apoio'!$D:$E,2,FALSE),1)=1,"",R588)</f>
        <v>2495</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f t="shared" ref="B588:C588" si="1760">B587</f>
        <v>28</v>
      </c>
      <c r="C588" s="128">
        <f t="shared" si="1760"/>
        <v>1</v>
      </c>
      <c r="D588" s="127">
        <f t="shared" si="1634"/>
        <v>28</v>
      </c>
      <c r="E588" s="743"/>
      <c r="F588" s="93"/>
      <c r="G588" s="745"/>
      <c r="H588" s="134">
        <f t="shared" ref="H588" si="1761">COUNT($P588:$XX588)</f>
        <v>3</v>
      </c>
      <c r="I588" s="132">
        <f t="shared" ref="I588" si="1762">_xlfn.STDEV.P($P587:$XX588)/AVERAGE($P587:$XX588)</f>
        <v>3.8296682781902659E-2</v>
      </c>
      <c r="J588" s="7">
        <f>ROW()</f>
        <v>588</v>
      </c>
      <c r="K588" s="67"/>
      <c r="L588" s="29" t="s">
        <v>10</v>
      </c>
      <c r="M588" s="30">
        <f t="shared" ref="M588" si="1763">IFERROR(
IF(COUNTA(P582:AI582)=COUNTIF(P584:XX584,"Orçamento"),MIN(M593,M590),
IF(M591&lt;&gt;"",M591,
IF(M592&lt;&gt;"",M592,
M590
))),"")</f>
        <v>2431.6666666666665</v>
      </c>
      <c r="N588" s="71"/>
      <c r="O588" s="27" t="s">
        <v>376</v>
      </c>
      <c r="P588" s="106">
        <f t="shared" ref="P588:AI588" si="1764">IFERROR(IF(P586="",
            "",
            IF(COUNT($P586:$XX586)&lt;=4,
               P586,
               IF(OR(P586&gt;(QUARTILE($P586:$XX586,3)+(QUARTILE($P586:$XX586,3)-QUARTILE($P586:$XX586,1))),
                     P586&lt;(QUARTILE($P586:$XX586,1)-(QUARTILE($P586:$XX586,3)-QUARTILE($P586:$XX586,1)))
                  ),
               "DESCARTADO",P586)
             )
  ),P586)</f>
        <v>2300</v>
      </c>
      <c r="Q588" s="106">
        <f t="shared" si="1764"/>
        <v>2500</v>
      </c>
      <c r="R588" s="106">
        <f t="shared" si="1764"/>
        <v>2495</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f t="shared" ref="B589" si="1765">B588</f>
        <v>28</v>
      </c>
      <c r="C589" s="128">
        <f t="shared" ref="C589" si="1766">C588</f>
        <v>1</v>
      </c>
      <c r="D589" s="127">
        <f t="shared" si="1634"/>
        <v>28</v>
      </c>
      <c r="E589" s="743"/>
      <c r="F589" s="93"/>
      <c r="G589" s="745"/>
      <c r="H589"/>
      <c r="I589"/>
      <c r="J589"/>
      <c r="K589" s="66"/>
      <c r="L589" s="29" t="s">
        <v>360</v>
      </c>
      <c r="M589" s="30">
        <f t="shared" ref="M589" si="1767">AVERAGE($P588:$XX588)</f>
        <v>2431.6666666666665</v>
      </c>
      <c r="N589" s="71"/>
      <c r="O589" s="27" t="str">
        <f t="shared" ref="O589" si="1768">"1 POND"</f>
        <v>1 POND</v>
      </c>
      <c r="P589" s="107">
        <f>IF(IFERROR(VLOOKUP(P584,'Tabela de Apoio'!$D:$E,2,FALSE),1)=1,"",P590)</f>
        <v>2300</v>
      </c>
      <c r="Q589" s="107">
        <f>IF(IFERROR(VLOOKUP(Q584,'Tabela de Apoio'!$D:$E,2,FALSE),1)=1,"",Q590)</f>
        <v>2500</v>
      </c>
      <c r="R589" s="107">
        <f>IF(IFERROR(VLOOKUP(R584,'Tabela de Apoio'!$D:$E,2,FALSE),1)=1,"",R590)</f>
        <v>2495</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f t="shared" si="1633"/>
        <v>28</v>
      </c>
      <c r="C590" s="128">
        <f t="shared" si="1634"/>
        <v>1</v>
      </c>
      <c r="D590" s="127">
        <f t="shared" si="1634"/>
        <v>28</v>
      </c>
      <c r="E590" s="743"/>
      <c r="F590" s="93"/>
      <c r="G590" s="745"/>
      <c r="H590" s="134">
        <f t="shared" ref="H590" si="1769">COUNT($P590:$XX590)</f>
        <v>3</v>
      </c>
      <c r="I590" s="132">
        <f t="shared" ref="I590" si="1770">_xlfn.STDEV.P($P589:$XX590)/AVERAGE($P589:$XX590)</f>
        <v>3.8296682781902659E-2</v>
      </c>
      <c r="J590" s="7">
        <f t="shared" ref="J590" si="1771">IF(AND(H590&gt;2,
OR(L582="MÉDIA SANEADA",L582="MEDIANA SANEADA",
AND(L582="PREÇO ESTIMADO",NOT(AND(P584="Orçamento",COUNTA(P582:XX582)=COUNTIF(P584:XX584,"Orçamento")))))),
ROW(),0)</f>
        <v>590</v>
      </c>
      <c r="K590" s="66"/>
      <c r="L590" s="29" t="s">
        <v>361</v>
      </c>
      <c r="M590" s="30">
        <f t="shared" ref="M590" si="1772">MEDIAN($P588:$XX588)</f>
        <v>2495</v>
      </c>
      <c r="N590" s="71"/>
      <c r="O590" s="27" t="str">
        <f t="shared" ref="O590" si="1773">"1 RODADA"</f>
        <v>1 RODADA</v>
      </c>
      <c r="P590" s="107">
        <f t="shared" ref="P590:AI590" si="1774">IF(P588="","",IF((_xlfn.STDEV.P($P587:$XX588)/AVERAGE($P587:$XX588))&lt;=25%,P588,IF(OR(P588&gt;(AVERAGE($P587:$XX588)+_xlfn.STDEV.P($P587:$XX588)),P588&lt;(AVERAGE($P587:$XX588)-_xlfn.STDEV.P($P587:$XX588))),"DESCARTADO",P588)))</f>
        <v>2300</v>
      </c>
      <c r="Q590" s="107">
        <f t="shared" si="1774"/>
        <v>2500</v>
      </c>
      <c r="R590" s="107">
        <f t="shared" si="1774"/>
        <v>2495</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f t="shared" si="1633"/>
        <v>28</v>
      </c>
      <c r="C591" s="128">
        <f t="shared" si="1634"/>
        <v>1</v>
      </c>
      <c r="D591" s="127">
        <f t="shared" si="1634"/>
        <v>28</v>
      </c>
      <c r="E591" s="743"/>
      <c r="F591" s="93"/>
      <c r="G591" s="745"/>
      <c r="H591"/>
      <c r="I591"/>
      <c r="J591"/>
      <c r="L591" s="29" t="s">
        <v>38</v>
      </c>
      <c r="M591" s="30">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2431.6666666666665</v>
      </c>
      <c r="N591" s="71"/>
      <c r="O591" s="27" t="str">
        <f t="shared" ref="O591" si="1776">"2 POND"</f>
        <v>2 POND</v>
      </c>
      <c r="P591" s="107">
        <f>IF(IFERROR(VLOOKUP(P584,'Tabela de Apoio'!$D:$E,2,FALSE),1)=1,"",P592)</f>
        <v>2300</v>
      </c>
      <c r="Q591" s="107">
        <f>IF(IFERROR(VLOOKUP(Q584,'Tabela de Apoio'!$D:$E,2,FALSE),1)=1,"",Q592)</f>
        <v>2500</v>
      </c>
      <c r="R591" s="107">
        <f>IF(IFERROR(VLOOKUP(R584,'Tabela de Apoio'!$D:$E,2,FALSE),1)=1,"",R592)</f>
        <v>2495</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f t="shared" si="1633"/>
        <v>28</v>
      </c>
      <c r="C592" s="128">
        <f t="shared" si="1634"/>
        <v>1</v>
      </c>
      <c r="D592" s="127">
        <f t="shared" si="1634"/>
        <v>28</v>
      </c>
      <c r="E592" s="743"/>
      <c r="F592" s="93"/>
      <c r="G592" s="745"/>
      <c r="H592" s="134">
        <f t="shared" ref="H592" si="1777">COUNT($P592:$XX592)</f>
        <v>3</v>
      </c>
      <c r="I592" s="132">
        <f t="shared" ref="I592" si="1778">_xlfn.STDEV.P($P591:$XX592)/AVERAGE($P591:$XX592)</f>
        <v>3.8296682781902659E-2</v>
      </c>
      <c r="J592" s="7">
        <f t="shared" ref="J592" si="1779">IF(AND(H592&gt;2,
OR(L582="MÉDIA SANEADA",L582="MEDIANA SANEADA",
AND(L582="PREÇO ESTIMADO",NOT(AND(P584="Orçamento",COUNTA(P582:XX582)=COUNTIF(P584:XX584,"Orçamento")))))),
ROW(),0)</f>
        <v>592</v>
      </c>
      <c r="K592" s="66"/>
      <c r="L592" s="29" t="s">
        <v>362</v>
      </c>
      <c r="M592" s="30">
        <f t="shared" ref="M592" si="1780" xml:space="preserve">
IF(H590&gt;2,MEDIAN(P589:XX590),
IF(H592&gt;2,MEDIAN(P591:XX592),
IF(H594&gt;2,MEDIAN(P593:XX594),
IF(H596&gt;2,MEDIAN(P595:XX596),
IF(H598&gt;2,MEDIAN(P597:XX598),
IF(H600&gt;2,MEDIAN(P599:XX600),
MEDIAN(P587:XX588)))))))</f>
        <v>2495</v>
      </c>
      <c r="N592" s="71"/>
      <c r="O592" s="27" t="str">
        <f t="shared" ref="O592" si="1781">"2 RODADA"</f>
        <v>2 RODADA</v>
      </c>
      <c r="P592" s="107">
        <f t="shared" ref="P592:AI592" si="1782">IF(P590="","",IF((_xlfn.STDEV.P($P589:$XX590)/AVERAGE($P589:$XX590))&lt;=25%,P590,IF(OR(P590&gt;(AVERAGE($P589:$XX590)+_xlfn.STDEV.P($P589:$XX590)),P590&lt;(AVERAGE($P589:$XX590)-_xlfn.STDEV.P($P589:$XX590))),"DESCARTADO",P590)))</f>
        <v>2300</v>
      </c>
      <c r="Q592" s="107">
        <f t="shared" si="1782"/>
        <v>2500</v>
      </c>
      <c r="R592" s="107">
        <f t="shared" si="1782"/>
        <v>2495</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f t="shared" si="1633"/>
        <v>28</v>
      </c>
      <c r="C593" s="128">
        <f t="shared" si="1634"/>
        <v>1</v>
      </c>
      <c r="D593" s="127">
        <f t="shared" si="1634"/>
        <v>28</v>
      </c>
      <c r="E593" s="743"/>
      <c r="F593" s="93"/>
      <c r="G593" s="745"/>
      <c r="H593"/>
      <c r="I593"/>
      <c r="J593"/>
      <c r="K593" s="66"/>
      <c r="L593" s="29" t="s">
        <v>359</v>
      </c>
      <c r="M593" s="30">
        <f t="shared" ref="M593" si="1783">HARMEAN($P587:$XX588)</f>
        <v>2428.0012411147468</v>
      </c>
      <c r="N593" s="71"/>
      <c r="O593" s="27" t="str">
        <f t="shared" ref="O593" si="1784">"3 POND"</f>
        <v>3 POND</v>
      </c>
      <c r="P593" s="107">
        <f>IF(IFERROR(VLOOKUP(P584,'Tabela de Apoio'!$D:$E,2,FALSE),1)=1,"",P594)</f>
        <v>2300</v>
      </c>
      <c r="Q593" s="107">
        <f>IF(IFERROR(VLOOKUP(Q584,'Tabela de Apoio'!$D:$E,2,FALSE),1)=1,"",Q594)</f>
        <v>2500</v>
      </c>
      <c r="R593" s="107">
        <f>IF(IFERROR(VLOOKUP(R584,'Tabela de Apoio'!$D:$E,2,FALSE),1)=1,"",R594)</f>
        <v>2495</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f t="shared" si="1633"/>
        <v>28</v>
      </c>
      <c r="C594" s="128">
        <f t="shared" si="1634"/>
        <v>1</v>
      </c>
      <c r="D594" s="127">
        <f t="shared" si="1634"/>
        <v>28</v>
      </c>
      <c r="E594" s="743"/>
      <c r="F594" s="93"/>
      <c r="G594" s="745"/>
      <c r="H594" s="134">
        <f t="shared" ref="H594" si="1785">COUNT($P594:$XX594)</f>
        <v>3</v>
      </c>
      <c r="I594" s="132">
        <f t="shared" ref="I594" si="1786">_xlfn.STDEV.P($P593:$XX594)/AVERAGE($P593:$XX594)</f>
        <v>3.8296682781902659E-2</v>
      </c>
      <c r="J594" s="7">
        <f t="shared" ref="J594" si="1787">IF(AND(H594&gt;2,
OR(L582="MÉDIA SANEADA",L582="MEDIANA SANEADA",
AND(L582="PREÇO ESTIMADO",NOT(AND(P584="Orçamento",COUNTA(P582:XX582)=COUNTIF(P584:XX584,"Orçamento")))))),
ROW(),0)</f>
        <v>594</v>
      </c>
      <c r="K594" s="66"/>
      <c r="L594" s="29" t="s">
        <v>41</v>
      </c>
      <c r="M594" s="30">
        <f t="shared" ref="M594" si="1788">IFERROR(_xlfn.QUARTILE.EXC($P588:$XX588,1),"")</f>
        <v>2300</v>
      </c>
      <c r="N594" s="71"/>
      <c r="O594" s="27" t="str">
        <f t="shared" ref="O594" si="1789">"3 RODADA"</f>
        <v>3 RODADA</v>
      </c>
      <c r="P594" s="107">
        <f t="shared" ref="P594:AI594" si="1790">IF(P592="","",IF((_xlfn.STDEV.P($P591:$XX592)/AVERAGE($P591:$XX592))&lt;=25%,P592,IF(OR(P592&gt;(AVERAGE($P591:$XX592)+_xlfn.STDEV.P($P591:$XX592)),P592&lt;(AVERAGE($P591:$XX592)-_xlfn.STDEV.P($P591:$XX592))),"DESCARTADO",P592)))</f>
        <v>2300</v>
      </c>
      <c r="Q594" s="107">
        <f t="shared" si="1790"/>
        <v>2500</v>
      </c>
      <c r="R594" s="107">
        <f t="shared" si="1790"/>
        <v>2495</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f t="shared" si="1633"/>
        <v>28</v>
      </c>
      <c r="C595" s="128">
        <f t="shared" si="1634"/>
        <v>1</v>
      </c>
      <c r="D595" s="127">
        <f t="shared" si="1634"/>
        <v>28</v>
      </c>
      <c r="E595" s="743"/>
      <c r="F595" s="93"/>
      <c r="G595" s="745"/>
      <c r="H595"/>
      <c r="I595"/>
      <c r="J595"/>
      <c r="K595" s="66"/>
      <c r="L595" s="29" t="s">
        <v>39</v>
      </c>
      <c r="M595" s="30">
        <f t="shared" ref="M595" si="1791">IFERROR(_xlfn.QUARTILE.EXC($P588:$XX588,3),"")</f>
        <v>2500</v>
      </c>
      <c r="N595" s="71"/>
      <c r="O595" s="27" t="str">
        <f t="shared" ref="O595" si="1792">"4 POND"</f>
        <v>4 POND</v>
      </c>
      <c r="P595" s="107">
        <f>IF(IFERROR(VLOOKUP(P584,'Tabela de Apoio'!$D:$E,2,FALSE),1)=1,"",P596)</f>
        <v>2300</v>
      </c>
      <c r="Q595" s="107">
        <f>IF(IFERROR(VLOOKUP(Q584,'Tabela de Apoio'!$D:$E,2,FALSE),1)=1,"",Q596)</f>
        <v>2500</v>
      </c>
      <c r="R595" s="107">
        <f>IF(IFERROR(VLOOKUP(R584,'Tabela de Apoio'!$D:$E,2,FALSE),1)=1,"",R596)</f>
        <v>2495</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f t="shared" si="1633"/>
        <v>28</v>
      </c>
      <c r="C596" s="128">
        <f t="shared" si="1634"/>
        <v>1</v>
      </c>
      <c r="D596" s="127">
        <f t="shared" si="1634"/>
        <v>28</v>
      </c>
      <c r="E596" s="743"/>
      <c r="F596" s="93"/>
      <c r="G596" s="745"/>
      <c r="H596" s="134">
        <f t="shared" ref="H596" si="1793">COUNT($P596:$XX596)</f>
        <v>3</v>
      </c>
      <c r="I596" s="132">
        <f t="shared" ref="I596" si="1794">_xlfn.STDEV.P($P595:$XX596)/AVERAGE($P595:$XX596)</f>
        <v>3.8296682781902659E-2</v>
      </c>
      <c r="J596" s="7">
        <f t="shared" ref="J596" si="1795">IF(AND(H596&gt;2,
OR(L582="MÉDIA SANEADA",L582="MEDIANA SANEADA",
AND(L582="PREÇO ESTIMADO",NOT(AND(P584="Orçamento",COUNTA(P582:XX582)=COUNTIF(P584:XX584,"Orçamento")))))),
ROW(),0)</f>
        <v>596</v>
      </c>
      <c r="K596" s="66"/>
      <c r="L596" s="29" t="s">
        <v>42</v>
      </c>
      <c r="M596" s="30">
        <f t="shared" ref="M596" si="1796">MIN($P588:$XX588)</f>
        <v>2300</v>
      </c>
      <c r="N596" s="71"/>
      <c r="O596" s="27" t="str">
        <f t="shared" ref="O596" si="1797">"4 RODADA"</f>
        <v>4 RODADA</v>
      </c>
      <c r="P596" s="107">
        <f t="shared" ref="P596:AI596" si="1798">IF(P594="","",IF((_xlfn.STDEV.P($P593:$XX594)/AVERAGE($P593:$XX594))&lt;=25%,P594,IF(OR(P594&gt;(AVERAGE($P593:$XX594)+_xlfn.STDEV.P($P593:$XX594)),P594&lt;(AVERAGE($P593:$XX594)-_xlfn.STDEV.P($P593:$XX594))),"DESCARTADO",P594)))</f>
        <v>2300</v>
      </c>
      <c r="Q596" s="107">
        <f t="shared" si="1798"/>
        <v>2500</v>
      </c>
      <c r="R596" s="107">
        <f t="shared" si="1798"/>
        <v>2495</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f t="shared" si="1633"/>
        <v>28</v>
      </c>
      <c r="C597" s="128">
        <f t="shared" si="1634"/>
        <v>1</v>
      </c>
      <c r="D597" s="127">
        <f t="shared" si="1634"/>
        <v>28</v>
      </c>
      <c r="E597" s="743"/>
      <c r="F597" s="93"/>
      <c r="G597" s="745"/>
      <c r="H597"/>
      <c r="I597"/>
      <c r="J597"/>
      <c r="K597" s="66"/>
      <c r="L597" s="29" t="s">
        <v>40</v>
      </c>
      <c r="M597" s="30">
        <f t="shared" ref="M597" si="1799">MAX($P588:$XX588)</f>
        <v>2500</v>
      </c>
      <c r="N597" s="71"/>
      <c r="O597" s="27" t="str">
        <f t="shared" ref="O597" si="1800">"5 POND"</f>
        <v>5 POND</v>
      </c>
      <c r="P597" s="107">
        <f>IF(IFERROR(VLOOKUP(P584,'Tabela de Apoio'!$D:$E,2,FALSE),1)=1,"",P598)</f>
        <v>2300</v>
      </c>
      <c r="Q597" s="107">
        <f>IF(IFERROR(VLOOKUP(Q584,'Tabela de Apoio'!$D:$E,2,FALSE),1)=1,"",Q598)</f>
        <v>2500</v>
      </c>
      <c r="R597" s="107">
        <f>IF(IFERROR(VLOOKUP(R584,'Tabela de Apoio'!$D:$E,2,FALSE),1)=1,"",R598)</f>
        <v>2495</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f t="shared" si="1633"/>
        <v>28</v>
      </c>
      <c r="C598" s="128">
        <f t="shared" si="1634"/>
        <v>1</v>
      </c>
      <c r="D598" s="127">
        <f t="shared" si="1634"/>
        <v>28</v>
      </c>
      <c r="E598" s="743"/>
      <c r="F598" s="93"/>
      <c r="G598" s="745"/>
      <c r="H598" s="134">
        <f t="shared" ref="H598" si="1801">COUNT($P598:$XX598)</f>
        <v>3</v>
      </c>
      <c r="I598" s="132">
        <f t="shared" ref="I598" si="1802">_xlfn.STDEV.P($P597:$XX598)/AVERAGE($P597:$XX598)</f>
        <v>3.8296682781902659E-2</v>
      </c>
      <c r="J598" s="7">
        <f t="shared" ref="J598" si="1803">IF(AND(H598&gt;2,
OR(L582="MÉDIA SANEADA",L582="MEDIANA SANEADA",
AND(L582="PREÇO ESTIMADO",NOT(AND(P584="Orçamento",COUNTA(P582:XX582)=COUNTIF(P584:XX584,"Orçamento")))))),
ROW(),0)</f>
        <v>598</v>
      </c>
      <c r="K598" s="66"/>
      <c r="N598" s="71"/>
      <c r="O598" s="27" t="str">
        <f t="shared" ref="O598" si="1804">"5 RODADA"</f>
        <v>5 RODADA</v>
      </c>
      <c r="P598" s="107">
        <f t="shared" ref="P598:AI598" si="1805">IF(P596="","",IF((_xlfn.STDEV.P($P595:$XX596)/AVERAGE($P595:$XX596))&lt;=25%,P596,IF(OR(P596&gt;(AVERAGE($P595:$XX596)+_xlfn.STDEV.P($P595:$XX596)),P596&lt;(AVERAGE($P595:$XX596)-_xlfn.STDEV.P($P595:$XX596))),"DESCARTADO",P596)))</f>
        <v>2300</v>
      </c>
      <c r="Q598" s="107">
        <f t="shared" si="1805"/>
        <v>2500</v>
      </c>
      <c r="R598" s="107">
        <f t="shared" si="1805"/>
        <v>2495</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f t="shared" si="1633"/>
        <v>28</v>
      </c>
      <c r="C599" s="128">
        <f t="shared" si="1634"/>
        <v>1</v>
      </c>
      <c r="D599" s="127">
        <f t="shared" si="1634"/>
        <v>28</v>
      </c>
      <c r="E599" s="743"/>
      <c r="F599" s="93"/>
      <c r="G599" s="745"/>
      <c r="H599"/>
      <c r="I599"/>
      <c r="J599"/>
      <c r="K599" s="66"/>
      <c r="L599" s="22"/>
      <c r="M599" s="22"/>
      <c r="N599" s="71"/>
      <c r="O599" s="27" t="str">
        <f t="shared" ref="O599" si="1806">"6 POND"</f>
        <v>6 POND</v>
      </c>
      <c r="P599" s="107">
        <f>IF(IFERROR(VLOOKUP(P584,'Tabela de Apoio'!$D:$E,2,FALSE),1)=1,"",P600)</f>
        <v>2300</v>
      </c>
      <c r="Q599" s="107">
        <f>IF(IFERROR(VLOOKUP(Q584,'Tabela de Apoio'!$D:$E,2,FALSE),1)=1,"",Q600)</f>
        <v>2500</v>
      </c>
      <c r="R599" s="107">
        <f>IF(IFERROR(VLOOKUP(R584,'Tabela de Apoio'!$D:$E,2,FALSE),1)=1,"",R600)</f>
        <v>2495</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f t="shared" si="1633"/>
        <v>28</v>
      </c>
      <c r="C600" s="128">
        <f t="shared" si="1634"/>
        <v>1</v>
      </c>
      <c r="D600" s="127">
        <f t="shared" si="1634"/>
        <v>28</v>
      </c>
      <c r="E600" s="743"/>
      <c r="F600" s="93"/>
      <c r="G600" s="745"/>
      <c r="H600" s="134">
        <f t="shared" ref="H600" si="1807">COUNT($P600:$XX600)</f>
        <v>3</v>
      </c>
      <c r="I600" s="132">
        <f t="shared" ref="I600" si="1808">_xlfn.STDEV.P($P599:$XX600)/AVERAGE($P599:$XX600)</f>
        <v>3.8296682781902659E-2</v>
      </c>
      <c r="J600" s="7">
        <f t="shared" ref="J600" si="1809">IF(AND(H600&gt;2,
OR(L582="MÉDIA SANEADA",L582="MEDIANA SANEADA",
AND(L582="PREÇO ESTIMADO",NOT(AND(P584="Orçamento",COUNTA(P582:XX582)=COUNTIF(P584:XX584,"Orçamento")))))),
ROW(),0)</f>
        <v>600</v>
      </c>
      <c r="N600" s="71"/>
      <c r="O600" s="27" t="str">
        <f t="shared" ref="O600" si="1810">"6 RODADA"</f>
        <v>6 RODADA</v>
      </c>
      <c r="P600" s="107">
        <f t="shared" ref="P600:AI600" si="1811">IFERROR(IF(P598="","",IF((_xlfn.STDEV.P($P597:$XX598)/AVERAGE($P597:$XX598))&lt;=25%,P598,IF(OR(P598&gt;(AVERAGE($P597:$XX598)+_xlfn.STDEV.P($P597:$XX598)),P598&lt;(AVERAGE($P597:$XX598)-_xlfn.STDEV.P($P597:$XX598))),"DESCARTADO",P598))),)</f>
        <v>2300</v>
      </c>
      <c r="Q600" s="107">
        <f t="shared" si="1811"/>
        <v>2500</v>
      </c>
      <c r="R600" s="107">
        <f t="shared" si="1811"/>
        <v>2495</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f t="shared" si="1633"/>
        <v>28</v>
      </c>
      <c r="C601" s="128">
        <f t="shared" si="1634"/>
        <v>1</v>
      </c>
      <c r="D601" s="127">
        <f t="shared" si="1634"/>
        <v>28</v>
      </c>
      <c r="E601" s="743"/>
      <c r="F601" s="136"/>
      <c r="G601" s="745"/>
      <c r="H601" s="748"/>
      <c r="I601" s="748"/>
      <c r="J601" s="749"/>
      <c r="K601" s="67"/>
      <c r="L601" s="1" t="s">
        <v>43</v>
      </c>
      <c r="M601" s="144">
        <f t="shared" ref="M601" si="1812">IFERROR(ROUND(M582*M584,2),"")</f>
        <v>2431.67</v>
      </c>
      <c r="O601" s="27" t="s">
        <v>363</v>
      </c>
      <c r="P601" s="107">
        <f t="shared" ref="P601:AI622" si="1813">INDEX(P588:P600,MATCH(MAX($J588:$J600),$J588:$J600,0))</f>
        <v>2300</v>
      </c>
      <c r="Q601" s="107">
        <f t="shared" si="1813"/>
        <v>2500</v>
      </c>
      <c r="R601" s="107">
        <f t="shared" si="1813"/>
        <v>2495</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f t="shared" ref="B603" si="1814">LARGE(IFERROR(IF(B601+1&gt;$H$8,"",B601+1),""),1)</f>
        <v>29</v>
      </c>
      <c r="C603" s="127">
        <f>IF(_xlfn.ISFORMULA(E607),MAX(INDEX('BASE FORMAÇÃO'!A:A,B603+1),1),E607)</f>
        <v>1</v>
      </c>
      <c r="D603" s="127">
        <f t="shared" ref="D603" si="1815">IFERROR(IF(C603=C593,D593+1,1),1)</f>
        <v>29</v>
      </c>
      <c r="E603" s="38" t="s">
        <v>9</v>
      </c>
      <c r="F603" s="73"/>
      <c r="G603" s="38" t="s">
        <v>15</v>
      </c>
      <c r="H603" s="135">
        <f>INDEX('BASE FORMAÇÃO'!B:B,B603+1)</f>
        <v>0</v>
      </c>
      <c r="I603" s="143" t="s">
        <v>16</v>
      </c>
      <c r="J603" s="6">
        <f>INDEX('BASE FORMAÇÃO'!K:K,B603+1)</f>
        <v>0</v>
      </c>
      <c r="K603" s="65"/>
      <c r="L603" s="750" t="s">
        <v>10</v>
      </c>
      <c r="M603" s="752">
        <f t="shared" ref="M603" si="1816">IF(OR(ISBLANK($O$8),ISBLANK($O$7),ISBLANK($H$8),ISBLANK($O$6),ISBLANK($O$5),ISBLANK($H$5)),"",IFERROR(IF(VLOOKUP(L603,L609:M618,2,FALSE)&lt;1,ROUND(VLOOKUP(L603,L609:M618,2,FALSE),4),ROUND(VLOOKUP(L603,L609:M618,2,FALSE),2)),""))</f>
        <v>1.3</v>
      </c>
      <c r="N603" s="69"/>
      <c r="O603" s="27" t="s">
        <v>17</v>
      </c>
      <c r="P603" s="113">
        <v>1.3</v>
      </c>
      <c r="Q603" s="113">
        <v>2.4500000000000002</v>
      </c>
      <c r="R603" s="113">
        <v>0.78</v>
      </c>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f t="shared" ref="B604:D604" si="1817">B603</f>
        <v>29</v>
      </c>
      <c r="C604" s="128">
        <f t="shared" si="1817"/>
        <v>1</v>
      </c>
      <c r="D604" s="127">
        <f t="shared" si="1817"/>
        <v>29</v>
      </c>
      <c r="E604" s="754">
        <f t="shared" ref="E604" si="1818">D603</f>
        <v>29</v>
      </c>
      <c r="F604" s="92"/>
      <c r="G604" s="756" t="s">
        <v>1</v>
      </c>
      <c r="H604" s="765" t="s">
        <v>768</v>
      </c>
      <c r="I604" s="759"/>
      <c r="J604" s="760"/>
      <c r="K604" s="66"/>
      <c r="L604" s="751"/>
      <c r="M604" s="753"/>
      <c r="N604" s="70"/>
      <c r="O604" s="27" t="s">
        <v>13</v>
      </c>
      <c r="P604" s="122">
        <v>45741</v>
      </c>
      <c r="Q604" s="122">
        <v>45737</v>
      </c>
      <c r="R604" s="122">
        <v>45665</v>
      </c>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f t="shared" ref="B605:D605" si="1819">B604</f>
        <v>29</v>
      </c>
      <c r="C605" s="128">
        <f t="shared" si="1819"/>
        <v>1</v>
      </c>
      <c r="D605" s="127">
        <f t="shared" si="1819"/>
        <v>29</v>
      </c>
      <c r="E605" s="755"/>
      <c r="F605" s="93"/>
      <c r="G605" s="757"/>
      <c r="H605" s="761"/>
      <c r="I605" s="761"/>
      <c r="J605" s="762"/>
      <c r="K605" s="64"/>
      <c r="L605" s="130" t="s">
        <v>44</v>
      </c>
      <c r="M605" s="131">
        <v>1</v>
      </c>
      <c r="N605" s="71"/>
      <c r="O605" s="27" t="s">
        <v>380</v>
      </c>
      <c r="P605" s="114" t="s">
        <v>12</v>
      </c>
      <c r="Q605" s="114" t="s">
        <v>12</v>
      </c>
      <c r="R605" s="114" t="s">
        <v>12</v>
      </c>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f t="shared" ref="B606:C606" si="1820">B605</f>
        <v>29</v>
      </c>
      <c r="C606" s="128">
        <f t="shared" si="1820"/>
        <v>1</v>
      </c>
      <c r="D606" s="127">
        <f t="shared" si="1634"/>
        <v>29</v>
      </c>
      <c r="E606" s="38" t="s">
        <v>313</v>
      </c>
      <c r="F606" s="93"/>
      <c r="G606" s="758"/>
      <c r="H606" s="763"/>
      <c r="I606" s="763"/>
      <c r="J606" s="764"/>
      <c r="K606" s="64"/>
      <c r="L606" s="1" t="s">
        <v>2</v>
      </c>
      <c r="M606" s="427" t="s">
        <v>187</v>
      </c>
      <c r="N606" s="71"/>
      <c r="O606" s="27" t="s">
        <v>381</v>
      </c>
      <c r="P606" s="182" t="s">
        <v>450</v>
      </c>
      <c r="Q606" s="182" t="s">
        <v>450</v>
      </c>
      <c r="R606" s="182" t="s">
        <v>450</v>
      </c>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f t="shared" ref="B607:C607" si="1821">B605</f>
        <v>29</v>
      </c>
      <c r="C607" s="128">
        <f t="shared" si="1821"/>
        <v>1</v>
      </c>
      <c r="D607" s="127">
        <f t="shared" si="1634"/>
        <v>29</v>
      </c>
      <c r="E607" s="742">
        <f t="shared" ref="E607" si="1822">C603</f>
        <v>1</v>
      </c>
      <c r="F607" s="93"/>
      <c r="G607" s="744" t="s">
        <v>304</v>
      </c>
      <c r="H607" s="746"/>
      <c r="I607" s="747"/>
      <c r="J607" s="747"/>
      <c r="K607" s="67"/>
      <c r="L607" s="28" t="s">
        <v>303</v>
      </c>
      <c r="M607" s="133">
        <f t="shared" ref="M607" si="1823">IFERROR(INDEX(I609:I621,MATCH(MAX(J609:J621),J609:J621,0)),"")</f>
        <v>0.45682318355743834</v>
      </c>
      <c r="N607" s="71"/>
      <c r="O607" s="27" t="s">
        <v>18</v>
      </c>
      <c r="P607" s="106">
        <f>IF(P603="","",
IF(OR(P605="Orçamento",P604="",MAX('Tabela de Apoio'!$A:$A)&lt;=P604),
P603,
(INDEX('Tabela de Apoio'!$B:$B,MATCH('MAPA DE PREÇOS'!$O$8,'Tabela de Apoio'!$A:$A,1))/INDEX('Tabela de Apoio'!$B:$B,MATCH('MAPA DE PREÇOS'!P604,'Tabela de Apoio'!$A:$A,1)-1))*P603))</f>
        <v>1.3</v>
      </c>
      <c r="Q607" s="106">
        <f>IF(Q603="","",
IF(OR(Q605="Orçamento",Q604="",MAX('Tabela de Apoio'!$A:$A)&lt;=Q604),
Q603,
(INDEX('Tabela de Apoio'!$B:$B,MATCH('MAPA DE PREÇOS'!$O$8,'Tabela de Apoio'!$A:$A,1))/INDEX('Tabela de Apoio'!$B:$B,MATCH('MAPA DE PREÇOS'!Q604,'Tabela de Apoio'!$A:$A,1)-1))*Q603))</f>
        <v>2.4500000000000002</v>
      </c>
      <c r="R607" s="106">
        <f>IF(R603="","",
IF(OR(R605="Orçamento",R604="",MAX('Tabela de Apoio'!$A:$A)&lt;=R604),
R603,
(INDEX('Tabela de Apoio'!$B:$B,MATCH('MAPA DE PREÇOS'!$O$8,'Tabela de Apoio'!$A:$A,1))/INDEX('Tabela de Apoio'!$B:$B,MATCH('MAPA DE PREÇOS'!R604,'Tabela de Apoio'!$A:$A,1)-1))*R603))</f>
        <v>0.79591527357228375</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f t="shared" ref="B608" si="1824">B607</f>
        <v>29</v>
      </c>
      <c r="C608" s="128">
        <f t="shared" ref="C608" si="1825">C607</f>
        <v>1</v>
      </c>
      <c r="D608" s="127">
        <f t="shared" si="1634"/>
        <v>29</v>
      </c>
      <c r="E608" s="743"/>
      <c r="F608" s="93"/>
      <c r="G608" s="745"/>
      <c r="H608"/>
      <c r="I608"/>
      <c r="J608"/>
      <c r="N608" s="71"/>
      <c r="O608" s="27" t="s">
        <v>375</v>
      </c>
      <c r="P608" s="107">
        <f>IF(IFERROR(VLOOKUP(P605,'Tabela de Apoio'!$D:$E,2,FALSE),1)=1,"",P609)</f>
        <v>1.3</v>
      </c>
      <c r="Q608" s="107">
        <f>IF(IFERROR(VLOOKUP(Q605,'Tabela de Apoio'!$D:$E,2,FALSE),1)=1,"",Q609)</f>
        <v>2.4500000000000002</v>
      </c>
      <c r="R608" s="107">
        <f>IF(IFERROR(VLOOKUP(R605,'Tabela de Apoio'!$D:$E,2,FALSE),1)=1,"",R609)</f>
        <v>0.79591527357228375</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f t="shared" ref="B609:C609" si="1826">B608</f>
        <v>29</v>
      </c>
      <c r="C609" s="128">
        <f t="shared" si="1826"/>
        <v>1</v>
      </c>
      <c r="D609" s="127">
        <f t="shared" si="1634"/>
        <v>29</v>
      </c>
      <c r="E609" s="743"/>
      <c r="F609" s="93"/>
      <c r="G609" s="745"/>
      <c r="H609" s="134">
        <f t="shared" ref="H609" si="1827">COUNT($P609:$XX609)</f>
        <v>3</v>
      </c>
      <c r="I609" s="132">
        <f t="shared" ref="I609" si="1828">_xlfn.STDEV.P($P608:$XX609)/AVERAGE($P608:$XX609)</f>
        <v>0.45682318355743834</v>
      </c>
      <c r="J609" s="7">
        <f>ROW()</f>
        <v>609</v>
      </c>
      <c r="K609" s="67"/>
      <c r="L609" s="29" t="s">
        <v>10</v>
      </c>
      <c r="M609" s="30">
        <f t="shared" ref="M609" si="1829">IFERROR(
IF(COUNTA(P603:AI603)=COUNTIF(P605:XX605,"Orçamento"),MIN(M614,M611),
IF(M612&lt;&gt;"",M612,
IF(M613&lt;&gt;"",M613,
M611
))),"")</f>
        <v>1.3</v>
      </c>
      <c r="N609" s="71"/>
      <c r="O609" s="27" t="s">
        <v>376</v>
      </c>
      <c r="P609" s="106">
        <f t="shared" ref="P609:AI609" si="1830">IFERROR(IF(P607="",
            "",
            IF(COUNT($P607:$XX607)&lt;=4,
               P607,
               IF(OR(P607&gt;(QUARTILE($P607:$XX607,3)+(QUARTILE($P607:$XX607,3)-QUARTILE($P607:$XX607,1))),
                     P607&lt;(QUARTILE($P607:$XX607,1)-(QUARTILE($P607:$XX607,3)-QUARTILE($P607:$XX607,1)))
                  ),
               "DESCARTADO",P607)
             )
  ),P607)</f>
        <v>1.3</v>
      </c>
      <c r="Q609" s="106">
        <f t="shared" si="1830"/>
        <v>2.4500000000000002</v>
      </c>
      <c r="R609" s="106">
        <f t="shared" si="1830"/>
        <v>0.79591527357228375</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f t="shared" ref="B610:B664" si="1831">B609</f>
        <v>29</v>
      </c>
      <c r="C610" s="128">
        <f t="shared" ref="C610:D673" si="1832">C609</f>
        <v>1</v>
      </c>
      <c r="D610" s="127">
        <f t="shared" si="1634"/>
        <v>29</v>
      </c>
      <c r="E610" s="743"/>
      <c r="F610" s="93"/>
      <c r="G610" s="745"/>
      <c r="H610"/>
      <c r="I610"/>
      <c r="J610"/>
      <c r="K610" s="66"/>
      <c r="L610" s="29" t="s">
        <v>360</v>
      </c>
      <c r="M610" s="30">
        <f t="shared" ref="M610" si="1833">AVERAGE($P609:$XX609)</f>
        <v>1.5153050911907613</v>
      </c>
      <c r="N610" s="71"/>
      <c r="O610" s="27" t="str">
        <f t="shared" ref="O610" si="1834">"1 POND"</f>
        <v>1 POND</v>
      </c>
      <c r="P610" s="107">
        <f>IF(IFERROR(VLOOKUP(P605,'Tabela de Apoio'!$D:$E,2,FALSE),1)=1,"",P611)</f>
        <v>1.3</v>
      </c>
      <c r="Q610" s="107" t="str">
        <f>IF(IFERROR(VLOOKUP(Q605,'Tabela de Apoio'!$D:$E,2,FALSE),1)=1,"",Q611)</f>
        <v>DESCARTADO</v>
      </c>
      <c r="R610" s="107" t="str">
        <f>IF(IFERROR(VLOOKUP(R605,'Tabela de Apoio'!$D:$E,2,FALSE),1)=1,"",R611)</f>
        <v>DESCARTADO</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f t="shared" si="1831"/>
        <v>29</v>
      </c>
      <c r="C611" s="128">
        <f t="shared" si="1832"/>
        <v>1</v>
      </c>
      <c r="D611" s="127">
        <f t="shared" si="1832"/>
        <v>29</v>
      </c>
      <c r="E611" s="743"/>
      <c r="F611" s="93"/>
      <c r="G611" s="745"/>
      <c r="H611" s="134">
        <f t="shared" ref="H611" si="1835">COUNT($P611:$XX611)</f>
        <v>1</v>
      </c>
      <c r="I611" s="132">
        <f t="shared" ref="I611" si="1836">_xlfn.STDEV.P($P610:$XX611)/AVERAGE($P610:$XX611)</f>
        <v>0</v>
      </c>
      <c r="J611" s="7">
        <f t="shared" ref="J611" si="1837">IF(AND(H611&gt;2,
OR(L603="MÉDIA SANEADA",L603="MEDIANA SANEADA",
AND(L603="PREÇO ESTIMADO",NOT(AND(P605="Orçamento",COUNTA(P603:XX603)=COUNTIF(P605:XX605,"Orçamento")))))),
ROW(),0)</f>
        <v>0</v>
      </c>
      <c r="K611" s="66"/>
      <c r="L611" s="29" t="s">
        <v>361</v>
      </c>
      <c r="M611" s="30">
        <f t="shared" ref="M611" si="1838">MEDIAN($P609:$XX609)</f>
        <v>1.3</v>
      </c>
      <c r="N611" s="71"/>
      <c r="O611" s="27" t="str">
        <f t="shared" ref="O611" si="1839">"1 RODADA"</f>
        <v>1 RODADA</v>
      </c>
      <c r="P611" s="107">
        <f t="shared" ref="P611:AI611" si="1840">IF(P609="","",IF((_xlfn.STDEV.P($P608:$XX609)/AVERAGE($P608:$XX609))&lt;=25%,P609,IF(OR(P609&gt;(AVERAGE($P608:$XX609)+_xlfn.STDEV.P($P608:$XX609)),P609&lt;(AVERAGE($P608:$XX609)-_xlfn.STDEV.P($P608:$XX609))),"DESCARTADO",P609)))</f>
        <v>1.3</v>
      </c>
      <c r="Q611" s="107" t="str">
        <f t="shared" si="1840"/>
        <v>DESCARTADO</v>
      </c>
      <c r="R611" s="107" t="str">
        <f t="shared" si="1840"/>
        <v>DESCARTADO</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f t="shared" si="1831"/>
        <v>29</v>
      </c>
      <c r="C612" s="128">
        <f t="shared" si="1832"/>
        <v>1</v>
      </c>
      <c r="D612" s="127">
        <f t="shared" si="1832"/>
        <v>29</v>
      </c>
      <c r="E612" s="743"/>
      <c r="F612" s="93"/>
      <c r="G612" s="745"/>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f>IF(IFERROR(VLOOKUP(P605,'Tabela de Apoio'!$D:$E,2,FALSE),1)=1,"",P613)</f>
        <v>1.3</v>
      </c>
      <c r="Q612" s="107" t="str">
        <f>IF(IFERROR(VLOOKUP(Q605,'Tabela de Apoio'!$D:$E,2,FALSE),1)=1,"",Q613)</f>
        <v>DESCARTADO</v>
      </c>
      <c r="R612" s="107" t="str">
        <f>IF(IFERROR(VLOOKUP(R605,'Tabela de Apoio'!$D:$E,2,FALSE),1)=1,"",R613)</f>
        <v>DESCARTADO</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f t="shared" si="1831"/>
        <v>29</v>
      </c>
      <c r="C613" s="128">
        <f t="shared" si="1832"/>
        <v>1</v>
      </c>
      <c r="D613" s="127">
        <f t="shared" si="1832"/>
        <v>29</v>
      </c>
      <c r="E613" s="743"/>
      <c r="F613" s="93"/>
      <c r="G613" s="745"/>
      <c r="H613" s="134">
        <f t="shared" ref="H613" si="1843">COUNT($P613:$XX613)</f>
        <v>1</v>
      </c>
      <c r="I613" s="132">
        <f t="shared" ref="I613" si="1844">_xlfn.STDEV.P($P612:$XX613)/AVERAGE($P612:$XX613)</f>
        <v>0</v>
      </c>
      <c r="J613" s="7">
        <f t="shared" ref="J613" si="1845">IF(AND(H613&gt;2,
OR(L603="MÉDIA SANEADA",L603="MEDIANA SANEADA",
AND(L603="PREÇO ESTIMADO",NOT(AND(P605="Orçamento",COUNTA(P603:XX603)=COUNTIF(P605:XX605,"Orçamento")))))),
ROW(),0)</f>
        <v>0</v>
      </c>
      <c r="K613" s="66"/>
      <c r="L613" s="29" t="s">
        <v>362</v>
      </c>
      <c r="M613" s="30">
        <f t="shared" ref="M613" si="1846" xml:space="preserve">
IF(H611&gt;2,MEDIAN(P610:XX611),
IF(H613&gt;2,MEDIAN(P612:XX613),
IF(H615&gt;2,MEDIAN(P614:XX615),
IF(H617&gt;2,MEDIAN(P616:XX617),
IF(H619&gt;2,MEDIAN(P618:XX619),
IF(H621&gt;2,MEDIAN(P620:XX621),
MEDIAN(P608:XX609)))))))</f>
        <v>1.3</v>
      </c>
      <c r="N613" s="71"/>
      <c r="O613" s="27" t="str">
        <f t="shared" ref="O613" si="1847">"2 RODADA"</f>
        <v>2 RODADA</v>
      </c>
      <c r="P613" s="107">
        <f t="shared" ref="P613:AI613" si="1848">IF(P611="","",IF((_xlfn.STDEV.P($P610:$XX611)/AVERAGE($P610:$XX611))&lt;=25%,P611,IF(OR(P611&gt;(AVERAGE($P610:$XX611)+_xlfn.STDEV.P($P610:$XX611)),P611&lt;(AVERAGE($P610:$XX611)-_xlfn.STDEV.P($P610:$XX611))),"DESCARTADO",P611)))</f>
        <v>1.3</v>
      </c>
      <c r="Q613" s="107" t="str">
        <f t="shared" si="1848"/>
        <v>DESCARTADO</v>
      </c>
      <c r="R613" s="107" t="str">
        <f t="shared" si="1848"/>
        <v>DESCARTADO</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f t="shared" si="1831"/>
        <v>29</v>
      </c>
      <c r="C614" s="128">
        <f t="shared" si="1832"/>
        <v>1</v>
      </c>
      <c r="D614" s="127">
        <f t="shared" si="1832"/>
        <v>29</v>
      </c>
      <c r="E614" s="743"/>
      <c r="F614" s="93"/>
      <c r="G614" s="745"/>
      <c r="H614"/>
      <c r="I614"/>
      <c r="J614"/>
      <c r="K614" s="66"/>
      <c r="L614" s="29" t="s">
        <v>359</v>
      </c>
      <c r="M614" s="30">
        <f t="shared" ref="M614" si="1849">HARMEAN($P608:$XX609)</f>
        <v>1.2326356688892302</v>
      </c>
      <c r="N614" s="71"/>
      <c r="O614" s="27" t="str">
        <f t="shared" ref="O614" si="1850">"3 POND"</f>
        <v>3 POND</v>
      </c>
      <c r="P614" s="107">
        <f>IF(IFERROR(VLOOKUP(P605,'Tabela de Apoio'!$D:$E,2,FALSE),1)=1,"",P615)</f>
        <v>1.3</v>
      </c>
      <c r="Q614" s="107" t="str">
        <f>IF(IFERROR(VLOOKUP(Q605,'Tabela de Apoio'!$D:$E,2,FALSE),1)=1,"",Q615)</f>
        <v>DESCARTADO</v>
      </c>
      <c r="R614" s="107" t="str">
        <f>IF(IFERROR(VLOOKUP(R605,'Tabela de Apoio'!$D:$E,2,FALSE),1)=1,"",R615)</f>
        <v>DESCARTADO</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f t="shared" si="1831"/>
        <v>29</v>
      </c>
      <c r="C615" s="128">
        <f t="shared" si="1832"/>
        <v>1</v>
      </c>
      <c r="D615" s="127">
        <f t="shared" si="1832"/>
        <v>29</v>
      </c>
      <c r="E615" s="743"/>
      <c r="F615" s="93"/>
      <c r="G615" s="745"/>
      <c r="H615" s="134">
        <f t="shared" ref="H615" si="1851">COUNT($P615:$XX615)</f>
        <v>1</v>
      </c>
      <c r="I615" s="132">
        <f t="shared" ref="I615" si="1852">_xlfn.STDEV.P($P614:$XX615)/AVERAGE($P614:$XX615)</f>
        <v>0</v>
      </c>
      <c r="J615" s="7">
        <f t="shared" ref="J615" si="1853">IF(AND(H615&gt;2,
OR(L603="MÉDIA SANEADA",L603="MEDIANA SANEADA",
AND(L603="PREÇO ESTIMADO",NOT(AND(P605="Orçamento",COUNTA(P603:XX603)=COUNTIF(P605:XX605,"Orçamento")))))),
ROW(),0)</f>
        <v>0</v>
      </c>
      <c r="K615" s="66"/>
      <c r="L615" s="29" t="s">
        <v>41</v>
      </c>
      <c r="M615" s="30">
        <f t="shared" ref="M615" si="1854">IFERROR(_xlfn.QUARTILE.EXC($P609:$XX609,1),"")</f>
        <v>0.79591527357228375</v>
      </c>
      <c r="N615" s="71"/>
      <c r="O615" s="27" t="str">
        <f t="shared" ref="O615" si="1855">"3 RODADA"</f>
        <v>3 RODADA</v>
      </c>
      <c r="P615" s="107">
        <f t="shared" ref="P615:AI615" si="1856">IF(P613="","",IF((_xlfn.STDEV.P($P612:$XX613)/AVERAGE($P612:$XX613))&lt;=25%,P613,IF(OR(P613&gt;(AVERAGE($P612:$XX613)+_xlfn.STDEV.P($P612:$XX613)),P613&lt;(AVERAGE($P612:$XX613)-_xlfn.STDEV.P($P612:$XX613))),"DESCARTADO",P613)))</f>
        <v>1.3</v>
      </c>
      <c r="Q615" s="107" t="str">
        <f t="shared" si="1856"/>
        <v>DESCARTADO</v>
      </c>
      <c r="R615" s="107" t="str">
        <f t="shared" si="1856"/>
        <v>DESCARTADO</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f t="shared" si="1831"/>
        <v>29</v>
      </c>
      <c r="C616" s="128">
        <f t="shared" si="1832"/>
        <v>1</v>
      </c>
      <c r="D616" s="127">
        <f t="shared" si="1832"/>
        <v>29</v>
      </c>
      <c r="E616" s="743"/>
      <c r="F616" s="93"/>
      <c r="G616" s="745"/>
      <c r="H616"/>
      <c r="I616"/>
      <c r="J616"/>
      <c r="K616" s="66"/>
      <c r="L616" s="29" t="s">
        <v>39</v>
      </c>
      <c r="M616" s="30">
        <f t="shared" ref="M616" si="1857">IFERROR(_xlfn.QUARTILE.EXC($P609:$XX609,3),"")</f>
        <v>2.4500000000000002</v>
      </c>
      <c r="N616" s="71"/>
      <c r="O616" s="27" t="str">
        <f t="shared" ref="O616" si="1858">"4 POND"</f>
        <v>4 POND</v>
      </c>
      <c r="P616" s="107">
        <f>IF(IFERROR(VLOOKUP(P605,'Tabela de Apoio'!$D:$E,2,FALSE),1)=1,"",P617)</f>
        <v>1.3</v>
      </c>
      <c r="Q616" s="107" t="str">
        <f>IF(IFERROR(VLOOKUP(Q605,'Tabela de Apoio'!$D:$E,2,FALSE),1)=1,"",Q617)</f>
        <v>DESCARTADO</v>
      </c>
      <c r="R616" s="107" t="str">
        <f>IF(IFERROR(VLOOKUP(R605,'Tabela de Apoio'!$D:$E,2,FALSE),1)=1,"",R617)</f>
        <v>DESCARTADO</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f t="shared" si="1831"/>
        <v>29</v>
      </c>
      <c r="C617" s="128">
        <f t="shared" si="1832"/>
        <v>1</v>
      </c>
      <c r="D617" s="127">
        <f t="shared" si="1832"/>
        <v>29</v>
      </c>
      <c r="E617" s="743"/>
      <c r="F617" s="93"/>
      <c r="G617" s="745"/>
      <c r="H617" s="134">
        <f t="shared" ref="H617" si="1859">COUNT($P617:$XX617)</f>
        <v>1</v>
      </c>
      <c r="I617" s="132">
        <f t="shared" ref="I617" si="1860">_xlfn.STDEV.P($P616:$XX617)/AVERAGE($P616:$XX617)</f>
        <v>0</v>
      </c>
      <c r="J617" s="7">
        <f t="shared" ref="J617" si="1861">IF(AND(H617&gt;2,
OR(L603="MÉDIA SANEADA",L603="MEDIANA SANEADA",
AND(L603="PREÇO ESTIMADO",NOT(AND(P605="Orçamento",COUNTA(P603:XX603)=COUNTIF(P605:XX605,"Orçamento")))))),
ROW(),0)</f>
        <v>0</v>
      </c>
      <c r="K617" s="66"/>
      <c r="L617" s="29" t="s">
        <v>42</v>
      </c>
      <c r="M617" s="30">
        <f t="shared" ref="M617" si="1862">MIN($P609:$XX609)</f>
        <v>0.79591527357228375</v>
      </c>
      <c r="N617" s="71"/>
      <c r="O617" s="27" t="str">
        <f t="shared" ref="O617" si="1863">"4 RODADA"</f>
        <v>4 RODADA</v>
      </c>
      <c r="P617" s="107">
        <f t="shared" ref="P617:AI617" si="1864">IF(P615="","",IF((_xlfn.STDEV.P($P614:$XX615)/AVERAGE($P614:$XX615))&lt;=25%,P615,IF(OR(P615&gt;(AVERAGE($P614:$XX615)+_xlfn.STDEV.P($P614:$XX615)),P615&lt;(AVERAGE($P614:$XX615)-_xlfn.STDEV.P($P614:$XX615))),"DESCARTADO",P615)))</f>
        <v>1.3</v>
      </c>
      <c r="Q617" s="107" t="str">
        <f t="shared" si="1864"/>
        <v>DESCARTADO</v>
      </c>
      <c r="R617" s="107" t="str">
        <f t="shared" si="1864"/>
        <v>DESCARTADO</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f t="shared" si="1831"/>
        <v>29</v>
      </c>
      <c r="C618" s="128">
        <f t="shared" si="1832"/>
        <v>1</v>
      </c>
      <c r="D618" s="127">
        <f t="shared" si="1832"/>
        <v>29</v>
      </c>
      <c r="E618" s="743"/>
      <c r="F618" s="93"/>
      <c r="G618" s="745"/>
      <c r="H618"/>
      <c r="I618"/>
      <c r="J618"/>
      <c r="K618" s="66"/>
      <c r="L618" s="29" t="s">
        <v>40</v>
      </c>
      <c r="M618" s="30">
        <f t="shared" ref="M618" si="1865">MAX($P609:$XX609)</f>
        <v>2.4500000000000002</v>
      </c>
      <c r="N618" s="71"/>
      <c r="O618" s="27" t="str">
        <f t="shared" ref="O618" si="1866">"5 POND"</f>
        <v>5 POND</v>
      </c>
      <c r="P618" s="107">
        <f>IF(IFERROR(VLOOKUP(P605,'Tabela de Apoio'!$D:$E,2,FALSE),1)=1,"",P619)</f>
        <v>1.3</v>
      </c>
      <c r="Q618" s="107" t="str">
        <f>IF(IFERROR(VLOOKUP(Q605,'Tabela de Apoio'!$D:$E,2,FALSE),1)=1,"",Q619)</f>
        <v>DESCARTADO</v>
      </c>
      <c r="R618" s="107" t="str">
        <f>IF(IFERROR(VLOOKUP(R605,'Tabela de Apoio'!$D:$E,2,FALSE),1)=1,"",R619)</f>
        <v>DESCARTADO</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f t="shared" si="1831"/>
        <v>29</v>
      </c>
      <c r="C619" s="128">
        <f t="shared" si="1832"/>
        <v>1</v>
      </c>
      <c r="D619" s="127">
        <f t="shared" si="1832"/>
        <v>29</v>
      </c>
      <c r="E619" s="743"/>
      <c r="F619" s="93"/>
      <c r="G619" s="745"/>
      <c r="H619" s="134">
        <f t="shared" ref="H619" si="1867">COUNT($P619:$XX619)</f>
        <v>1</v>
      </c>
      <c r="I619" s="132">
        <f t="shared" ref="I619" si="1868">_xlfn.STDEV.P($P618:$XX619)/AVERAGE($P618:$XX619)</f>
        <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f t="shared" ref="P619:AI619" si="1871">IF(P617="","",IF((_xlfn.STDEV.P($P616:$XX617)/AVERAGE($P616:$XX617))&lt;=25%,P617,IF(OR(P617&gt;(AVERAGE($P616:$XX617)+_xlfn.STDEV.P($P616:$XX617)),P617&lt;(AVERAGE($P616:$XX617)-_xlfn.STDEV.P($P616:$XX617))),"DESCARTADO",P617)))</f>
        <v>1.3</v>
      </c>
      <c r="Q619" s="107" t="str">
        <f t="shared" si="1871"/>
        <v>DESCARTADO</v>
      </c>
      <c r="R619" s="107" t="str">
        <f t="shared" si="1871"/>
        <v>DESCARTADO</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f t="shared" si="1831"/>
        <v>29</v>
      </c>
      <c r="C620" s="128">
        <f t="shared" si="1832"/>
        <v>1</v>
      </c>
      <c r="D620" s="127">
        <f t="shared" si="1832"/>
        <v>29</v>
      </c>
      <c r="E620" s="743"/>
      <c r="F620" s="93"/>
      <c r="G620" s="745"/>
      <c r="H620"/>
      <c r="I620"/>
      <c r="J620"/>
      <c r="K620" s="66"/>
      <c r="L620" s="22"/>
      <c r="M620" s="22"/>
      <c r="N620" s="71"/>
      <c r="O620" s="27" t="str">
        <f t="shared" ref="O620" si="1872">"6 POND"</f>
        <v>6 POND</v>
      </c>
      <c r="P620" s="107">
        <f>IF(IFERROR(VLOOKUP(P605,'Tabela de Apoio'!$D:$E,2,FALSE),1)=1,"",P621)</f>
        <v>1.3</v>
      </c>
      <c r="Q620" s="107" t="str">
        <f>IF(IFERROR(VLOOKUP(Q605,'Tabela de Apoio'!$D:$E,2,FALSE),1)=1,"",Q621)</f>
        <v>DESCARTADO</v>
      </c>
      <c r="R620" s="107" t="str">
        <f>IF(IFERROR(VLOOKUP(R605,'Tabela de Apoio'!$D:$E,2,FALSE),1)=1,"",R621)</f>
        <v>DESCARTADO</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f t="shared" si="1831"/>
        <v>29</v>
      </c>
      <c r="C621" s="128">
        <f t="shared" si="1832"/>
        <v>1</v>
      </c>
      <c r="D621" s="127">
        <f t="shared" si="1832"/>
        <v>29</v>
      </c>
      <c r="E621" s="743"/>
      <c r="F621" s="93"/>
      <c r="G621" s="745"/>
      <c r="H621" s="134">
        <f t="shared" ref="H621" si="1873">COUNT($P621:$XX621)</f>
        <v>1</v>
      </c>
      <c r="I621" s="132">
        <f t="shared" ref="I621" si="1874">_xlfn.STDEV.P($P620:$XX621)/AVERAGE($P620:$XX621)</f>
        <v>0</v>
      </c>
      <c r="J621" s="7">
        <f t="shared" ref="J621" si="1875">IF(AND(H621&gt;2,
OR(L603="MÉDIA SANEADA",L603="MEDIANA SANEADA",
AND(L603="PREÇO ESTIMADO",NOT(AND(P605="Orçamento",COUNTA(P603:XX603)=COUNTIF(P605:XX605,"Orçamento")))))),
ROW(),0)</f>
        <v>0</v>
      </c>
      <c r="N621" s="71"/>
      <c r="O621" s="27" t="str">
        <f t="shared" ref="O621" si="1876">"6 RODADA"</f>
        <v>6 RODADA</v>
      </c>
      <c r="P621" s="107">
        <f t="shared" ref="P621:AI621" si="1877">IFERROR(IF(P619="","",IF((_xlfn.STDEV.P($P618:$XX619)/AVERAGE($P618:$XX619))&lt;=25%,P619,IF(OR(P619&gt;(AVERAGE($P618:$XX619)+_xlfn.STDEV.P($P618:$XX619)),P619&lt;(AVERAGE($P618:$XX619)-_xlfn.STDEV.P($P618:$XX619))),"DESCARTADO",P619))),)</f>
        <v>1.3</v>
      </c>
      <c r="Q621" s="107" t="str">
        <f t="shared" si="1877"/>
        <v>DESCARTADO</v>
      </c>
      <c r="R621" s="107" t="str">
        <f t="shared" si="1877"/>
        <v>DESCARTADO</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f t="shared" si="1831"/>
        <v>29</v>
      </c>
      <c r="C622" s="128">
        <f t="shared" si="1832"/>
        <v>1</v>
      </c>
      <c r="D622" s="127">
        <f t="shared" si="1832"/>
        <v>29</v>
      </c>
      <c r="E622" s="743"/>
      <c r="F622" s="136"/>
      <c r="G622" s="745"/>
      <c r="H622" s="748"/>
      <c r="I622" s="748"/>
      <c r="J622" s="749"/>
      <c r="K622" s="67"/>
      <c r="L622" s="1" t="s">
        <v>43</v>
      </c>
      <c r="M622" s="144">
        <f t="shared" ref="M622" si="1878">IFERROR(ROUND(M603*M605,2),"")</f>
        <v>1.3</v>
      </c>
      <c r="O622" s="27" t="s">
        <v>363</v>
      </c>
      <c r="P622" s="107">
        <f t="shared" ref="P622:R622" si="1879">INDEX(P609:P621,MATCH(MAX($J609:$J621),$J609:$J621,0))</f>
        <v>1.3</v>
      </c>
      <c r="Q622" s="107">
        <f t="shared" si="1879"/>
        <v>2.4500000000000002</v>
      </c>
      <c r="R622" s="107">
        <f t="shared" si="1879"/>
        <v>0.79591527357228375</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f t="shared" ref="B624" si="1880">LARGE(IFERROR(IF(B622+1&gt;$H$8,"",B622+1),""),1)</f>
        <v>30</v>
      </c>
      <c r="C624" s="127">
        <f>IF(_xlfn.ISFORMULA(E628),MAX(INDEX('BASE FORMAÇÃO'!A:A,B624+1),1),E628)</f>
        <v>1</v>
      </c>
      <c r="D624" s="127">
        <f t="shared" ref="D624" si="1881">IFERROR(IF(C624=C614,D614+1,1),1)</f>
        <v>30</v>
      </c>
      <c r="E624" s="38" t="s">
        <v>9</v>
      </c>
      <c r="F624" s="73"/>
      <c r="G624" s="38" t="s">
        <v>15</v>
      </c>
      <c r="H624" s="135">
        <f>INDEX('BASE FORMAÇÃO'!B:B,B624+1)</f>
        <v>0</v>
      </c>
      <c r="I624" s="143" t="s">
        <v>16</v>
      </c>
      <c r="J624" s="6">
        <f>INDEX('BASE FORMAÇÃO'!K:K,B624+1)</f>
        <v>0</v>
      </c>
      <c r="K624" s="65"/>
      <c r="L624" s="750" t="s">
        <v>10</v>
      </c>
      <c r="M624" s="752">
        <f t="shared" ref="M624" si="1882">IF(OR(ISBLANK($O$8),ISBLANK($O$7),ISBLANK($H$8),ISBLANK($O$6),ISBLANK($O$5),ISBLANK($H$5)),"",IFERROR(IF(VLOOKUP(L624,L630:M639,2,FALSE)&lt;1,ROUND(VLOOKUP(L624,L630:M639,2,FALSE),4),ROUND(VLOOKUP(L624,L630:M639,2,FALSE),2)),""))</f>
        <v>11.8</v>
      </c>
      <c r="N624" s="69"/>
      <c r="O624" s="27" t="s">
        <v>17</v>
      </c>
      <c r="P624" s="113">
        <f>5.9+5.9</f>
        <v>11.8</v>
      </c>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f t="shared" ref="B625:D625" si="1883">B624</f>
        <v>30</v>
      </c>
      <c r="C625" s="128">
        <f t="shared" si="1883"/>
        <v>1</v>
      </c>
      <c r="D625" s="127">
        <f t="shared" si="1883"/>
        <v>30</v>
      </c>
      <c r="E625" s="754">
        <f t="shared" ref="E625" si="1884">D624</f>
        <v>30</v>
      </c>
      <c r="F625" s="92"/>
      <c r="G625" s="756" t="s">
        <v>1</v>
      </c>
      <c r="H625" s="765" t="s">
        <v>809</v>
      </c>
      <c r="I625" s="759"/>
      <c r="J625" s="760"/>
      <c r="K625" s="66"/>
      <c r="L625" s="751"/>
      <c r="M625" s="753"/>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f t="shared" ref="B626:D626" si="1885">B625</f>
        <v>30</v>
      </c>
      <c r="C626" s="128">
        <f t="shared" si="1885"/>
        <v>1</v>
      </c>
      <c r="D626" s="127">
        <f t="shared" si="1885"/>
        <v>30</v>
      </c>
      <c r="E626" s="755"/>
      <c r="F626" s="93"/>
      <c r="G626" s="757"/>
      <c r="H626" s="761"/>
      <c r="I626" s="761"/>
      <c r="J626" s="762"/>
      <c r="K626" s="64"/>
      <c r="L626" s="130" t="s">
        <v>44</v>
      </c>
      <c r="M626" s="131">
        <v>1</v>
      </c>
      <c r="N626" s="71"/>
      <c r="O626" s="27" t="s">
        <v>380</v>
      </c>
      <c r="P626" s="114" t="s">
        <v>348</v>
      </c>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f t="shared" ref="B627:C627" si="1886">B626</f>
        <v>30</v>
      </c>
      <c r="C627" s="128">
        <f t="shared" si="1886"/>
        <v>1</v>
      </c>
      <c r="D627" s="127">
        <f t="shared" si="1832"/>
        <v>30</v>
      </c>
      <c r="E627" s="38" t="s">
        <v>313</v>
      </c>
      <c r="F627" s="93"/>
      <c r="G627" s="758"/>
      <c r="H627" s="763"/>
      <c r="I627" s="763"/>
      <c r="J627" s="764"/>
      <c r="K627" s="64"/>
      <c r="L627" s="1" t="s">
        <v>2</v>
      </c>
      <c r="M627" s="6" t="s">
        <v>197</v>
      </c>
      <c r="N627" s="71"/>
      <c r="O627" s="27" t="s">
        <v>381</v>
      </c>
      <c r="P627" s="115" t="s">
        <v>810</v>
      </c>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f t="shared" ref="B628:C628" si="1887">B626</f>
        <v>30</v>
      </c>
      <c r="C628" s="128">
        <f t="shared" si="1887"/>
        <v>1</v>
      </c>
      <c r="D628" s="127">
        <f t="shared" si="1832"/>
        <v>30</v>
      </c>
      <c r="E628" s="742">
        <f t="shared" ref="E628" si="1888">C624</f>
        <v>1</v>
      </c>
      <c r="F628" s="93"/>
      <c r="G628" s="744" t="s">
        <v>304</v>
      </c>
      <c r="H628" s="746"/>
      <c r="I628" s="747"/>
      <c r="J628" s="747"/>
      <c r="K628" s="67"/>
      <c r="L628" s="28" t="s">
        <v>303</v>
      </c>
      <c r="M628" s="133">
        <f t="shared" ref="M628" si="1889">IFERROR(INDEX(I630:I642,MATCH(MAX(J630:J642),J630:J642,0)),"")</f>
        <v>0</v>
      </c>
      <c r="N628" s="71"/>
      <c r="O628" s="27" t="s">
        <v>18</v>
      </c>
      <c r="P628" s="106">
        <f>IF(P624="","",
IF(OR(P626="Orçamento",P625="",MAX('Tabela de Apoio'!$A:$A)&lt;=P625),
P624,
(INDEX('Tabela de Apoio'!$B:$B,MATCH('MAPA DE PREÇOS'!$O$8,'Tabela de Apoio'!$A:$A,1))/INDEX('Tabela de Apoio'!$B:$B,MATCH('MAPA DE PREÇOS'!P625,'Tabela de Apoio'!$A:$A,1)-1))*P624))</f>
        <v>11.8</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f t="shared" ref="B629" si="1890">B628</f>
        <v>30</v>
      </c>
      <c r="C629" s="128">
        <f t="shared" ref="C629" si="1891">C628</f>
        <v>1</v>
      </c>
      <c r="D629" s="127">
        <f t="shared" si="1832"/>
        <v>30</v>
      </c>
      <c r="E629" s="743"/>
      <c r="F629" s="93"/>
      <c r="G629" s="745"/>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f t="shared" ref="B630:C630" si="1892">B629</f>
        <v>30</v>
      </c>
      <c r="C630" s="128">
        <f t="shared" si="1892"/>
        <v>1</v>
      </c>
      <c r="D630" s="127">
        <f t="shared" si="1832"/>
        <v>30</v>
      </c>
      <c r="E630" s="743"/>
      <c r="F630" s="93"/>
      <c r="G630" s="745"/>
      <c r="H630" s="134">
        <f t="shared" ref="H630" si="1893">COUNT($P630:$XX630)</f>
        <v>1</v>
      </c>
      <c r="I630" s="132">
        <f t="shared" ref="I630" si="1894">_xlfn.STDEV.P($P629:$XX630)/AVERAGE($P629:$XX630)</f>
        <v>0</v>
      </c>
      <c r="J630" s="7">
        <f>ROW()</f>
        <v>630</v>
      </c>
      <c r="K630" s="67"/>
      <c r="L630" s="29" t="s">
        <v>10</v>
      </c>
      <c r="M630" s="30">
        <f t="shared" ref="M630" si="1895">IFERROR(
IF(COUNTA(P624:AI624)=COUNTIF(P626:XX626,"Orçamento"),MIN(M635,M632),
IF(M633&lt;&gt;"",M633,
IF(M634&lt;&gt;"",M634,
M632
))),"")</f>
        <v>11.8</v>
      </c>
      <c r="N630" s="71"/>
      <c r="O630" s="27" t="s">
        <v>376</v>
      </c>
      <c r="P630" s="106">
        <f t="shared" ref="P630:AI630" si="1896">IFERROR(IF(P628="",
            "",
            IF(COUNT($P628:$XX628)&lt;=4,
               P628,
               IF(OR(P628&gt;(QUARTILE($P628:$XX628,3)+(QUARTILE($P628:$XX628,3)-QUARTILE($P628:$XX628,1))),
                     P628&lt;(QUARTILE($P628:$XX628,1)-(QUARTILE($P628:$XX628,3)-QUARTILE($P628:$XX628,1)))
                  ),
               "DESCARTADO",P628)
             )
  ),P628)</f>
        <v>11.8</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f t="shared" ref="B631" si="1897">B630</f>
        <v>30</v>
      </c>
      <c r="C631" s="128">
        <f t="shared" ref="C631" si="1898">C630</f>
        <v>1</v>
      </c>
      <c r="D631" s="127">
        <f t="shared" si="1832"/>
        <v>30</v>
      </c>
      <c r="E631" s="743"/>
      <c r="F631" s="93"/>
      <c r="G631" s="745"/>
      <c r="H631"/>
      <c r="I631"/>
      <c r="J631"/>
      <c r="K631" s="66"/>
      <c r="L631" s="29" t="s">
        <v>360</v>
      </c>
      <c r="M631" s="30">
        <f t="shared" ref="M631" si="1899">AVERAGE($P630:$XX630)</f>
        <v>11.8</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f t="shared" si="1831"/>
        <v>30</v>
      </c>
      <c r="C632" s="128">
        <f t="shared" si="1832"/>
        <v>1</v>
      </c>
      <c r="D632" s="127">
        <f t="shared" si="1832"/>
        <v>30</v>
      </c>
      <c r="E632" s="743"/>
      <c r="F632" s="93"/>
      <c r="G632" s="745"/>
      <c r="H632" s="134">
        <f t="shared" ref="H632" si="1901">COUNT($P632:$XX632)</f>
        <v>1</v>
      </c>
      <c r="I632" s="132">
        <f t="shared" ref="I632" si="1902">_xlfn.STDEV.P($P631:$XX632)/AVERAGE($P631:$XX632)</f>
        <v>0</v>
      </c>
      <c r="J632" s="7">
        <f t="shared" ref="J632" si="1903">IF(AND(H632&gt;2,
OR(L624="MÉDIA SANEADA",L624="MEDIANA SANEADA",
AND(L624="PREÇO ESTIMADO",NOT(AND(P626="Orçamento",COUNTA(P624:XX624)=COUNTIF(P626:XX626,"Orçamento")))))),
ROW(),0)</f>
        <v>0</v>
      </c>
      <c r="K632" s="66"/>
      <c r="L632" s="29" t="s">
        <v>361</v>
      </c>
      <c r="M632" s="30">
        <f t="shared" ref="M632" si="1904">MEDIAN($P630:$XX630)</f>
        <v>11.8</v>
      </c>
      <c r="N632" s="71"/>
      <c r="O632" s="27" t="str">
        <f t="shared" ref="O632" si="1905">"1 RODADA"</f>
        <v>1 RODADA</v>
      </c>
      <c r="P632" s="107">
        <f t="shared" ref="P632:AI632" si="1906">IF(P630="","",IF((_xlfn.STDEV.P($P629:$XX630)/AVERAGE($P629:$XX630))&lt;=25%,P630,IF(OR(P630&gt;(AVERAGE($P629:$XX630)+_xlfn.STDEV.P($P629:$XX630)),P630&lt;(AVERAGE($P629:$XX630)-_xlfn.STDEV.P($P629:$XX630))),"DESCARTADO",P630)))</f>
        <v>11.8</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f t="shared" si="1831"/>
        <v>30</v>
      </c>
      <c r="C633" s="128">
        <f t="shared" si="1832"/>
        <v>1</v>
      </c>
      <c r="D633" s="127">
        <f t="shared" si="1832"/>
        <v>30</v>
      </c>
      <c r="E633" s="743"/>
      <c r="F633" s="93"/>
      <c r="G633" s="745"/>
      <c r="H633"/>
      <c r="I633"/>
      <c r="J633"/>
      <c r="L633" s="29" t="s">
        <v>38</v>
      </c>
      <c r="M633" s="30">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11.8</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f t="shared" si="1831"/>
        <v>30</v>
      </c>
      <c r="C634" s="128">
        <f t="shared" si="1832"/>
        <v>1</v>
      </c>
      <c r="D634" s="127">
        <f t="shared" si="1832"/>
        <v>30</v>
      </c>
      <c r="E634" s="743"/>
      <c r="F634" s="93"/>
      <c r="G634" s="745"/>
      <c r="H634" s="134">
        <f t="shared" ref="H634" si="1909">COUNT($P634:$XX634)</f>
        <v>1</v>
      </c>
      <c r="I634" s="132">
        <f t="shared" ref="I634" si="1910">_xlfn.STDEV.P($P633:$XX634)/AVERAGE($P633:$XX634)</f>
        <v>0</v>
      </c>
      <c r="J634" s="7">
        <f t="shared" ref="J634" si="1911">IF(AND(H634&gt;2,
OR(L624="MÉDIA SANEADA",L624="MEDIANA SANEADA",
AND(L624="PREÇO ESTIMADO",NOT(AND(P626="Orçamento",COUNTA(P624:XX624)=COUNTIF(P626:XX626,"Orçamento")))))),
ROW(),0)</f>
        <v>0</v>
      </c>
      <c r="K634" s="66"/>
      <c r="L634" s="29" t="s">
        <v>362</v>
      </c>
      <c r="M634" s="30">
        <f t="shared" ref="M634" si="1912" xml:space="preserve">
IF(H632&gt;2,MEDIAN(P631:XX632),
IF(H634&gt;2,MEDIAN(P633:XX634),
IF(H636&gt;2,MEDIAN(P635:XX636),
IF(H638&gt;2,MEDIAN(P637:XX638),
IF(H640&gt;2,MEDIAN(P639:XX640),
IF(H642&gt;2,MEDIAN(P641:XX642),
MEDIAN(P629:XX630)))))))</f>
        <v>11.8</v>
      </c>
      <c r="N634" s="71"/>
      <c r="O634" s="27" t="str">
        <f t="shared" ref="O634" si="1913">"2 RODADA"</f>
        <v>2 RODADA</v>
      </c>
      <c r="P634" s="107">
        <f t="shared" ref="P634:AI634" si="1914">IF(P632="","",IF((_xlfn.STDEV.P($P631:$XX632)/AVERAGE($P631:$XX632))&lt;=25%,P632,IF(OR(P632&gt;(AVERAGE($P631:$XX632)+_xlfn.STDEV.P($P631:$XX632)),P632&lt;(AVERAGE($P631:$XX632)-_xlfn.STDEV.P($P631:$XX632))),"DESCARTADO",P632)))</f>
        <v>11.8</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f t="shared" si="1831"/>
        <v>30</v>
      </c>
      <c r="C635" s="128">
        <f t="shared" si="1832"/>
        <v>1</v>
      </c>
      <c r="D635" s="127">
        <f t="shared" si="1832"/>
        <v>30</v>
      </c>
      <c r="E635" s="743"/>
      <c r="F635" s="93"/>
      <c r="G635" s="745"/>
      <c r="H635"/>
      <c r="I635"/>
      <c r="J635"/>
      <c r="K635" s="66"/>
      <c r="L635" s="29" t="s">
        <v>359</v>
      </c>
      <c r="M635" s="30">
        <f t="shared" ref="M635" si="1915">HARMEAN($P629:$XX630)</f>
        <v>11.8</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f t="shared" si="1831"/>
        <v>30</v>
      </c>
      <c r="C636" s="128">
        <f t="shared" si="1832"/>
        <v>1</v>
      </c>
      <c r="D636" s="127">
        <f t="shared" si="1832"/>
        <v>30</v>
      </c>
      <c r="E636" s="743"/>
      <c r="F636" s="93"/>
      <c r="G636" s="745"/>
      <c r="H636" s="134">
        <f t="shared" ref="H636" si="1917">COUNT($P636:$XX636)</f>
        <v>1</v>
      </c>
      <c r="I636" s="132">
        <f t="shared" ref="I636" si="1918">_xlfn.STDEV.P($P635:$XX636)/AVERAGE($P635:$XX636)</f>
        <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f t="shared" ref="P636:AI636" si="1922">IF(P634="","",IF((_xlfn.STDEV.P($P633:$XX634)/AVERAGE($P633:$XX634))&lt;=25%,P634,IF(OR(P634&gt;(AVERAGE($P633:$XX634)+_xlfn.STDEV.P($P633:$XX634)),P634&lt;(AVERAGE($P633:$XX634)-_xlfn.STDEV.P($P633:$XX634))),"DESCARTADO",P634)))</f>
        <v>11.8</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f t="shared" si="1831"/>
        <v>30</v>
      </c>
      <c r="C637" s="128">
        <f t="shared" si="1832"/>
        <v>1</v>
      </c>
      <c r="D637" s="127">
        <f t="shared" si="1832"/>
        <v>30</v>
      </c>
      <c r="E637" s="743"/>
      <c r="F637" s="93"/>
      <c r="G637" s="745"/>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f t="shared" si="1831"/>
        <v>30</v>
      </c>
      <c r="C638" s="128">
        <f t="shared" si="1832"/>
        <v>1</v>
      </c>
      <c r="D638" s="127">
        <f t="shared" si="1832"/>
        <v>30</v>
      </c>
      <c r="E638" s="743"/>
      <c r="F638" s="93"/>
      <c r="G638" s="745"/>
      <c r="H638" s="134">
        <f t="shared" ref="H638" si="1925">COUNT($P638:$XX638)</f>
        <v>1</v>
      </c>
      <c r="I638" s="132">
        <f t="shared" ref="I638" si="1926">_xlfn.STDEV.P($P637:$XX638)/AVERAGE($P637:$XX638)</f>
        <v>0</v>
      </c>
      <c r="J638" s="7">
        <f t="shared" ref="J638" si="1927">IF(AND(H638&gt;2,
OR(L624="MÉDIA SANEADA",L624="MEDIANA SANEADA",
AND(L624="PREÇO ESTIMADO",NOT(AND(P626="Orçamento",COUNTA(P624:XX624)=COUNTIF(P626:XX626,"Orçamento")))))),
ROW(),0)</f>
        <v>0</v>
      </c>
      <c r="K638" s="66"/>
      <c r="L638" s="29" t="s">
        <v>42</v>
      </c>
      <c r="M638" s="30">
        <f t="shared" ref="M638" si="1928">MIN($P630:$XX630)</f>
        <v>11.8</v>
      </c>
      <c r="N638" s="71"/>
      <c r="O638" s="27" t="str">
        <f t="shared" ref="O638" si="1929">"4 RODADA"</f>
        <v>4 RODADA</v>
      </c>
      <c r="P638" s="107">
        <f t="shared" ref="P638:AI638" si="1930">IF(P636="","",IF((_xlfn.STDEV.P($P635:$XX636)/AVERAGE($P635:$XX636))&lt;=25%,P636,IF(OR(P636&gt;(AVERAGE($P635:$XX636)+_xlfn.STDEV.P($P635:$XX636)),P636&lt;(AVERAGE($P635:$XX636)-_xlfn.STDEV.P($P635:$XX636))),"DESCARTADO",P636)))</f>
        <v>11.8</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f t="shared" si="1831"/>
        <v>30</v>
      </c>
      <c r="C639" s="128">
        <f t="shared" si="1832"/>
        <v>1</v>
      </c>
      <c r="D639" s="127">
        <f t="shared" si="1832"/>
        <v>30</v>
      </c>
      <c r="E639" s="743"/>
      <c r="F639" s="93"/>
      <c r="G639" s="745"/>
      <c r="H639"/>
      <c r="I639"/>
      <c r="J639"/>
      <c r="K639" s="66"/>
      <c r="L639" s="29" t="s">
        <v>40</v>
      </c>
      <c r="M639" s="30">
        <f t="shared" ref="M639" si="1931">MAX($P630:$XX630)</f>
        <v>11.8</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f t="shared" si="1831"/>
        <v>30</v>
      </c>
      <c r="C640" s="128">
        <f t="shared" si="1832"/>
        <v>1</v>
      </c>
      <c r="D640" s="127">
        <f t="shared" si="1832"/>
        <v>30</v>
      </c>
      <c r="E640" s="743"/>
      <c r="F640" s="93"/>
      <c r="G640" s="745"/>
      <c r="H640" s="134">
        <f t="shared" ref="H640" si="1933">COUNT($P640:$XX640)</f>
        <v>1</v>
      </c>
      <c r="I640" s="132">
        <f t="shared" ref="I640" si="1934">_xlfn.STDEV.P($P639:$XX640)/AVERAGE($P639:$XX640)</f>
        <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f t="shared" ref="P640:AI640" si="1937">IF(P638="","",IF((_xlfn.STDEV.P($P637:$XX638)/AVERAGE($P637:$XX638))&lt;=25%,P638,IF(OR(P638&gt;(AVERAGE($P637:$XX638)+_xlfn.STDEV.P($P637:$XX638)),P638&lt;(AVERAGE($P637:$XX638)-_xlfn.STDEV.P($P637:$XX638))),"DESCARTADO",P638)))</f>
        <v>11.8</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f t="shared" si="1831"/>
        <v>30</v>
      </c>
      <c r="C641" s="128">
        <f t="shared" si="1832"/>
        <v>1</v>
      </c>
      <c r="D641" s="127">
        <f t="shared" si="1832"/>
        <v>30</v>
      </c>
      <c r="E641" s="743"/>
      <c r="F641" s="93"/>
      <c r="G641" s="745"/>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f t="shared" si="1831"/>
        <v>30</v>
      </c>
      <c r="C642" s="128">
        <f t="shared" si="1832"/>
        <v>1</v>
      </c>
      <c r="D642" s="127">
        <f t="shared" si="1832"/>
        <v>30</v>
      </c>
      <c r="E642" s="743"/>
      <c r="F642" s="93"/>
      <c r="G642" s="745"/>
      <c r="H642" s="134">
        <f t="shared" ref="H642" si="1939">COUNT($P642:$XX642)</f>
        <v>1</v>
      </c>
      <c r="I642" s="132">
        <f t="shared" ref="I642" si="1940">_xlfn.STDEV.P($P641:$XX642)/AVERAGE($P641:$XX642)</f>
        <v>0</v>
      </c>
      <c r="J642" s="7">
        <f t="shared" ref="J642" si="1941">IF(AND(H642&gt;2,
OR(L624="MÉDIA SANEADA",L624="MEDIANA SANEADA",
AND(L624="PREÇO ESTIMADO",NOT(AND(P626="Orçamento",COUNTA(P624:XX624)=COUNTIF(P626:XX626,"Orçamento")))))),
ROW(),0)</f>
        <v>0</v>
      </c>
      <c r="N642" s="71"/>
      <c r="O642" s="27" t="str">
        <f t="shared" ref="O642" si="1942">"6 RODADA"</f>
        <v>6 RODADA</v>
      </c>
      <c r="P642" s="107">
        <f t="shared" ref="P642:AI642" si="1943">IFERROR(IF(P640="","",IF((_xlfn.STDEV.P($P639:$XX640)/AVERAGE($P639:$XX640))&lt;=25%,P640,IF(OR(P640&gt;(AVERAGE($P639:$XX640)+_xlfn.STDEV.P($P639:$XX640)),P640&lt;(AVERAGE($P639:$XX640)-_xlfn.STDEV.P($P639:$XX640))),"DESCARTADO",P640))),)</f>
        <v>11.8</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f t="shared" si="1831"/>
        <v>30</v>
      </c>
      <c r="C643" s="128">
        <f t="shared" si="1832"/>
        <v>1</v>
      </c>
      <c r="D643" s="127">
        <f t="shared" si="1832"/>
        <v>30</v>
      </c>
      <c r="E643" s="743"/>
      <c r="F643" s="136"/>
      <c r="G643" s="745"/>
      <c r="H643" s="748"/>
      <c r="I643" s="748"/>
      <c r="J643" s="749"/>
      <c r="K643" s="67"/>
      <c r="L643" s="1" t="s">
        <v>43</v>
      </c>
      <c r="M643" s="144">
        <f t="shared" ref="M643" si="1944">IFERROR(ROUND(M624*M626,2),"")</f>
        <v>11.8</v>
      </c>
      <c r="O643" s="27" t="s">
        <v>363</v>
      </c>
      <c r="P643" s="107">
        <f t="shared" ref="P643:AI664" si="1945">INDEX(P630:P642,MATCH(MAX($J630:$J642),$J630:$J642,0))</f>
        <v>11.8</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43" t="s">
        <v>16</v>
      </c>
      <c r="J645" s="6" t="e">
        <f>INDEX('BASE FORMAÇÃO'!K:K,B645+1)</f>
        <v>#VALUE!</v>
      </c>
      <c r="K645" s="65"/>
      <c r="L645" s="750" t="s">
        <v>10</v>
      </c>
      <c r="M645" s="752"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754">
        <f t="shared" ref="E646" si="1950">D645</f>
        <v>1</v>
      </c>
      <c r="F646" s="92"/>
      <c r="G646" s="756" t="s">
        <v>1</v>
      </c>
      <c r="H646" s="765" t="s">
        <v>956</v>
      </c>
      <c r="I646" s="759"/>
      <c r="J646" s="760"/>
      <c r="K646" s="66"/>
      <c r="L646" s="751"/>
      <c r="M646" s="753"/>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755"/>
      <c r="F647" s="93"/>
      <c r="G647" s="757"/>
      <c r="H647" s="761"/>
      <c r="I647" s="761"/>
      <c r="J647" s="762"/>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758"/>
      <c r="H648" s="763"/>
      <c r="I648" s="763"/>
      <c r="J648" s="764"/>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742" t="e">
        <f t="shared" ref="E649" si="1954">C645</f>
        <v>#VALUE!</v>
      </c>
      <c r="F649" s="93"/>
      <c r="G649" s="744" t="s">
        <v>304</v>
      </c>
      <c r="H649" s="746"/>
      <c r="I649" s="747"/>
      <c r="J649" s="747"/>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743"/>
      <c r="F650" s="93"/>
      <c r="G650" s="745"/>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743"/>
      <c r="F651" s="93"/>
      <c r="G651" s="745"/>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743"/>
      <c r="F652" s="93"/>
      <c r="G652" s="745"/>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743"/>
      <c r="F653" s="93"/>
      <c r="G653" s="745"/>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743"/>
      <c r="F654" s="93"/>
      <c r="G654" s="745"/>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743"/>
      <c r="F655" s="93"/>
      <c r="G655" s="745"/>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743"/>
      <c r="F656" s="93"/>
      <c r="G656" s="745"/>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743"/>
      <c r="F657" s="93"/>
      <c r="G657" s="745"/>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743"/>
      <c r="F658" s="93"/>
      <c r="G658" s="745"/>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743"/>
      <c r="F659" s="93"/>
      <c r="G659" s="745"/>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743"/>
      <c r="F660" s="93"/>
      <c r="G660" s="745"/>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743"/>
      <c r="F661" s="93"/>
      <c r="G661" s="745"/>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743"/>
      <c r="F662" s="93"/>
      <c r="G662" s="745"/>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743"/>
      <c r="F663" s="93"/>
      <c r="G663" s="745"/>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743"/>
      <c r="F664" s="136"/>
      <c r="G664" s="745"/>
      <c r="H664" s="748"/>
      <c r="I664" s="748"/>
      <c r="J664" s="749"/>
      <c r="K664" s="67"/>
      <c r="L664" s="1" t="s">
        <v>43</v>
      </c>
      <c r="M664" s="144"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43" t="s">
        <v>16</v>
      </c>
      <c r="J666" s="6" t="e">
        <f>INDEX('BASE FORMAÇÃO'!K:K,B666+1)</f>
        <v>#VALUE!</v>
      </c>
      <c r="K666" s="65"/>
      <c r="L666" s="750" t="s">
        <v>10</v>
      </c>
      <c r="M666" s="752"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754">
        <f t="shared" ref="E667" si="2016">D666</f>
        <v>1</v>
      </c>
      <c r="F667" s="92"/>
      <c r="G667" s="756" t="s">
        <v>1</v>
      </c>
      <c r="H667" s="759" t="e">
        <f>INDEX('BASE FORMAÇÃO'!C:C,B666+1)</f>
        <v>#VALUE!</v>
      </c>
      <c r="I667" s="759"/>
      <c r="J667" s="760"/>
      <c r="K667" s="66"/>
      <c r="L667" s="751"/>
      <c r="M667" s="753"/>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755"/>
      <c r="F668" s="93"/>
      <c r="G668" s="757"/>
      <c r="H668" s="761"/>
      <c r="I668" s="761"/>
      <c r="J668" s="762"/>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758"/>
      <c r="H669" s="763"/>
      <c r="I669" s="763"/>
      <c r="J669" s="764"/>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742" t="e">
        <f t="shared" ref="E670" si="2020">C666</f>
        <v>#VALUE!</v>
      </c>
      <c r="F670" s="93"/>
      <c r="G670" s="744" t="s">
        <v>304</v>
      </c>
      <c r="H670" s="746"/>
      <c r="I670" s="747"/>
      <c r="J670" s="747"/>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743"/>
      <c r="F671" s="93"/>
      <c r="G671" s="745"/>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743"/>
      <c r="F672" s="93"/>
      <c r="G672" s="745"/>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743"/>
      <c r="F673" s="93"/>
      <c r="G673" s="745"/>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743"/>
      <c r="F674" s="93"/>
      <c r="G674" s="745"/>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743"/>
      <c r="F675" s="93"/>
      <c r="G675" s="745"/>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743"/>
      <c r="F676" s="93"/>
      <c r="G676" s="745"/>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743"/>
      <c r="F677" s="93"/>
      <c r="G677" s="745"/>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743"/>
      <c r="F678" s="93"/>
      <c r="G678" s="745"/>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743"/>
      <c r="F679" s="93"/>
      <c r="G679" s="745"/>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743"/>
      <c r="F680" s="93"/>
      <c r="G680" s="745"/>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743"/>
      <c r="F681" s="93"/>
      <c r="G681" s="745"/>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743"/>
      <c r="F682" s="93"/>
      <c r="G682" s="745"/>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743"/>
      <c r="F683" s="93"/>
      <c r="G683" s="745"/>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743"/>
      <c r="F684" s="93"/>
      <c r="G684" s="745"/>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743"/>
      <c r="F685" s="136"/>
      <c r="G685" s="745"/>
      <c r="H685" s="748"/>
      <c r="I685" s="748"/>
      <c r="J685" s="749"/>
      <c r="K685" s="67"/>
      <c r="L685" s="1" t="s">
        <v>43</v>
      </c>
      <c r="M685" s="144"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43" t="s">
        <v>16</v>
      </c>
      <c r="J687" s="6" t="e">
        <f>INDEX('BASE FORMAÇÃO'!K:K,B687+1)</f>
        <v>#VALUE!</v>
      </c>
      <c r="K687" s="65"/>
      <c r="L687" s="750" t="s">
        <v>10</v>
      </c>
      <c r="M687" s="752"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754">
        <f t="shared" ref="E688" si="2082">D687</f>
        <v>1</v>
      </c>
      <c r="F688" s="92"/>
      <c r="G688" s="756" t="s">
        <v>1</v>
      </c>
      <c r="H688" s="759" t="e">
        <f>INDEX('BASE FORMAÇÃO'!C:C,B687+1)</f>
        <v>#VALUE!</v>
      </c>
      <c r="I688" s="759"/>
      <c r="J688" s="760"/>
      <c r="K688" s="66"/>
      <c r="L688" s="751"/>
      <c r="M688" s="753"/>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755"/>
      <c r="F689" s="93"/>
      <c r="G689" s="757"/>
      <c r="H689" s="761"/>
      <c r="I689" s="761"/>
      <c r="J689" s="762"/>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758"/>
      <c r="H690" s="763"/>
      <c r="I690" s="763"/>
      <c r="J690" s="764"/>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742" t="e">
        <f t="shared" ref="E691" si="2086">C687</f>
        <v>#VALUE!</v>
      </c>
      <c r="F691" s="93"/>
      <c r="G691" s="744" t="s">
        <v>304</v>
      </c>
      <c r="H691" s="746"/>
      <c r="I691" s="747"/>
      <c r="J691" s="747"/>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743"/>
      <c r="F692" s="93"/>
      <c r="G692" s="745"/>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743"/>
      <c r="F693" s="93"/>
      <c r="G693" s="745"/>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743"/>
      <c r="F694" s="93"/>
      <c r="G694" s="745"/>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743"/>
      <c r="F695" s="93"/>
      <c r="G695" s="745"/>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743"/>
      <c r="F696" s="93"/>
      <c r="G696" s="745"/>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743"/>
      <c r="F697" s="93"/>
      <c r="G697" s="745"/>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743"/>
      <c r="F698" s="93"/>
      <c r="G698" s="745"/>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743"/>
      <c r="F699" s="93"/>
      <c r="G699" s="745"/>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743"/>
      <c r="F700" s="93"/>
      <c r="G700" s="745"/>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743"/>
      <c r="F701" s="93"/>
      <c r="G701" s="745"/>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743"/>
      <c r="F702" s="93"/>
      <c r="G702" s="745"/>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743"/>
      <c r="F703" s="93"/>
      <c r="G703" s="745"/>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743"/>
      <c r="F704" s="93"/>
      <c r="G704" s="745"/>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743"/>
      <c r="F705" s="93"/>
      <c r="G705" s="745"/>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743"/>
      <c r="F706" s="136"/>
      <c r="G706" s="745"/>
      <c r="H706" s="748"/>
      <c r="I706" s="748"/>
      <c r="J706" s="749"/>
      <c r="K706" s="67"/>
      <c r="L706" s="1" t="s">
        <v>43</v>
      </c>
      <c r="M706" s="144"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43" t="s">
        <v>16</v>
      </c>
      <c r="J708" s="6" t="e">
        <f>INDEX('BASE FORMAÇÃO'!K:K,B708+1)</f>
        <v>#VALUE!</v>
      </c>
      <c r="K708" s="65"/>
      <c r="L708" s="750" t="s">
        <v>10</v>
      </c>
      <c r="M708" s="752"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754">
        <f t="shared" ref="E709" si="2148">D708</f>
        <v>1</v>
      </c>
      <c r="F709" s="92"/>
      <c r="G709" s="756" t="s">
        <v>1</v>
      </c>
      <c r="H709" s="759" t="e">
        <f>INDEX('BASE FORMAÇÃO'!C:C,B708+1)</f>
        <v>#VALUE!</v>
      </c>
      <c r="I709" s="759"/>
      <c r="J709" s="760"/>
      <c r="K709" s="66"/>
      <c r="L709" s="751"/>
      <c r="M709" s="753"/>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755"/>
      <c r="F710" s="93"/>
      <c r="G710" s="757"/>
      <c r="H710" s="761"/>
      <c r="I710" s="761"/>
      <c r="J710" s="762"/>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758"/>
      <c r="H711" s="763"/>
      <c r="I711" s="763"/>
      <c r="J711" s="764"/>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742" t="e">
        <f t="shared" ref="E712" si="2152">C708</f>
        <v>#VALUE!</v>
      </c>
      <c r="F712" s="93"/>
      <c r="G712" s="744" t="s">
        <v>304</v>
      </c>
      <c r="H712" s="746"/>
      <c r="I712" s="747"/>
      <c r="J712" s="747"/>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743"/>
      <c r="F713" s="93"/>
      <c r="G713" s="745"/>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743"/>
      <c r="F714" s="93"/>
      <c r="G714" s="745"/>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743"/>
      <c r="F715" s="93"/>
      <c r="G715" s="745"/>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743"/>
      <c r="F716" s="93"/>
      <c r="G716" s="745"/>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743"/>
      <c r="F717" s="93"/>
      <c r="G717" s="745"/>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743"/>
      <c r="F718" s="93"/>
      <c r="G718" s="745"/>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743"/>
      <c r="F719" s="93"/>
      <c r="G719" s="745"/>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743"/>
      <c r="F720" s="93"/>
      <c r="G720" s="745"/>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743"/>
      <c r="F721" s="93"/>
      <c r="G721" s="745"/>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743"/>
      <c r="F722" s="93"/>
      <c r="G722" s="745"/>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743"/>
      <c r="F723" s="93"/>
      <c r="G723" s="745"/>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743"/>
      <c r="F724" s="93"/>
      <c r="G724" s="745"/>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743"/>
      <c r="F725" s="93"/>
      <c r="G725" s="745"/>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743"/>
      <c r="F726" s="93"/>
      <c r="G726" s="745"/>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743"/>
      <c r="F727" s="136"/>
      <c r="G727" s="745"/>
      <c r="H727" s="748"/>
      <c r="I727" s="748"/>
      <c r="J727" s="749"/>
      <c r="K727" s="67"/>
      <c r="L727" s="1" t="s">
        <v>43</v>
      </c>
      <c r="M727" s="144"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43" t="s">
        <v>16</v>
      </c>
      <c r="J729" s="6" t="e">
        <f>INDEX('BASE FORMAÇÃO'!K:K,B729+1)</f>
        <v>#VALUE!</v>
      </c>
      <c r="K729" s="65"/>
      <c r="L729" s="750" t="s">
        <v>10</v>
      </c>
      <c r="M729" s="752"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754">
        <f t="shared" ref="E730" si="2214">D729</f>
        <v>1</v>
      </c>
      <c r="F730" s="92"/>
      <c r="G730" s="756" t="s">
        <v>1</v>
      </c>
      <c r="H730" s="759" t="e">
        <f>INDEX('BASE FORMAÇÃO'!C:C,B729+1)</f>
        <v>#VALUE!</v>
      </c>
      <c r="I730" s="759"/>
      <c r="J730" s="760"/>
      <c r="K730" s="66"/>
      <c r="L730" s="751"/>
      <c r="M730" s="753"/>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755"/>
      <c r="F731" s="93"/>
      <c r="G731" s="757"/>
      <c r="H731" s="761"/>
      <c r="I731" s="761"/>
      <c r="J731" s="762"/>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758"/>
      <c r="H732" s="763"/>
      <c r="I732" s="763"/>
      <c r="J732" s="764"/>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742" t="e">
        <f t="shared" ref="E733" si="2218">C729</f>
        <v>#VALUE!</v>
      </c>
      <c r="F733" s="93"/>
      <c r="G733" s="744" t="s">
        <v>304</v>
      </c>
      <c r="H733" s="746"/>
      <c r="I733" s="747"/>
      <c r="J733" s="747"/>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743"/>
      <c r="F734" s="93"/>
      <c r="G734" s="745"/>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743"/>
      <c r="F735" s="93"/>
      <c r="G735" s="745"/>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743"/>
      <c r="F736" s="93"/>
      <c r="G736" s="745"/>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743"/>
      <c r="F737" s="93"/>
      <c r="G737" s="745"/>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743"/>
      <c r="F738" s="93"/>
      <c r="G738" s="745"/>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743"/>
      <c r="F739" s="93"/>
      <c r="G739" s="745"/>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743"/>
      <c r="F740" s="93"/>
      <c r="G740" s="745"/>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743"/>
      <c r="F741" s="93"/>
      <c r="G741" s="745"/>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743"/>
      <c r="F742" s="93"/>
      <c r="G742" s="745"/>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743"/>
      <c r="F743" s="93"/>
      <c r="G743" s="745"/>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743"/>
      <c r="F744" s="93"/>
      <c r="G744" s="745"/>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743"/>
      <c r="F745" s="93"/>
      <c r="G745" s="745"/>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743"/>
      <c r="F746" s="93"/>
      <c r="G746" s="745"/>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743"/>
      <c r="F747" s="93"/>
      <c r="G747" s="745"/>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743"/>
      <c r="F748" s="136"/>
      <c r="G748" s="745"/>
      <c r="H748" s="748"/>
      <c r="I748" s="748"/>
      <c r="J748" s="749"/>
      <c r="K748" s="67"/>
      <c r="L748" s="1" t="s">
        <v>43</v>
      </c>
      <c r="M748" s="144"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43" t="s">
        <v>16</v>
      </c>
      <c r="J750" s="6" t="e">
        <f>INDEX('BASE FORMAÇÃO'!K:K,B750+1)</f>
        <v>#VALUE!</v>
      </c>
      <c r="K750" s="65"/>
      <c r="L750" s="750" t="s">
        <v>10</v>
      </c>
      <c r="M750" s="752"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754">
        <f t="shared" ref="E751" si="2280">D750</f>
        <v>1</v>
      </c>
      <c r="F751" s="92"/>
      <c r="G751" s="756" t="s">
        <v>1</v>
      </c>
      <c r="H751" s="759" t="e">
        <f>INDEX('BASE FORMAÇÃO'!C:C,B750+1)</f>
        <v>#VALUE!</v>
      </c>
      <c r="I751" s="759"/>
      <c r="J751" s="760"/>
      <c r="K751" s="66"/>
      <c r="L751" s="751"/>
      <c r="M751" s="753"/>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755"/>
      <c r="F752" s="93"/>
      <c r="G752" s="757"/>
      <c r="H752" s="761"/>
      <c r="I752" s="761"/>
      <c r="J752" s="762"/>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758"/>
      <c r="H753" s="763"/>
      <c r="I753" s="763"/>
      <c r="J753" s="764"/>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742" t="e">
        <f t="shared" ref="E754" si="2284">C750</f>
        <v>#VALUE!</v>
      </c>
      <c r="F754" s="93"/>
      <c r="G754" s="744" t="s">
        <v>304</v>
      </c>
      <c r="H754" s="746"/>
      <c r="I754" s="747"/>
      <c r="J754" s="747"/>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743"/>
      <c r="F755" s="93"/>
      <c r="G755" s="745"/>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743"/>
      <c r="F756" s="93"/>
      <c r="G756" s="745"/>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743"/>
      <c r="F757" s="93"/>
      <c r="G757" s="745"/>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743"/>
      <c r="F758" s="93"/>
      <c r="G758" s="745"/>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743"/>
      <c r="F759" s="93"/>
      <c r="G759" s="745"/>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743"/>
      <c r="F760" s="93"/>
      <c r="G760" s="745"/>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743"/>
      <c r="F761" s="93"/>
      <c r="G761" s="745"/>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743"/>
      <c r="F762" s="93"/>
      <c r="G762" s="745"/>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743"/>
      <c r="F763" s="93"/>
      <c r="G763" s="745"/>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743"/>
      <c r="F764" s="93"/>
      <c r="G764" s="745"/>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743"/>
      <c r="F765" s="93"/>
      <c r="G765" s="745"/>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743"/>
      <c r="F766" s="93"/>
      <c r="G766" s="745"/>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743"/>
      <c r="F767" s="93"/>
      <c r="G767" s="745"/>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743"/>
      <c r="F768" s="93"/>
      <c r="G768" s="745"/>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743"/>
      <c r="F769" s="136"/>
      <c r="G769" s="745"/>
      <c r="H769" s="748"/>
      <c r="I769" s="748"/>
      <c r="J769" s="749"/>
      <c r="K769" s="67"/>
      <c r="L769" s="1" t="s">
        <v>43</v>
      </c>
      <c r="M769" s="144"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43" t="s">
        <v>16</v>
      </c>
      <c r="J771" s="6" t="e">
        <f>INDEX('BASE FORMAÇÃO'!K:K,B771+1)</f>
        <v>#VALUE!</v>
      </c>
      <c r="K771" s="65"/>
      <c r="L771" s="750" t="s">
        <v>10</v>
      </c>
      <c r="M771" s="752"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754">
        <f t="shared" ref="E772" si="2346">D771</f>
        <v>1</v>
      </c>
      <c r="F772" s="92"/>
      <c r="G772" s="756" t="s">
        <v>1</v>
      </c>
      <c r="H772" s="759" t="e">
        <f>INDEX('BASE FORMAÇÃO'!C:C,B771+1)</f>
        <v>#VALUE!</v>
      </c>
      <c r="I772" s="759"/>
      <c r="J772" s="760"/>
      <c r="K772" s="66"/>
      <c r="L772" s="751"/>
      <c r="M772" s="753"/>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755"/>
      <c r="F773" s="93"/>
      <c r="G773" s="757"/>
      <c r="H773" s="761"/>
      <c r="I773" s="761"/>
      <c r="J773" s="762"/>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758"/>
      <c r="H774" s="763"/>
      <c r="I774" s="763"/>
      <c r="J774" s="764"/>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742" t="e">
        <f t="shared" ref="E775" si="2350">C771</f>
        <v>#VALUE!</v>
      </c>
      <c r="F775" s="93"/>
      <c r="G775" s="744" t="s">
        <v>304</v>
      </c>
      <c r="H775" s="746"/>
      <c r="I775" s="747"/>
      <c r="J775" s="747"/>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743"/>
      <c r="F776" s="93"/>
      <c r="G776" s="745"/>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743"/>
      <c r="F777" s="93"/>
      <c r="G777" s="745"/>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743"/>
      <c r="F778" s="93"/>
      <c r="G778" s="745"/>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743"/>
      <c r="F779" s="93"/>
      <c r="G779" s="745"/>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743"/>
      <c r="F780" s="93"/>
      <c r="G780" s="745"/>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743"/>
      <c r="F781" s="93"/>
      <c r="G781" s="745"/>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743"/>
      <c r="F782" s="93"/>
      <c r="G782" s="745"/>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743"/>
      <c r="F783" s="93"/>
      <c r="G783" s="745"/>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743"/>
      <c r="F784" s="93"/>
      <c r="G784" s="745"/>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743"/>
      <c r="F785" s="93"/>
      <c r="G785" s="745"/>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743"/>
      <c r="F786" s="93"/>
      <c r="G786" s="745"/>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743"/>
      <c r="F787" s="93"/>
      <c r="G787" s="745"/>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743"/>
      <c r="F788" s="93"/>
      <c r="G788" s="745"/>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743"/>
      <c r="F789" s="93"/>
      <c r="G789" s="745"/>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743"/>
      <c r="F790" s="136"/>
      <c r="G790" s="745"/>
      <c r="H790" s="748"/>
      <c r="I790" s="748"/>
      <c r="J790" s="749"/>
      <c r="K790" s="67"/>
      <c r="L790" s="1" t="s">
        <v>43</v>
      </c>
      <c r="M790" s="144"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43" t="s">
        <v>16</v>
      </c>
      <c r="J792" s="6" t="e">
        <f>INDEX('BASE FORMAÇÃO'!K:K,B792+1)</f>
        <v>#VALUE!</v>
      </c>
      <c r="K792" s="65"/>
      <c r="L792" s="750" t="s">
        <v>10</v>
      </c>
      <c r="M792" s="752"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754">
        <f t="shared" ref="E793" si="2412">D792</f>
        <v>1</v>
      </c>
      <c r="F793" s="92"/>
      <c r="G793" s="756" t="s">
        <v>1</v>
      </c>
      <c r="H793" s="759" t="e">
        <f>INDEX('BASE FORMAÇÃO'!C:C,B792+1)</f>
        <v>#VALUE!</v>
      </c>
      <c r="I793" s="759"/>
      <c r="J793" s="760"/>
      <c r="K793" s="66"/>
      <c r="L793" s="751"/>
      <c r="M793" s="753"/>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755"/>
      <c r="F794" s="93"/>
      <c r="G794" s="757"/>
      <c r="H794" s="761"/>
      <c r="I794" s="761"/>
      <c r="J794" s="762"/>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758"/>
      <c r="H795" s="763"/>
      <c r="I795" s="763"/>
      <c r="J795" s="764"/>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742" t="e">
        <f t="shared" ref="E796" si="2416">C792</f>
        <v>#VALUE!</v>
      </c>
      <c r="F796" s="93"/>
      <c r="G796" s="744" t="s">
        <v>304</v>
      </c>
      <c r="H796" s="746"/>
      <c r="I796" s="747"/>
      <c r="J796" s="747"/>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743"/>
      <c r="F797" s="93"/>
      <c r="G797" s="745"/>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743"/>
      <c r="F798" s="93"/>
      <c r="G798" s="745"/>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743"/>
      <c r="F799" s="93"/>
      <c r="G799" s="745"/>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743"/>
      <c r="F800" s="93"/>
      <c r="G800" s="745"/>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743"/>
      <c r="F801" s="93"/>
      <c r="G801" s="745"/>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743"/>
      <c r="F802" s="93"/>
      <c r="G802" s="745"/>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743"/>
      <c r="F803" s="93"/>
      <c r="G803" s="745"/>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743"/>
      <c r="F804" s="93"/>
      <c r="G804" s="745"/>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743"/>
      <c r="F805" s="93"/>
      <c r="G805" s="745"/>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743"/>
      <c r="F806" s="93"/>
      <c r="G806" s="745"/>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743"/>
      <c r="F807" s="93"/>
      <c r="G807" s="745"/>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743"/>
      <c r="F808" s="93"/>
      <c r="G808" s="745"/>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743"/>
      <c r="F809" s="93"/>
      <c r="G809" s="745"/>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743"/>
      <c r="F810" s="93"/>
      <c r="G810" s="745"/>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743"/>
      <c r="F811" s="136"/>
      <c r="G811" s="745"/>
      <c r="H811" s="748"/>
      <c r="I811" s="748"/>
      <c r="J811" s="749"/>
      <c r="K811" s="67"/>
      <c r="L811" s="1" t="s">
        <v>43</v>
      </c>
      <c r="M811" s="144"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43" t="s">
        <v>16</v>
      </c>
      <c r="J813" s="6" t="e">
        <f>INDEX('BASE FORMAÇÃO'!K:K,B813+1)</f>
        <v>#VALUE!</v>
      </c>
      <c r="K813" s="65"/>
      <c r="L813" s="750" t="s">
        <v>10</v>
      </c>
      <c r="M813" s="752"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754">
        <f t="shared" ref="E814" si="2478">D813</f>
        <v>1</v>
      </c>
      <c r="F814" s="92"/>
      <c r="G814" s="756" t="s">
        <v>1</v>
      </c>
      <c r="H814" s="759" t="e">
        <f>INDEX('BASE FORMAÇÃO'!C:C,B813+1)</f>
        <v>#VALUE!</v>
      </c>
      <c r="I814" s="759"/>
      <c r="J814" s="760"/>
      <c r="K814" s="66"/>
      <c r="L814" s="751"/>
      <c r="M814" s="753"/>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755"/>
      <c r="F815" s="93"/>
      <c r="G815" s="757"/>
      <c r="H815" s="761"/>
      <c r="I815" s="761"/>
      <c r="J815" s="762"/>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758"/>
      <c r="H816" s="763"/>
      <c r="I816" s="763"/>
      <c r="J816" s="764"/>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742" t="e">
        <f t="shared" ref="E817" si="2482">C813</f>
        <v>#VALUE!</v>
      </c>
      <c r="F817" s="93"/>
      <c r="G817" s="744" t="s">
        <v>304</v>
      </c>
      <c r="H817" s="746"/>
      <c r="I817" s="747"/>
      <c r="J817" s="747"/>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743"/>
      <c r="F818" s="93"/>
      <c r="G818" s="745"/>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743"/>
      <c r="F819" s="93"/>
      <c r="G819" s="745"/>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743"/>
      <c r="F820" s="93"/>
      <c r="G820" s="745"/>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743"/>
      <c r="F821" s="93"/>
      <c r="G821" s="745"/>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743"/>
      <c r="F822" s="93"/>
      <c r="G822" s="745"/>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743"/>
      <c r="F823" s="93"/>
      <c r="G823" s="745"/>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743"/>
      <c r="F824" s="93"/>
      <c r="G824" s="745"/>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743"/>
      <c r="F825" s="93"/>
      <c r="G825" s="745"/>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743"/>
      <c r="F826" s="93"/>
      <c r="G826" s="745"/>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743"/>
      <c r="F827" s="93"/>
      <c r="G827" s="745"/>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743"/>
      <c r="F828" s="93"/>
      <c r="G828" s="745"/>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743"/>
      <c r="F829" s="93"/>
      <c r="G829" s="745"/>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743"/>
      <c r="F830" s="93"/>
      <c r="G830" s="745"/>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743"/>
      <c r="F831" s="93"/>
      <c r="G831" s="745"/>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743"/>
      <c r="F832" s="136"/>
      <c r="G832" s="745"/>
      <c r="H832" s="748"/>
      <c r="I832" s="748"/>
      <c r="J832" s="749"/>
      <c r="K832" s="67"/>
      <c r="L832" s="1" t="s">
        <v>43</v>
      </c>
      <c r="M832" s="144"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43" t="s">
        <v>16</v>
      </c>
      <c r="J834" s="6" t="e">
        <f>INDEX('BASE FORMAÇÃO'!K:K,B834+1)</f>
        <v>#VALUE!</v>
      </c>
      <c r="K834" s="65"/>
      <c r="L834" s="750" t="s">
        <v>10</v>
      </c>
      <c r="M834" s="752"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754">
        <f t="shared" ref="E835" si="2544">D834</f>
        <v>1</v>
      </c>
      <c r="F835" s="92"/>
      <c r="G835" s="756" t="s">
        <v>1</v>
      </c>
      <c r="H835" s="759" t="e">
        <f>INDEX('BASE FORMAÇÃO'!C:C,B834+1)</f>
        <v>#VALUE!</v>
      </c>
      <c r="I835" s="759"/>
      <c r="J835" s="760"/>
      <c r="K835" s="66"/>
      <c r="L835" s="751"/>
      <c r="M835" s="753"/>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755"/>
      <c r="F836" s="93"/>
      <c r="G836" s="757"/>
      <c r="H836" s="761"/>
      <c r="I836" s="761"/>
      <c r="J836" s="762"/>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758"/>
      <c r="H837" s="763"/>
      <c r="I837" s="763"/>
      <c r="J837" s="764"/>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742" t="e">
        <f t="shared" ref="E838" si="2548">C834</f>
        <v>#VALUE!</v>
      </c>
      <c r="F838" s="93"/>
      <c r="G838" s="744" t="s">
        <v>304</v>
      </c>
      <c r="H838" s="746"/>
      <c r="I838" s="747"/>
      <c r="J838" s="747"/>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743"/>
      <c r="F839" s="93"/>
      <c r="G839" s="745"/>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743"/>
      <c r="F840" s="93"/>
      <c r="G840" s="745"/>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743"/>
      <c r="F841" s="93"/>
      <c r="G841" s="745"/>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743"/>
      <c r="F842" s="93"/>
      <c r="G842" s="745"/>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743"/>
      <c r="F843" s="93"/>
      <c r="G843" s="745"/>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743"/>
      <c r="F844" s="93"/>
      <c r="G844" s="745"/>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743"/>
      <c r="F845" s="93"/>
      <c r="G845" s="745"/>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743"/>
      <c r="F846" s="93"/>
      <c r="G846" s="745"/>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743"/>
      <c r="F847" s="93"/>
      <c r="G847" s="745"/>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743"/>
      <c r="F848" s="93"/>
      <c r="G848" s="745"/>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743"/>
      <c r="F849" s="93"/>
      <c r="G849" s="745"/>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743"/>
      <c r="F850" s="93"/>
      <c r="G850" s="745"/>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743"/>
      <c r="F851" s="93"/>
      <c r="G851" s="745"/>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743"/>
      <c r="F852" s="93"/>
      <c r="G852" s="745"/>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743"/>
      <c r="F853" s="136"/>
      <c r="G853" s="745"/>
      <c r="H853" s="748"/>
      <c r="I853" s="748"/>
      <c r="J853" s="749"/>
      <c r="K853" s="67"/>
      <c r="L853" s="1" t="s">
        <v>43</v>
      </c>
      <c r="M853" s="144"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43" t="s">
        <v>16</v>
      </c>
      <c r="J855" s="6" t="e">
        <f>INDEX('BASE FORMAÇÃO'!K:K,B855+1)</f>
        <v>#VALUE!</v>
      </c>
      <c r="K855" s="65"/>
      <c r="L855" s="750" t="s">
        <v>10</v>
      </c>
      <c r="M855" s="752"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754">
        <f t="shared" ref="E856" si="2610">D855</f>
        <v>1</v>
      </c>
      <c r="F856" s="92"/>
      <c r="G856" s="756" t="s">
        <v>1</v>
      </c>
      <c r="H856" s="759" t="e">
        <f>INDEX('BASE FORMAÇÃO'!C:C,B855+1)</f>
        <v>#VALUE!</v>
      </c>
      <c r="I856" s="759"/>
      <c r="J856" s="760"/>
      <c r="K856" s="66"/>
      <c r="L856" s="751"/>
      <c r="M856" s="753"/>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755"/>
      <c r="F857" s="93"/>
      <c r="G857" s="757"/>
      <c r="H857" s="761"/>
      <c r="I857" s="761"/>
      <c r="J857" s="762"/>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758"/>
      <c r="H858" s="763"/>
      <c r="I858" s="763"/>
      <c r="J858" s="764"/>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742" t="e">
        <f t="shared" ref="E859" si="2614">C855</f>
        <v>#VALUE!</v>
      </c>
      <c r="F859" s="93"/>
      <c r="G859" s="744" t="s">
        <v>304</v>
      </c>
      <c r="H859" s="746"/>
      <c r="I859" s="747"/>
      <c r="J859" s="747"/>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743"/>
      <c r="F860" s="93"/>
      <c r="G860" s="745"/>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743"/>
      <c r="F861" s="93"/>
      <c r="G861" s="745"/>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743"/>
      <c r="F862" s="93"/>
      <c r="G862" s="745"/>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743"/>
      <c r="F863" s="93"/>
      <c r="G863" s="745"/>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743"/>
      <c r="F864" s="93"/>
      <c r="G864" s="745"/>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743"/>
      <c r="F865" s="93"/>
      <c r="G865" s="745"/>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743"/>
      <c r="F866" s="93"/>
      <c r="G866" s="745"/>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743"/>
      <c r="F867" s="93"/>
      <c r="G867" s="745"/>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743"/>
      <c r="F868" s="93"/>
      <c r="G868" s="745"/>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743"/>
      <c r="F869" s="93"/>
      <c r="G869" s="745"/>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743"/>
      <c r="F870" s="93"/>
      <c r="G870" s="745"/>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743"/>
      <c r="F871" s="93"/>
      <c r="G871" s="745"/>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743"/>
      <c r="F872" s="93"/>
      <c r="G872" s="745"/>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743"/>
      <c r="F873" s="93"/>
      <c r="G873" s="745"/>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743"/>
      <c r="F874" s="136"/>
      <c r="G874" s="745"/>
      <c r="H874" s="748"/>
      <c r="I874" s="748"/>
      <c r="J874" s="749"/>
      <c r="K874" s="67"/>
      <c r="L874" s="1" t="s">
        <v>43</v>
      </c>
      <c r="M874" s="144"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43" t="s">
        <v>16</v>
      </c>
      <c r="J876" s="6" t="e">
        <f>INDEX('BASE FORMAÇÃO'!K:K,B876+1)</f>
        <v>#VALUE!</v>
      </c>
      <c r="K876" s="65"/>
      <c r="L876" s="750" t="s">
        <v>10</v>
      </c>
      <c r="M876" s="752"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754">
        <f t="shared" ref="E877" si="2676">D876</f>
        <v>1</v>
      </c>
      <c r="F877" s="92"/>
      <c r="G877" s="756" t="s">
        <v>1</v>
      </c>
      <c r="H877" s="759" t="e">
        <f>INDEX('BASE FORMAÇÃO'!C:C,B876+1)</f>
        <v>#VALUE!</v>
      </c>
      <c r="I877" s="759"/>
      <c r="J877" s="760"/>
      <c r="K877" s="66"/>
      <c r="L877" s="751"/>
      <c r="M877" s="753"/>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755"/>
      <c r="F878" s="93"/>
      <c r="G878" s="757"/>
      <c r="H878" s="761"/>
      <c r="I878" s="761"/>
      <c r="J878" s="762"/>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758"/>
      <c r="H879" s="763"/>
      <c r="I879" s="763"/>
      <c r="J879" s="764"/>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742" t="e">
        <f t="shared" ref="E880" si="2680">C876</f>
        <v>#VALUE!</v>
      </c>
      <c r="F880" s="93"/>
      <c r="G880" s="744" t="s">
        <v>304</v>
      </c>
      <c r="H880" s="746"/>
      <c r="I880" s="747"/>
      <c r="J880" s="747"/>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743"/>
      <c r="F881" s="93"/>
      <c r="G881" s="745"/>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743"/>
      <c r="F882" s="93"/>
      <c r="G882" s="745"/>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743"/>
      <c r="F883" s="93"/>
      <c r="G883" s="745"/>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743"/>
      <c r="F884" s="93"/>
      <c r="G884" s="745"/>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743"/>
      <c r="F885" s="93"/>
      <c r="G885" s="745"/>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743"/>
      <c r="F886" s="93"/>
      <c r="G886" s="745"/>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743"/>
      <c r="F887" s="93"/>
      <c r="G887" s="745"/>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743"/>
      <c r="F888" s="93"/>
      <c r="G888" s="745"/>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743"/>
      <c r="F889" s="93"/>
      <c r="G889" s="745"/>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743"/>
      <c r="F890" s="93"/>
      <c r="G890" s="745"/>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743"/>
      <c r="F891" s="93"/>
      <c r="G891" s="745"/>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743"/>
      <c r="F892" s="93"/>
      <c r="G892" s="745"/>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743"/>
      <c r="F893" s="93"/>
      <c r="G893" s="745"/>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743"/>
      <c r="F894" s="93"/>
      <c r="G894" s="745"/>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743"/>
      <c r="F895" s="136"/>
      <c r="G895" s="745"/>
      <c r="H895" s="748"/>
      <c r="I895" s="748"/>
      <c r="J895" s="749"/>
      <c r="K895" s="67"/>
      <c r="L895" s="1" t="s">
        <v>43</v>
      </c>
      <c r="M895" s="144"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43" t="s">
        <v>16</v>
      </c>
      <c r="J897" s="6" t="e">
        <f>INDEX('BASE FORMAÇÃO'!K:K,B897+1)</f>
        <v>#VALUE!</v>
      </c>
      <c r="K897" s="65"/>
      <c r="L897" s="750" t="s">
        <v>10</v>
      </c>
      <c r="M897" s="752"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754">
        <f t="shared" ref="E898" si="2742">D897</f>
        <v>1</v>
      </c>
      <c r="F898" s="92"/>
      <c r="G898" s="756" t="s">
        <v>1</v>
      </c>
      <c r="H898" s="759" t="e">
        <f>INDEX('BASE FORMAÇÃO'!C:C,B897+1)</f>
        <v>#VALUE!</v>
      </c>
      <c r="I898" s="759"/>
      <c r="J898" s="760"/>
      <c r="K898" s="66"/>
      <c r="L898" s="751"/>
      <c r="M898" s="753"/>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755"/>
      <c r="F899" s="93"/>
      <c r="G899" s="757"/>
      <c r="H899" s="761"/>
      <c r="I899" s="761"/>
      <c r="J899" s="762"/>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758"/>
      <c r="H900" s="763"/>
      <c r="I900" s="763"/>
      <c r="J900" s="764"/>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742" t="e">
        <f t="shared" ref="E901" si="2746">C897</f>
        <v>#VALUE!</v>
      </c>
      <c r="F901" s="93"/>
      <c r="G901" s="744" t="s">
        <v>304</v>
      </c>
      <c r="H901" s="746"/>
      <c r="I901" s="747"/>
      <c r="J901" s="747"/>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743"/>
      <c r="F902" s="93"/>
      <c r="G902" s="745"/>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743"/>
      <c r="F903" s="93"/>
      <c r="G903" s="745"/>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743"/>
      <c r="F904" s="93"/>
      <c r="G904" s="745"/>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743"/>
      <c r="F905" s="93"/>
      <c r="G905" s="745"/>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743"/>
      <c r="F906" s="93"/>
      <c r="G906" s="745"/>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743"/>
      <c r="F907" s="93"/>
      <c r="G907" s="745"/>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743"/>
      <c r="F908" s="93"/>
      <c r="G908" s="745"/>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743"/>
      <c r="F909" s="93"/>
      <c r="G909" s="745"/>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743"/>
      <c r="F910" s="93"/>
      <c r="G910" s="745"/>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743"/>
      <c r="F911" s="93"/>
      <c r="G911" s="745"/>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743"/>
      <c r="F912" s="93"/>
      <c r="G912" s="745"/>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743"/>
      <c r="F913" s="93"/>
      <c r="G913" s="745"/>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743"/>
      <c r="F914" s="93"/>
      <c r="G914" s="745"/>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743"/>
      <c r="F915" s="93"/>
      <c r="G915" s="745"/>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743"/>
      <c r="F916" s="136"/>
      <c r="G916" s="745"/>
      <c r="H916" s="748"/>
      <c r="I916" s="748"/>
      <c r="J916" s="749"/>
      <c r="K916" s="67"/>
      <c r="L916" s="1" t="s">
        <v>43</v>
      </c>
      <c r="M916" s="144"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43" t="s">
        <v>16</v>
      </c>
      <c r="J918" s="6" t="e">
        <f>INDEX('BASE FORMAÇÃO'!K:K,B918+1)</f>
        <v>#VALUE!</v>
      </c>
      <c r="K918" s="65"/>
      <c r="L918" s="750" t="s">
        <v>10</v>
      </c>
      <c r="M918" s="752"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754">
        <f t="shared" ref="E919" si="2808">D918</f>
        <v>1</v>
      </c>
      <c r="F919" s="92"/>
      <c r="G919" s="756" t="s">
        <v>1</v>
      </c>
      <c r="H919" s="759" t="e">
        <f>INDEX('BASE FORMAÇÃO'!C:C,B918+1)</f>
        <v>#VALUE!</v>
      </c>
      <c r="I919" s="759"/>
      <c r="J919" s="760"/>
      <c r="K919" s="66"/>
      <c r="L919" s="751"/>
      <c r="M919" s="753"/>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755"/>
      <c r="F920" s="93"/>
      <c r="G920" s="757"/>
      <c r="H920" s="761"/>
      <c r="I920" s="761"/>
      <c r="J920" s="762"/>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758"/>
      <c r="H921" s="763"/>
      <c r="I921" s="763"/>
      <c r="J921" s="764"/>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742" t="e">
        <f t="shared" ref="E922" si="2812">C918</f>
        <v>#VALUE!</v>
      </c>
      <c r="F922" s="93"/>
      <c r="G922" s="744" t="s">
        <v>304</v>
      </c>
      <c r="H922" s="746"/>
      <c r="I922" s="747"/>
      <c r="J922" s="747"/>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743"/>
      <c r="F923" s="93"/>
      <c r="G923" s="745"/>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743"/>
      <c r="F924" s="93"/>
      <c r="G924" s="745"/>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743"/>
      <c r="F925" s="93"/>
      <c r="G925" s="745"/>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743"/>
      <c r="F926" s="93"/>
      <c r="G926" s="745"/>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743"/>
      <c r="F927" s="93"/>
      <c r="G927" s="745"/>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743"/>
      <c r="F928" s="93"/>
      <c r="G928" s="745"/>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743"/>
      <c r="F929" s="93"/>
      <c r="G929" s="745"/>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743"/>
      <c r="F930" s="93"/>
      <c r="G930" s="745"/>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743"/>
      <c r="F931" s="93"/>
      <c r="G931" s="745"/>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743"/>
      <c r="F932" s="93"/>
      <c r="G932" s="745"/>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743"/>
      <c r="F933" s="93"/>
      <c r="G933" s="745"/>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743"/>
      <c r="F934" s="93"/>
      <c r="G934" s="745"/>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743"/>
      <c r="F935" s="93"/>
      <c r="G935" s="745"/>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743"/>
      <c r="F936" s="93"/>
      <c r="G936" s="745"/>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743"/>
      <c r="F937" s="136"/>
      <c r="G937" s="745"/>
      <c r="H937" s="748"/>
      <c r="I937" s="748"/>
      <c r="J937" s="749"/>
      <c r="K937" s="67"/>
      <c r="L937" s="1" t="s">
        <v>43</v>
      </c>
      <c r="M937" s="144"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43" t="s">
        <v>16</v>
      </c>
      <c r="J939" s="6" t="e">
        <f>INDEX('BASE FORMAÇÃO'!K:K,B939+1)</f>
        <v>#VALUE!</v>
      </c>
      <c r="K939" s="65"/>
      <c r="L939" s="750" t="s">
        <v>10</v>
      </c>
      <c r="M939" s="752"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754">
        <f t="shared" ref="E940" si="2874">D939</f>
        <v>1</v>
      </c>
      <c r="F940" s="92"/>
      <c r="G940" s="756" t="s">
        <v>1</v>
      </c>
      <c r="H940" s="759" t="e">
        <f>INDEX('BASE FORMAÇÃO'!C:C,B939+1)</f>
        <v>#VALUE!</v>
      </c>
      <c r="I940" s="759"/>
      <c r="J940" s="760"/>
      <c r="K940" s="66"/>
      <c r="L940" s="751"/>
      <c r="M940" s="753"/>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755"/>
      <c r="F941" s="93"/>
      <c r="G941" s="757"/>
      <c r="H941" s="761"/>
      <c r="I941" s="761"/>
      <c r="J941" s="762"/>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758"/>
      <c r="H942" s="763"/>
      <c r="I942" s="763"/>
      <c r="J942" s="764"/>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742" t="e">
        <f t="shared" ref="E943" si="2878">C939</f>
        <v>#VALUE!</v>
      </c>
      <c r="F943" s="93"/>
      <c r="G943" s="744" t="s">
        <v>304</v>
      </c>
      <c r="H943" s="746"/>
      <c r="I943" s="747"/>
      <c r="J943" s="747"/>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743"/>
      <c r="F944" s="93"/>
      <c r="G944" s="745"/>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743"/>
      <c r="F945" s="93"/>
      <c r="G945" s="745"/>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743"/>
      <c r="F946" s="93"/>
      <c r="G946" s="745"/>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743"/>
      <c r="F947" s="93"/>
      <c r="G947" s="745"/>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743"/>
      <c r="F948" s="93"/>
      <c r="G948" s="745"/>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743"/>
      <c r="F949" s="93"/>
      <c r="G949" s="745"/>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743"/>
      <c r="F950" s="93"/>
      <c r="G950" s="745"/>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743"/>
      <c r="F951" s="93"/>
      <c r="G951" s="745"/>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743"/>
      <c r="F952" s="93"/>
      <c r="G952" s="745"/>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743"/>
      <c r="F953" s="93"/>
      <c r="G953" s="745"/>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743"/>
      <c r="F954" s="93"/>
      <c r="G954" s="745"/>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743"/>
      <c r="F955" s="93"/>
      <c r="G955" s="745"/>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743"/>
      <c r="F956" s="93"/>
      <c r="G956" s="745"/>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743"/>
      <c r="F957" s="93"/>
      <c r="G957" s="745"/>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743"/>
      <c r="F958" s="136"/>
      <c r="G958" s="745"/>
      <c r="H958" s="748"/>
      <c r="I958" s="748"/>
      <c r="J958" s="749"/>
      <c r="K958" s="67"/>
      <c r="L958" s="1" t="s">
        <v>43</v>
      </c>
      <c r="M958" s="144"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43" t="s">
        <v>16</v>
      </c>
      <c r="J960" s="6" t="e">
        <f>INDEX('BASE FORMAÇÃO'!K:K,B960+1)</f>
        <v>#VALUE!</v>
      </c>
      <c r="K960" s="65"/>
      <c r="L960" s="750" t="s">
        <v>10</v>
      </c>
      <c r="M960" s="752"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754">
        <f t="shared" ref="E961" si="2940">D960</f>
        <v>1</v>
      </c>
      <c r="F961" s="92"/>
      <c r="G961" s="756" t="s">
        <v>1</v>
      </c>
      <c r="H961" s="759" t="e">
        <f>INDEX('BASE FORMAÇÃO'!C:C,B960+1)</f>
        <v>#VALUE!</v>
      </c>
      <c r="I961" s="759"/>
      <c r="J961" s="760"/>
      <c r="K961" s="66"/>
      <c r="L961" s="751"/>
      <c r="M961" s="753"/>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755"/>
      <c r="F962" s="93"/>
      <c r="G962" s="757"/>
      <c r="H962" s="761"/>
      <c r="I962" s="761"/>
      <c r="J962" s="762"/>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758"/>
      <c r="H963" s="763"/>
      <c r="I963" s="763"/>
      <c r="J963" s="764"/>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742" t="e">
        <f t="shared" ref="E964" si="2944">C960</f>
        <v>#VALUE!</v>
      </c>
      <c r="F964" s="93"/>
      <c r="G964" s="744" t="s">
        <v>304</v>
      </c>
      <c r="H964" s="746"/>
      <c r="I964" s="747"/>
      <c r="J964" s="747"/>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743"/>
      <c r="F965" s="93"/>
      <c r="G965" s="745"/>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743"/>
      <c r="F966" s="93"/>
      <c r="G966" s="745"/>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743"/>
      <c r="F967" s="93"/>
      <c r="G967" s="745"/>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743"/>
      <c r="F968" s="93"/>
      <c r="G968" s="745"/>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743"/>
      <c r="F969" s="93"/>
      <c r="G969" s="745"/>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743"/>
      <c r="F970" s="93"/>
      <c r="G970" s="745"/>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743"/>
      <c r="F971" s="93"/>
      <c r="G971" s="745"/>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743"/>
      <c r="F972" s="93"/>
      <c r="G972" s="745"/>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743"/>
      <c r="F973" s="93"/>
      <c r="G973" s="745"/>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743"/>
      <c r="F974" s="93"/>
      <c r="G974" s="745"/>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743"/>
      <c r="F975" s="93"/>
      <c r="G975" s="745"/>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743"/>
      <c r="F976" s="93"/>
      <c r="G976" s="745"/>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743"/>
      <c r="F977" s="93"/>
      <c r="G977" s="745"/>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743"/>
      <c r="F978" s="93"/>
      <c r="G978" s="745"/>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743"/>
      <c r="F979" s="136"/>
      <c r="G979" s="745"/>
      <c r="H979" s="748"/>
      <c r="I979" s="748"/>
      <c r="J979" s="749"/>
      <c r="K979" s="67"/>
      <c r="L979" s="1" t="s">
        <v>43</v>
      </c>
      <c r="M979" s="144"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43" t="s">
        <v>16</v>
      </c>
      <c r="J981" s="6" t="e">
        <f>INDEX('BASE FORMAÇÃO'!K:K,B981+1)</f>
        <v>#VALUE!</v>
      </c>
      <c r="K981" s="65"/>
      <c r="L981" s="750" t="s">
        <v>10</v>
      </c>
      <c r="M981" s="752"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754">
        <f t="shared" ref="E982" si="3006">D981</f>
        <v>1</v>
      </c>
      <c r="F982" s="92"/>
      <c r="G982" s="756" t="s">
        <v>1</v>
      </c>
      <c r="H982" s="759" t="e">
        <f>INDEX('BASE FORMAÇÃO'!C:C,B981+1)</f>
        <v>#VALUE!</v>
      </c>
      <c r="I982" s="759"/>
      <c r="J982" s="760"/>
      <c r="K982" s="66"/>
      <c r="L982" s="751"/>
      <c r="M982" s="753"/>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755"/>
      <c r="F983" s="93"/>
      <c r="G983" s="757"/>
      <c r="H983" s="761"/>
      <c r="I983" s="761"/>
      <c r="J983" s="762"/>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758"/>
      <c r="H984" s="763"/>
      <c r="I984" s="763"/>
      <c r="J984" s="764"/>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742" t="e">
        <f t="shared" ref="E985" si="3010">C981</f>
        <v>#VALUE!</v>
      </c>
      <c r="F985" s="93"/>
      <c r="G985" s="744" t="s">
        <v>304</v>
      </c>
      <c r="H985" s="746"/>
      <c r="I985" s="747"/>
      <c r="J985" s="747"/>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743"/>
      <c r="F986" s="93"/>
      <c r="G986" s="745"/>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743"/>
      <c r="F987" s="93"/>
      <c r="G987" s="745"/>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743"/>
      <c r="F988" s="93"/>
      <c r="G988" s="745"/>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743"/>
      <c r="F989" s="93"/>
      <c r="G989" s="745"/>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743"/>
      <c r="F990" s="93"/>
      <c r="G990" s="745"/>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743"/>
      <c r="F991" s="93"/>
      <c r="G991" s="745"/>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743"/>
      <c r="F992" s="93"/>
      <c r="G992" s="745"/>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743"/>
      <c r="F993" s="93"/>
      <c r="G993" s="745"/>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743"/>
      <c r="F994" s="93"/>
      <c r="G994" s="745"/>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743"/>
      <c r="F995" s="93"/>
      <c r="G995" s="745"/>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743"/>
      <c r="F996" s="93"/>
      <c r="G996" s="745"/>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743"/>
      <c r="F997" s="93"/>
      <c r="G997" s="745"/>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743"/>
      <c r="F998" s="93"/>
      <c r="G998" s="745"/>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743"/>
      <c r="F999" s="93"/>
      <c r="G999" s="745"/>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743"/>
      <c r="F1000" s="136"/>
      <c r="G1000" s="745"/>
      <c r="H1000" s="748"/>
      <c r="I1000" s="748"/>
      <c r="J1000" s="749"/>
      <c r="K1000" s="67"/>
      <c r="L1000" s="1" t="s">
        <v>43</v>
      </c>
      <c r="M1000" s="144"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43" t="s">
        <v>16</v>
      </c>
      <c r="J1002" s="6" t="e">
        <f>INDEX('BASE FORMAÇÃO'!K:K,B1002+1)</f>
        <v>#VALUE!</v>
      </c>
      <c r="K1002" s="65"/>
      <c r="L1002" s="750" t="s">
        <v>10</v>
      </c>
      <c r="M1002" s="752"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754">
        <f t="shared" ref="E1003" si="3072">D1002</f>
        <v>1</v>
      </c>
      <c r="F1003" s="92"/>
      <c r="G1003" s="756" t="s">
        <v>1</v>
      </c>
      <c r="H1003" s="759" t="e">
        <f>INDEX('BASE FORMAÇÃO'!C:C,B1002+1)</f>
        <v>#VALUE!</v>
      </c>
      <c r="I1003" s="759"/>
      <c r="J1003" s="760"/>
      <c r="K1003" s="66"/>
      <c r="L1003" s="751"/>
      <c r="M1003" s="753"/>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755"/>
      <c r="F1004" s="93"/>
      <c r="G1004" s="757"/>
      <c r="H1004" s="761"/>
      <c r="I1004" s="761"/>
      <c r="J1004" s="762"/>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758"/>
      <c r="H1005" s="763"/>
      <c r="I1005" s="763"/>
      <c r="J1005" s="764"/>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742" t="e">
        <f t="shared" ref="E1006" si="3076">C1002</f>
        <v>#VALUE!</v>
      </c>
      <c r="F1006" s="93"/>
      <c r="G1006" s="744" t="s">
        <v>304</v>
      </c>
      <c r="H1006" s="746"/>
      <c r="I1006" s="747"/>
      <c r="J1006" s="747"/>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743"/>
      <c r="F1007" s="93"/>
      <c r="G1007" s="745"/>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743"/>
      <c r="F1008" s="93"/>
      <c r="G1008" s="745"/>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743"/>
      <c r="F1009" s="93"/>
      <c r="G1009" s="745"/>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743"/>
      <c r="F1010" s="93"/>
      <c r="G1010" s="745"/>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743"/>
      <c r="F1011" s="93"/>
      <c r="G1011" s="745"/>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743"/>
      <c r="F1012" s="93"/>
      <c r="G1012" s="745"/>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743"/>
      <c r="F1013" s="93"/>
      <c r="G1013" s="745"/>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743"/>
      <c r="F1014" s="93"/>
      <c r="G1014" s="745"/>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743"/>
      <c r="F1015" s="93"/>
      <c r="G1015" s="745"/>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743"/>
      <c r="F1016" s="93"/>
      <c r="G1016" s="745"/>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743"/>
      <c r="F1017" s="93"/>
      <c r="G1017" s="745"/>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743"/>
      <c r="F1018" s="93"/>
      <c r="G1018" s="745"/>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743"/>
      <c r="F1019" s="93"/>
      <c r="G1019" s="745"/>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743"/>
      <c r="F1020" s="93"/>
      <c r="G1020" s="745"/>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743"/>
      <c r="F1021" s="136"/>
      <c r="G1021" s="745"/>
      <c r="H1021" s="748"/>
      <c r="I1021" s="748"/>
      <c r="J1021" s="749"/>
      <c r="K1021" s="67"/>
      <c r="L1021" s="1" t="s">
        <v>43</v>
      </c>
      <c r="M1021" s="144"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43" t="s">
        <v>16</v>
      </c>
      <c r="J1023" s="6" t="e">
        <f>INDEX('BASE FORMAÇÃO'!K:K,B1023+1)</f>
        <v>#VALUE!</v>
      </c>
      <c r="K1023" s="65"/>
      <c r="L1023" s="750" t="s">
        <v>10</v>
      </c>
      <c r="M1023" s="752"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754">
        <f t="shared" ref="E1024" si="3138">D1023</f>
        <v>1</v>
      </c>
      <c r="F1024" s="92"/>
      <c r="G1024" s="756" t="s">
        <v>1</v>
      </c>
      <c r="H1024" s="759" t="e">
        <f>INDEX('BASE FORMAÇÃO'!C:C,B1023+1)</f>
        <v>#VALUE!</v>
      </c>
      <c r="I1024" s="759"/>
      <c r="J1024" s="760"/>
      <c r="K1024" s="66"/>
      <c r="L1024" s="751"/>
      <c r="M1024" s="753"/>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755"/>
      <c r="F1025" s="93"/>
      <c r="G1025" s="757"/>
      <c r="H1025" s="761"/>
      <c r="I1025" s="761"/>
      <c r="J1025" s="762"/>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758"/>
      <c r="H1026" s="763"/>
      <c r="I1026" s="763"/>
      <c r="J1026" s="764"/>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742" t="e">
        <f t="shared" ref="E1027" si="3142">C1023</f>
        <v>#VALUE!</v>
      </c>
      <c r="F1027" s="93"/>
      <c r="G1027" s="744" t="s">
        <v>304</v>
      </c>
      <c r="H1027" s="746"/>
      <c r="I1027" s="747"/>
      <c r="J1027" s="747"/>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743"/>
      <c r="F1028" s="93"/>
      <c r="G1028" s="745"/>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743"/>
      <c r="F1029" s="93"/>
      <c r="G1029" s="745"/>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743"/>
      <c r="F1030" s="93"/>
      <c r="G1030" s="745"/>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743"/>
      <c r="F1031" s="93"/>
      <c r="G1031" s="745"/>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743"/>
      <c r="F1032" s="93"/>
      <c r="G1032" s="745"/>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743"/>
      <c r="F1033" s="93"/>
      <c r="G1033" s="745"/>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743"/>
      <c r="F1034" s="93"/>
      <c r="G1034" s="745"/>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743"/>
      <c r="F1035" s="93"/>
      <c r="G1035" s="745"/>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743"/>
      <c r="F1036" s="93"/>
      <c r="G1036" s="745"/>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743"/>
      <c r="F1037" s="93"/>
      <c r="G1037" s="745"/>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743"/>
      <c r="F1038" s="93"/>
      <c r="G1038" s="745"/>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743"/>
      <c r="F1039" s="93"/>
      <c r="G1039" s="745"/>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743"/>
      <c r="F1040" s="93"/>
      <c r="G1040" s="745"/>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743"/>
      <c r="F1041" s="93"/>
      <c r="G1041" s="745"/>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743"/>
      <c r="F1042" s="136"/>
      <c r="G1042" s="745"/>
      <c r="H1042" s="748"/>
      <c r="I1042" s="748"/>
      <c r="J1042" s="749"/>
      <c r="K1042" s="67"/>
      <c r="L1042" s="1" t="s">
        <v>43</v>
      </c>
      <c r="M1042" s="144"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43" t="s">
        <v>16</v>
      </c>
      <c r="J1044" s="6" t="e">
        <f>INDEX('BASE FORMAÇÃO'!K:K,B1044+1)</f>
        <v>#VALUE!</v>
      </c>
      <c r="K1044" s="65"/>
      <c r="L1044" s="750" t="s">
        <v>10</v>
      </c>
      <c r="M1044" s="752"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754">
        <f t="shared" ref="E1045" si="3204">D1044</f>
        <v>1</v>
      </c>
      <c r="F1045" s="92"/>
      <c r="G1045" s="756" t="s">
        <v>1</v>
      </c>
      <c r="H1045" s="759" t="e">
        <f>INDEX('BASE FORMAÇÃO'!C:C,B1044+1)</f>
        <v>#VALUE!</v>
      </c>
      <c r="I1045" s="759"/>
      <c r="J1045" s="760"/>
      <c r="K1045" s="66"/>
      <c r="L1045" s="751"/>
      <c r="M1045" s="753"/>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755"/>
      <c r="F1046" s="93"/>
      <c r="G1046" s="757"/>
      <c r="H1046" s="761"/>
      <c r="I1046" s="761"/>
      <c r="J1046" s="762"/>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758"/>
      <c r="H1047" s="763"/>
      <c r="I1047" s="763"/>
      <c r="J1047" s="764"/>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742" t="e">
        <f t="shared" ref="E1048" si="3208">C1044</f>
        <v>#VALUE!</v>
      </c>
      <c r="F1048" s="93"/>
      <c r="G1048" s="744" t="s">
        <v>304</v>
      </c>
      <c r="H1048" s="746"/>
      <c r="I1048" s="747"/>
      <c r="J1048" s="747"/>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743"/>
      <c r="F1049" s="93"/>
      <c r="G1049" s="745"/>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743"/>
      <c r="F1050" s="93"/>
      <c r="G1050" s="745"/>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743"/>
      <c r="F1051" s="93"/>
      <c r="G1051" s="745"/>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743"/>
      <c r="F1052" s="93"/>
      <c r="G1052" s="745"/>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743"/>
      <c r="F1053" s="93"/>
      <c r="G1053" s="745"/>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743"/>
      <c r="F1054" s="93"/>
      <c r="G1054" s="745"/>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743"/>
      <c r="F1055" s="93"/>
      <c r="G1055" s="745"/>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743"/>
      <c r="F1056" s="93"/>
      <c r="G1056" s="745"/>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743"/>
      <c r="F1057" s="93"/>
      <c r="G1057" s="745"/>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743"/>
      <c r="F1058" s="93"/>
      <c r="G1058" s="745"/>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743"/>
      <c r="F1059" s="93"/>
      <c r="G1059" s="745"/>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743"/>
      <c r="F1060" s="93"/>
      <c r="G1060" s="745"/>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743"/>
      <c r="F1061" s="93"/>
      <c r="G1061" s="745"/>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743"/>
      <c r="F1062" s="93"/>
      <c r="G1062" s="745"/>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743"/>
      <c r="F1063" s="136"/>
      <c r="G1063" s="745"/>
      <c r="H1063" s="748"/>
      <c r="I1063" s="748"/>
      <c r="J1063" s="749"/>
      <c r="K1063" s="67"/>
      <c r="L1063" s="1" t="s">
        <v>43</v>
      </c>
      <c r="M1063" s="144"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43" t="s">
        <v>16</v>
      </c>
      <c r="J1065" s="6" t="e">
        <f>INDEX('BASE FORMAÇÃO'!K:K,B1065+1)</f>
        <v>#VALUE!</v>
      </c>
      <c r="K1065" s="65"/>
      <c r="L1065" s="750" t="s">
        <v>10</v>
      </c>
      <c r="M1065" s="752"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754">
        <f t="shared" ref="E1066" si="3270">D1065</f>
        <v>1</v>
      </c>
      <c r="F1066" s="92"/>
      <c r="G1066" s="756" t="s">
        <v>1</v>
      </c>
      <c r="H1066" s="759" t="e">
        <f>INDEX('BASE FORMAÇÃO'!C:C,B1065+1)</f>
        <v>#VALUE!</v>
      </c>
      <c r="I1066" s="759"/>
      <c r="J1066" s="760"/>
      <c r="K1066" s="66"/>
      <c r="L1066" s="751"/>
      <c r="M1066" s="753"/>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755"/>
      <c r="F1067" s="93"/>
      <c r="G1067" s="757"/>
      <c r="H1067" s="761"/>
      <c r="I1067" s="761"/>
      <c r="J1067" s="762"/>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758"/>
      <c r="H1068" s="763"/>
      <c r="I1068" s="763"/>
      <c r="J1068" s="764"/>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742" t="e">
        <f t="shared" ref="E1069" si="3274">C1065</f>
        <v>#VALUE!</v>
      </c>
      <c r="F1069" s="93"/>
      <c r="G1069" s="744" t="s">
        <v>304</v>
      </c>
      <c r="H1069" s="746"/>
      <c r="I1069" s="747"/>
      <c r="J1069" s="747"/>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743"/>
      <c r="F1070" s="93"/>
      <c r="G1070" s="745"/>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743"/>
      <c r="F1071" s="93"/>
      <c r="G1071" s="745"/>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743"/>
      <c r="F1072" s="93"/>
      <c r="G1072" s="745"/>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743"/>
      <c r="F1073" s="93"/>
      <c r="G1073" s="745"/>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743"/>
      <c r="F1074" s="93"/>
      <c r="G1074" s="745"/>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743"/>
      <c r="F1075" s="93"/>
      <c r="G1075" s="745"/>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743"/>
      <c r="F1076" s="93"/>
      <c r="G1076" s="745"/>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743"/>
      <c r="F1077" s="93"/>
      <c r="G1077" s="745"/>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743"/>
      <c r="F1078" s="93"/>
      <c r="G1078" s="745"/>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743"/>
      <c r="F1079" s="93"/>
      <c r="G1079" s="745"/>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743"/>
      <c r="F1080" s="93"/>
      <c r="G1080" s="745"/>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743"/>
      <c r="F1081" s="93"/>
      <c r="G1081" s="745"/>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743"/>
      <c r="F1082" s="93"/>
      <c r="G1082" s="745"/>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743"/>
      <c r="F1083" s="93"/>
      <c r="G1083" s="745"/>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743"/>
      <c r="F1084" s="136"/>
      <c r="G1084" s="745"/>
      <c r="H1084" s="748"/>
      <c r="I1084" s="748"/>
      <c r="J1084" s="749"/>
      <c r="K1084" s="67"/>
      <c r="L1084" s="1" t="s">
        <v>43</v>
      </c>
      <c r="M1084" s="144"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43" t="s">
        <v>16</v>
      </c>
      <c r="J1086" s="6" t="e">
        <f>INDEX('BASE FORMAÇÃO'!K:K,B1086+1)</f>
        <v>#VALUE!</v>
      </c>
      <c r="K1086" s="65"/>
      <c r="L1086" s="750" t="s">
        <v>10</v>
      </c>
      <c r="M1086" s="752"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754">
        <f t="shared" ref="E1087" si="3336">D1086</f>
        <v>1</v>
      </c>
      <c r="F1087" s="92"/>
      <c r="G1087" s="756" t="s">
        <v>1</v>
      </c>
      <c r="H1087" s="759" t="e">
        <f>INDEX('BASE FORMAÇÃO'!C:C,B1086+1)</f>
        <v>#VALUE!</v>
      </c>
      <c r="I1087" s="759"/>
      <c r="J1087" s="760"/>
      <c r="K1087" s="66"/>
      <c r="L1087" s="751"/>
      <c r="M1087" s="753"/>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755"/>
      <c r="F1088" s="93"/>
      <c r="G1088" s="757"/>
      <c r="H1088" s="761"/>
      <c r="I1088" s="761"/>
      <c r="J1088" s="762"/>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758"/>
      <c r="H1089" s="763"/>
      <c r="I1089" s="763"/>
      <c r="J1089" s="764"/>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742" t="e">
        <f t="shared" ref="E1090" si="3340">C1086</f>
        <v>#VALUE!</v>
      </c>
      <c r="F1090" s="93"/>
      <c r="G1090" s="744" t="s">
        <v>304</v>
      </c>
      <c r="H1090" s="746"/>
      <c r="I1090" s="747"/>
      <c r="J1090" s="747"/>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743"/>
      <c r="F1091" s="93"/>
      <c r="G1091" s="745"/>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743"/>
      <c r="F1092" s="93"/>
      <c r="G1092" s="745"/>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743"/>
      <c r="F1093" s="93"/>
      <c r="G1093" s="745"/>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743"/>
      <c r="F1094" s="93"/>
      <c r="G1094" s="745"/>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743"/>
      <c r="F1095" s="93"/>
      <c r="G1095" s="745"/>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743"/>
      <c r="F1096" s="93"/>
      <c r="G1096" s="745"/>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743"/>
      <c r="F1097" s="93"/>
      <c r="G1097" s="745"/>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743"/>
      <c r="F1098" s="93"/>
      <c r="G1098" s="745"/>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743"/>
      <c r="F1099" s="93"/>
      <c r="G1099" s="745"/>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743"/>
      <c r="F1100" s="93"/>
      <c r="G1100" s="745"/>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743"/>
      <c r="F1101" s="93"/>
      <c r="G1101" s="745"/>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743"/>
      <c r="F1102" s="93"/>
      <c r="G1102" s="745"/>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743"/>
      <c r="F1103" s="93"/>
      <c r="G1103" s="745"/>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743"/>
      <c r="F1104" s="93"/>
      <c r="G1104" s="745"/>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743"/>
      <c r="F1105" s="136"/>
      <c r="G1105" s="745"/>
      <c r="H1105" s="748"/>
      <c r="I1105" s="748"/>
      <c r="J1105" s="749"/>
      <c r="K1105" s="67"/>
      <c r="L1105" s="1" t="s">
        <v>43</v>
      </c>
      <c r="M1105" s="144"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43" t="s">
        <v>16</v>
      </c>
      <c r="J1107" s="6" t="e">
        <f>INDEX('BASE FORMAÇÃO'!K:K,B1107+1)</f>
        <v>#VALUE!</v>
      </c>
      <c r="K1107" s="65"/>
      <c r="L1107" s="750" t="s">
        <v>10</v>
      </c>
      <c r="M1107" s="752"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754">
        <f t="shared" ref="E1108" si="3402">D1107</f>
        <v>1</v>
      </c>
      <c r="F1108" s="92"/>
      <c r="G1108" s="756" t="s">
        <v>1</v>
      </c>
      <c r="H1108" s="759" t="e">
        <f>INDEX('BASE FORMAÇÃO'!C:C,B1107+1)</f>
        <v>#VALUE!</v>
      </c>
      <c r="I1108" s="759"/>
      <c r="J1108" s="760"/>
      <c r="K1108" s="66"/>
      <c r="L1108" s="751"/>
      <c r="M1108" s="753"/>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755"/>
      <c r="F1109" s="93"/>
      <c r="G1109" s="757"/>
      <c r="H1109" s="761"/>
      <c r="I1109" s="761"/>
      <c r="J1109" s="762"/>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758"/>
      <c r="H1110" s="763"/>
      <c r="I1110" s="763"/>
      <c r="J1110" s="764"/>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742" t="e">
        <f t="shared" ref="E1111" si="3406">C1107</f>
        <v>#VALUE!</v>
      </c>
      <c r="F1111" s="93"/>
      <c r="G1111" s="744" t="s">
        <v>304</v>
      </c>
      <c r="H1111" s="746"/>
      <c r="I1111" s="747"/>
      <c r="J1111" s="747"/>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743"/>
      <c r="F1112" s="93"/>
      <c r="G1112" s="745"/>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743"/>
      <c r="F1113" s="93"/>
      <c r="G1113" s="745"/>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743"/>
      <c r="F1114" s="93"/>
      <c r="G1114" s="745"/>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743"/>
      <c r="F1115" s="93"/>
      <c r="G1115" s="745"/>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743"/>
      <c r="F1116" s="93"/>
      <c r="G1116" s="745"/>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743"/>
      <c r="F1117" s="93"/>
      <c r="G1117" s="745"/>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743"/>
      <c r="F1118" s="93"/>
      <c r="G1118" s="745"/>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743"/>
      <c r="F1119" s="93"/>
      <c r="G1119" s="745"/>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743"/>
      <c r="F1120" s="93"/>
      <c r="G1120" s="745"/>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743"/>
      <c r="F1121" s="93"/>
      <c r="G1121" s="745"/>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743"/>
      <c r="F1122" s="93"/>
      <c r="G1122" s="745"/>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743"/>
      <c r="F1123" s="93"/>
      <c r="G1123" s="745"/>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743"/>
      <c r="F1124" s="93"/>
      <c r="G1124" s="745"/>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743"/>
      <c r="F1125" s="93"/>
      <c r="G1125" s="745"/>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743"/>
      <c r="F1126" s="136"/>
      <c r="G1126" s="745"/>
      <c r="H1126" s="748"/>
      <c r="I1126" s="748"/>
      <c r="J1126" s="749"/>
      <c r="K1126" s="67"/>
      <c r="L1126" s="1" t="s">
        <v>43</v>
      </c>
      <c r="M1126" s="144"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43" t="s">
        <v>16</v>
      </c>
      <c r="J1128" s="6" t="e">
        <f>INDEX('BASE FORMAÇÃO'!K:K,B1128+1)</f>
        <v>#VALUE!</v>
      </c>
      <c r="K1128" s="65"/>
      <c r="L1128" s="750" t="s">
        <v>10</v>
      </c>
      <c r="M1128" s="752"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754">
        <f t="shared" ref="E1129" si="3468">D1128</f>
        <v>1</v>
      </c>
      <c r="F1129" s="92"/>
      <c r="G1129" s="756" t="s">
        <v>1</v>
      </c>
      <c r="H1129" s="759" t="e">
        <f>INDEX('BASE FORMAÇÃO'!C:C,B1128+1)</f>
        <v>#VALUE!</v>
      </c>
      <c r="I1129" s="759"/>
      <c r="J1129" s="760"/>
      <c r="K1129" s="66"/>
      <c r="L1129" s="751"/>
      <c r="M1129" s="753"/>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755"/>
      <c r="F1130" s="93"/>
      <c r="G1130" s="757"/>
      <c r="H1130" s="761"/>
      <c r="I1130" s="761"/>
      <c r="J1130" s="762"/>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758"/>
      <c r="H1131" s="763"/>
      <c r="I1131" s="763"/>
      <c r="J1131" s="764"/>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742" t="e">
        <f t="shared" ref="E1132" si="3472">C1128</f>
        <v>#VALUE!</v>
      </c>
      <c r="F1132" s="93"/>
      <c r="G1132" s="744" t="s">
        <v>304</v>
      </c>
      <c r="H1132" s="746"/>
      <c r="I1132" s="747"/>
      <c r="J1132" s="747"/>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743"/>
      <c r="F1133" s="93"/>
      <c r="G1133" s="745"/>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743"/>
      <c r="F1134" s="93"/>
      <c r="G1134" s="745"/>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743"/>
      <c r="F1135" s="93"/>
      <c r="G1135" s="745"/>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743"/>
      <c r="F1136" s="93"/>
      <c r="G1136" s="745"/>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743"/>
      <c r="F1137" s="93"/>
      <c r="G1137" s="745"/>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743"/>
      <c r="F1138" s="93"/>
      <c r="G1138" s="745"/>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743"/>
      <c r="F1139" s="93"/>
      <c r="G1139" s="745"/>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743"/>
      <c r="F1140" s="93"/>
      <c r="G1140" s="745"/>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743"/>
      <c r="F1141" s="93"/>
      <c r="G1141" s="745"/>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743"/>
      <c r="F1142" s="93"/>
      <c r="G1142" s="745"/>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743"/>
      <c r="F1143" s="93"/>
      <c r="G1143" s="745"/>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743"/>
      <c r="F1144" s="93"/>
      <c r="G1144" s="745"/>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743"/>
      <c r="F1145" s="93"/>
      <c r="G1145" s="745"/>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743"/>
      <c r="F1146" s="93"/>
      <c r="G1146" s="745"/>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743"/>
      <c r="F1147" s="136"/>
      <c r="G1147" s="745"/>
      <c r="H1147" s="748"/>
      <c r="I1147" s="748"/>
      <c r="J1147" s="749"/>
      <c r="K1147" s="67"/>
      <c r="L1147" s="1" t="s">
        <v>43</v>
      </c>
      <c r="M1147" s="144"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43" t="s">
        <v>16</v>
      </c>
      <c r="J1149" s="6" t="e">
        <f>INDEX('BASE FORMAÇÃO'!K:K,B1149+1)</f>
        <v>#VALUE!</v>
      </c>
      <c r="K1149" s="65"/>
      <c r="L1149" s="750" t="s">
        <v>10</v>
      </c>
      <c r="M1149" s="752"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754">
        <f t="shared" ref="E1150" si="3534">D1149</f>
        <v>1</v>
      </c>
      <c r="F1150" s="92"/>
      <c r="G1150" s="756" t="s">
        <v>1</v>
      </c>
      <c r="H1150" s="759" t="e">
        <f>INDEX('BASE FORMAÇÃO'!C:C,B1149+1)</f>
        <v>#VALUE!</v>
      </c>
      <c r="I1150" s="759"/>
      <c r="J1150" s="760"/>
      <c r="K1150" s="66"/>
      <c r="L1150" s="751"/>
      <c r="M1150" s="753"/>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755"/>
      <c r="F1151" s="93"/>
      <c r="G1151" s="757"/>
      <c r="H1151" s="761"/>
      <c r="I1151" s="761"/>
      <c r="J1151" s="762"/>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758"/>
      <c r="H1152" s="763"/>
      <c r="I1152" s="763"/>
      <c r="J1152" s="764"/>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742" t="e">
        <f t="shared" ref="E1153" si="3538">C1149</f>
        <v>#VALUE!</v>
      </c>
      <c r="F1153" s="93"/>
      <c r="G1153" s="744" t="s">
        <v>304</v>
      </c>
      <c r="H1153" s="746"/>
      <c r="I1153" s="747"/>
      <c r="J1153" s="747"/>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743"/>
      <c r="F1154" s="93"/>
      <c r="G1154" s="745"/>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743"/>
      <c r="F1155" s="93"/>
      <c r="G1155" s="745"/>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743"/>
      <c r="F1156" s="93"/>
      <c r="G1156" s="745"/>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743"/>
      <c r="F1157" s="93"/>
      <c r="G1157" s="745"/>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743"/>
      <c r="F1158" s="93"/>
      <c r="G1158" s="745"/>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743"/>
      <c r="F1159" s="93"/>
      <c r="G1159" s="745"/>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743"/>
      <c r="F1160" s="93"/>
      <c r="G1160" s="745"/>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743"/>
      <c r="F1161" s="93"/>
      <c r="G1161" s="745"/>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743"/>
      <c r="F1162" s="93"/>
      <c r="G1162" s="745"/>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743"/>
      <c r="F1163" s="93"/>
      <c r="G1163" s="745"/>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743"/>
      <c r="F1164" s="93"/>
      <c r="G1164" s="745"/>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743"/>
      <c r="F1165" s="93"/>
      <c r="G1165" s="745"/>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743"/>
      <c r="F1166" s="93"/>
      <c r="G1166" s="745"/>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743"/>
      <c r="F1167" s="93"/>
      <c r="G1167" s="745"/>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743"/>
      <c r="F1168" s="136"/>
      <c r="G1168" s="745"/>
      <c r="H1168" s="748"/>
      <c r="I1168" s="748"/>
      <c r="J1168" s="749"/>
      <c r="K1168" s="67"/>
      <c r="L1168" s="1" t="s">
        <v>43</v>
      </c>
      <c r="M1168" s="144"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43" t="s">
        <v>16</v>
      </c>
      <c r="J1170" s="6" t="e">
        <f>INDEX('BASE FORMAÇÃO'!K:K,B1170+1)</f>
        <v>#VALUE!</v>
      </c>
      <c r="K1170" s="65"/>
      <c r="L1170" s="750" t="s">
        <v>10</v>
      </c>
      <c r="M1170" s="752"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754">
        <f t="shared" ref="E1171" si="3600">D1170</f>
        <v>1</v>
      </c>
      <c r="F1171" s="92"/>
      <c r="G1171" s="756" t="s">
        <v>1</v>
      </c>
      <c r="H1171" s="759" t="e">
        <f>INDEX('BASE FORMAÇÃO'!C:C,B1170+1)</f>
        <v>#VALUE!</v>
      </c>
      <c r="I1171" s="759"/>
      <c r="J1171" s="760"/>
      <c r="K1171" s="66"/>
      <c r="L1171" s="751"/>
      <c r="M1171" s="753"/>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755"/>
      <c r="F1172" s="93"/>
      <c r="G1172" s="757"/>
      <c r="H1172" s="761"/>
      <c r="I1172" s="761"/>
      <c r="J1172" s="762"/>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758"/>
      <c r="H1173" s="763"/>
      <c r="I1173" s="763"/>
      <c r="J1173" s="764"/>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742" t="e">
        <f t="shared" ref="E1174" si="3604">C1170</f>
        <v>#VALUE!</v>
      </c>
      <c r="F1174" s="93"/>
      <c r="G1174" s="744" t="s">
        <v>304</v>
      </c>
      <c r="H1174" s="746"/>
      <c r="I1174" s="747"/>
      <c r="J1174" s="747"/>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743"/>
      <c r="F1175" s="93"/>
      <c r="G1175" s="745"/>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743"/>
      <c r="F1176" s="93"/>
      <c r="G1176" s="745"/>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743"/>
      <c r="F1177" s="93"/>
      <c r="G1177" s="745"/>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743"/>
      <c r="F1178" s="93"/>
      <c r="G1178" s="745"/>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743"/>
      <c r="F1179" s="93"/>
      <c r="G1179" s="745"/>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743"/>
      <c r="F1180" s="93"/>
      <c r="G1180" s="745"/>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743"/>
      <c r="F1181" s="93"/>
      <c r="G1181" s="745"/>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743"/>
      <c r="F1182" s="93"/>
      <c r="G1182" s="745"/>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743"/>
      <c r="F1183" s="93"/>
      <c r="G1183" s="745"/>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743"/>
      <c r="F1184" s="93"/>
      <c r="G1184" s="745"/>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743"/>
      <c r="F1185" s="93"/>
      <c r="G1185" s="745"/>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743"/>
      <c r="F1186" s="93"/>
      <c r="G1186" s="745"/>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743"/>
      <c r="F1187" s="93"/>
      <c r="G1187" s="745"/>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743"/>
      <c r="F1188" s="93"/>
      <c r="G1188" s="745"/>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743"/>
      <c r="F1189" s="136"/>
      <c r="G1189" s="745"/>
      <c r="H1189" s="748"/>
      <c r="I1189" s="748"/>
      <c r="J1189" s="749"/>
      <c r="K1189" s="67"/>
      <c r="L1189" s="1" t="s">
        <v>43</v>
      </c>
      <c r="M1189" s="144"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43" t="s">
        <v>16</v>
      </c>
      <c r="J1191" s="6" t="e">
        <f>INDEX('BASE FORMAÇÃO'!K:K,B1191+1)</f>
        <v>#VALUE!</v>
      </c>
      <c r="K1191" s="65"/>
      <c r="L1191" s="750" t="s">
        <v>10</v>
      </c>
      <c r="M1191" s="752"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754">
        <f t="shared" ref="E1192" si="3666">D1191</f>
        <v>1</v>
      </c>
      <c r="F1192" s="92"/>
      <c r="G1192" s="756" t="s">
        <v>1</v>
      </c>
      <c r="H1192" s="759" t="e">
        <f>INDEX('BASE FORMAÇÃO'!C:C,B1191+1)</f>
        <v>#VALUE!</v>
      </c>
      <c r="I1192" s="759"/>
      <c r="J1192" s="760"/>
      <c r="K1192" s="66"/>
      <c r="L1192" s="751"/>
      <c r="M1192" s="753"/>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755"/>
      <c r="F1193" s="93"/>
      <c r="G1193" s="757"/>
      <c r="H1193" s="761"/>
      <c r="I1193" s="761"/>
      <c r="J1193" s="762"/>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758"/>
      <c r="H1194" s="763"/>
      <c r="I1194" s="763"/>
      <c r="J1194" s="764"/>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742" t="e">
        <f t="shared" ref="E1195" si="3670">C1191</f>
        <v>#VALUE!</v>
      </c>
      <c r="F1195" s="93"/>
      <c r="G1195" s="744" t="s">
        <v>304</v>
      </c>
      <c r="H1195" s="746"/>
      <c r="I1195" s="747"/>
      <c r="J1195" s="747"/>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743"/>
      <c r="F1196" s="93"/>
      <c r="G1196" s="745"/>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743"/>
      <c r="F1197" s="93"/>
      <c r="G1197" s="745"/>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743"/>
      <c r="F1198" s="93"/>
      <c r="G1198" s="745"/>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743"/>
      <c r="F1199" s="93"/>
      <c r="G1199" s="745"/>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743"/>
      <c r="F1200" s="93"/>
      <c r="G1200" s="745"/>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743"/>
      <c r="F1201" s="93"/>
      <c r="G1201" s="745"/>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743"/>
      <c r="F1202" s="93"/>
      <c r="G1202" s="745"/>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743"/>
      <c r="F1203" s="93"/>
      <c r="G1203" s="745"/>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743"/>
      <c r="F1204" s="93"/>
      <c r="G1204" s="745"/>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743"/>
      <c r="F1205" s="93"/>
      <c r="G1205" s="745"/>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743"/>
      <c r="F1206" s="93"/>
      <c r="G1206" s="745"/>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743"/>
      <c r="F1207" s="93"/>
      <c r="G1207" s="745"/>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743"/>
      <c r="F1208" s="93"/>
      <c r="G1208" s="745"/>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743"/>
      <c r="F1209" s="93"/>
      <c r="G1209" s="745"/>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743"/>
      <c r="F1210" s="136"/>
      <c r="G1210" s="745"/>
      <c r="H1210" s="748"/>
      <c r="I1210" s="748"/>
      <c r="J1210" s="749"/>
      <c r="K1210" s="67"/>
      <c r="L1210" s="1" t="s">
        <v>43</v>
      </c>
      <c r="M1210" s="144"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43" t="s">
        <v>16</v>
      </c>
      <c r="J1212" s="6" t="e">
        <f>INDEX('BASE FORMAÇÃO'!K:K,B1212+1)</f>
        <v>#VALUE!</v>
      </c>
      <c r="K1212" s="65"/>
      <c r="L1212" s="750" t="s">
        <v>10</v>
      </c>
      <c r="M1212" s="752"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754">
        <f t="shared" ref="E1213" si="3732">D1212</f>
        <v>1</v>
      </c>
      <c r="F1213" s="92"/>
      <c r="G1213" s="756" t="s">
        <v>1</v>
      </c>
      <c r="H1213" s="759" t="e">
        <f>INDEX('BASE FORMAÇÃO'!C:C,B1212+1)</f>
        <v>#VALUE!</v>
      </c>
      <c r="I1213" s="759"/>
      <c r="J1213" s="760"/>
      <c r="K1213" s="66"/>
      <c r="L1213" s="751"/>
      <c r="M1213" s="753"/>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755"/>
      <c r="F1214" s="93"/>
      <c r="G1214" s="757"/>
      <c r="H1214" s="761"/>
      <c r="I1214" s="761"/>
      <c r="J1214" s="762"/>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758"/>
      <c r="H1215" s="763"/>
      <c r="I1215" s="763"/>
      <c r="J1215" s="764"/>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742" t="e">
        <f t="shared" ref="E1216" si="3736">C1212</f>
        <v>#VALUE!</v>
      </c>
      <c r="F1216" s="93"/>
      <c r="G1216" s="744" t="s">
        <v>304</v>
      </c>
      <c r="H1216" s="746"/>
      <c r="I1216" s="747"/>
      <c r="J1216" s="747"/>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743"/>
      <c r="F1217" s="93"/>
      <c r="G1217" s="745"/>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743"/>
      <c r="F1218" s="93"/>
      <c r="G1218" s="745"/>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743"/>
      <c r="F1219" s="93"/>
      <c r="G1219" s="745"/>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743"/>
      <c r="F1220" s="93"/>
      <c r="G1220" s="745"/>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743"/>
      <c r="F1221" s="93"/>
      <c r="G1221" s="745"/>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743"/>
      <c r="F1222" s="93"/>
      <c r="G1222" s="745"/>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743"/>
      <c r="F1223" s="93"/>
      <c r="G1223" s="745"/>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743"/>
      <c r="F1224" s="93"/>
      <c r="G1224" s="745"/>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743"/>
      <c r="F1225" s="93"/>
      <c r="G1225" s="745"/>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743"/>
      <c r="F1226" s="93"/>
      <c r="G1226" s="745"/>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743"/>
      <c r="F1227" s="93"/>
      <c r="G1227" s="745"/>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743"/>
      <c r="F1228" s="93"/>
      <c r="G1228" s="745"/>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743"/>
      <c r="F1229" s="93"/>
      <c r="G1229" s="745"/>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743"/>
      <c r="F1230" s="93"/>
      <c r="G1230" s="745"/>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743"/>
      <c r="F1231" s="136"/>
      <c r="G1231" s="745"/>
      <c r="H1231" s="748"/>
      <c r="I1231" s="748"/>
      <c r="J1231" s="749"/>
      <c r="K1231" s="67"/>
      <c r="L1231" s="1" t="s">
        <v>43</v>
      </c>
      <c r="M1231" s="144"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43" t="s">
        <v>16</v>
      </c>
      <c r="J1233" s="6" t="e">
        <f>INDEX('BASE FORMAÇÃO'!K:K,B1233+1)</f>
        <v>#VALUE!</v>
      </c>
      <c r="K1233" s="65"/>
      <c r="L1233" s="750" t="s">
        <v>10</v>
      </c>
      <c r="M1233" s="752"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754">
        <f t="shared" ref="E1234" si="3798">D1233</f>
        <v>1</v>
      </c>
      <c r="F1234" s="92"/>
      <c r="G1234" s="756" t="s">
        <v>1</v>
      </c>
      <c r="H1234" s="759" t="e">
        <f>INDEX('BASE FORMAÇÃO'!C:C,B1233+1)</f>
        <v>#VALUE!</v>
      </c>
      <c r="I1234" s="759"/>
      <c r="J1234" s="760"/>
      <c r="K1234" s="66"/>
      <c r="L1234" s="751"/>
      <c r="M1234" s="753"/>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755"/>
      <c r="F1235" s="93"/>
      <c r="G1235" s="757"/>
      <c r="H1235" s="761"/>
      <c r="I1235" s="761"/>
      <c r="J1235" s="762"/>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758"/>
      <c r="H1236" s="763"/>
      <c r="I1236" s="763"/>
      <c r="J1236" s="764"/>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742" t="e">
        <f t="shared" ref="E1237" si="3802">C1233</f>
        <v>#VALUE!</v>
      </c>
      <c r="F1237" s="93"/>
      <c r="G1237" s="744" t="s">
        <v>304</v>
      </c>
      <c r="H1237" s="746"/>
      <c r="I1237" s="747"/>
      <c r="J1237" s="747"/>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743"/>
      <c r="F1238" s="93"/>
      <c r="G1238" s="745"/>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743"/>
      <c r="F1239" s="93"/>
      <c r="G1239" s="745"/>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743"/>
      <c r="F1240" s="93"/>
      <c r="G1240" s="745"/>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743"/>
      <c r="F1241" s="93"/>
      <c r="G1241" s="745"/>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743"/>
      <c r="F1242" s="93"/>
      <c r="G1242" s="745"/>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743"/>
      <c r="F1243" s="93"/>
      <c r="G1243" s="745"/>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743"/>
      <c r="F1244" s="93"/>
      <c r="G1244" s="745"/>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743"/>
      <c r="F1245" s="93"/>
      <c r="G1245" s="745"/>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743"/>
      <c r="F1246" s="93"/>
      <c r="G1246" s="745"/>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743"/>
      <c r="F1247" s="93"/>
      <c r="G1247" s="745"/>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743"/>
      <c r="F1248" s="93"/>
      <c r="G1248" s="745"/>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743"/>
      <c r="F1249" s="93"/>
      <c r="G1249" s="745"/>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743"/>
      <c r="F1250" s="93"/>
      <c r="G1250" s="745"/>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743"/>
      <c r="F1251" s="93"/>
      <c r="G1251" s="745"/>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743"/>
      <c r="F1252" s="136"/>
      <c r="G1252" s="745"/>
      <c r="H1252" s="748"/>
      <c r="I1252" s="748"/>
      <c r="J1252" s="749"/>
      <c r="K1252" s="67"/>
      <c r="L1252" s="1" t="s">
        <v>43</v>
      </c>
      <c r="M1252" s="144"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43" t="s">
        <v>16</v>
      </c>
      <c r="J1254" s="6" t="e">
        <f>INDEX('BASE FORMAÇÃO'!K:K,B1254+1)</f>
        <v>#VALUE!</v>
      </c>
      <c r="K1254" s="65"/>
      <c r="L1254" s="750" t="s">
        <v>10</v>
      </c>
      <c r="M1254" s="752"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754">
        <f t="shared" ref="E1255" si="3864">D1254</f>
        <v>1</v>
      </c>
      <c r="F1255" s="92"/>
      <c r="G1255" s="756" t="s">
        <v>1</v>
      </c>
      <c r="H1255" s="759" t="e">
        <f>INDEX('BASE FORMAÇÃO'!C:C,B1254+1)</f>
        <v>#VALUE!</v>
      </c>
      <c r="I1255" s="759"/>
      <c r="J1255" s="760"/>
      <c r="K1255" s="66"/>
      <c r="L1255" s="751"/>
      <c r="M1255" s="753"/>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755"/>
      <c r="F1256" s="93"/>
      <c r="G1256" s="757"/>
      <c r="H1256" s="761"/>
      <c r="I1256" s="761"/>
      <c r="J1256" s="762"/>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758"/>
      <c r="H1257" s="763"/>
      <c r="I1257" s="763"/>
      <c r="J1257" s="764"/>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742" t="e">
        <f t="shared" ref="E1258" si="3868">C1254</f>
        <v>#VALUE!</v>
      </c>
      <c r="F1258" s="93"/>
      <c r="G1258" s="744" t="s">
        <v>304</v>
      </c>
      <c r="H1258" s="746"/>
      <c r="I1258" s="747"/>
      <c r="J1258" s="747"/>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743"/>
      <c r="F1259" s="93"/>
      <c r="G1259" s="745"/>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743"/>
      <c r="F1260" s="93"/>
      <c r="G1260" s="745"/>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743"/>
      <c r="F1261" s="93"/>
      <c r="G1261" s="745"/>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743"/>
      <c r="F1262" s="93"/>
      <c r="G1262" s="745"/>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743"/>
      <c r="F1263" s="93"/>
      <c r="G1263" s="745"/>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743"/>
      <c r="F1264" s="93"/>
      <c r="G1264" s="745"/>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743"/>
      <c r="F1265" s="93"/>
      <c r="G1265" s="745"/>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743"/>
      <c r="F1266" s="93"/>
      <c r="G1266" s="745"/>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743"/>
      <c r="F1267" s="93"/>
      <c r="G1267" s="745"/>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743"/>
      <c r="F1268" s="93"/>
      <c r="G1268" s="745"/>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743"/>
      <c r="F1269" s="93"/>
      <c r="G1269" s="745"/>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743"/>
      <c r="F1270" s="93"/>
      <c r="G1270" s="745"/>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743"/>
      <c r="F1271" s="93"/>
      <c r="G1271" s="745"/>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743"/>
      <c r="F1272" s="93"/>
      <c r="G1272" s="745"/>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743"/>
      <c r="F1273" s="136"/>
      <c r="G1273" s="745"/>
      <c r="H1273" s="748"/>
      <c r="I1273" s="748"/>
      <c r="J1273" s="749"/>
      <c r="K1273" s="67"/>
      <c r="L1273" s="1" t="s">
        <v>43</v>
      </c>
      <c r="M1273" s="144"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43" t="s">
        <v>16</v>
      </c>
      <c r="J1275" s="6" t="e">
        <f>INDEX('BASE FORMAÇÃO'!K:K,B1275+1)</f>
        <v>#VALUE!</v>
      </c>
      <c r="K1275" s="65"/>
      <c r="L1275" s="750" t="s">
        <v>10</v>
      </c>
      <c r="M1275" s="752"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754">
        <f t="shared" ref="E1276" si="3930">D1275</f>
        <v>1</v>
      </c>
      <c r="F1276" s="92"/>
      <c r="G1276" s="756" t="s">
        <v>1</v>
      </c>
      <c r="H1276" s="759" t="e">
        <f>INDEX('BASE FORMAÇÃO'!C:C,B1275+1)</f>
        <v>#VALUE!</v>
      </c>
      <c r="I1276" s="759"/>
      <c r="J1276" s="760"/>
      <c r="K1276" s="66"/>
      <c r="L1276" s="751"/>
      <c r="M1276" s="753"/>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755"/>
      <c r="F1277" s="93"/>
      <c r="G1277" s="757"/>
      <c r="H1277" s="761"/>
      <c r="I1277" s="761"/>
      <c r="J1277" s="762"/>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758"/>
      <c r="H1278" s="763"/>
      <c r="I1278" s="763"/>
      <c r="J1278" s="764"/>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742" t="e">
        <f t="shared" ref="E1279" si="3934">C1275</f>
        <v>#VALUE!</v>
      </c>
      <c r="F1279" s="93"/>
      <c r="G1279" s="744" t="s">
        <v>304</v>
      </c>
      <c r="H1279" s="746"/>
      <c r="I1279" s="747"/>
      <c r="J1279" s="747"/>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743"/>
      <c r="F1280" s="93"/>
      <c r="G1280" s="745"/>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743"/>
      <c r="F1281" s="93"/>
      <c r="G1281" s="745"/>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743"/>
      <c r="F1282" s="93"/>
      <c r="G1282" s="745"/>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743"/>
      <c r="F1283" s="93"/>
      <c r="G1283" s="745"/>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743"/>
      <c r="F1284" s="93"/>
      <c r="G1284" s="745"/>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743"/>
      <c r="F1285" s="93"/>
      <c r="G1285" s="745"/>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743"/>
      <c r="F1286" s="93"/>
      <c r="G1286" s="745"/>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743"/>
      <c r="F1287" s="93"/>
      <c r="G1287" s="745"/>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743"/>
      <c r="F1288" s="93"/>
      <c r="G1288" s="745"/>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743"/>
      <c r="F1289" s="93"/>
      <c r="G1289" s="745"/>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743"/>
      <c r="F1290" s="93"/>
      <c r="G1290" s="745"/>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743"/>
      <c r="F1291" s="93"/>
      <c r="G1291" s="745"/>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743"/>
      <c r="F1292" s="93"/>
      <c r="G1292" s="745"/>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743"/>
      <c r="F1293" s="93"/>
      <c r="G1293" s="745"/>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743"/>
      <c r="F1294" s="136"/>
      <c r="G1294" s="745"/>
      <c r="H1294" s="748"/>
      <c r="I1294" s="748"/>
      <c r="J1294" s="749"/>
      <c r="K1294" s="67"/>
      <c r="L1294" s="1" t="s">
        <v>43</v>
      </c>
      <c r="M1294" s="144"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43" t="s">
        <v>16</v>
      </c>
      <c r="J1296" s="6" t="e">
        <f>INDEX('BASE FORMAÇÃO'!K:K,B1296+1)</f>
        <v>#VALUE!</v>
      </c>
      <c r="K1296" s="65"/>
      <c r="L1296" s="750" t="s">
        <v>10</v>
      </c>
      <c r="M1296" s="752"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754">
        <f t="shared" ref="E1297" si="3996">D1296</f>
        <v>1</v>
      </c>
      <c r="F1297" s="92"/>
      <c r="G1297" s="756" t="s">
        <v>1</v>
      </c>
      <c r="H1297" s="759" t="e">
        <f>INDEX('BASE FORMAÇÃO'!C:C,B1296+1)</f>
        <v>#VALUE!</v>
      </c>
      <c r="I1297" s="759"/>
      <c r="J1297" s="760"/>
      <c r="K1297" s="66"/>
      <c r="L1297" s="751"/>
      <c r="M1297" s="753"/>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755"/>
      <c r="F1298" s="93"/>
      <c r="G1298" s="757"/>
      <c r="H1298" s="761"/>
      <c r="I1298" s="761"/>
      <c r="J1298" s="762"/>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758"/>
      <c r="H1299" s="763"/>
      <c r="I1299" s="763"/>
      <c r="J1299" s="764"/>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742" t="e">
        <f t="shared" ref="E1300" si="4000">C1296</f>
        <v>#VALUE!</v>
      </c>
      <c r="F1300" s="93"/>
      <c r="G1300" s="744" t="s">
        <v>304</v>
      </c>
      <c r="H1300" s="746"/>
      <c r="I1300" s="747"/>
      <c r="J1300" s="747"/>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743"/>
      <c r="F1301" s="93"/>
      <c r="G1301" s="745"/>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743"/>
      <c r="F1302" s="93"/>
      <c r="G1302" s="745"/>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743"/>
      <c r="F1303" s="93"/>
      <c r="G1303" s="745"/>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743"/>
      <c r="F1304" s="93"/>
      <c r="G1304" s="745"/>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743"/>
      <c r="F1305" s="93"/>
      <c r="G1305" s="745"/>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743"/>
      <c r="F1306" s="93"/>
      <c r="G1306" s="745"/>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743"/>
      <c r="F1307" s="93"/>
      <c r="G1307" s="745"/>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743"/>
      <c r="F1308" s="93"/>
      <c r="G1308" s="745"/>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743"/>
      <c r="F1309" s="93"/>
      <c r="G1309" s="745"/>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743"/>
      <c r="F1310" s="93"/>
      <c r="G1310" s="745"/>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743"/>
      <c r="F1311" s="93"/>
      <c r="G1311" s="745"/>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743"/>
      <c r="F1312" s="93"/>
      <c r="G1312" s="745"/>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743"/>
      <c r="F1313" s="93"/>
      <c r="G1313" s="745"/>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743"/>
      <c r="F1314" s="93"/>
      <c r="G1314" s="745"/>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743"/>
      <c r="F1315" s="136"/>
      <c r="G1315" s="745"/>
      <c r="H1315" s="748"/>
      <c r="I1315" s="748"/>
      <c r="J1315" s="749"/>
      <c r="K1315" s="67"/>
      <c r="L1315" s="1" t="s">
        <v>43</v>
      </c>
      <c r="M1315" s="144"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43" t="s">
        <v>16</v>
      </c>
      <c r="J1317" s="6" t="e">
        <f>INDEX('BASE FORMAÇÃO'!K:K,B1317+1)</f>
        <v>#VALUE!</v>
      </c>
      <c r="K1317" s="65"/>
      <c r="L1317" s="750" t="s">
        <v>10</v>
      </c>
      <c r="M1317" s="752"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754">
        <f t="shared" ref="E1318" si="4062">D1317</f>
        <v>1</v>
      </c>
      <c r="F1318" s="92"/>
      <c r="G1318" s="756" t="s">
        <v>1</v>
      </c>
      <c r="H1318" s="759" t="e">
        <f>INDEX('BASE FORMAÇÃO'!C:C,B1317+1)</f>
        <v>#VALUE!</v>
      </c>
      <c r="I1318" s="759"/>
      <c r="J1318" s="760"/>
      <c r="K1318" s="66"/>
      <c r="L1318" s="751"/>
      <c r="M1318" s="753"/>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755"/>
      <c r="F1319" s="93"/>
      <c r="G1319" s="757"/>
      <c r="H1319" s="761"/>
      <c r="I1319" s="761"/>
      <c r="J1319" s="762"/>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758"/>
      <c r="H1320" s="763"/>
      <c r="I1320" s="763"/>
      <c r="J1320" s="764"/>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742" t="e">
        <f t="shared" ref="E1321" si="4066">C1317</f>
        <v>#VALUE!</v>
      </c>
      <c r="F1321" s="93"/>
      <c r="G1321" s="744" t="s">
        <v>304</v>
      </c>
      <c r="H1321" s="746"/>
      <c r="I1321" s="747"/>
      <c r="J1321" s="747"/>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743"/>
      <c r="F1322" s="93"/>
      <c r="G1322" s="745"/>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743"/>
      <c r="F1323" s="93"/>
      <c r="G1323" s="745"/>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743"/>
      <c r="F1324" s="93"/>
      <c r="G1324" s="745"/>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743"/>
      <c r="F1325" s="93"/>
      <c r="G1325" s="745"/>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743"/>
      <c r="F1326" s="93"/>
      <c r="G1326" s="745"/>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743"/>
      <c r="F1327" s="93"/>
      <c r="G1327" s="745"/>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743"/>
      <c r="F1328" s="93"/>
      <c r="G1328" s="745"/>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743"/>
      <c r="F1329" s="93"/>
      <c r="G1329" s="745"/>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743"/>
      <c r="F1330" s="93"/>
      <c r="G1330" s="745"/>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743"/>
      <c r="F1331" s="93"/>
      <c r="G1331" s="745"/>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743"/>
      <c r="F1332" s="93"/>
      <c r="G1332" s="745"/>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743"/>
      <c r="F1333" s="93"/>
      <c r="G1333" s="745"/>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743"/>
      <c r="F1334" s="93"/>
      <c r="G1334" s="745"/>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743"/>
      <c r="F1335" s="93"/>
      <c r="G1335" s="745"/>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743"/>
      <c r="F1336" s="136"/>
      <c r="G1336" s="745"/>
      <c r="H1336" s="748"/>
      <c r="I1336" s="748"/>
      <c r="J1336" s="749"/>
      <c r="K1336" s="67"/>
      <c r="L1336" s="1" t="s">
        <v>43</v>
      </c>
      <c r="M1336" s="144"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43" t="s">
        <v>16</v>
      </c>
      <c r="J1338" s="6" t="e">
        <f>INDEX('BASE FORMAÇÃO'!K:K,B1338+1)</f>
        <v>#VALUE!</v>
      </c>
      <c r="K1338" s="65"/>
      <c r="L1338" s="750" t="s">
        <v>10</v>
      </c>
      <c r="M1338" s="752"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754">
        <f t="shared" ref="E1339" si="4128">D1338</f>
        <v>1</v>
      </c>
      <c r="F1339" s="92"/>
      <c r="G1339" s="756" t="s">
        <v>1</v>
      </c>
      <c r="H1339" s="759" t="e">
        <f>INDEX('BASE FORMAÇÃO'!C:C,B1338+1)</f>
        <v>#VALUE!</v>
      </c>
      <c r="I1339" s="759"/>
      <c r="J1339" s="760"/>
      <c r="K1339" s="66"/>
      <c r="L1339" s="751"/>
      <c r="M1339" s="753"/>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755"/>
      <c r="F1340" s="93"/>
      <c r="G1340" s="757"/>
      <c r="H1340" s="761"/>
      <c r="I1340" s="761"/>
      <c r="J1340" s="762"/>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758"/>
      <c r="H1341" s="763"/>
      <c r="I1341" s="763"/>
      <c r="J1341" s="764"/>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742" t="e">
        <f t="shared" ref="E1342" si="4132">C1338</f>
        <v>#VALUE!</v>
      </c>
      <c r="F1342" s="93"/>
      <c r="G1342" s="744" t="s">
        <v>304</v>
      </c>
      <c r="H1342" s="746"/>
      <c r="I1342" s="747"/>
      <c r="J1342" s="747"/>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743"/>
      <c r="F1343" s="93"/>
      <c r="G1343" s="745"/>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743"/>
      <c r="F1344" s="93"/>
      <c r="G1344" s="745"/>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743"/>
      <c r="F1345" s="93"/>
      <c r="G1345" s="745"/>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743"/>
      <c r="F1346" s="93"/>
      <c r="G1346" s="745"/>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743"/>
      <c r="F1347" s="93"/>
      <c r="G1347" s="745"/>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743"/>
      <c r="F1348" s="93"/>
      <c r="G1348" s="745"/>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743"/>
      <c r="F1349" s="93"/>
      <c r="G1349" s="745"/>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743"/>
      <c r="F1350" s="93"/>
      <c r="G1350" s="745"/>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743"/>
      <c r="F1351" s="93"/>
      <c r="G1351" s="745"/>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743"/>
      <c r="F1352" s="93"/>
      <c r="G1352" s="745"/>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743"/>
      <c r="F1353" s="93"/>
      <c r="G1353" s="745"/>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743"/>
      <c r="F1354" s="93"/>
      <c r="G1354" s="745"/>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743"/>
      <c r="F1355" s="93"/>
      <c r="G1355" s="745"/>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743"/>
      <c r="F1356" s="93"/>
      <c r="G1356" s="745"/>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743"/>
      <c r="F1357" s="136"/>
      <c r="G1357" s="745"/>
      <c r="H1357" s="748"/>
      <c r="I1357" s="748"/>
      <c r="J1357" s="749"/>
      <c r="K1357" s="67"/>
      <c r="L1357" s="1" t="s">
        <v>43</v>
      </c>
      <c r="M1357" s="144"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43" t="s">
        <v>16</v>
      </c>
      <c r="J1359" s="6" t="e">
        <f>INDEX('BASE FORMAÇÃO'!K:K,B1359+1)</f>
        <v>#VALUE!</v>
      </c>
      <c r="K1359" s="65"/>
      <c r="L1359" s="750" t="s">
        <v>10</v>
      </c>
      <c r="M1359" s="752"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754">
        <f t="shared" ref="E1360" si="4194">D1359</f>
        <v>1</v>
      </c>
      <c r="F1360" s="92"/>
      <c r="G1360" s="756" t="s">
        <v>1</v>
      </c>
      <c r="H1360" s="759" t="e">
        <f>INDEX('BASE FORMAÇÃO'!C:C,B1359+1)</f>
        <v>#VALUE!</v>
      </c>
      <c r="I1360" s="759"/>
      <c r="J1360" s="760"/>
      <c r="K1360" s="66"/>
      <c r="L1360" s="751"/>
      <c r="M1360" s="753"/>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755"/>
      <c r="F1361" s="93"/>
      <c r="G1361" s="757"/>
      <c r="H1361" s="761"/>
      <c r="I1361" s="761"/>
      <c r="J1361" s="762"/>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758"/>
      <c r="H1362" s="763"/>
      <c r="I1362" s="763"/>
      <c r="J1362" s="764"/>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742" t="e">
        <f t="shared" ref="E1363" si="4198">C1359</f>
        <v>#VALUE!</v>
      </c>
      <c r="F1363" s="93"/>
      <c r="G1363" s="744" t="s">
        <v>304</v>
      </c>
      <c r="H1363" s="746"/>
      <c r="I1363" s="747"/>
      <c r="J1363" s="747"/>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743"/>
      <c r="F1364" s="93"/>
      <c r="G1364" s="745"/>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743"/>
      <c r="F1365" s="93"/>
      <c r="G1365" s="745"/>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743"/>
      <c r="F1366" s="93"/>
      <c r="G1366" s="745"/>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743"/>
      <c r="F1367" s="93"/>
      <c r="G1367" s="745"/>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743"/>
      <c r="F1368" s="93"/>
      <c r="G1368" s="745"/>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743"/>
      <c r="F1369" s="93"/>
      <c r="G1369" s="745"/>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743"/>
      <c r="F1370" s="93"/>
      <c r="G1370" s="745"/>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743"/>
      <c r="F1371" s="93"/>
      <c r="G1371" s="745"/>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743"/>
      <c r="F1372" s="93"/>
      <c r="G1372" s="745"/>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743"/>
      <c r="F1373" s="93"/>
      <c r="G1373" s="745"/>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743"/>
      <c r="F1374" s="93"/>
      <c r="G1374" s="745"/>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743"/>
      <c r="F1375" s="93"/>
      <c r="G1375" s="745"/>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743"/>
      <c r="F1376" s="93"/>
      <c r="G1376" s="745"/>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743"/>
      <c r="F1377" s="93"/>
      <c r="G1377" s="745"/>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743"/>
      <c r="F1378" s="136"/>
      <c r="G1378" s="745"/>
      <c r="H1378" s="748"/>
      <c r="I1378" s="748"/>
      <c r="J1378" s="749"/>
      <c r="K1378" s="67"/>
      <c r="L1378" s="1" t="s">
        <v>43</v>
      </c>
      <c r="M1378" s="144"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43" t="s">
        <v>16</v>
      </c>
      <c r="J1380" s="6" t="e">
        <f>INDEX('BASE FORMAÇÃO'!K:K,B1380+1)</f>
        <v>#VALUE!</v>
      </c>
      <c r="K1380" s="65"/>
      <c r="L1380" s="750" t="s">
        <v>10</v>
      </c>
      <c r="M1380" s="752"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754">
        <f t="shared" ref="E1381" si="4260">D1380</f>
        <v>1</v>
      </c>
      <c r="F1381" s="92"/>
      <c r="G1381" s="756" t="s">
        <v>1</v>
      </c>
      <c r="H1381" s="759" t="e">
        <f>INDEX('BASE FORMAÇÃO'!C:C,B1380+1)</f>
        <v>#VALUE!</v>
      </c>
      <c r="I1381" s="759"/>
      <c r="J1381" s="760"/>
      <c r="K1381" s="66"/>
      <c r="L1381" s="751"/>
      <c r="M1381" s="753"/>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755"/>
      <c r="F1382" s="93"/>
      <c r="G1382" s="757"/>
      <c r="H1382" s="761"/>
      <c r="I1382" s="761"/>
      <c r="J1382" s="762"/>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758"/>
      <c r="H1383" s="763"/>
      <c r="I1383" s="763"/>
      <c r="J1383" s="764"/>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742" t="e">
        <f t="shared" ref="E1384" si="4264">C1380</f>
        <v>#VALUE!</v>
      </c>
      <c r="F1384" s="93"/>
      <c r="G1384" s="744" t="s">
        <v>304</v>
      </c>
      <c r="H1384" s="746"/>
      <c r="I1384" s="747"/>
      <c r="J1384" s="747"/>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743"/>
      <c r="F1385" s="93"/>
      <c r="G1385" s="745"/>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743"/>
      <c r="F1386" s="93"/>
      <c r="G1386" s="745"/>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743"/>
      <c r="F1387" s="93"/>
      <c r="G1387" s="745"/>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743"/>
      <c r="F1388" s="93"/>
      <c r="G1388" s="745"/>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743"/>
      <c r="F1389" s="93"/>
      <c r="G1389" s="745"/>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743"/>
      <c r="F1390" s="93"/>
      <c r="G1390" s="745"/>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743"/>
      <c r="F1391" s="93"/>
      <c r="G1391" s="745"/>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743"/>
      <c r="F1392" s="93"/>
      <c r="G1392" s="745"/>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743"/>
      <c r="F1393" s="93"/>
      <c r="G1393" s="745"/>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743"/>
      <c r="F1394" s="93"/>
      <c r="G1394" s="745"/>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743"/>
      <c r="F1395" s="93"/>
      <c r="G1395" s="745"/>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743"/>
      <c r="F1396" s="93"/>
      <c r="G1396" s="745"/>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743"/>
      <c r="F1397" s="93"/>
      <c r="G1397" s="745"/>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743"/>
      <c r="F1398" s="93"/>
      <c r="G1398" s="745"/>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743"/>
      <c r="F1399" s="136"/>
      <c r="G1399" s="745"/>
      <c r="H1399" s="748"/>
      <c r="I1399" s="748"/>
      <c r="J1399" s="749"/>
      <c r="K1399" s="67"/>
      <c r="L1399" s="1" t="s">
        <v>43</v>
      </c>
      <c r="M1399" s="144"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43" t="s">
        <v>16</v>
      </c>
      <c r="J1401" s="6" t="e">
        <f>INDEX('BASE FORMAÇÃO'!K:K,B1401+1)</f>
        <v>#VALUE!</v>
      </c>
      <c r="K1401" s="65"/>
      <c r="L1401" s="750" t="s">
        <v>10</v>
      </c>
      <c r="M1401" s="752"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754">
        <f t="shared" ref="E1402" si="4326">D1401</f>
        <v>1</v>
      </c>
      <c r="F1402" s="92"/>
      <c r="G1402" s="756" t="s">
        <v>1</v>
      </c>
      <c r="H1402" s="759" t="e">
        <f>INDEX('BASE FORMAÇÃO'!C:C,B1401+1)</f>
        <v>#VALUE!</v>
      </c>
      <c r="I1402" s="759"/>
      <c r="J1402" s="760"/>
      <c r="K1402" s="66"/>
      <c r="L1402" s="751"/>
      <c r="M1402" s="753"/>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755"/>
      <c r="F1403" s="93"/>
      <c r="G1403" s="757"/>
      <c r="H1403" s="761"/>
      <c r="I1403" s="761"/>
      <c r="J1403" s="762"/>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758"/>
      <c r="H1404" s="763"/>
      <c r="I1404" s="763"/>
      <c r="J1404" s="764"/>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742" t="e">
        <f t="shared" ref="E1405" si="4330">C1401</f>
        <v>#VALUE!</v>
      </c>
      <c r="F1405" s="93"/>
      <c r="G1405" s="744" t="s">
        <v>304</v>
      </c>
      <c r="H1405" s="746"/>
      <c r="I1405" s="747"/>
      <c r="J1405" s="747"/>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743"/>
      <c r="F1406" s="93"/>
      <c r="G1406" s="745"/>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743"/>
      <c r="F1407" s="93"/>
      <c r="G1407" s="745"/>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743"/>
      <c r="F1408" s="93"/>
      <c r="G1408" s="745"/>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743"/>
      <c r="F1409" s="93"/>
      <c r="G1409" s="745"/>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743"/>
      <c r="F1410" s="93"/>
      <c r="G1410" s="745"/>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743"/>
      <c r="F1411" s="93"/>
      <c r="G1411" s="745"/>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743"/>
      <c r="F1412" s="93"/>
      <c r="G1412" s="745"/>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743"/>
      <c r="F1413" s="93"/>
      <c r="G1413" s="745"/>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743"/>
      <c r="F1414" s="93"/>
      <c r="G1414" s="745"/>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743"/>
      <c r="F1415" s="93"/>
      <c r="G1415" s="745"/>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743"/>
      <c r="F1416" s="93"/>
      <c r="G1416" s="745"/>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743"/>
      <c r="F1417" s="93"/>
      <c r="G1417" s="745"/>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743"/>
      <c r="F1418" s="93"/>
      <c r="G1418" s="745"/>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743"/>
      <c r="F1419" s="93"/>
      <c r="G1419" s="745"/>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743"/>
      <c r="F1420" s="136"/>
      <c r="G1420" s="745"/>
      <c r="H1420" s="748"/>
      <c r="I1420" s="748"/>
      <c r="J1420" s="749"/>
      <c r="K1420" s="67"/>
      <c r="L1420" s="1" t="s">
        <v>43</v>
      </c>
      <c r="M1420" s="144"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43" t="s">
        <v>16</v>
      </c>
      <c r="J1422" s="6" t="e">
        <f>INDEX('BASE FORMAÇÃO'!K:K,B1422+1)</f>
        <v>#VALUE!</v>
      </c>
      <c r="K1422" s="65"/>
      <c r="L1422" s="750" t="s">
        <v>10</v>
      </c>
      <c r="M1422" s="752"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754">
        <f t="shared" ref="E1423" si="4392">D1422</f>
        <v>1</v>
      </c>
      <c r="F1423" s="92"/>
      <c r="G1423" s="756" t="s">
        <v>1</v>
      </c>
      <c r="H1423" s="759" t="e">
        <f>INDEX('BASE FORMAÇÃO'!C:C,B1422+1)</f>
        <v>#VALUE!</v>
      </c>
      <c r="I1423" s="759"/>
      <c r="J1423" s="760"/>
      <c r="K1423" s="66"/>
      <c r="L1423" s="751"/>
      <c r="M1423" s="753"/>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755"/>
      <c r="F1424" s="93"/>
      <c r="G1424" s="757"/>
      <c r="H1424" s="761"/>
      <c r="I1424" s="761"/>
      <c r="J1424" s="762"/>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758"/>
      <c r="H1425" s="763"/>
      <c r="I1425" s="763"/>
      <c r="J1425" s="764"/>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742" t="e">
        <f t="shared" ref="E1426" si="4396">C1422</f>
        <v>#VALUE!</v>
      </c>
      <c r="F1426" s="93"/>
      <c r="G1426" s="744" t="s">
        <v>304</v>
      </c>
      <c r="H1426" s="746"/>
      <c r="I1426" s="747"/>
      <c r="J1426" s="747"/>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743"/>
      <c r="F1427" s="93"/>
      <c r="G1427" s="745"/>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743"/>
      <c r="F1428" s="93"/>
      <c r="G1428" s="745"/>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743"/>
      <c r="F1429" s="93"/>
      <c r="G1429" s="745"/>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743"/>
      <c r="F1430" s="93"/>
      <c r="G1430" s="745"/>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743"/>
      <c r="F1431" s="93"/>
      <c r="G1431" s="745"/>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743"/>
      <c r="F1432" s="93"/>
      <c r="G1432" s="745"/>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743"/>
      <c r="F1433" s="93"/>
      <c r="G1433" s="745"/>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743"/>
      <c r="F1434" s="93"/>
      <c r="G1434" s="745"/>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743"/>
      <c r="F1435" s="93"/>
      <c r="G1435" s="745"/>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743"/>
      <c r="F1436" s="93"/>
      <c r="G1436" s="745"/>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743"/>
      <c r="F1437" s="93"/>
      <c r="G1437" s="745"/>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743"/>
      <c r="F1438" s="93"/>
      <c r="G1438" s="745"/>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743"/>
      <c r="F1439" s="93"/>
      <c r="G1439" s="745"/>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743"/>
      <c r="F1440" s="93"/>
      <c r="G1440" s="745"/>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743"/>
      <c r="F1441" s="136"/>
      <c r="G1441" s="745"/>
      <c r="H1441" s="748"/>
      <c r="I1441" s="748"/>
      <c r="J1441" s="749"/>
      <c r="K1441" s="67"/>
      <c r="L1441" s="1" t="s">
        <v>43</v>
      </c>
      <c r="M1441" s="144"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43" t="s">
        <v>16</v>
      </c>
      <c r="J1443" s="6" t="e">
        <f>INDEX('BASE FORMAÇÃO'!K:K,B1443+1)</f>
        <v>#VALUE!</v>
      </c>
      <c r="K1443" s="65"/>
      <c r="L1443" s="750" t="s">
        <v>10</v>
      </c>
      <c r="M1443" s="752"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754">
        <f t="shared" ref="E1444" si="4458">D1443</f>
        <v>1</v>
      </c>
      <c r="F1444" s="92"/>
      <c r="G1444" s="756" t="s">
        <v>1</v>
      </c>
      <c r="H1444" s="759" t="e">
        <f>INDEX('BASE FORMAÇÃO'!C:C,B1443+1)</f>
        <v>#VALUE!</v>
      </c>
      <c r="I1444" s="759"/>
      <c r="J1444" s="760"/>
      <c r="K1444" s="66"/>
      <c r="L1444" s="751"/>
      <c r="M1444" s="753"/>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755"/>
      <c r="F1445" s="93"/>
      <c r="G1445" s="757"/>
      <c r="H1445" s="761"/>
      <c r="I1445" s="761"/>
      <c r="J1445" s="762"/>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758"/>
      <c r="H1446" s="763"/>
      <c r="I1446" s="763"/>
      <c r="J1446" s="764"/>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742" t="e">
        <f t="shared" ref="E1447" si="4462">C1443</f>
        <v>#VALUE!</v>
      </c>
      <c r="F1447" s="93"/>
      <c r="G1447" s="744" t="s">
        <v>304</v>
      </c>
      <c r="H1447" s="746"/>
      <c r="I1447" s="747"/>
      <c r="J1447" s="747"/>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743"/>
      <c r="F1448" s="93"/>
      <c r="G1448" s="745"/>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743"/>
      <c r="F1449" s="93"/>
      <c r="G1449" s="745"/>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743"/>
      <c r="F1450" s="93"/>
      <c r="G1450" s="745"/>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743"/>
      <c r="F1451" s="93"/>
      <c r="G1451" s="745"/>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743"/>
      <c r="F1452" s="93"/>
      <c r="G1452" s="745"/>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743"/>
      <c r="F1453" s="93"/>
      <c r="G1453" s="745"/>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743"/>
      <c r="F1454" s="93"/>
      <c r="G1454" s="745"/>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743"/>
      <c r="F1455" s="93"/>
      <c r="G1455" s="745"/>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743"/>
      <c r="F1456" s="93"/>
      <c r="G1456" s="745"/>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743"/>
      <c r="F1457" s="93"/>
      <c r="G1457" s="745"/>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743"/>
      <c r="F1458" s="93"/>
      <c r="G1458" s="745"/>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743"/>
      <c r="F1459" s="93"/>
      <c r="G1459" s="745"/>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743"/>
      <c r="F1460" s="93"/>
      <c r="G1460" s="745"/>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743"/>
      <c r="F1461" s="93"/>
      <c r="G1461" s="745"/>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743"/>
      <c r="F1462" s="136"/>
      <c r="G1462" s="745"/>
      <c r="H1462" s="748"/>
      <c r="I1462" s="748"/>
      <c r="J1462" s="749"/>
      <c r="K1462" s="67"/>
      <c r="L1462" s="1" t="s">
        <v>43</v>
      </c>
      <c r="M1462" s="144"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43" t="s">
        <v>16</v>
      </c>
      <c r="J1464" s="6" t="e">
        <f>INDEX('BASE FORMAÇÃO'!K:K,B1464+1)</f>
        <v>#VALUE!</v>
      </c>
      <c r="K1464" s="65"/>
      <c r="L1464" s="750" t="s">
        <v>10</v>
      </c>
      <c r="M1464" s="752"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754">
        <f t="shared" ref="E1465" si="4524">D1464</f>
        <v>1</v>
      </c>
      <c r="F1465" s="92"/>
      <c r="G1465" s="756" t="s">
        <v>1</v>
      </c>
      <c r="H1465" s="759" t="e">
        <f>INDEX('BASE FORMAÇÃO'!C:C,B1464+1)</f>
        <v>#VALUE!</v>
      </c>
      <c r="I1465" s="759"/>
      <c r="J1465" s="760"/>
      <c r="K1465" s="66"/>
      <c r="L1465" s="751"/>
      <c r="M1465" s="753"/>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755"/>
      <c r="F1466" s="93"/>
      <c r="G1466" s="757"/>
      <c r="H1466" s="761"/>
      <c r="I1466" s="761"/>
      <c r="J1466" s="762"/>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758"/>
      <c r="H1467" s="763"/>
      <c r="I1467" s="763"/>
      <c r="J1467" s="764"/>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742" t="e">
        <f t="shared" ref="E1468" si="4528">C1464</f>
        <v>#VALUE!</v>
      </c>
      <c r="F1468" s="93"/>
      <c r="G1468" s="744" t="s">
        <v>304</v>
      </c>
      <c r="H1468" s="746"/>
      <c r="I1468" s="747"/>
      <c r="J1468" s="747"/>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743"/>
      <c r="F1469" s="93"/>
      <c r="G1469" s="745"/>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743"/>
      <c r="F1470" s="93"/>
      <c r="G1470" s="745"/>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743"/>
      <c r="F1471" s="93"/>
      <c r="G1471" s="745"/>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743"/>
      <c r="F1472" s="93"/>
      <c r="G1472" s="745"/>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743"/>
      <c r="F1473" s="93"/>
      <c r="G1473" s="745"/>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743"/>
      <c r="F1474" s="93"/>
      <c r="G1474" s="745"/>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743"/>
      <c r="F1475" s="93"/>
      <c r="G1475" s="745"/>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743"/>
      <c r="F1476" s="93"/>
      <c r="G1476" s="745"/>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743"/>
      <c r="F1477" s="93"/>
      <c r="G1477" s="745"/>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743"/>
      <c r="F1478" s="93"/>
      <c r="G1478" s="745"/>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743"/>
      <c r="F1479" s="93"/>
      <c r="G1479" s="745"/>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743"/>
      <c r="F1480" s="93"/>
      <c r="G1480" s="745"/>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743"/>
      <c r="F1481" s="93"/>
      <c r="G1481" s="745"/>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743"/>
      <c r="F1482" s="93"/>
      <c r="G1482" s="745"/>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743"/>
      <c r="F1483" s="136"/>
      <c r="G1483" s="745"/>
      <c r="H1483" s="748"/>
      <c r="I1483" s="748"/>
      <c r="J1483" s="749"/>
      <c r="K1483" s="67"/>
      <c r="L1483" s="1" t="s">
        <v>43</v>
      </c>
      <c r="M1483" s="144"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43" t="s">
        <v>16</v>
      </c>
      <c r="J1485" s="6" t="e">
        <f>INDEX('BASE FORMAÇÃO'!K:K,B1485+1)</f>
        <v>#VALUE!</v>
      </c>
      <c r="K1485" s="65"/>
      <c r="L1485" s="750" t="s">
        <v>10</v>
      </c>
      <c r="M1485" s="752"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754">
        <f t="shared" ref="E1486" si="4590">D1485</f>
        <v>1</v>
      </c>
      <c r="F1486" s="92"/>
      <c r="G1486" s="756" t="s">
        <v>1</v>
      </c>
      <c r="H1486" s="759" t="e">
        <f>INDEX('BASE FORMAÇÃO'!C:C,B1485+1)</f>
        <v>#VALUE!</v>
      </c>
      <c r="I1486" s="759"/>
      <c r="J1486" s="760"/>
      <c r="K1486" s="66"/>
      <c r="L1486" s="751"/>
      <c r="M1486" s="753"/>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755"/>
      <c r="F1487" s="93"/>
      <c r="G1487" s="757"/>
      <c r="H1487" s="761"/>
      <c r="I1487" s="761"/>
      <c r="J1487" s="762"/>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758"/>
      <c r="H1488" s="763"/>
      <c r="I1488" s="763"/>
      <c r="J1488" s="764"/>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742" t="e">
        <f t="shared" ref="E1489" si="4594">C1485</f>
        <v>#VALUE!</v>
      </c>
      <c r="F1489" s="93"/>
      <c r="G1489" s="744" t="s">
        <v>304</v>
      </c>
      <c r="H1489" s="746"/>
      <c r="I1489" s="747"/>
      <c r="J1489" s="747"/>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743"/>
      <c r="F1490" s="93"/>
      <c r="G1490" s="745"/>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743"/>
      <c r="F1491" s="93"/>
      <c r="G1491" s="745"/>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743"/>
      <c r="F1492" s="93"/>
      <c r="G1492" s="745"/>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743"/>
      <c r="F1493" s="93"/>
      <c r="G1493" s="745"/>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743"/>
      <c r="F1494" s="93"/>
      <c r="G1494" s="745"/>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743"/>
      <c r="F1495" s="93"/>
      <c r="G1495" s="745"/>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743"/>
      <c r="F1496" s="93"/>
      <c r="G1496" s="745"/>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743"/>
      <c r="F1497" s="93"/>
      <c r="G1497" s="745"/>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743"/>
      <c r="F1498" s="93"/>
      <c r="G1498" s="745"/>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743"/>
      <c r="F1499" s="93"/>
      <c r="G1499" s="745"/>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743"/>
      <c r="F1500" s="93"/>
      <c r="G1500" s="745"/>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743"/>
      <c r="F1501" s="93"/>
      <c r="G1501" s="745"/>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743"/>
      <c r="F1502" s="93"/>
      <c r="G1502" s="745"/>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743"/>
      <c r="F1503" s="93"/>
      <c r="G1503" s="745"/>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743"/>
      <c r="F1504" s="136"/>
      <c r="G1504" s="745"/>
      <c r="H1504" s="748"/>
      <c r="I1504" s="748"/>
      <c r="J1504" s="749"/>
      <c r="K1504" s="67"/>
      <c r="L1504" s="1" t="s">
        <v>43</v>
      </c>
      <c r="M1504" s="144"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43" t="s">
        <v>16</v>
      </c>
      <c r="J1506" s="6" t="e">
        <f>INDEX('BASE FORMAÇÃO'!K:K,B1506+1)</f>
        <v>#VALUE!</v>
      </c>
      <c r="K1506" s="65"/>
      <c r="L1506" s="750" t="s">
        <v>10</v>
      </c>
      <c r="M1506" s="752"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754">
        <f t="shared" ref="E1507" si="4656">D1506</f>
        <v>1</v>
      </c>
      <c r="F1507" s="92"/>
      <c r="G1507" s="756" t="s">
        <v>1</v>
      </c>
      <c r="H1507" s="759" t="e">
        <f>INDEX('BASE FORMAÇÃO'!C:C,B1506+1)</f>
        <v>#VALUE!</v>
      </c>
      <c r="I1507" s="759"/>
      <c r="J1507" s="760"/>
      <c r="K1507" s="66"/>
      <c r="L1507" s="751"/>
      <c r="M1507" s="753"/>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755"/>
      <c r="F1508" s="93"/>
      <c r="G1508" s="757"/>
      <c r="H1508" s="761"/>
      <c r="I1508" s="761"/>
      <c r="J1508" s="762"/>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758"/>
      <c r="H1509" s="763"/>
      <c r="I1509" s="763"/>
      <c r="J1509" s="764"/>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742" t="e">
        <f t="shared" ref="E1510" si="4660">C1506</f>
        <v>#VALUE!</v>
      </c>
      <c r="F1510" s="93"/>
      <c r="G1510" s="744" t="s">
        <v>304</v>
      </c>
      <c r="H1510" s="746"/>
      <c r="I1510" s="747"/>
      <c r="J1510" s="747"/>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743"/>
      <c r="F1511" s="93"/>
      <c r="G1511" s="745"/>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743"/>
      <c r="F1512" s="93"/>
      <c r="G1512" s="745"/>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743"/>
      <c r="F1513" s="93"/>
      <c r="G1513" s="745"/>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743"/>
      <c r="F1514" s="93"/>
      <c r="G1514" s="745"/>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743"/>
      <c r="F1515" s="93"/>
      <c r="G1515" s="745"/>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743"/>
      <c r="F1516" s="93"/>
      <c r="G1516" s="745"/>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743"/>
      <c r="F1517" s="93"/>
      <c r="G1517" s="745"/>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743"/>
      <c r="F1518" s="93"/>
      <c r="G1518" s="745"/>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743"/>
      <c r="F1519" s="93"/>
      <c r="G1519" s="745"/>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743"/>
      <c r="F1520" s="93"/>
      <c r="G1520" s="745"/>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743"/>
      <c r="F1521" s="93"/>
      <c r="G1521" s="745"/>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743"/>
      <c r="F1522" s="93"/>
      <c r="G1522" s="745"/>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743"/>
      <c r="F1523" s="93"/>
      <c r="G1523" s="745"/>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743"/>
      <c r="F1524" s="93"/>
      <c r="G1524" s="745"/>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743"/>
      <c r="F1525" s="136"/>
      <c r="G1525" s="745"/>
      <c r="H1525" s="748"/>
      <c r="I1525" s="748"/>
      <c r="J1525" s="749"/>
      <c r="K1525" s="67"/>
      <c r="L1525" s="1" t="s">
        <v>43</v>
      </c>
      <c r="M1525" s="144"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43" t="s">
        <v>16</v>
      </c>
      <c r="J1527" s="6" t="e">
        <f>INDEX('BASE FORMAÇÃO'!K:K,B1527+1)</f>
        <v>#VALUE!</v>
      </c>
      <c r="K1527" s="65"/>
      <c r="L1527" s="750" t="s">
        <v>10</v>
      </c>
      <c r="M1527" s="752"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754">
        <f t="shared" ref="E1528" si="4722">D1527</f>
        <v>1</v>
      </c>
      <c r="F1528" s="92"/>
      <c r="G1528" s="756" t="s">
        <v>1</v>
      </c>
      <c r="H1528" s="759" t="e">
        <f>INDEX('BASE FORMAÇÃO'!C:C,B1527+1)</f>
        <v>#VALUE!</v>
      </c>
      <c r="I1528" s="759"/>
      <c r="J1528" s="760"/>
      <c r="K1528" s="66"/>
      <c r="L1528" s="751"/>
      <c r="M1528" s="753"/>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755"/>
      <c r="F1529" s="93"/>
      <c r="G1529" s="757"/>
      <c r="H1529" s="761"/>
      <c r="I1529" s="761"/>
      <c r="J1529" s="762"/>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758"/>
      <c r="H1530" s="763"/>
      <c r="I1530" s="763"/>
      <c r="J1530" s="764"/>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742" t="e">
        <f t="shared" ref="E1531" si="4726">C1527</f>
        <v>#VALUE!</v>
      </c>
      <c r="F1531" s="93"/>
      <c r="G1531" s="744" t="s">
        <v>304</v>
      </c>
      <c r="H1531" s="746"/>
      <c r="I1531" s="747"/>
      <c r="J1531" s="747"/>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743"/>
      <c r="F1532" s="93"/>
      <c r="G1532" s="745"/>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743"/>
      <c r="F1533" s="93"/>
      <c r="G1533" s="745"/>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743"/>
      <c r="F1534" s="93"/>
      <c r="G1534" s="745"/>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743"/>
      <c r="F1535" s="93"/>
      <c r="G1535" s="745"/>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743"/>
      <c r="F1536" s="93"/>
      <c r="G1536" s="745"/>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743"/>
      <c r="F1537" s="93"/>
      <c r="G1537" s="745"/>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743"/>
      <c r="F1538" s="93"/>
      <c r="G1538" s="745"/>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743"/>
      <c r="F1539" s="93"/>
      <c r="G1539" s="745"/>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743"/>
      <c r="F1540" s="93"/>
      <c r="G1540" s="745"/>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743"/>
      <c r="F1541" s="93"/>
      <c r="G1541" s="745"/>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743"/>
      <c r="F1542" s="93"/>
      <c r="G1542" s="745"/>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743"/>
      <c r="F1543" s="93"/>
      <c r="G1543" s="745"/>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743"/>
      <c r="F1544" s="93"/>
      <c r="G1544" s="745"/>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743"/>
      <c r="F1545" s="93"/>
      <c r="G1545" s="745"/>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743"/>
      <c r="F1546" s="136"/>
      <c r="G1546" s="745"/>
      <c r="H1546" s="748"/>
      <c r="I1546" s="748"/>
      <c r="J1546" s="749"/>
      <c r="K1546" s="67"/>
      <c r="L1546" s="1" t="s">
        <v>43</v>
      </c>
      <c r="M1546" s="144"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43" t="s">
        <v>16</v>
      </c>
      <c r="J1548" s="6" t="e">
        <f>INDEX('BASE FORMAÇÃO'!K:K,B1548+1)</f>
        <v>#VALUE!</v>
      </c>
      <c r="K1548" s="65"/>
      <c r="L1548" s="750" t="s">
        <v>10</v>
      </c>
      <c r="M1548" s="752"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754">
        <f t="shared" ref="E1549" si="4788">D1548</f>
        <v>1</v>
      </c>
      <c r="F1549" s="92"/>
      <c r="G1549" s="756" t="s">
        <v>1</v>
      </c>
      <c r="H1549" s="759" t="e">
        <f>INDEX('BASE FORMAÇÃO'!C:C,B1548+1)</f>
        <v>#VALUE!</v>
      </c>
      <c r="I1549" s="759"/>
      <c r="J1549" s="760"/>
      <c r="K1549" s="66"/>
      <c r="L1549" s="751"/>
      <c r="M1549" s="753"/>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755"/>
      <c r="F1550" s="93"/>
      <c r="G1550" s="757"/>
      <c r="H1550" s="761"/>
      <c r="I1550" s="761"/>
      <c r="J1550" s="762"/>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758"/>
      <c r="H1551" s="763"/>
      <c r="I1551" s="763"/>
      <c r="J1551" s="764"/>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742" t="e">
        <f t="shared" ref="E1552" si="4792">C1548</f>
        <v>#VALUE!</v>
      </c>
      <c r="F1552" s="93"/>
      <c r="G1552" s="744" t="s">
        <v>304</v>
      </c>
      <c r="H1552" s="746"/>
      <c r="I1552" s="747"/>
      <c r="J1552" s="747"/>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743"/>
      <c r="F1553" s="93"/>
      <c r="G1553" s="745"/>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743"/>
      <c r="F1554" s="93"/>
      <c r="G1554" s="745"/>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743"/>
      <c r="F1555" s="93"/>
      <c r="G1555" s="745"/>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743"/>
      <c r="F1556" s="93"/>
      <c r="G1556" s="745"/>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743"/>
      <c r="F1557" s="93"/>
      <c r="G1557" s="745"/>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743"/>
      <c r="F1558" s="93"/>
      <c r="G1558" s="745"/>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743"/>
      <c r="F1559" s="93"/>
      <c r="G1559" s="745"/>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743"/>
      <c r="F1560" s="93"/>
      <c r="G1560" s="745"/>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743"/>
      <c r="F1561" s="93"/>
      <c r="G1561" s="745"/>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743"/>
      <c r="F1562" s="93"/>
      <c r="G1562" s="745"/>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743"/>
      <c r="F1563" s="93"/>
      <c r="G1563" s="745"/>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743"/>
      <c r="F1564" s="93"/>
      <c r="G1564" s="745"/>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743"/>
      <c r="F1565" s="93"/>
      <c r="G1565" s="745"/>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743"/>
      <c r="F1566" s="93"/>
      <c r="G1566" s="745"/>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743"/>
      <c r="F1567" s="136"/>
      <c r="G1567" s="745"/>
      <c r="H1567" s="748"/>
      <c r="I1567" s="748"/>
      <c r="J1567" s="749"/>
      <c r="K1567" s="67"/>
      <c r="L1567" s="1" t="s">
        <v>43</v>
      </c>
      <c r="M1567" s="144"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43" t="s">
        <v>16</v>
      </c>
      <c r="J1569" s="6" t="e">
        <f>INDEX('BASE FORMAÇÃO'!K:K,B1569+1)</f>
        <v>#VALUE!</v>
      </c>
      <c r="K1569" s="65"/>
      <c r="L1569" s="750" t="s">
        <v>10</v>
      </c>
      <c r="M1569" s="752"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754">
        <f t="shared" ref="E1570" si="4854">D1569</f>
        <v>1</v>
      </c>
      <c r="F1570" s="92"/>
      <c r="G1570" s="756" t="s">
        <v>1</v>
      </c>
      <c r="H1570" s="759" t="e">
        <f>INDEX('BASE FORMAÇÃO'!C:C,B1569+1)</f>
        <v>#VALUE!</v>
      </c>
      <c r="I1570" s="759"/>
      <c r="J1570" s="760"/>
      <c r="K1570" s="66"/>
      <c r="L1570" s="751"/>
      <c r="M1570" s="753"/>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755"/>
      <c r="F1571" s="93"/>
      <c r="G1571" s="757"/>
      <c r="H1571" s="761"/>
      <c r="I1571" s="761"/>
      <c r="J1571" s="762"/>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758"/>
      <c r="H1572" s="763"/>
      <c r="I1572" s="763"/>
      <c r="J1572" s="764"/>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742" t="e">
        <f t="shared" ref="E1573" si="4858">C1569</f>
        <v>#VALUE!</v>
      </c>
      <c r="F1573" s="93"/>
      <c r="G1573" s="744" t="s">
        <v>304</v>
      </c>
      <c r="H1573" s="746"/>
      <c r="I1573" s="747"/>
      <c r="J1573" s="747"/>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743"/>
      <c r="F1574" s="93"/>
      <c r="G1574" s="745"/>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743"/>
      <c r="F1575" s="93"/>
      <c r="G1575" s="745"/>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743"/>
      <c r="F1576" s="93"/>
      <c r="G1576" s="745"/>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743"/>
      <c r="F1577" s="93"/>
      <c r="G1577" s="745"/>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743"/>
      <c r="F1578" s="93"/>
      <c r="G1578" s="745"/>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743"/>
      <c r="F1579" s="93"/>
      <c r="G1579" s="745"/>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743"/>
      <c r="F1580" s="93"/>
      <c r="G1580" s="745"/>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743"/>
      <c r="F1581" s="93"/>
      <c r="G1581" s="745"/>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743"/>
      <c r="F1582" s="93"/>
      <c r="G1582" s="745"/>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743"/>
      <c r="F1583" s="93"/>
      <c r="G1583" s="745"/>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743"/>
      <c r="F1584" s="93"/>
      <c r="G1584" s="745"/>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743"/>
      <c r="F1585" s="93"/>
      <c r="G1585" s="745"/>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743"/>
      <c r="F1586" s="93"/>
      <c r="G1586" s="745"/>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743"/>
      <c r="F1587" s="93"/>
      <c r="G1587" s="745"/>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743"/>
      <c r="F1588" s="136"/>
      <c r="G1588" s="745"/>
      <c r="H1588" s="748"/>
      <c r="I1588" s="748"/>
      <c r="J1588" s="749"/>
      <c r="K1588" s="67"/>
      <c r="L1588" s="1" t="s">
        <v>43</v>
      </c>
      <c r="M1588" s="144"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43" t="s">
        <v>16</v>
      </c>
      <c r="J1590" s="6" t="e">
        <f>INDEX('BASE FORMAÇÃO'!K:K,B1590+1)</f>
        <v>#VALUE!</v>
      </c>
      <c r="K1590" s="65"/>
      <c r="L1590" s="750" t="s">
        <v>10</v>
      </c>
      <c r="M1590" s="752"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754">
        <f t="shared" ref="E1591" si="4920">D1590</f>
        <v>1</v>
      </c>
      <c r="F1591" s="92"/>
      <c r="G1591" s="756" t="s">
        <v>1</v>
      </c>
      <c r="H1591" s="759" t="e">
        <f>INDEX('BASE FORMAÇÃO'!C:C,B1590+1)</f>
        <v>#VALUE!</v>
      </c>
      <c r="I1591" s="759"/>
      <c r="J1591" s="760"/>
      <c r="K1591" s="66"/>
      <c r="L1591" s="751"/>
      <c r="M1591" s="753"/>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755"/>
      <c r="F1592" s="93"/>
      <c r="G1592" s="757"/>
      <c r="H1592" s="761"/>
      <c r="I1592" s="761"/>
      <c r="J1592" s="762"/>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758"/>
      <c r="H1593" s="763"/>
      <c r="I1593" s="763"/>
      <c r="J1593" s="764"/>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742" t="e">
        <f t="shared" ref="E1594" si="4924">C1590</f>
        <v>#VALUE!</v>
      </c>
      <c r="F1594" s="93"/>
      <c r="G1594" s="744" t="s">
        <v>304</v>
      </c>
      <c r="H1594" s="746"/>
      <c r="I1594" s="747"/>
      <c r="J1594" s="747"/>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743"/>
      <c r="F1595" s="93"/>
      <c r="G1595" s="745"/>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743"/>
      <c r="F1596" s="93"/>
      <c r="G1596" s="745"/>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743"/>
      <c r="F1597" s="93"/>
      <c r="G1597" s="745"/>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743"/>
      <c r="F1598" s="93"/>
      <c r="G1598" s="745"/>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743"/>
      <c r="F1599" s="93"/>
      <c r="G1599" s="745"/>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743"/>
      <c r="F1600" s="93"/>
      <c r="G1600" s="745"/>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743"/>
      <c r="F1601" s="93"/>
      <c r="G1601" s="745"/>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743"/>
      <c r="F1602" s="93"/>
      <c r="G1602" s="745"/>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743"/>
      <c r="F1603" s="93"/>
      <c r="G1603" s="745"/>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743"/>
      <c r="F1604" s="93"/>
      <c r="G1604" s="745"/>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743"/>
      <c r="F1605" s="93"/>
      <c r="G1605" s="745"/>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743"/>
      <c r="F1606" s="93"/>
      <c r="G1606" s="745"/>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743"/>
      <c r="F1607" s="93"/>
      <c r="G1607" s="745"/>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743"/>
      <c r="F1608" s="93"/>
      <c r="G1608" s="745"/>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743"/>
      <c r="F1609" s="136"/>
      <c r="G1609" s="745"/>
      <c r="H1609" s="748"/>
      <c r="I1609" s="748"/>
      <c r="J1609" s="749"/>
      <c r="K1609" s="67"/>
      <c r="L1609" s="1" t="s">
        <v>43</v>
      </c>
      <c r="M1609" s="144"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43" t="s">
        <v>16</v>
      </c>
      <c r="J1611" s="6" t="e">
        <f>INDEX('BASE FORMAÇÃO'!K:K,B1611+1)</f>
        <v>#VALUE!</v>
      </c>
      <c r="K1611" s="65"/>
      <c r="L1611" s="750" t="s">
        <v>10</v>
      </c>
      <c r="M1611" s="752"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754">
        <f t="shared" ref="E1612" si="4986">D1611</f>
        <v>1</v>
      </c>
      <c r="F1612" s="92"/>
      <c r="G1612" s="756" t="s">
        <v>1</v>
      </c>
      <c r="H1612" s="759" t="e">
        <f>INDEX('BASE FORMAÇÃO'!C:C,B1611+1)</f>
        <v>#VALUE!</v>
      </c>
      <c r="I1612" s="759"/>
      <c r="J1612" s="760"/>
      <c r="K1612" s="66"/>
      <c r="L1612" s="751"/>
      <c r="M1612" s="753"/>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755"/>
      <c r="F1613" s="93"/>
      <c r="G1613" s="757"/>
      <c r="H1613" s="761"/>
      <c r="I1613" s="761"/>
      <c r="J1613" s="762"/>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758"/>
      <c r="H1614" s="763"/>
      <c r="I1614" s="763"/>
      <c r="J1614" s="764"/>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742" t="e">
        <f t="shared" ref="E1615" si="4990">C1611</f>
        <v>#VALUE!</v>
      </c>
      <c r="F1615" s="93"/>
      <c r="G1615" s="744" t="s">
        <v>304</v>
      </c>
      <c r="H1615" s="746"/>
      <c r="I1615" s="747"/>
      <c r="J1615" s="747"/>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743"/>
      <c r="F1616" s="93"/>
      <c r="G1616" s="745"/>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743"/>
      <c r="F1617" s="93"/>
      <c r="G1617" s="745"/>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743"/>
      <c r="F1618" s="93"/>
      <c r="G1618" s="745"/>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743"/>
      <c r="F1619" s="93"/>
      <c r="G1619" s="745"/>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743"/>
      <c r="F1620" s="93"/>
      <c r="G1620" s="745"/>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743"/>
      <c r="F1621" s="93"/>
      <c r="G1621" s="745"/>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743"/>
      <c r="F1622" s="93"/>
      <c r="G1622" s="745"/>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743"/>
      <c r="F1623" s="93"/>
      <c r="G1623" s="745"/>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743"/>
      <c r="F1624" s="93"/>
      <c r="G1624" s="745"/>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743"/>
      <c r="F1625" s="93"/>
      <c r="G1625" s="745"/>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743"/>
      <c r="F1626" s="93"/>
      <c r="G1626" s="745"/>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743"/>
      <c r="F1627" s="93"/>
      <c r="G1627" s="745"/>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743"/>
      <c r="F1628" s="93"/>
      <c r="G1628" s="745"/>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743"/>
      <c r="F1629" s="93"/>
      <c r="G1629" s="745"/>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743"/>
      <c r="F1630" s="136"/>
      <c r="G1630" s="745"/>
      <c r="H1630" s="748"/>
      <c r="I1630" s="748"/>
      <c r="J1630" s="749"/>
      <c r="K1630" s="67"/>
      <c r="L1630" s="1" t="s">
        <v>43</v>
      </c>
      <c r="M1630" s="144"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43" t="s">
        <v>16</v>
      </c>
      <c r="J1632" s="6" t="e">
        <f>INDEX('BASE FORMAÇÃO'!K:K,B1632+1)</f>
        <v>#VALUE!</v>
      </c>
      <c r="K1632" s="65"/>
      <c r="L1632" s="750" t="s">
        <v>10</v>
      </c>
      <c r="M1632" s="752"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754">
        <f t="shared" ref="E1633" si="5052">D1632</f>
        <v>1</v>
      </c>
      <c r="F1633" s="92"/>
      <c r="G1633" s="756" t="s">
        <v>1</v>
      </c>
      <c r="H1633" s="759" t="e">
        <f>INDEX('BASE FORMAÇÃO'!C:C,B1632+1)</f>
        <v>#VALUE!</v>
      </c>
      <c r="I1633" s="759"/>
      <c r="J1633" s="760"/>
      <c r="K1633" s="66"/>
      <c r="L1633" s="751"/>
      <c r="M1633" s="753"/>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755"/>
      <c r="F1634" s="93"/>
      <c r="G1634" s="757"/>
      <c r="H1634" s="761"/>
      <c r="I1634" s="761"/>
      <c r="J1634" s="762"/>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758"/>
      <c r="H1635" s="763"/>
      <c r="I1635" s="763"/>
      <c r="J1635" s="764"/>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742" t="e">
        <f t="shared" ref="E1636" si="5056">C1632</f>
        <v>#VALUE!</v>
      </c>
      <c r="F1636" s="93"/>
      <c r="G1636" s="744" t="s">
        <v>304</v>
      </c>
      <c r="H1636" s="746"/>
      <c r="I1636" s="747"/>
      <c r="J1636" s="747"/>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743"/>
      <c r="F1637" s="93"/>
      <c r="G1637" s="745"/>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743"/>
      <c r="F1638" s="93"/>
      <c r="G1638" s="745"/>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743"/>
      <c r="F1639" s="93"/>
      <c r="G1639" s="745"/>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743"/>
      <c r="F1640" s="93"/>
      <c r="G1640" s="745"/>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743"/>
      <c r="F1641" s="93"/>
      <c r="G1641" s="745"/>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743"/>
      <c r="F1642" s="93"/>
      <c r="G1642" s="745"/>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743"/>
      <c r="F1643" s="93"/>
      <c r="G1643" s="745"/>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743"/>
      <c r="F1644" s="93"/>
      <c r="G1644" s="745"/>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743"/>
      <c r="F1645" s="93"/>
      <c r="G1645" s="745"/>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743"/>
      <c r="F1646" s="93"/>
      <c r="G1646" s="745"/>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743"/>
      <c r="F1647" s="93"/>
      <c r="G1647" s="745"/>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743"/>
      <c r="F1648" s="93"/>
      <c r="G1648" s="745"/>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743"/>
      <c r="F1649" s="93"/>
      <c r="G1649" s="745"/>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743"/>
      <c r="F1650" s="93"/>
      <c r="G1650" s="745"/>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743"/>
      <c r="F1651" s="136"/>
      <c r="G1651" s="745"/>
      <c r="H1651" s="748"/>
      <c r="I1651" s="748"/>
      <c r="J1651" s="749"/>
      <c r="K1651" s="67"/>
      <c r="L1651" s="1" t="s">
        <v>43</v>
      </c>
      <c r="M1651" s="144"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43" t="s">
        <v>16</v>
      </c>
      <c r="J1653" s="6" t="e">
        <f>INDEX('BASE FORMAÇÃO'!K:K,B1653+1)</f>
        <v>#VALUE!</v>
      </c>
      <c r="K1653" s="65"/>
      <c r="L1653" s="750" t="s">
        <v>10</v>
      </c>
      <c r="M1653" s="752"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754">
        <f t="shared" ref="E1654" si="5118">D1653</f>
        <v>1</v>
      </c>
      <c r="F1654" s="92"/>
      <c r="G1654" s="756" t="s">
        <v>1</v>
      </c>
      <c r="H1654" s="759" t="e">
        <f>INDEX('BASE FORMAÇÃO'!C:C,B1653+1)</f>
        <v>#VALUE!</v>
      </c>
      <c r="I1654" s="759"/>
      <c r="J1654" s="760"/>
      <c r="K1654" s="66"/>
      <c r="L1654" s="751"/>
      <c r="M1654" s="753"/>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755"/>
      <c r="F1655" s="93"/>
      <c r="G1655" s="757"/>
      <c r="H1655" s="761"/>
      <c r="I1655" s="761"/>
      <c r="J1655" s="762"/>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758"/>
      <c r="H1656" s="763"/>
      <c r="I1656" s="763"/>
      <c r="J1656" s="764"/>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742" t="e">
        <f t="shared" ref="E1657" si="5122">C1653</f>
        <v>#VALUE!</v>
      </c>
      <c r="F1657" s="93"/>
      <c r="G1657" s="744" t="s">
        <v>304</v>
      </c>
      <c r="H1657" s="746"/>
      <c r="I1657" s="747"/>
      <c r="J1657" s="747"/>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743"/>
      <c r="F1658" s="93"/>
      <c r="G1658" s="745"/>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743"/>
      <c r="F1659" s="93"/>
      <c r="G1659" s="745"/>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743"/>
      <c r="F1660" s="93"/>
      <c r="G1660" s="745"/>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743"/>
      <c r="F1661" s="93"/>
      <c r="G1661" s="745"/>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743"/>
      <c r="F1662" s="93"/>
      <c r="G1662" s="745"/>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743"/>
      <c r="F1663" s="93"/>
      <c r="G1663" s="745"/>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743"/>
      <c r="F1664" s="93"/>
      <c r="G1664" s="745"/>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743"/>
      <c r="F1665" s="93"/>
      <c r="G1665" s="745"/>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743"/>
      <c r="F1666" s="93"/>
      <c r="G1666" s="745"/>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743"/>
      <c r="F1667" s="93"/>
      <c r="G1667" s="745"/>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743"/>
      <c r="F1668" s="93"/>
      <c r="G1668" s="745"/>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743"/>
      <c r="F1669" s="93"/>
      <c r="G1669" s="745"/>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743"/>
      <c r="F1670" s="93"/>
      <c r="G1670" s="745"/>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743"/>
      <c r="F1671" s="93"/>
      <c r="G1671" s="745"/>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743"/>
      <c r="F1672" s="136"/>
      <c r="G1672" s="745"/>
      <c r="H1672" s="748"/>
      <c r="I1672" s="748"/>
      <c r="J1672" s="749"/>
      <c r="K1672" s="67"/>
      <c r="L1672" s="1" t="s">
        <v>43</v>
      </c>
      <c r="M1672" s="144"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43" t="s">
        <v>16</v>
      </c>
      <c r="J1674" s="6" t="e">
        <f>INDEX('BASE FORMAÇÃO'!K:K,B1674+1)</f>
        <v>#VALUE!</v>
      </c>
      <c r="K1674" s="65"/>
      <c r="L1674" s="750" t="s">
        <v>10</v>
      </c>
      <c r="M1674" s="752"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754">
        <f t="shared" ref="E1675" si="5184">D1674</f>
        <v>1</v>
      </c>
      <c r="F1675" s="92"/>
      <c r="G1675" s="756" t="s">
        <v>1</v>
      </c>
      <c r="H1675" s="759" t="e">
        <f>INDEX('BASE FORMAÇÃO'!C:C,B1674+1)</f>
        <v>#VALUE!</v>
      </c>
      <c r="I1675" s="759"/>
      <c r="J1675" s="760"/>
      <c r="K1675" s="66"/>
      <c r="L1675" s="751"/>
      <c r="M1675" s="753"/>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755"/>
      <c r="F1676" s="93"/>
      <c r="G1676" s="757"/>
      <c r="H1676" s="761"/>
      <c r="I1676" s="761"/>
      <c r="J1676" s="762"/>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758"/>
      <c r="H1677" s="763"/>
      <c r="I1677" s="763"/>
      <c r="J1677" s="764"/>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742" t="e">
        <f t="shared" ref="E1678" si="5188">C1674</f>
        <v>#VALUE!</v>
      </c>
      <c r="F1678" s="93"/>
      <c r="G1678" s="744" t="s">
        <v>304</v>
      </c>
      <c r="H1678" s="746"/>
      <c r="I1678" s="747"/>
      <c r="J1678" s="747"/>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743"/>
      <c r="F1679" s="93"/>
      <c r="G1679" s="745"/>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743"/>
      <c r="F1680" s="93"/>
      <c r="G1680" s="745"/>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743"/>
      <c r="F1681" s="93"/>
      <c r="G1681" s="745"/>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743"/>
      <c r="F1682" s="93"/>
      <c r="G1682" s="745"/>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743"/>
      <c r="F1683" s="93"/>
      <c r="G1683" s="745"/>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743"/>
      <c r="F1684" s="93"/>
      <c r="G1684" s="745"/>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743"/>
      <c r="F1685" s="93"/>
      <c r="G1685" s="745"/>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743"/>
      <c r="F1686" s="93"/>
      <c r="G1686" s="745"/>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743"/>
      <c r="F1687" s="93"/>
      <c r="G1687" s="745"/>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743"/>
      <c r="F1688" s="93"/>
      <c r="G1688" s="745"/>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743"/>
      <c r="F1689" s="93"/>
      <c r="G1689" s="745"/>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743"/>
      <c r="F1690" s="93"/>
      <c r="G1690" s="745"/>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743"/>
      <c r="F1691" s="93"/>
      <c r="G1691" s="745"/>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743"/>
      <c r="F1692" s="93"/>
      <c r="G1692" s="745"/>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743"/>
      <c r="F1693" s="136"/>
      <c r="G1693" s="745"/>
      <c r="H1693" s="748"/>
      <c r="I1693" s="748"/>
      <c r="J1693" s="749"/>
      <c r="K1693" s="67"/>
      <c r="L1693" s="1" t="s">
        <v>43</v>
      </c>
      <c r="M1693" s="144"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43" t="s">
        <v>16</v>
      </c>
      <c r="J1695" s="6" t="e">
        <f>INDEX('BASE FORMAÇÃO'!K:K,B1695+1)</f>
        <v>#VALUE!</v>
      </c>
      <c r="K1695" s="65"/>
      <c r="L1695" s="750" t="s">
        <v>10</v>
      </c>
      <c r="M1695" s="752"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754">
        <f t="shared" ref="E1696" si="5250">D1695</f>
        <v>1</v>
      </c>
      <c r="F1696" s="92"/>
      <c r="G1696" s="756" t="s">
        <v>1</v>
      </c>
      <c r="H1696" s="759" t="e">
        <f>INDEX('BASE FORMAÇÃO'!C:C,B1695+1)</f>
        <v>#VALUE!</v>
      </c>
      <c r="I1696" s="759"/>
      <c r="J1696" s="760"/>
      <c r="K1696" s="66"/>
      <c r="L1696" s="751"/>
      <c r="M1696" s="753"/>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755"/>
      <c r="F1697" s="93"/>
      <c r="G1697" s="757"/>
      <c r="H1697" s="761"/>
      <c r="I1697" s="761"/>
      <c r="J1697" s="762"/>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758"/>
      <c r="H1698" s="763"/>
      <c r="I1698" s="763"/>
      <c r="J1698" s="764"/>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742" t="e">
        <f t="shared" ref="E1699" si="5254">C1695</f>
        <v>#VALUE!</v>
      </c>
      <c r="F1699" s="93"/>
      <c r="G1699" s="744" t="s">
        <v>304</v>
      </c>
      <c r="H1699" s="746"/>
      <c r="I1699" s="747"/>
      <c r="J1699" s="747"/>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743"/>
      <c r="F1700" s="93"/>
      <c r="G1700" s="745"/>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743"/>
      <c r="F1701" s="93"/>
      <c r="G1701" s="745"/>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743"/>
      <c r="F1702" s="93"/>
      <c r="G1702" s="745"/>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743"/>
      <c r="F1703" s="93"/>
      <c r="G1703" s="745"/>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743"/>
      <c r="F1704" s="93"/>
      <c r="G1704" s="745"/>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743"/>
      <c r="F1705" s="93"/>
      <c r="G1705" s="745"/>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743"/>
      <c r="F1706" s="93"/>
      <c r="G1706" s="745"/>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743"/>
      <c r="F1707" s="93"/>
      <c r="G1707" s="745"/>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743"/>
      <c r="F1708" s="93"/>
      <c r="G1708" s="745"/>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743"/>
      <c r="F1709" s="93"/>
      <c r="G1709" s="745"/>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743"/>
      <c r="F1710" s="93"/>
      <c r="G1710" s="745"/>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743"/>
      <c r="F1711" s="93"/>
      <c r="G1711" s="745"/>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743"/>
      <c r="F1712" s="93"/>
      <c r="G1712" s="745"/>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743"/>
      <c r="F1713" s="93"/>
      <c r="G1713" s="745"/>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743"/>
      <c r="F1714" s="136"/>
      <c r="G1714" s="745"/>
      <c r="H1714" s="748"/>
      <c r="I1714" s="748"/>
      <c r="J1714" s="749"/>
      <c r="K1714" s="67"/>
      <c r="L1714" s="1" t="s">
        <v>43</v>
      </c>
      <c r="M1714" s="144"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43" t="s">
        <v>16</v>
      </c>
      <c r="J1716" s="6" t="e">
        <f>INDEX('BASE FORMAÇÃO'!K:K,B1716+1)</f>
        <v>#VALUE!</v>
      </c>
      <c r="K1716" s="65"/>
      <c r="L1716" s="750" t="s">
        <v>10</v>
      </c>
      <c r="M1716" s="752"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754">
        <f t="shared" ref="E1717" si="5316">D1716</f>
        <v>1</v>
      </c>
      <c r="F1717" s="92"/>
      <c r="G1717" s="756" t="s">
        <v>1</v>
      </c>
      <c r="H1717" s="759" t="e">
        <f>INDEX('BASE FORMAÇÃO'!C:C,B1716+1)</f>
        <v>#VALUE!</v>
      </c>
      <c r="I1717" s="759"/>
      <c r="J1717" s="760"/>
      <c r="K1717" s="66"/>
      <c r="L1717" s="751"/>
      <c r="M1717" s="753"/>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755"/>
      <c r="F1718" s="93"/>
      <c r="G1718" s="757"/>
      <c r="H1718" s="761"/>
      <c r="I1718" s="761"/>
      <c r="J1718" s="762"/>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758"/>
      <c r="H1719" s="763"/>
      <c r="I1719" s="763"/>
      <c r="J1719" s="764"/>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742" t="e">
        <f t="shared" ref="E1720" si="5320">C1716</f>
        <v>#VALUE!</v>
      </c>
      <c r="F1720" s="93"/>
      <c r="G1720" s="744" t="s">
        <v>304</v>
      </c>
      <c r="H1720" s="746"/>
      <c r="I1720" s="747"/>
      <c r="J1720" s="747"/>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743"/>
      <c r="F1721" s="93"/>
      <c r="G1721" s="745"/>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743"/>
      <c r="F1722" s="93"/>
      <c r="G1722" s="745"/>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743"/>
      <c r="F1723" s="93"/>
      <c r="G1723" s="745"/>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743"/>
      <c r="F1724" s="93"/>
      <c r="G1724" s="745"/>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743"/>
      <c r="F1725" s="93"/>
      <c r="G1725" s="745"/>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743"/>
      <c r="F1726" s="93"/>
      <c r="G1726" s="745"/>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743"/>
      <c r="F1727" s="93"/>
      <c r="G1727" s="745"/>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743"/>
      <c r="F1728" s="93"/>
      <c r="G1728" s="745"/>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743"/>
      <c r="F1729" s="93"/>
      <c r="G1729" s="745"/>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743"/>
      <c r="F1730" s="93"/>
      <c r="G1730" s="745"/>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743"/>
      <c r="F1731" s="93"/>
      <c r="G1731" s="745"/>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743"/>
      <c r="F1732" s="93"/>
      <c r="G1732" s="745"/>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743"/>
      <c r="F1733" s="93"/>
      <c r="G1733" s="745"/>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743"/>
      <c r="F1734" s="93"/>
      <c r="G1734" s="745"/>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743"/>
      <c r="F1735" s="136"/>
      <c r="G1735" s="745"/>
      <c r="H1735" s="748"/>
      <c r="I1735" s="748"/>
      <c r="J1735" s="749"/>
      <c r="K1735" s="67"/>
      <c r="L1735" s="1" t="s">
        <v>43</v>
      </c>
      <c r="M1735" s="144"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43" t="s">
        <v>16</v>
      </c>
      <c r="J1737" s="6" t="e">
        <f>INDEX('BASE FORMAÇÃO'!K:K,B1737+1)</f>
        <v>#VALUE!</v>
      </c>
      <c r="K1737" s="65"/>
      <c r="L1737" s="750" t="s">
        <v>10</v>
      </c>
      <c r="M1737" s="752"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754">
        <f t="shared" ref="E1738" si="5382">D1737</f>
        <v>1</v>
      </c>
      <c r="F1738" s="92"/>
      <c r="G1738" s="756" t="s">
        <v>1</v>
      </c>
      <c r="H1738" s="759" t="e">
        <f>INDEX('BASE FORMAÇÃO'!C:C,B1737+1)</f>
        <v>#VALUE!</v>
      </c>
      <c r="I1738" s="759"/>
      <c r="J1738" s="760"/>
      <c r="K1738" s="66"/>
      <c r="L1738" s="751"/>
      <c r="M1738" s="753"/>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755"/>
      <c r="F1739" s="93"/>
      <c r="G1739" s="757"/>
      <c r="H1739" s="761"/>
      <c r="I1739" s="761"/>
      <c r="J1739" s="762"/>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758"/>
      <c r="H1740" s="763"/>
      <c r="I1740" s="763"/>
      <c r="J1740" s="764"/>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742" t="e">
        <f t="shared" ref="E1741" si="5386">C1737</f>
        <v>#VALUE!</v>
      </c>
      <c r="F1741" s="93"/>
      <c r="G1741" s="744" t="s">
        <v>304</v>
      </c>
      <c r="H1741" s="746"/>
      <c r="I1741" s="747"/>
      <c r="J1741" s="747"/>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743"/>
      <c r="F1742" s="93"/>
      <c r="G1742" s="745"/>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743"/>
      <c r="F1743" s="93"/>
      <c r="G1743" s="745"/>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743"/>
      <c r="F1744" s="93"/>
      <c r="G1744" s="745"/>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743"/>
      <c r="F1745" s="93"/>
      <c r="G1745" s="745"/>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743"/>
      <c r="F1746" s="93"/>
      <c r="G1746" s="745"/>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743"/>
      <c r="F1747" s="93"/>
      <c r="G1747" s="745"/>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743"/>
      <c r="F1748" s="93"/>
      <c r="G1748" s="745"/>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743"/>
      <c r="F1749" s="93"/>
      <c r="G1749" s="745"/>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743"/>
      <c r="F1750" s="93"/>
      <c r="G1750" s="745"/>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743"/>
      <c r="F1751" s="93"/>
      <c r="G1751" s="745"/>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743"/>
      <c r="F1752" s="93"/>
      <c r="G1752" s="745"/>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743"/>
      <c r="F1753" s="93"/>
      <c r="G1753" s="745"/>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743"/>
      <c r="F1754" s="93"/>
      <c r="G1754" s="745"/>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743"/>
      <c r="F1755" s="93"/>
      <c r="G1755" s="745"/>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743"/>
      <c r="F1756" s="136"/>
      <c r="G1756" s="745"/>
      <c r="H1756" s="748"/>
      <c r="I1756" s="748"/>
      <c r="J1756" s="749"/>
      <c r="K1756" s="67"/>
      <c r="L1756" s="1" t="s">
        <v>43</v>
      </c>
      <c r="M1756" s="144"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43" t="s">
        <v>16</v>
      </c>
      <c r="J1758" s="6" t="e">
        <f>INDEX('BASE FORMAÇÃO'!K:K,B1758+1)</f>
        <v>#VALUE!</v>
      </c>
      <c r="K1758" s="65"/>
      <c r="L1758" s="750" t="s">
        <v>10</v>
      </c>
      <c r="M1758" s="752"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754">
        <f t="shared" ref="E1759" si="5448">D1758</f>
        <v>1</v>
      </c>
      <c r="F1759" s="92"/>
      <c r="G1759" s="756" t="s">
        <v>1</v>
      </c>
      <c r="H1759" s="759" t="e">
        <f>INDEX('BASE FORMAÇÃO'!C:C,B1758+1)</f>
        <v>#VALUE!</v>
      </c>
      <c r="I1759" s="759"/>
      <c r="J1759" s="760"/>
      <c r="K1759" s="66"/>
      <c r="L1759" s="751"/>
      <c r="M1759" s="753"/>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755"/>
      <c r="F1760" s="93"/>
      <c r="G1760" s="757"/>
      <c r="H1760" s="761"/>
      <c r="I1760" s="761"/>
      <c r="J1760" s="762"/>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758"/>
      <c r="H1761" s="763"/>
      <c r="I1761" s="763"/>
      <c r="J1761" s="764"/>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742" t="e">
        <f t="shared" ref="E1762" si="5452">C1758</f>
        <v>#VALUE!</v>
      </c>
      <c r="F1762" s="93"/>
      <c r="G1762" s="744" t="s">
        <v>304</v>
      </c>
      <c r="H1762" s="746"/>
      <c r="I1762" s="747"/>
      <c r="J1762" s="747"/>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743"/>
      <c r="F1763" s="93"/>
      <c r="G1763" s="745"/>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743"/>
      <c r="F1764" s="93"/>
      <c r="G1764" s="745"/>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743"/>
      <c r="F1765" s="93"/>
      <c r="G1765" s="745"/>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743"/>
      <c r="F1766" s="93"/>
      <c r="G1766" s="745"/>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743"/>
      <c r="F1767" s="93"/>
      <c r="G1767" s="745"/>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743"/>
      <c r="F1768" s="93"/>
      <c r="G1768" s="745"/>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743"/>
      <c r="F1769" s="93"/>
      <c r="G1769" s="745"/>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743"/>
      <c r="F1770" s="93"/>
      <c r="G1770" s="745"/>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743"/>
      <c r="F1771" s="93"/>
      <c r="G1771" s="745"/>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743"/>
      <c r="F1772" s="93"/>
      <c r="G1772" s="745"/>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743"/>
      <c r="F1773" s="93"/>
      <c r="G1773" s="745"/>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743"/>
      <c r="F1774" s="93"/>
      <c r="G1774" s="745"/>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743"/>
      <c r="F1775" s="93"/>
      <c r="G1775" s="745"/>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743"/>
      <c r="F1776" s="93"/>
      <c r="G1776" s="745"/>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743"/>
      <c r="F1777" s="136"/>
      <c r="G1777" s="745"/>
      <c r="H1777" s="748"/>
      <c r="I1777" s="748"/>
      <c r="J1777" s="749"/>
      <c r="K1777" s="67"/>
      <c r="L1777" s="1" t="s">
        <v>43</v>
      </c>
      <c r="M1777" s="144"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43" t="s">
        <v>16</v>
      </c>
      <c r="J1779" s="6" t="e">
        <f>INDEX('BASE FORMAÇÃO'!K:K,B1779+1)</f>
        <v>#VALUE!</v>
      </c>
      <c r="K1779" s="65"/>
      <c r="L1779" s="750" t="s">
        <v>10</v>
      </c>
      <c r="M1779" s="752"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754">
        <f t="shared" ref="E1780" si="5514">D1779</f>
        <v>1</v>
      </c>
      <c r="F1780" s="92"/>
      <c r="G1780" s="756" t="s">
        <v>1</v>
      </c>
      <c r="H1780" s="759" t="e">
        <f>INDEX('BASE FORMAÇÃO'!C:C,B1779+1)</f>
        <v>#VALUE!</v>
      </c>
      <c r="I1780" s="759"/>
      <c r="J1780" s="760"/>
      <c r="K1780" s="66"/>
      <c r="L1780" s="751"/>
      <c r="M1780" s="753"/>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755"/>
      <c r="F1781" s="93"/>
      <c r="G1781" s="757"/>
      <c r="H1781" s="761"/>
      <c r="I1781" s="761"/>
      <c r="J1781" s="762"/>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758"/>
      <c r="H1782" s="763"/>
      <c r="I1782" s="763"/>
      <c r="J1782" s="764"/>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742" t="e">
        <f t="shared" ref="E1783" si="5518">C1779</f>
        <v>#VALUE!</v>
      </c>
      <c r="F1783" s="93"/>
      <c r="G1783" s="744" t="s">
        <v>304</v>
      </c>
      <c r="H1783" s="746"/>
      <c r="I1783" s="747"/>
      <c r="J1783" s="747"/>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743"/>
      <c r="F1784" s="93"/>
      <c r="G1784" s="745"/>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743"/>
      <c r="F1785" s="93"/>
      <c r="G1785" s="745"/>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743"/>
      <c r="F1786" s="93"/>
      <c r="G1786" s="745"/>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743"/>
      <c r="F1787" s="93"/>
      <c r="G1787" s="745"/>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743"/>
      <c r="F1788" s="93"/>
      <c r="G1788" s="745"/>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743"/>
      <c r="F1789" s="93"/>
      <c r="G1789" s="745"/>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743"/>
      <c r="F1790" s="93"/>
      <c r="G1790" s="745"/>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743"/>
      <c r="F1791" s="93"/>
      <c r="G1791" s="745"/>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743"/>
      <c r="F1792" s="93"/>
      <c r="G1792" s="745"/>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743"/>
      <c r="F1793" s="93"/>
      <c r="G1793" s="745"/>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743"/>
      <c r="F1794" s="93"/>
      <c r="G1794" s="745"/>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743"/>
      <c r="F1795" s="93"/>
      <c r="G1795" s="745"/>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743"/>
      <c r="F1796" s="93"/>
      <c r="G1796" s="745"/>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743"/>
      <c r="F1797" s="93"/>
      <c r="G1797" s="745"/>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743"/>
      <c r="F1798" s="136"/>
      <c r="G1798" s="745"/>
      <c r="H1798" s="748"/>
      <c r="I1798" s="748"/>
      <c r="J1798" s="749"/>
      <c r="K1798" s="67"/>
      <c r="L1798" s="1" t="s">
        <v>43</v>
      </c>
      <c r="M1798" s="144"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43" t="s">
        <v>16</v>
      </c>
      <c r="J1800" s="6" t="e">
        <f>INDEX('BASE FORMAÇÃO'!K:K,B1800+1)</f>
        <v>#VALUE!</v>
      </c>
      <c r="K1800" s="65"/>
      <c r="L1800" s="750" t="s">
        <v>10</v>
      </c>
      <c r="M1800" s="752"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754">
        <f t="shared" ref="E1801" si="5580">D1800</f>
        <v>1</v>
      </c>
      <c r="F1801" s="92"/>
      <c r="G1801" s="756" t="s">
        <v>1</v>
      </c>
      <c r="H1801" s="759" t="e">
        <f>INDEX('BASE FORMAÇÃO'!C:C,B1800+1)</f>
        <v>#VALUE!</v>
      </c>
      <c r="I1801" s="759"/>
      <c r="J1801" s="760"/>
      <c r="K1801" s="66"/>
      <c r="L1801" s="751"/>
      <c r="M1801" s="753"/>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755"/>
      <c r="F1802" s="93"/>
      <c r="G1802" s="757"/>
      <c r="H1802" s="761"/>
      <c r="I1802" s="761"/>
      <c r="J1802" s="762"/>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758"/>
      <c r="H1803" s="763"/>
      <c r="I1803" s="763"/>
      <c r="J1803" s="764"/>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742" t="e">
        <f t="shared" ref="E1804" si="5584">C1800</f>
        <v>#VALUE!</v>
      </c>
      <c r="F1804" s="93"/>
      <c r="G1804" s="744" t="s">
        <v>304</v>
      </c>
      <c r="H1804" s="746"/>
      <c r="I1804" s="747"/>
      <c r="J1804" s="747"/>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743"/>
      <c r="F1805" s="93"/>
      <c r="G1805" s="745"/>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743"/>
      <c r="F1806" s="93"/>
      <c r="G1806" s="745"/>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743"/>
      <c r="F1807" s="93"/>
      <c r="G1807" s="745"/>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743"/>
      <c r="F1808" s="93"/>
      <c r="G1808" s="745"/>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743"/>
      <c r="F1809" s="93"/>
      <c r="G1809" s="745"/>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743"/>
      <c r="F1810" s="93"/>
      <c r="G1810" s="745"/>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743"/>
      <c r="F1811" s="93"/>
      <c r="G1811" s="745"/>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743"/>
      <c r="F1812" s="93"/>
      <c r="G1812" s="745"/>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743"/>
      <c r="F1813" s="93"/>
      <c r="G1813" s="745"/>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743"/>
      <c r="F1814" s="93"/>
      <c r="G1814" s="745"/>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743"/>
      <c r="F1815" s="93"/>
      <c r="G1815" s="745"/>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743"/>
      <c r="F1816" s="93"/>
      <c r="G1816" s="745"/>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743"/>
      <c r="F1817" s="93"/>
      <c r="G1817" s="745"/>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743"/>
      <c r="F1818" s="93"/>
      <c r="G1818" s="745"/>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743"/>
      <c r="F1819" s="136"/>
      <c r="G1819" s="745"/>
      <c r="H1819" s="748"/>
      <c r="I1819" s="748"/>
      <c r="J1819" s="749"/>
      <c r="K1819" s="67"/>
      <c r="L1819" s="1" t="s">
        <v>43</v>
      </c>
      <c r="M1819" s="144"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43" t="s">
        <v>16</v>
      </c>
      <c r="J1821" s="6" t="e">
        <f>INDEX('BASE FORMAÇÃO'!K:K,B1821+1)</f>
        <v>#VALUE!</v>
      </c>
      <c r="K1821" s="65"/>
      <c r="L1821" s="750" t="s">
        <v>10</v>
      </c>
      <c r="M1821" s="752"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754">
        <f t="shared" ref="E1822" si="5646">D1821</f>
        <v>1</v>
      </c>
      <c r="F1822" s="92"/>
      <c r="G1822" s="756" t="s">
        <v>1</v>
      </c>
      <c r="H1822" s="759" t="e">
        <f>INDEX('BASE FORMAÇÃO'!C:C,B1821+1)</f>
        <v>#VALUE!</v>
      </c>
      <c r="I1822" s="759"/>
      <c r="J1822" s="760"/>
      <c r="K1822" s="66"/>
      <c r="L1822" s="751"/>
      <c r="M1822" s="753"/>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755"/>
      <c r="F1823" s="93"/>
      <c r="G1823" s="757"/>
      <c r="H1823" s="761"/>
      <c r="I1823" s="761"/>
      <c r="J1823" s="762"/>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758"/>
      <c r="H1824" s="763"/>
      <c r="I1824" s="763"/>
      <c r="J1824" s="764"/>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742" t="e">
        <f t="shared" ref="E1825" si="5650">C1821</f>
        <v>#VALUE!</v>
      </c>
      <c r="F1825" s="93"/>
      <c r="G1825" s="744" t="s">
        <v>304</v>
      </c>
      <c r="H1825" s="746"/>
      <c r="I1825" s="747"/>
      <c r="J1825" s="747"/>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743"/>
      <c r="F1826" s="93"/>
      <c r="G1826" s="745"/>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743"/>
      <c r="F1827" s="93"/>
      <c r="G1827" s="745"/>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743"/>
      <c r="F1828" s="93"/>
      <c r="G1828" s="745"/>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743"/>
      <c r="F1829" s="93"/>
      <c r="G1829" s="745"/>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743"/>
      <c r="F1830" s="93"/>
      <c r="G1830" s="745"/>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743"/>
      <c r="F1831" s="93"/>
      <c r="G1831" s="745"/>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743"/>
      <c r="F1832" s="93"/>
      <c r="G1832" s="745"/>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743"/>
      <c r="F1833" s="93"/>
      <c r="G1833" s="745"/>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743"/>
      <c r="F1834" s="93"/>
      <c r="G1834" s="745"/>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743"/>
      <c r="F1835" s="93"/>
      <c r="G1835" s="745"/>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743"/>
      <c r="F1836" s="93"/>
      <c r="G1836" s="745"/>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743"/>
      <c r="F1837" s="93"/>
      <c r="G1837" s="745"/>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743"/>
      <c r="F1838" s="93"/>
      <c r="G1838" s="745"/>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743"/>
      <c r="F1839" s="93"/>
      <c r="G1839" s="745"/>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743"/>
      <c r="F1840" s="136"/>
      <c r="G1840" s="745"/>
      <c r="H1840" s="748"/>
      <c r="I1840" s="748"/>
      <c r="J1840" s="749"/>
      <c r="K1840" s="67"/>
      <c r="L1840" s="1" t="s">
        <v>43</v>
      </c>
      <c r="M1840" s="144"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43" t="s">
        <v>16</v>
      </c>
      <c r="J1842" s="6" t="e">
        <f>INDEX('BASE FORMAÇÃO'!K:K,B1842+1)</f>
        <v>#VALUE!</v>
      </c>
      <c r="K1842" s="65"/>
      <c r="L1842" s="750" t="s">
        <v>10</v>
      </c>
      <c r="M1842" s="752"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754">
        <f t="shared" ref="E1843" si="5712">D1842</f>
        <v>1</v>
      </c>
      <c r="F1843" s="92"/>
      <c r="G1843" s="756" t="s">
        <v>1</v>
      </c>
      <c r="H1843" s="759" t="e">
        <f>INDEX('BASE FORMAÇÃO'!C:C,B1842+1)</f>
        <v>#VALUE!</v>
      </c>
      <c r="I1843" s="759"/>
      <c r="J1843" s="760"/>
      <c r="K1843" s="66"/>
      <c r="L1843" s="751"/>
      <c r="M1843" s="753"/>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755"/>
      <c r="F1844" s="93"/>
      <c r="G1844" s="757"/>
      <c r="H1844" s="761"/>
      <c r="I1844" s="761"/>
      <c r="J1844" s="762"/>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758"/>
      <c r="H1845" s="763"/>
      <c r="I1845" s="763"/>
      <c r="J1845" s="764"/>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742" t="e">
        <f t="shared" ref="E1846" si="5716">C1842</f>
        <v>#VALUE!</v>
      </c>
      <c r="F1846" s="93"/>
      <c r="G1846" s="744" t="s">
        <v>304</v>
      </c>
      <c r="H1846" s="746"/>
      <c r="I1846" s="747"/>
      <c r="J1846" s="747"/>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743"/>
      <c r="F1847" s="93"/>
      <c r="G1847" s="745"/>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743"/>
      <c r="F1848" s="93"/>
      <c r="G1848" s="745"/>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743"/>
      <c r="F1849" s="93"/>
      <c r="G1849" s="745"/>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743"/>
      <c r="F1850" s="93"/>
      <c r="G1850" s="745"/>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743"/>
      <c r="F1851" s="93"/>
      <c r="G1851" s="745"/>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743"/>
      <c r="F1852" s="93"/>
      <c r="G1852" s="745"/>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743"/>
      <c r="F1853" s="93"/>
      <c r="G1853" s="745"/>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743"/>
      <c r="F1854" s="93"/>
      <c r="G1854" s="745"/>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743"/>
      <c r="F1855" s="93"/>
      <c r="G1855" s="745"/>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743"/>
      <c r="F1856" s="93"/>
      <c r="G1856" s="745"/>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743"/>
      <c r="F1857" s="93"/>
      <c r="G1857" s="745"/>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743"/>
      <c r="F1858" s="93"/>
      <c r="G1858" s="745"/>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743"/>
      <c r="F1859" s="93"/>
      <c r="G1859" s="745"/>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743"/>
      <c r="F1860" s="93"/>
      <c r="G1860" s="745"/>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743"/>
      <c r="F1861" s="136"/>
      <c r="G1861" s="745"/>
      <c r="H1861" s="748"/>
      <c r="I1861" s="748"/>
      <c r="J1861" s="749"/>
      <c r="K1861" s="67"/>
      <c r="L1861" s="1" t="s">
        <v>43</v>
      </c>
      <c r="M1861" s="144"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43" t="s">
        <v>16</v>
      </c>
      <c r="J1863" s="6" t="e">
        <f>INDEX('BASE FORMAÇÃO'!K:K,B1863+1)</f>
        <v>#VALUE!</v>
      </c>
      <c r="K1863" s="65"/>
      <c r="L1863" s="750" t="s">
        <v>10</v>
      </c>
      <c r="M1863" s="752"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754">
        <f t="shared" ref="E1864" si="5778">D1863</f>
        <v>1</v>
      </c>
      <c r="F1864" s="92"/>
      <c r="G1864" s="756" t="s">
        <v>1</v>
      </c>
      <c r="H1864" s="759" t="e">
        <f>INDEX('BASE FORMAÇÃO'!C:C,B1863+1)</f>
        <v>#VALUE!</v>
      </c>
      <c r="I1864" s="759"/>
      <c r="J1864" s="760"/>
      <c r="K1864" s="66"/>
      <c r="L1864" s="751"/>
      <c r="M1864" s="753"/>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755"/>
      <c r="F1865" s="93"/>
      <c r="G1865" s="757"/>
      <c r="H1865" s="761"/>
      <c r="I1865" s="761"/>
      <c r="J1865" s="762"/>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758"/>
      <c r="H1866" s="763"/>
      <c r="I1866" s="763"/>
      <c r="J1866" s="764"/>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742" t="e">
        <f t="shared" ref="E1867" si="5782">C1863</f>
        <v>#VALUE!</v>
      </c>
      <c r="F1867" s="93"/>
      <c r="G1867" s="744" t="s">
        <v>304</v>
      </c>
      <c r="H1867" s="746"/>
      <c r="I1867" s="747"/>
      <c r="J1867" s="747"/>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743"/>
      <c r="F1868" s="93"/>
      <c r="G1868" s="745"/>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743"/>
      <c r="F1869" s="93"/>
      <c r="G1869" s="745"/>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743"/>
      <c r="F1870" s="93"/>
      <c r="G1870" s="745"/>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743"/>
      <c r="F1871" s="93"/>
      <c r="G1871" s="745"/>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743"/>
      <c r="F1872" s="93"/>
      <c r="G1872" s="745"/>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743"/>
      <c r="F1873" s="93"/>
      <c r="G1873" s="745"/>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743"/>
      <c r="F1874" s="93"/>
      <c r="G1874" s="745"/>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743"/>
      <c r="F1875" s="93"/>
      <c r="G1875" s="745"/>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743"/>
      <c r="F1876" s="93"/>
      <c r="G1876" s="745"/>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743"/>
      <c r="F1877" s="93"/>
      <c r="G1877" s="745"/>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743"/>
      <c r="F1878" s="93"/>
      <c r="G1878" s="745"/>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743"/>
      <c r="F1879" s="93"/>
      <c r="G1879" s="745"/>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743"/>
      <c r="F1880" s="93"/>
      <c r="G1880" s="745"/>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743"/>
      <c r="F1881" s="93"/>
      <c r="G1881" s="745"/>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743"/>
      <c r="F1882" s="136"/>
      <c r="G1882" s="745"/>
      <c r="H1882" s="748"/>
      <c r="I1882" s="748"/>
      <c r="J1882" s="749"/>
      <c r="K1882" s="67"/>
      <c r="L1882" s="1" t="s">
        <v>43</v>
      </c>
      <c r="M1882" s="144"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43" t="s">
        <v>16</v>
      </c>
      <c r="J1884" s="6" t="e">
        <f>INDEX('BASE FORMAÇÃO'!K:K,B1884+1)</f>
        <v>#VALUE!</v>
      </c>
      <c r="K1884" s="65"/>
      <c r="L1884" s="750" t="s">
        <v>10</v>
      </c>
      <c r="M1884" s="752"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754">
        <f t="shared" ref="E1885" si="5844">D1884</f>
        <v>1</v>
      </c>
      <c r="F1885" s="92"/>
      <c r="G1885" s="756" t="s">
        <v>1</v>
      </c>
      <c r="H1885" s="759" t="e">
        <f>INDEX('BASE FORMAÇÃO'!C:C,B1884+1)</f>
        <v>#VALUE!</v>
      </c>
      <c r="I1885" s="759"/>
      <c r="J1885" s="760"/>
      <c r="K1885" s="66"/>
      <c r="L1885" s="751"/>
      <c r="M1885" s="753"/>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755"/>
      <c r="F1886" s="93"/>
      <c r="G1886" s="757"/>
      <c r="H1886" s="761"/>
      <c r="I1886" s="761"/>
      <c r="J1886" s="762"/>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758"/>
      <c r="H1887" s="763"/>
      <c r="I1887" s="763"/>
      <c r="J1887" s="764"/>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742" t="e">
        <f t="shared" ref="E1888" si="5848">C1884</f>
        <v>#VALUE!</v>
      </c>
      <c r="F1888" s="93"/>
      <c r="G1888" s="744" t="s">
        <v>304</v>
      </c>
      <c r="H1888" s="746"/>
      <c r="I1888" s="747"/>
      <c r="J1888" s="747"/>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743"/>
      <c r="F1889" s="93"/>
      <c r="G1889" s="745"/>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743"/>
      <c r="F1890" s="93"/>
      <c r="G1890" s="745"/>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743"/>
      <c r="F1891" s="93"/>
      <c r="G1891" s="745"/>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743"/>
      <c r="F1892" s="93"/>
      <c r="G1892" s="745"/>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743"/>
      <c r="F1893" s="93"/>
      <c r="G1893" s="745"/>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743"/>
      <c r="F1894" s="93"/>
      <c r="G1894" s="745"/>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743"/>
      <c r="F1895" s="93"/>
      <c r="G1895" s="745"/>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743"/>
      <c r="F1896" s="93"/>
      <c r="G1896" s="745"/>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743"/>
      <c r="F1897" s="93"/>
      <c r="G1897" s="745"/>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743"/>
      <c r="F1898" s="93"/>
      <c r="G1898" s="745"/>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743"/>
      <c r="F1899" s="93"/>
      <c r="G1899" s="745"/>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743"/>
      <c r="F1900" s="93"/>
      <c r="G1900" s="745"/>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743"/>
      <c r="F1901" s="93"/>
      <c r="G1901" s="745"/>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743"/>
      <c r="F1902" s="93"/>
      <c r="G1902" s="745"/>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743"/>
      <c r="F1903" s="136"/>
      <c r="G1903" s="745"/>
      <c r="H1903" s="748"/>
      <c r="I1903" s="748"/>
      <c r="J1903" s="749"/>
      <c r="K1903" s="67"/>
      <c r="L1903" s="1" t="s">
        <v>43</v>
      </c>
      <c r="M1903" s="144"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43" t="s">
        <v>16</v>
      </c>
      <c r="J1905" s="6" t="e">
        <f>INDEX('BASE FORMAÇÃO'!K:K,B1905+1)</f>
        <v>#VALUE!</v>
      </c>
      <c r="K1905" s="65"/>
      <c r="L1905" s="750" t="s">
        <v>10</v>
      </c>
      <c r="M1905" s="752"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754">
        <f t="shared" ref="E1906" si="5910">D1905</f>
        <v>1</v>
      </c>
      <c r="F1906" s="92"/>
      <c r="G1906" s="756" t="s">
        <v>1</v>
      </c>
      <c r="H1906" s="759" t="e">
        <f>INDEX('BASE FORMAÇÃO'!C:C,B1905+1)</f>
        <v>#VALUE!</v>
      </c>
      <c r="I1906" s="759"/>
      <c r="J1906" s="760"/>
      <c r="K1906" s="66"/>
      <c r="L1906" s="751"/>
      <c r="M1906" s="753"/>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755"/>
      <c r="F1907" s="93"/>
      <c r="G1907" s="757"/>
      <c r="H1907" s="761"/>
      <c r="I1907" s="761"/>
      <c r="J1907" s="762"/>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758"/>
      <c r="H1908" s="763"/>
      <c r="I1908" s="763"/>
      <c r="J1908" s="764"/>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742" t="e">
        <f t="shared" ref="E1909" si="5914">C1905</f>
        <v>#VALUE!</v>
      </c>
      <c r="F1909" s="93"/>
      <c r="G1909" s="744" t="s">
        <v>304</v>
      </c>
      <c r="H1909" s="746"/>
      <c r="I1909" s="747"/>
      <c r="J1909" s="747"/>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743"/>
      <c r="F1910" s="93"/>
      <c r="G1910" s="745"/>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743"/>
      <c r="F1911" s="93"/>
      <c r="G1911" s="745"/>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743"/>
      <c r="F1912" s="93"/>
      <c r="G1912" s="745"/>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743"/>
      <c r="F1913" s="93"/>
      <c r="G1913" s="745"/>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743"/>
      <c r="F1914" s="93"/>
      <c r="G1914" s="745"/>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743"/>
      <c r="F1915" s="93"/>
      <c r="G1915" s="745"/>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743"/>
      <c r="F1916" s="93"/>
      <c r="G1916" s="745"/>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743"/>
      <c r="F1917" s="93"/>
      <c r="G1917" s="745"/>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743"/>
      <c r="F1918" s="93"/>
      <c r="G1918" s="745"/>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743"/>
      <c r="F1919" s="93"/>
      <c r="G1919" s="745"/>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743"/>
      <c r="F1920" s="93"/>
      <c r="G1920" s="745"/>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743"/>
      <c r="F1921" s="93"/>
      <c r="G1921" s="745"/>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743"/>
      <c r="F1922" s="93"/>
      <c r="G1922" s="745"/>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743"/>
      <c r="F1923" s="93"/>
      <c r="G1923" s="745"/>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743"/>
      <c r="F1924" s="136"/>
      <c r="G1924" s="745"/>
      <c r="H1924" s="748"/>
      <c r="I1924" s="748"/>
      <c r="J1924" s="749"/>
      <c r="K1924" s="67"/>
      <c r="L1924" s="1" t="s">
        <v>43</v>
      </c>
      <c r="M1924" s="144"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43" t="s">
        <v>16</v>
      </c>
      <c r="J1926" s="6" t="e">
        <f>INDEX('BASE FORMAÇÃO'!K:K,B1926+1)</f>
        <v>#VALUE!</v>
      </c>
      <c r="K1926" s="65"/>
      <c r="L1926" s="750" t="s">
        <v>10</v>
      </c>
      <c r="M1926" s="752"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754">
        <f t="shared" ref="E1927" si="5976">D1926</f>
        <v>1</v>
      </c>
      <c r="F1927" s="92"/>
      <c r="G1927" s="756" t="s">
        <v>1</v>
      </c>
      <c r="H1927" s="759" t="e">
        <f>INDEX('BASE FORMAÇÃO'!C:C,B1926+1)</f>
        <v>#VALUE!</v>
      </c>
      <c r="I1927" s="759"/>
      <c r="J1927" s="760"/>
      <c r="K1927" s="66"/>
      <c r="L1927" s="751"/>
      <c r="M1927" s="753"/>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755"/>
      <c r="F1928" s="93"/>
      <c r="G1928" s="757"/>
      <c r="H1928" s="761"/>
      <c r="I1928" s="761"/>
      <c r="J1928" s="762"/>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758"/>
      <c r="H1929" s="763"/>
      <c r="I1929" s="763"/>
      <c r="J1929" s="764"/>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742" t="e">
        <f t="shared" ref="E1930" si="5980">C1926</f>
        <v>#VALUE!</v>
      </c>
      <c r="F1930" s="93"/>
      <c r="G1930" s="744" t="s">
        <v>304</v>
      </c>
      <c r="H1930" s="746"/>
      <c r="I1930" s="747"/>
      <c r="J1930" s="747"/>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743"/>
      <c r="F1931" s="93"/>
      <c r="G1931" s="745"/>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743"/>
      <c r="F1932" s="93"/>
      <c r="G1932" s="745"/>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D1965" si="5989">B1932</f>
        <v>#VALUE!</v>
      </c>
      <c r="C1933" s="128" t="e">
        <f t="shared" ref="C1933:D1964" si="5990">C1932</f>
        <v>#VALUE!</v>
      </c>
      <c r="D1933" s="127">
        <f t="shared" si="5792"/>
        <v>1</v>
      </c>
      <c r="E1933" s="743"/>
      <c r="F1933" s="93"/>
      <c r="G1933" s="745"/>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743"/>
      <c r="F1934" s="93"/>
      <c r="G1934" s="745"/>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743"/>
      <c r="F1935" s="93"/>
      <c r="G1935" s="745"/>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743"/>
      <c r="F1936" s="93"/>
      <c r="G1936" s="745"/>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743"/>
      <c r="F1937" s="93"/>
      <c r="G1937" s="745"/>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743"/>
      <c r="F1938" s="93"/>
      <c r="G1938" s="745"/>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743"/>
      <c r="F1939" s="93"/>
      <c r="G1939" s="745"/>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743"/>
      <c r="F1940" s="93"/>
      <c r="G1940" s="745"/>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743"/>
      <c r="F1941" s="93"/>
      <c r="G1941" s="745"/>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743"/>
      <c r="F1942" s="93"/>
      <c r="G1942" s="745"/>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743"/>
      <c r="F1943" s="93"/>
      <c r="G1943" s="745"/>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743"/>
      <c r="F1944" s="93"/>
      <c r="G1944" s="745"/>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743"/>
      <c r="F1945" s="136"/>
      <c r="G1945" s="745"/>
      <c r="H1945" s="748"/>
      <c r="I1945" s="748"/>
      <c r="J1945" s="749"/>
      <c r="K1945" s="67"/>
      <c r="L1945" s="1" t="s">
        <v>43</v>
      </c>
      <c r="M1945" s="144"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43" t="s">
        <v>16</v>
      </c>
      <c r="J1947" s="6" t="e">
        <f>INDEX('BASE FORMAÇÃO'!K:K,B1947+1)</f>
        <v>#VALUE!</v>
      </c>
      <c r="K1947" s="65"/>
      <c r="L1947" s="750" t="s">
        <v>10</v>
      </c>
      <c r="M1947" s="752"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754">
        <f t="shared" ref="E1948" si="6042">D1947</f>
        <v>1</v>
      </c>
      <c r="F1948" s="92"/>
      <c r="G1948" s="756" t="s">
        <v>1</v>
      </c>
      <c r="H1948" s="759" t="e">
        <f>INDEX('BASE FORMAÇÃO'!C:C,B1947+1)</f>
        <v>#VALUE!</v>
      </c>
      <c r="I1948" s="759"/>
      <c r="J1948" s="760"/>
      <c r="K1948" s="66"/>
      <c r="L1948" s="751"/>
      <c r="M1948" s="753"/>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755"/>
      <c r="F1949" s="93"/>
      <c r="G1949" s="757"/>
      <c r="H1949" s="761"/>
      <c r="I1949" s="761"/>
      <c r="J1949" s="762"/>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758"/>
      <c r="H1950" s="763"/>
      <c r="I1950" s="763"/>
      <c r="J1950" s="764"/>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742" t="e">
        <f t="shared" ref="E1951" si="6046">C1947</f>
        <v>#VALUE!</v>
      </c>
      <c r="F1951" s="93"/>
      <c r="G1951" s="744" t="s">
        <v>304</v>
      </c>
      <c r="H1951" s="746"/>
      <c r="I1951" s="747"/>
      <c r="J1951" s="747"/>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743"/>
      <c r="F1952" s="93"/>
      <c r="G1952" s="745"/>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743"/>
      <c r="F1953" s="93"/>
      <c r="G1953" s="745"/>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743"/>
      <c r="F1954" s="93"/>
      <c r="G1954" s="745"/>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743"/>
      <c r="F1955" s="93"/>
      <c r="G1955" s="745"/>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743"/>
      <c r="F1956" s="93"/>
      <c r="G1956" s="745"/>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743"/>
      <c r="F1957" s="93"/>
      <c r="G1957" s="745"/>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743"/>
      <c r="F1958" s="93"/>
      <c r="G1958" s="745"/>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743"/>
      <c r="F1959" s="93"/>
      <c r="G1959" s="745"/>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743"/>
      <c r="F1960" s="93"/>
      <c r="G1960" s="745"/>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743"/>
      <c r="F1961" s="93"/>
      <c r="G1961" s="745"/>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743"/>
      <c r="F1962" s="93"/>
      <c r="G1962" s="745"/>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743"/>
      <c r="F1963" s="93"/>
      <c r="G1963" s="745"/>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743"/>
      <c r="F1964" s="93"/>
      <c r="G1964" s="745"/>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89"/>
        <v>#VALUE!</v>
      </c>
      <c r="D1965" s="127">
        <f t="shared" si="5989"/>
        <v>1</v>
      </c>
      <c r="E1965" s="743"/>
      <c r="F1965" s="93"/>
      <c r="G1965" s="745"/>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ref="B1966:D1981" si="6102">B1965</f>
        <v>#VALUE!</v>
      </c>
      <c r="C1966" s="128" t="e">
        <f t="shared" si="6102"/>
        <v>#VALUE!</v>
      </c>
      <c r="D1966" s="127">
        <f t="shared" si="6102"/>
        <v>1</v>
      </c>
      <c r="E1966" s="743"/>
      <c r="F1966" s="136"/>
      <c r="G1966" s="745"/>
      <c r="H1966" s="748"/>
      <c r="I1966" s="748"/>
      <c r="J1966" s="749"/>
      <c r="K1966" s="67"/>
      <c r="L1966" s="1" t="s">
        <v>43</v>
      </c>
      <c r="M1966" s="144" t="str">
        <f t="shared" ref="M1966" si="6103">IFERROR(ROUND(M1947*M1949,2),"")</f>
        <v/>
      </c>
      <c r="O1966" s="27" t="s">
        <v>363</v>
      </c>
      <c r="P1966" s="107" t="str">
        <f t="shared" ref="P1966:R1966" si="6104">INDEX(P1953:P1965,MATCH(MAX($J1953:$J1965),$J1953:$J1965,0))</f>
        <v/>
      </c>
      <c r="Q1966" s="107" t="str">
        <f t="shared" si="6104"/>
        <v/>
      </c>
      <c r="R1966" s="107" t="str">
        <f t="shared" si="6104"/>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5">LARGE(IFERROR(IF(B1966+1&gt;$H$8,"",B1966+1),""),1)</f>
        <v>#VALUE!</v>
      </c>
      <c r="C1968" s="127" t="e">
        <f>IF(_xlfn.ISFORMULA(E1972),MAX(INDEX('BASE FORMAÇÃO'!A:A,B1968+1),1),E1972)</f>
        <v>#VALUE!</v>
      </c>
      <c r="D1968" s="127">
        <f t="shared" ref="D1968" si="6106">IFERROR(IF(C1968=C1958,D1958+1,1),1)</f>
        <v>1</v>
      </c>
      <c r="E1968" s="38" t="s">
        <v>9</v>
      </c>
      <c r="F1968" s="73"/>
      <c r="G1968" s="38" t="s">
        <v>15</v>
      </c>
      <c r="H1968" s="135" t="e">
        <f>INDEX('BASE FORMAÇÃO'!B:B,B1968+1)</f>
        <v>#VALUE!</v>
      </c>
      <c r="I1968" s="143" t="s">
        <v>16</v>
      </c>
      <c r="J1968" s="6" t="e">
        <f>INDEX('BASE FORMAÇÃO'!K:K,B1968+1)</f>
        <v>#VALUE!</v>
      </c>
      <c r="K1968" s="65"/>
      <c r="L1968" s="750" t="s">
        <v>10</v>
      </c>
      <c r="M1968" s="752" t="str">
        <f t="shared" ref="M1968" si="6107">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8">B1968</f>
        <v>#VALUE!</v>
      </c>
      <c r="C1969" s="128" t="e">
        <f t="shared" si="6108"/>
        <v>#VALUE!</v>
      </c>
      <c r="D1969" s="127">
        <f t="shared" si="6108"/>
        <v>1</v>
      </c>
      <c r="E1969" s="754">
        <f t="shared" ref="E1969" si="6109">D1968</f>
        <v>1</v>
      </c>
      <c r="F1969" s="92"/>
      <c r="G1969" s="756" t="s">
        <v>1</v>
      </c>
      <c r="H1969" s="759" t="e">
        <f>INDEX('BASE FORMAÇÃO'!C:C,B1968+1)</f>
        <v>#VALUE!</v>
      </c>
      <c r="I1969" s="759"/>
      <c r="J1969" s="760"/>
      <c r="K1969" s="66"/>
      <c r="L1969" s="751"/>
      <c r="M1969" s="753"/>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10">B1969</f>
        <v>#VALUE!</v>
      </c>
      <c r="C1970" s="128" t="e">
        <f t="shared" si="6110"/>
        <v>#VALUE!</v>
      </c>
      <c r="D1970" s="127">
        <f t="shared" si="6110"/>
        <v>1</v>
      </c>
      <c r="E1970" s="755"/>
      <c r="F1970" s="93"/>
      <c r="G1970" s="757"/>
      <c r="H1970" s="761"/>
      <c r="I1970" s="761"/>
      <c r="J1970" s="762"/>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1">B1970</f>
        <v>#VALUE!</v>
      </c>
      <c r="C1971" s="128" t="e">
        <f t="shared" si="6111"/>
        <v>#VALUE!</v>
      </c>
      <c r="D1971" s="127">
        <f t="shared" si="6102"/>
        <v>1</v>
      </c>
      <c r="E1971" s="38" t="s">
        <v>313</v>
      </c>
      <c r="F1971" s="93"/>
      <c r="G1971" s="758"/>
      <c r="H1971" s="763"/>
      <c r="I1971" s="763"/>
      <c r="J1971" s="764"/>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2">B1970</f>
        <v>#VALUE!</v>
      </c>
      <c r="C1972" s="128" t="e">
        <f t="shared" si="6112"/>
        <v>#VALUE!</v>
      </c>
      <c r="D1972" s="127">
        <f t="shared" si="6102"/>
        <v>1</v>
      </c>
      <c r="E1972" s="742" t="e">
        <f t="shared" ref="E1972" si="6113">C1968</f>
        <v>#VALUE!</v>
      </c>
      <c r="F1972" s="93"/>
      <c r="G1972" s="744" t="s">
        <v>304</v>
      </c>
      <c r="H1972" s="746"/>
      <c r="I1972" s="747"/>
      <c r="J1972" s="747"/>
      <c r="K1972" s="67"/>
      <c r="L1972" s="28" t="s">
        <v>303</v>
      </c>
      <c r="M1972" s="133" t="str">
        <f t="shared" ref="M1972" si="6114">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5">B1972</f>
        <v>#VALUE!</v>
      </c>
      <c r="C1973" s="128" t="e">
        <f t="shared" ref="C1973" si="6116">C1972</f>
        <v>#VALUE!</v>
      </c>
      <c r="D1973" s="127">
        <f t="shared" ref="D1973" si="6117">D1972</f>
        <v>1</v>
      </c>
      <c r="E1973" s="743"/>
      <c r="F1973" s="93"/>
      <c r="G1973" s="745"/>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8">B1973</f>
        <v>#VALUE!</v>
      </c>
      <c r="C1974" s="128" t="e">
        <f t="shared" si="6118"/>
        <v>#VALUE!</v>
      </c>
      <c r="D1974" s="127">
        <f t="shared" si="6102"/>
        <v>1</v>
      </c>
      <c r="E1974" s="743"/>
      <c r="F1974" s="93"/>
      <c r="G1974" s="745"/>
      <c r="H1974" s="134">
        <f t="shared" ref="H1974" si="6119">COUNT($P1974:$XX1974)</f>
        <v>0</v>
      </c>
      <c r="I1974" s="132" t="e">
        <f t="shared" ref="I1974" si="6120">_xlfn.STDEV.P($P1973:$XX1974)/AVERAGE($P1973:$XX1974)</f>
        <v>#DIV/0!</v>
      </c>
      <c r="J1974" s="7">
        <f>ROW()</f>
        <v>1974</v>
      </c>
      <c r="K1974" s="67"/>
      <c r="L1974" s="29" t="s">
        <v>10</v>
      </c>
      <c r="M1974" s="30" t="str">
        <f t="shared" ref="M1974" si="6121">IFERROR(
IF(COUNTA(P1968:AI1968)=COUNTIF(P1970:XX1970,"Orçamento"),MIN(M1979,M1976),
IF(M1977&lt;&gt;"",M1977,
IF(M1978&lt;&gt;"",M1978,
M1976
))),"")</f>
        <v/>
      </c>
      <c r="N1974" s="71"/>
      <c r="O1974" s="27" t="s">
        <v>376</v>
      </c>
      <c r="P1974" s="106" t="str">
        <f t="shared" ref="P1974:AI1974" si="6122">IFERROR(IF(P1972="",
            "",
            IF(COUNT($P1972:$XX1972)&lt;=4,
               P1972,
               IF(OR(P1972&gt;(QUARTILE($P1972:$XX1972,3)+(QUARTILE($P1972:$XX1972,3)-QUARTILE($P1972:$XX1972,1))),
                     P1972&lt;(QUARTILE($P1972:$XX1972,1)-(QUARTILE($P1972:$XX1972,3)-QUARTILE($P1972:$XX1972,1)))
                  ),
               "DESCARTADO",P1972)
             )
  ),P1972)</f>
        <v/>
      </c>
      <c r="Q1974" s="106" t="str">
        <f t="shared" si="6122"/>
        <v/>
      </c>
      <c r="R1974" s="106" t="str">
        <f t="shared" si="6122"/>
        <v/>
      </c>
      <c r="S1974" s="106" t="str">
        <f t="shared" si="6122"/>
        <v/>
      </c>
      <c r="T1974" s="106" t="str">
        <f t="shared" si="6122"/>
        <v/>
      </c>
      <c r="U1974" s="106" t="str">
        <f t="shared" si="6122"/>
        <v/>
      </c>
      <c r="V1974" s="106" t="str">
        <f t="shared" si="6122"/>
        <v/>
      </c>
      <c r="W1974" s="106" t="str">
        <f t="shared" si="6122"/>
        <v/>
      </c>
      <c r="X1974" s="106" t="str">
        <f t="shared" si="6122"/>
        <v/>
      </c>
      <c r="Y1974" s="106" t="str">
        <f t="shared" si="6122"/>
        <v/>
      </c>
      <c r="Z1974" s="106" t="str">
        <f t="shared" si="6122"/>
        <v/>
      </c>
      <c r="AA1974" s="106" t="str">
        <f t="shared" si="6122"/>
        <v/>
      </c>
      <c r="AB1974" s="106" t="str">
        <f t="shared" si="6122"/>
        <v/>
      </c>
      <c r="AC1974" s="106" t="str">
        <f t="shared" si="6122"/>
        <v/>
      </c>
      <c r="AD1974" s="106" t="str">
        <f t="shared" si="6122"/>
        <v/>
      </c>
      <c r="AE1974" s="106" t="str">
        <f t="shared" si="6122"/>
        <v/>
      </c>
      <c r="AF1974" s="106" t="str">
        <f t="shared" si="6122"/>
        <v/>
      </c>
      <c r="AG1974" s="106" t="str">
        <f t="shared" si="6122"/>
        <v/>
      </c>
      <c r="AH1974" s="106" t="str">
        <f t="shared" si="6122"/>
        <v/>
      </c>
      <c r="AI1974" s="106" t="str">
        <f t="shared" si="6122"/>
        <v/>
      </c>
    </row>
    <row r="1975" spans="1:167" hidden="1" x14ac:dyDescent="0.25">
      <c r="B1975" s="128" t="e">
        <f t="shared" ref="B1975" si="6123">B1974</f>
        <v>#VALUE!</v>
      </c>
      <c r="C1975" s="128" t="e">
        <f t="shared" ref="C1975" si="6124">C1974</f>
        <v>#VALUE!</v>
      </c>
      <c r="D1975" s="127">
        <f t="shared" ref="D1975" si="6125">D1974</f>
        <v>1</v>
      </c>
      <c r="E1975" s="743"/>
      <c r="F1975" s="93"/>
      <c r="G1975" s="745"/>
      <c r="H1975"/>
      <c r="I1975"/>
      <c r="J1975"/>
      <c r="K1975" s="66"/>
      <c r="L1975" s="29" t="s">
        <v>360</v>
      </c>
      <c r="M1975" s="30" t="e">
        <f t="shared" ref="M1975" si="6126">AVERAGE($P1974:$XX1974)</f>
        <v>#DIV/0!</v>
      </c>
      <c r="N1975" s="71"/>
      <c r="O1975" s="27" t="str">
        <f t="shared" ref="O1975" si="6127">"1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6102"/>
        <v>#VALUE!</v>
      </c>
      <c r="C1976" s="128" t="e">
        <f t="shared" si="6102"/>
        <v>#VALUE!</v>
      </c>
      <c r="D1976" s="127">
        <f t="shared" si="6102"/>
        <v>1</v>
      </c>
      <c r="E1976" s="743"/>
      <c r="F1976" s="93"/>
      <c r="G1976" s="745"/>
      <c r="H1976" s="134">
        <f t="shared" ref="H1976" si="6128">COUNT($P1976:$XX1976)</f>
        <v>0</v>
      </c>
      <c r="I1976" s="132" t="e">
        <f t="shared" ref="I1976" si="6129">_xlfn.STDEV.P($P1975:$XX1976)/AVERAGE($P1975:$XX1976)</f>
        <v>#DIV/0!</v>
      </c>
      <c r="J1976" s="7">
        <f t="shared" ref="J1976" si="6130">IF(AND(H1976&gt;2,
OR(L1968="MÉDIA SANEADA",L1968="MEDIANA SANEADA",
AND(L1968="PREÇO ESTIMADO",NOT(AND(P1970="Orçamento",COUNTA(P1968:XX1968)=COUNTIF(P1970:XX1970,"Orçamento")))))),
ROW(),0)</f>
        <v>0</v>
      </c>
      <c r="K1976" s="66"/>
      <c r="L1976" s="29" t="s">
        <v>361</v>
      </c>
      <c r="M1976" s="30" t="e">
        <f t="shared" ref="M1976" si="6131">MEDIAN($P1974:$XX1974)</f>
        <v>#NUM!</v>
      </c>
      <c r="N1976" s="71"/>
      <c r="O1976" s="27" t="str">
        <f t="shared" ref="O1976" si="6132">"1 RODADA"</f>
        <v>1 RODADA</v>
      </c>
      <c r="P1976" s="107" t="str">
        <f t="shared" ref="P1976:AI1976" si="6133">IF(P1974="","",IF((_xlfn.STDEV.P($P1973:$XX1974)/AVERAGE($P1973:$XX1974))&lt;=25%,P1974,IF(OR(P1974&gt;(AVERAGE($P1973:$XX1974)+_xlfn.STDEV.P($P1973:$XX1974)),P1974&lt;(AVERAGE($P1973:$XX1974)-_xlfn.STDEV.P($P1973:$XX1974))),"DESCARTADO",P1974)))</f>
        <v/>
      </c>
      <c r="Q1976" s="107" t="str">
        <f t="shared" si="6133"/>
        <v/>
      </c>
      <c r="R1976" s="107" t="str">
        <f t="shared" si="6133"/>
        <v/>
      </c>
      <c r="S1976" s="107" t="str">
        <f t="shared" si="6133"/>
        <v/>
      </c>
      <c r="T1976" s="107" t="str">
        <f t="shared" si="6133"/>
        <v/>
      </c>
      <c r="U1976" s="107" t="str">
        <f t="shared" si="6133"/>
        <v/>
      </c>
      <c r="V1976" s="107" t="str">
        <f t="shared" si="6133"/>
        <v/>
      </c>
      <c r="W1976" s="107" t="str">
        <f t="shared" si="6133"/>
        <v/>
      </c>
      <c r="X1976" s="107" t="str">
        <f t="shared" si="6133"/>
        <v/>
      </c>
      <c r="Y1976" s="107" t="str">
        <f t="shared" si="6133"/>
        <v/>
      </c>
      <c r="Z1976" s="107" t="str">
        <f t="shared" si="6133"/>
        <v/>
      </c>
      <c r="AA1976" s="107" t="str">
        <f t="shared" si="6133"/>
        <v/>
      </c>
      <c r="AB1976" s="107" t="str">
        <f t="shared" si="6133"/>
        <v/>
      </c>
      <c r="AC1976" s="107" t="str">
        <f t="shared" si="6133"/>
        <v/>
      </c>
      <c r="AD1976" s="107" t="str">
        <f t="shared" si="6133"/>
        <v/>
      </c>
      <c r="AE1976" s="107" t="str">
        <f t="shared" si="6133"/>
        <v/>
      </c>
      <c r="AF1976" s="107" t="str">
        <f t="shared" si="6133"/>
        <v/>
      </c>
      <c r="AG1976" s="107" t="str">
        <f t="shared" si="6133"/>
        <v/>
      </c>
      <c r="AH1976" s="107" t="str">
        <f t="shared" si="6133"/>
        <v/>
      </c>
      <c r="AI1976" s="107" t="str">
        <f t="shared" si="6133"/>
        <v/>
      </c>
    </row>
    <row r="1977" spans="1:167" hidden="1" x14ac:dyDescent="0.25">
      <c r="B1977" s="128" t="e">
        <f t="shared" si="6102"/>
        <v>#VALUE!</v>
      </c>
      <c r="C1977" s="128" t="e">
        <f t="shared" si="6102"/>
        <v>#VALUE!</v>
      </c>
      <c r="D1977" s="127">
        <f t="shared" si="6102"/>
        <v>1</v>
      </c>
      <c r="E1977" s="743"/>
      <c r="F1977" s="93"/>
      <c r="G1977" s="745"/>
      <c r="H1977"/>
      <c r="I1977"/>
      <c r="J1977"/>
      <c r="L1977" s="29" t="s">
        <v>38</v>
      </c>
      <c r="M1977" s="30" t="str">
        <f t="shared" ref="M1977" si="6134">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5">"2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6102"/>
        <v>#VALUE!</v>
      </c>
      <c r="C1978" s="128" t="e">
        <f t="shared" si="6102"/>
        <v>#VALUE!</v>
      </c>
      <c r="D1978" s="127">
        <f t="shared" si="6102"/>
        <v>1</v>
      </c>
      <c r="E1978" s="743"/>
      <c r="F1978" s="93"/>
      <c r="G1978" s="745"/>
      <c r="H1978" s="134">
        <f t="shared" ref="H1978" si="6136">COUNT($P1978:$XX1978)</f>
        <v>0</v>
      </c>
      <c r="I1978" s="132" t="e">
        <f t="shared" ref="I1978" si="6137">_xlfn.STDEV.P($P1977:$XX1978)/AVERAGE($P1977:$XX1978)</f>
        <v>#DIV/0!</v>
      </c>
      <c r="J1978" s="7">
        <f t="shared" ref="J1978" si="6138">IF(AND(H1978&gt;2,
OR(L1968="MÉDIA SANEADA",L1968="MEDIANA SANEADA",
AND(L1968="PREÇO ESTIMADO",NOT(AND(P1970="Orçamento",COUNTA(P1968:XX1968)=COUNTIF(P1970:XX1970,"Orçamento")))))),
ROW(),0)</f>
        <v>0</v>
      </c>
      <c r="K1978" s="66"/>
      <c r="L1978" s="29" t="s">
        <v>362</v>
      </c>
      <c r="M1978" s="30" t="e">
        <f t="shared" ref="M1978" si="6139" xml:space="preserve">
IF(H1976&gt;2,MEDIAN(P1975:XX1976),
IF(H1978&gt;2,MEDIAN(P1977:XX1978),
IF(H1980&gt;2,MEDIAN(P1979:XX1980),
IF(H1982&gt;2,MEDIAN(P1981:XX1982),
IF(H1984&gt;2,MEDIAN(P1983:XX1984),
IF(H1986&gt;2,MEDIAN(P1985:XX1986),
MEDIAN(P1973:XX1974)))))))</f>
        <v>#NUM!</v>
      </c>
      <c r="N1978" s="71"/>
      <c r="O1978" s="27" t="str">
        <f t="shared" ref="O1978" si="6140">"2 RODADA"</f>
        <v>2 RODADA</v>
      </c>
      <c r="P1978" s="107" t="str">
        <f t="shared" ref="P1978:AI1978" si="6141">IF(P1976="","",IF((_xlfn.STDEV.P($P1975:$XX1976)/AVERAGE($P1975:$XX1976))&lt;=25%,P1976,IF(OR(P1976&gt;(AVERAGE($P1975:$XX1976)+_xlfn.STDEV.P($P1975:$XX1976)),P1976&lt;(AVERAGE($P1975:$XX1976)-_xlfn.STDEV.P($P1975:$XX1976))),"DESCARTADO",P1976)))</f>
        <v/>
      </c>
      <c r="Q1978" s="107" t="str">
        <f t="shared" si="6141"/>
        <v/>
      </c>
      <c r="R1978" s="107" t="str">
        <f t="shared" si="6141"/>
        <v/>
      </c>
      <c r="S1978" s="107" t="str">
        <f t="shared" si="6141"/>
        <v/>
      </c>
      <c r="T1978" s="107" t="str">
        <f t="shared" si="6141"/>
        <v/>
      </c>
      <c r="U1978" s="107" t="str">
        <f t="shared" si="6141"/>
        <v/>
      </c>
      <c r="V1978" s="107" t="str">
        <f t="shared" si="6141"/>
        <v/>
      </c>
      <c r="W1978" s="107" t="str">
        <f t="shared" si="6141"/>
        <v/>
      </c>
      <c r="X1978" s="107" t="str">
        <f t="shared" si="6141"/>
        <v/>
      </c>
      <c r="Y1978" s="107" t="str">
        <f t="shared" si="6141"/>
        <v/>
      </c>
      <c r="Z1978" s="107" t="str">
        <f t="shared" si="6141"/>
        <v/>
      </c>
      <c r="AA1978" s="107" t="str">
        <f t="shared" si="6141"/>
        <v/>
      </c>
      <c r="AB1978" s="107" t="str">
        <f t="shared" si="6141"/>
        <v/>
      </c>
      <c r="AC1978" s="107" t="str">
        <f t="shared" si="6141"/>
        <v/>
      </c>
      <c r="AD1978" s="107" t="str">
        <f t="shared" si="6141"/>
        <v/>
      </c>
      <c r="AE1978" s="107" t="str">
        <f t="shared" si="6141"/>
        <v/>
      </c>
      <c r="AF1978" s="107" t="str">
        <f t="shared" si="6141"/>
        <v/>
      </c>
      <c r="AG1978" s="107" t="str">
        <f t="shared" si="6141"/>
        <v/>
      </c>
      <c r="AH1978" s="107" t="str">
        <f t="shared" si="6141"/>
        <v/>
      </c>
      <c r="AI1978" s="107" t="str">
        <f t="shared" si="6141"/>
        <v/>
      </c>
    </row>
    <row r="1979" spans="1:167" hidden="1" x14ac:dyDescent="0.25">
      <c r="B1979" s="128" t="e">
        <f t="shared" si="6102"/>
        <v>#VALUE!</v>
      </c>
      <c r="C1979" s="128" t="e">
        <f t="shared" si="6102"/>
        <v>#VALUE!</v>
      </c>
      <c r="D1979" s="127">
        <f t="shared" si="6102"/>
        <v>1</v>
      </c>
      <c r="E1979" s="743"/>
      <c r="F1979" s="93"/>
      <c r="G1979" s="745"/>
      <c r="H1979"/>
      <c r="I1979"/>
      <c r="J1979"/>
      <c r="K1979" s="66"/>
      <c r="L1979" s="29" t="s">
        <v>359</v>
      </c>
      <c r="M1979" s="30" t="e">
        <f t="shared" ref="M1979" si="6142">HARMEAN($P1973:$XX1974)</f>
        <v>#N/A</v>
      </c>
      <c r="N1979" s="71"/>
      <c r="O1979" s="27" t="str">
        <f t="shared" ref="O1979" si="6143">"3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6102"/>
        <v>#VALUE!</v>
      </c>
      <c r="C1980" s="128" t="e">
        <f t="shared" si="6102"/>
        <v>#VALUE!</v>
      </c>
      <c r="D1980" s="127">
        <f t="shared" si="6102"/>
        <v>1</v>
      </c>
      <c r="E1980" s="743"/>
      <c r="F1980" s="93"/>
      <c r="G1980" s="745"/>
      <c r="H1980" s="134">
        <f t="shared" ref="H1980" si="6144">COUNT($P1980:$XX1980)</f>
        <v>0</v>
      </c>
      <c r="I1980" s="132" t="e">
        <f t="shared" ref="I1980" si="6145">_xlfn.STDEV.P($P1979:$XX1980)/AVERAGE($P1979:$XX1980)</f>
        <v>#DIV/0!</v>
      </c>
      <c r="J1980" s="7">
        <f t="shared" ref="J1980" si="6146">IF(AND(H1980&gt;2,
OR(L1968="MÉDIA SANEADA",L1968="MEDIANA SANEADA",
AND(L1968="PREÇO ESTIMADO",NOT(AND(P1970="Orçamento",COUNTA(P1968:XX1968)=COUNTIF(P1970:XX1970,"Orçamento")))))),
ROW(),0)</f>
        <v>0</v>
      </c>
      <c r="K1980" s="66"/>
      <c r="L1980" s="29" t="s">
        <v>41</v>
      </c>
      <c r="M1980" s="30" t="str">
        <f t="shared" ref="M1980" si="6147">IFERROR(_xlfn.QUARTILE.EXC($P1974:$XX1974,1),"")</f>
        <v/>
      </c>
      <c r="N1980" s="71"/>
      <c r="O1980" s="27" t="str">
        <f t="shared" ref="O1980" si="6148">"3 RODADA"</f>
        <v>3 RODADA</v>
      </c>
      <c r="P1980" s="107" t="str">
        <f t="shared" ref="P1980:AI1980" si="6149">IF(P1978="","",IF((_xlfn.STDEV.P($P1977:$XX1978)/AVERAGE($P1977:$XX1978))&lt;=25%,P1978,IF(OR(P1978&gt;(AVERAGE($P1977:$XX1978)+_xlfn.STDEV.P($P1977:$XX1978)),P1978&lt;(AVERAGE($P1977:$XX1978)-_xlfn.STDEV.P($P1977:$XX1978))),"DESCARTADO",P1978)))</f>
        <v/>
      </c>
      <c r="Q1980" s="107" t="str">
        <f t="shared" si="6149"/>
        <v/>
      </c>
      <c r="R1980" s="107" t="str">
        <f t="shared" si="6149"/>
        <v/>
      </c>
      <c r="S1980" s="107" t="str">
        <f t="shared" si="6149"/>
        <v/>
      </c>
      <c r="T1980" s="107" t="str">
        <f t="shared" si="6149"/>
        <v/>
      </c>
      <c r="U1980" s="107" t="str">
        <f t="shared" si="6149"/>
        <v/>
      </c>
      <c r="V1980" s="107" t="str">
        <f t="shared" si="6149"/>
        <v/>
      </c>
      <c r="W1980" s="107" t="str">
        <f t="shared" si="6149"/>
        <v/>
      </c>
      <c r="X1980" s="107" t="str">
        <f t="shared" si="6149"/>
        <v/>
      </c>
      <c r="Y1980" s="107" t="str">
        <f t="shared" si="6149"/>
        <v/>
      </c>
      <c r="Z1980" s="107" t="str">
        <f t="shared" si="6149"/>
        <v/>
      </c>
      <c r="AA1980" s="107" t="str">
        <f t="shared" si="6149"/>
        <v/>
      </c>
      <c r="AB1980" s="107" t="str">
        <f t="shared" si="6149"/>
        <v/>
      </c>
      <c r="AC1980" s="107" t="str">
        <f t="shared" si="6149"/>
        <v/>
      </c>
      <c r="AD1980" s="107" t="str">
        <f t="shared" si="6149"/>
        <v/>
      </c>
      <c r="AE1980" s="107" t="str">
        <f t="shared" si="6149"/>
        <v/>
      </c>
      <c r="AF1980" s="107" t="str">
        <f t="shared" si="6149"/>
        <v/>
      </c>
      <c r="AG1980" s="107" t="str">
        <f t="shared" si="6149"/>
        <v/>
      </c>
      <c r="AH1980" s="107" t="str">
        <f t="shared" si="6149"/>
        <v/>
      </c>
      <c r="AI1980" s="107" t="str">
        <f t="shared" si="6149"/>
        <v/>
      </c>
    </row>
    <row r="1981" spans="1:167" hidden="1" x14ac:dyDescent="0.25">
      <c r="B1981" s="128" t="e">
        <f t="shared" si="6102"/>
        <v>#VALUE!</v>
      </c>
      <c r="C1981" s="128" t="e">
        <f t="shared" si="6102"/>
        <v>#VALUE!</v>
      </c>
      <c r="D1981" s="127">
        <f t="shared" si="6102"/>
        <v>1</v>
      </c>
      <c r="E1981" s="743"/>
      <c r="F1981" s="93"/>
      <c r="G1981" s="745"/>
      <c r="H1981"/>
      <c r="I1981"/>
      <c r="J1981"/>
      <c r="K1981" s="66"/>
      <c r="L1981" s="29" t="s">
        <v>39</v>
      </c>
      <c r="M1981" s="30" t="str">
        <f t="shared" ref="M1981" si="6150">IFERROR(_xlfn.QUARTILE.EXC($P1974:$XX1974,3),"")</f>
        <v/>
      </c>
      <c r="N1981" s="71"/>
      <c r="O1981" s="27" t="str">
        <f t="shared" ref="O1981" si="6151">"4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ref="B1982:D1997" si="6152">B1981</f>
        <v>#VALUE!</v>
      </c>
      <c r="C1982" s="128" t="e">
        <f t="shared" si="6152"/>
        <v>#VALUE!</v>
      </c>
      <c r="D1982" s="127">
        <f t="shared" si="6152"/>
        <v>1</v>
      </c>
      <c r="E1982" s="743"/>
      <c r="F1982" s="93"/>
      <c r="G1982" s="745"/>
      <c r="H1982" s="134">
        <f t="shared" ref="H1982" si="6153">COUNT($P1982:$XX1982)</f>
        <v>0</v>
      </c>
      <c r="I1982" s="132" t="e">
        <f t="shared" ref="I1982" si="6154">_xlfn.STDEV.P($P1981:$XX1982)/AVERAGE($P1981:$XX1982)</f>
        <v>#DIV/0!</v>
      </c>
      <c r="J1982" s="7">
        <f t="shared" ref="J1982" si="6155">IF(AND(H1982&gt;2,
OR(L1968="MÉDIA SANEADA",L1968="MEDIANA SANEADA",
AND(L1968="PREÇO ESTIMADO",NOT(AND(P1970="Orçamento",COUNTA(P1968:XX1968)=COUNTIF(P1970:XX1970,"Orçamento")))))),
ROW(),0)</f>
        <v>0</v>
      </c>
      <c r="K1982" s="66"/>
      <c r="L1982" s="29" t="s">
        <v>42</v>
      </c>
      <c r="M1982" s="30">
        <f t="shared" ref="M1982" si="6156">MIN($P1974:$XX1974)</f>
        <v>0</v>
      </c>
      <c r="N1982" s="71"/>
      <c r="O1982" s="27" t="str">
        <f t="shared" ref="O1982" si="6157">"4 RODADA"</f>
        <v>4 RODADA</v>
      </c>
      <c r="P1982" s="107" t="str">
        <f t="shared" ref="P1982:AI1982" si="6158">IF(P1980="","",IF((_xlfn.STDEV.P($P1979:$XX1980)/AVERAGE($P1979:$XX1980))&lt;=25%,P1980,IF(OR(P1980&gt;(AVERAGE($P1979:$XX1980)+_xlfn.STDEV.P($P1979:$XX1980)),P1980&lt;(AVERAGE($P1979:$XX1980)-_xlfn.STDEV.P($P1979:$XX1980))),"DESCARTADO",P1980)))</f>
        <v/>
      </c>
      <c r="Q1982" s="107" t="str">
        <f t="shared" si="6158"/>
        <v/>
      </c>
      <c r="R1982" s="107" t="str">
        <f t="shared" si="6158"/>
        <v/>
      </c>
      <c r="S1982" s="107" t="str">
        <f t="shared" si="6158"/>
        <v/>
      </c>
      <c r="T1982" s="107" t="str">
        <f t="shared" si="6158"/>
        <v/>
      </c>
      <c r="U1982" s="107" t="str">
        <f t="shared" si="6158"/>
        <v/>
      </c>
      <c r="V1982" s="107" t="str">
        <f t="shared" si="6158"/>
        <v/>
      </c>
      <c r="W1982" s="107" t="str">
        <f t="shared" si="6158"/>
        <v/>
      </c>
      <c r="X1982" s="107" t="str">
        <f t="shared" si="6158"/>
        <v/>
      </c>
      <c r="Y1982" s="107" t="str">
        <f t="shared" si="6158"/>
        <v/>
      </c>
      <c r="Z1982" s="107" t="str">
        <f t="shared" si="6158"/>
        <v/>
      </c>
      <c r="AA1982" s="107" t="str">
        <f t="shared" si="6158"/>
        <v/>
      </c>
      <c r="AB1982" s="107" t="str">
        <f t="shared" si="6158"/>
        <v/>
      </c>
      <c r="AC1982" s="107" t="str">
        <f t="shared" si="6158"/>
        <v/>
      </c>
      <c r="AD1982" s="107" t="str">
        <f t="shared" si="6158"/>
        <v/>
      </c>
      <c r="AE1982" s="107" t="str">
        <f t="shared" si="6158"/>
        <v/>
      </c>
      <c r="AF1982" s="107" t="str">
        <f t="shared" si="6158"/>
        <v/>
      </c>
      <c r="AG1982" s="107" t="str">
        <f t="shared" si="6158"/>
        <v/>
      </c>
      <c r="AH1982" s="107" t="str">
        <f t="shared" si="6158"/>
        <v/>
      </c>
      <c r="AI1982" s="107" t="str">
        <f t="shared" si="6158"/>
        <v/>
      </c>
    </row>
    <row r="1983" spans="1:167" hidden="1" x14ac:dyDescent="0.25">
      <c r="B1983" s="128" t="e">
        <f t="shared" si="6152"/>
        <v>#VALUE!</v>
      </c>
      <c r="C1983" s="128" t="e">
        <f t="shared" si="6152"/>
        <v>#VALUE!</v>
      </c>
      <c r="D1983" s="127">
        <f t="shared" si="6152"/>
        <v>1</v>
      </c>
      <c r="E1983" s="743"/>
      <c r="F1983" s="93"/>
      <c r="G1983" s="745"/>
      <c r="H1983"/>
      <c r="I1983"/>
      <c r="J1983"/>
      <c r="K1983" s="66"/>
      <c r="L1983" s="29" t="s">
        <v>40</v>
      </c>
      <c r="M1983" s="30">
        <f t="shared" ref="M1983" si="6159">MAX($P1974:$XX1974)</f>
        <v>0</v>
      </c>
      <c r="N1983" s="71"/>
      <c r="O1983" s="27" t="str">
        <f t="shared" ref="O1983" si="6160">"5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6152"/>
        <v>#VALUE!</v>
      </c>
      <c r="C1984" s="128" t="e">
        <f t="shared" si="6152"/>
        <v>#VALUE!</v>
      </c>
      <c r="D1984" s="127">
        <f t="shared" si="6152"/>
        <v>1</v>
      </c>
      <c r="E1984" s="743"/>
      <c r="F1984" s="93"/>
      <c r="G1984" s="745"/>
      <c r="H1984" s="134">
        <f t="shared" ref="H1984" si="6161">COUNT($P1984:$XX1984)</f>
        <v>0</v>
      </c>
      <c r="I1984" s="132" t="e">
        <f t="shared" ref="I1984" si="6162">_xlfn.STDEV.P($P1983:$XX1984)/AVERAGE($P1983:$XX1984)</f>
        <v>#DIV/0!</v>
      </c>
      <c r="J1984" s="7">
        <f t="shared" ref="J1984" si="6163">IF(AND(H1984&gt;2,
OR(L1968="MÉDIA SANEADA",L1968="MEDIANA SANEADA",
AND(L1968="PREÇO ESTIMADO",NOT(AND(P1970="Orçamento",COUNTA(P1968:XX1968)=COUNTIF(P1970:XX1970,"Orçamento")))))),
ROW(),0)</f>
        <v>0</v>
      </c>
      <c r="K1984" s="66"/>
      <c r="N1984" s="71"/>
      <c r="O1984" s="27" t="str">
        <f t="shared" ref="O1984" si="6164">"5 RODADA"</f>
        <v>5 RODADA</v>
      </c>
      <c r="P1984" s="107" t="str">
        <f t="shared" ref="P1984:AI1984" si="6165">IF(P1982="","",IF((_xlfn.STDEV.P($P1981:$XX1982)/AVERAGE($P1981:$XX1982))&lt;=25%,P1982,IF(OR(P1982&gt;(AVERAGE($P1981:$XX1982)+_xlfn.STDEV.P($P1981:$XX1982)),P1982&lt;(AVERAGE($P1981:$XX1982)-_xlfn.STDEV.P($P1981:$XX1982))),"DESCARTADO",P1982)))</f>
        <v/>
      </c>
      <c r="Q1984" s="107" t="str">
        <f t="shared" si="6165"/>
        <v/>
      </c>
      <c r="R1984" s="107" t="str">
        <f t="shared" si="6165"/>
        <v/>
      </c>
      <c r="S1984" s="107" t="str">
        <f t="shared" si="6165"/>
        <v/>
      </c>
      <c r="T1984" s="107" t="str">
        <f t="shared" si="6165"/>
        <v/>
      </c>
      <c r="U1984" s="107" t="str">
        <f t="shared" si="6165"/>
        <v/>
      </c>
      <c r="V1984" s="107" t="str">
        <f t="shared" si="6165"/>
        <v/>
      </c>
      <c r="W1984" s="107" t="str">
        <f t="shared" si="6165"/>
        <v/>
      </c>
      <c r="X1984" s="107" t="str">
        <f t="shared" si="6165"/>
        <v/>
      </c>
      <c r="Y1984" s="107" t="str">
        <f t="shared" si="6165"/>
        <v/>
      </c>
      <c r="Z1984" s="107" t="str">
        <f t="shared" si="6165"/>
        <v/>
      </c>
      <c r="AA1984" s="107" t="str">
        <f t="shared" si="6165"/>
        <v/>
      </c>
      <c r="AB1984" s="107" t="str">
        <f t="shared" si="6165"/>
        <v/>
      </c>
      <c r="AC1984" s="107" t="str">
        <f t="shared" si="6165"/>
        <v/>
      </c>
      <c r="AD1984" s="107" t="str">
        <f t="shared" si="6165"/>
        <v/>
      </c>
      <c r="AE1984" s="107" t="str">
        <f t="shared" si="6165"/>
        <v/>
      </c>
      <c r="AF1984" s="107" t="str">
        <f t="shared" si="6165"/>
        <v/>
      </c>
      <c r="AG1984" s="107" t="str">
        <f t="shared" si="6165"/>
        <v/>
      </c>
      <c r="AH1984" s="107" t="str">
        <f t="shared" si="6165"/>
        <v/>
      </c>
      <c r="AI1984" s="107" t="str">
        <f t="shared" si="6165"/>
        <v/>
      </c>
    </row>
    <row r="1985" spans="1:167" hidden="1" x14ac:dyDescent="0.25">
      <c r="B1985" s="128" t="e">
        <f t="shared" si="6152"/>
        <v>#VALUE!</v>
      </c>
      <c r="C1985" s="128" t="e">
        <f t="shared" si="6152"/>
        <v>#VALUE!</v>
      </c>
      <c r="D1985" s="127">
        <f t="shared" si="6152"/>
        <v>1</v>
      </c>
      <c r="E1985" s="743"/>
      <c r="F1985" s="93"/>
      <c r="G1985" s="745"/>
      <c r="H1985"/>
      <c r="I1985"/>
      <c r="J1985"/>
      <c r="K1985" s="66"/>
      <c r="L1985" s="22"/>
      <c r="M1985" s="22"/>
      <c r="N1985" s="71"/>
      <c r="O1985" s="27" t="str">
        <f t="shared" ref="O1985" si="6166">"6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6152"/>
        <v>#VALUE!</v>
      </c>
      <c r="C1986" s="128" t="e">
        <f t="shared" si="6152"/>
        <v>#VALUE!</v>
      </c>
      <c r="D1986" s="127">
        <f t="shared" si="6152"/>
        <v>1</v>
      </c>
      <c r="E1986" s="743"/>
      <c r="F1986" s="93"/>
      <c r="G1986" s="745"/>
      <c r="H1986" s="134">
        <f t="shared" ref="H1986" si="6167">COUNT($P1986:$XX1986)</f>
        <v>0</v>
      </c>
      <c r="I1986" s="132" t="e">
        <f t="shared" ref="I1986" si="6168">_xlfn.STDEV.P($P1985:$XX1986)/AVERAGE($P1985:$XX1986)</f>
        <v>#DIV/0!</v>
      </c>
      <c r="J1986" s="7">
        <f t="shared" ref="J1986" si="6169">IF(AND(H1986&gt;2,
OR(L1968="MÉDIA SANEADA",L1968="MEDIANA SANEADA",
AND(L1968="PREÇO ESTIMADO",NOT(AND(P1970="Orçamento",COUNTA(P1968:XX1968)=COUNTIF(P1970:XX1970,"Orçamento")))))),
ROW(),0)</f>
        <v>0</v>
      </c>
      <c r="N1986" s="71"/>
      <c r="O1986" s="27" t="str">
        <f t="shared" ref="O1986" si="6170">"6 RODADA"</f>
        <v>6 RODADA</v>
      </c>
      <c r="P1986" s="107" t="str">
        <f t="shared" ref="P1986:AI1986" si="6171">IFERROR(IF(P1984="","",IF((_xlfn.STDEV.P($P1983:$XX1984)/AVERAGE($P1983:$XX1984))&lt;=25%,P1984,IF(OR(P1984&gt;(AVERAGE($P1983:$XX1984)+_xlfn.STDEV.P($P1983:$XX1984)),P1984&lt;(AVERAGE($P1983:$XX1984)-_xlfn.STDEV.P($P1983:$XX1984))),"DESCARTADO",P1984))),)</f>
        <v/>
      </c>
      <c r="Q1986" s="107" t="str">
        <f t="shared" si="6171"/>
        <v/>
      </c>
      <c r="R1986" s="107" t="str">
        <f t="shared" si="6171"/>
        <v/>
      </c>
      <c r="S1986" s="107" t="str">
        <f t="shared" si="6171"/>
        <v/>
      </c>
      <c r="T1986" s="107" t="str">
        <f t="shared" si="6171"/>
        <v/>
      </c>
      <c r="U1986" s="107" t="str">
        <f t="shared" si="6171"/>
        <v/>
      </c>
      <c r="V1986" s="107" t="str">
        <f t="shared" si="6171"/>
        <v/>
      </c>
      <c r="W1986" s="107" t="str">
        <f t="shared" si="6171"/>
        <v/>
      </c>
      <c r="X1986" s="107" t="str">
        <f t="shared" si="6171"/>
        <v/>
      </c>
      <c r="Y1986" s="107" t="str">
        <f t="shared" si="6171"/>
        <v/>
      </c>
      <c r="Z1986" s="107" t="str">
        <f t="shared" si="6171"/>
        <v/>
      </c>
      <c r="AA1986" s="107" t="str">
        <f t="shared" si="6171"/>
        <v/>
      </c>
      <c r="AB1986" s="107" t="str">
        <f t="shared" si="6171"/>
        <v/>
      </c>
      <c r="AC1986" s="107" t="str">
        <f t="shared" si="6171"/>
        <v/>
      </c>
      <c r="AD1986" s="107" t="str">
        <f t="shared" si="6171"/>
        <v/>
      </c>
      <c r="AE1986" s="107" t="str">
        <f t="shared" si="6171"/>
        <v/>
      </c>
      <c r="AF1986" s="107" t="str">
        <f t="shared" si="6171"/>
        <v/>
      </c>
      <c r="AG1986" s="107" t="str">
        <f t="shared" si="6171"/>
        <v/>
      </c>
      <c r="AH1986" s="107" t="str">
        <f t="shared" si="6171"/>
        <v/>
      </c>
      <c r="AI1986" s="107" t="str">
        <f t="shared" si="6171"/>
        <v/>
      </c>
    </row>
    <row r="1987" spans="1:167" x14ac:dyDescent="0.25">
      <c r="B1987" s="128" t="e">
        <f t="shared" si="6152"/>
        <v>#VALUE!</v>
      </c>
      <c r="C1987" s="128" t="e">
        <f t="shared" si="6152"/>
        <v>#VALUE!</v>
      </c>
      <c r="D1987" s="127">
        <f t="shared" si="6152"/>
        <v>1</v>
      </c>
      <c r="E1987" s="743"/>
      <c r="F1987" s="136"/>
      <c r="G1987" s="745"/>
      <c r="H1987" s="748"/>
      <c r="I1987" s="748"/>
      <c r="J1987" s="749"/>
      <c r="K1987" s="67"/>
      <c r="L1987" s="1" t="s">
        <v>43</v>
      </c>
      <c r="M1987" s="144" t="str">
        <f t="shared" ref="M1987" si="6172">IFERROR(ROUND(M1968*M1970,2),"")</f>
        <v/>
      </c>
      <c r="O1987" s="27" t="s">
        <v>363</v>
      </c>
      <c r="P1987" s="107" t="str">
        <f t="shared" ref="P1987:AI2008" si="6173">INDEX(P1974:P1986,MATCH(MAX($J1974:$J1986),$J1974:$J1986,0))</f>
        <v/>
      </c>
      <c r="Q1987" s="107" t="str">
        <f t="shared" si="6173"/>
        <v/>
      </c>
      <c r="R1987" s="107" t="str">
        <f t="shared" si="6173"/>
        <v/>
      </c>
      <c r="S1987" s="107" t="str">
        <f t="shared" si="6173"/>
        <v/>
      </c>
      <c r="T1987" s="107" t="str">
        <f t="shared" si="6173"/>
        <v/>
      </c>
      <c r="U1987" s="107" t="str">
        <f t="shared" si="6173"/>
        <v/>
      </c>
      <c r="V1987" s="107" t="str">
        <f t="shared" si="6173"/>
        <v/>
      </c>
      <c r="W1987" s="107" t="str">
        <f t="shared" si="6173"/>
        <v/>
      </c>
      <c r="X1987" s="107" t="str">
        <f t="shared" si="6173"/>
        <v/>
      </c>
      <c r="Y1987" s="107" t="str">
        <f t="shared" si="6173"/>
        <v/>
      </c>
      <c r="Z1987" s="107" t="str">
        <f t="shared" si="6173"/>
        <v/>
      </c>
      <c r="AA1987" s="107" t="str">
        <f t="shared" si="6173"/>
        <v/>
      </c>
      <c r="AB1987" s="107" t="str">
        <f t="shared" si="6173"/>
        <v/>
      </c>
      <c r="AC1987" s="107" t="str">
        <f t="shared" si="6173"/>
        <v/>
      </c>
      <c r="AD1987" s="107" t="str">
        <f t="shared" si="6173"/>
        <v/>
      </c>
      <c r="AE1987" s="107" t="str">
        <f t="shared" si="6173"/>
        <v/>
      </c>
      <c r="AF1987" s="107" t="str">
        <f t="shared" si="6173"/>
        <v/>
      </c>
      <c r="AG1987" s="107" t="str">
        <f t="shared" si="6173"/>
        <v/>
      </c>
      <c r="AH1987" s="107" t="str">
        <f t="shared" si="6173"/>
        <v/>
      </c>
      <c r="AI1987" s="107" t="str">
        <f t="shared" si="6173"/>
        <v/>
      </c>
    </row>
    <row r="1989" spans="1:167" s="117" customFormat="1" ht="15" customHeight="1" x14ac:dyDescent="0.25">
      <c r="A1989" s="120"/>
      <c r="B1989" s="127" t="e">
        <f t="shared" ref="B1989" si="6174">LARGE(IFERROR(IF(B1987+1&gt;$H$8,"",B1987+1),""),1)</f>
        <v>#VALUE!</v>
      </c>
      <c r="C1989" s="127" t="e">
        <f>IF(_xlfn.ISFORMULA(E1993),MAX(INDEX('BASE FORMAÇÃO'!A:A,B1989+1),1),E1993)</f>
        <v>#VALUE!</v>
      </c>
      <c r="D1989" s="127">
        <f t="shared" ref="D1989" si="6175">IFERROR(IF(C1989=C1979,D1979+1,1),1)</f>
        <v>1</v>
      </c>
      <c r="E1989" s="38" t="s">
        <v>9</v>
      </c>
      <c r="F1989" s="73"/>
      <c r="G1989" s="38" t="s">
        <v>15</v>
      </c>
      <c r="H1989" s="135" t="e">
        <f>INDEX('BASE FORMAÇÃO'!B:B,B1989+1)</f>
        <v>#VALUE!</v>
      </c>
      <c r="I1989" s="143" t="s">
        <v>16</v>
      </c>
      <c r="J1989" s="6" t="e">
        <f>INDEX('BASE FORMAÇÃO'!K:K,B1989+1)</f>
        <v>#VALUE!</v>
      </c>
      <c r="K1989" s="65"/>
      <c r="L1989" s="750" t="s">
        <v>10</v>
      </c>
      <c r="M1989" s="752" t="str">
        <f t="shared" ref="M1989" si="6176">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7">B1989</f>
        <v>#VALUE!</v>
      </c>
      <c r="C1990" s="128" t="e">
        <f t="shared" si="6177"/>
        <v>#VALUE!</v>
      </c>
      <c r="D1990" s="127">
        <f t="shared" si="6177"/>
        <v>1</v>
      </c>
      <c r="E1990" s="754">
        <f t="shared" ref="E1990" si="6178">D1989</f>
        <v>1</v>
      </c>
      <c r="F1990" s="92"/>
      <c r="G1990" s="756" t="s">
        <v>1</v>
      </c>
      <c r="H1990" s="759" t="e">
        <f>INDEX('BASE FORMAÇÃO'!C:C,B1989+1)</f>
        <v>#VALUE!</v>
      </c>
      <c r="I1990" s="759"/>
      <c r="J1990" s="760"/>
      <c r="K1990" s="66"/>
      <c r="L1990" s="751"/>
      <c r="M1990" s="753"/>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9">B1990</f>
        <v>#VALUE!</v>
      </c>
      <c r="C1991" s="128" t="e">
        <f t="shared" si="6179"/>
        <v>#VALUE!</v>
      </c>
      <c r="D1991" s="127">
        <f t="shared" si="6179"/>
        <v>1</v>
      </c>
      <c r="E1991" s="755"/>
      <c r="F1991" s="93"/>
      <c r="G1991" s="757"/>
      <c r="H1991" s="761"/>
      <c r="I1991" s="761"/>
      <c r="J1991" s="762"/>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80">B1991</f>
        <v>#VALUE!</v>
      </c>
      <c r="C1992" s="128" t="e">
        <f t="shared" si="6180"/>
        <v>#VALUE!</v>
      </c>
      <c r="D1992" s="127">
        <f t="shared" si="6152"/>
        <v>1</v>
      </c>
      <c r="E1992" s="38" t="s">
        <v>313</v>
      </c>
      <c r="F1992" s="93"/>
      <c r="G1992" s="758"/>
      <c r="H1992" s="763"/>
      <c r="I1992" s="763"/>
      <c r="J1992" s="764"/>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81">B1991</f>
        <v>#VALUE!</v>
      </c>
      <c r="C1993" s="128" t="e">
        <f t="shared" si="6181"/>
        <v>#VALUE!</v>
      </c>
      <c r="D1993" s="127">
        <f t="shared" si="6152"/>
        <v>1</v>
      </c>
      <c r="E1993" s="742" t="e">
        <f t="shared" ref="E1993" si="6182">C1989</f>
        <v>#VALUE!</v>
      </c>
      <c r="F1993" s="93"/>
      <c r="G1993" s="744" t="s">
        <v>304</v>
      </c>
      <c r="H1993" s="746"/>
      <c r="I1993" s="747"/>
      <c r="J1993" s="747"/>
      <c r="K1993" s="67"/>
      <c r="L1993" s="28" t="s">
        <v>303</v>
      </c>
      <c r="M1993" s="133" t="str">
        <f t="shared" ref="M1993" si="6183">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4">B1993</f>
        <v>#VALUE!</v>
      </c>
      <c r="C1994" s="128" t="e">
        <f t="shared" ref="C1994" si="6185">C1993</f>
        <v>#VALUE!</v>
      </c>
      <c r="D1994" s="127">
        <f t="shared" ref="D1994" si="6186">D1993</f>
        <v>1</v>
      </c>
      <c r="E1994" s="743"/>
      <c r="F1994" s="93"/>
      <c r="G1994" s="745"/>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7">B1994</f>
        <v>#VALUE!</v>
      </c>
      <c r="C1995" s="128" t="e">
        <f t="shared" si="6187"/>
        <v>#VALUE!</v>
      </c>
      <c r="D1995" s="127">
        <f t="shared" si="6152"/>
        <v>1</v>
      </c>
      <c r="E1995" s="743"/>
      <c r="F1995" s="93"/>
      <c r="G1995" s="745"/>
      <c r="H1995" s="134">
        <f t="shared" ref="H1995" si="6188">COUNT($P1995:$XX1995)</f>
        <v>0</v>
      </c>
      <c r="I1995" s="132" t="e">
        <f t="shared" ref="I1995" si="6189">_xlfn.STDEV.P($P1994:$XX1995)/AVERAGE($P1994:$XX1995)</f>
        <v>#DIV/0!</v>
      </c>
      <c r="J1995" s="7">
        <f>ROW()</f>
        <v>1995</v>
      </c>
      <c r="K1995" s="67"/>
      <c r="L1995" s="29" t="s">
        <v>10</v>
      </c>
      <c r="M1995" s="30" t="str">
        <f t="shared" ref="M1995" si="6190">IFERROR(
IF(COUNTA(P1989:AI1989)=COUNTIF(P1991:XX1991,"Orçamento"),MIN(M2000,M1997),
IF(M1998&lt;&gt;"",M1998,
IF(M1999&lt;&gt;"",M1999,
M1997
))),"")</f>
        <v/>
      </c>
      <c r="N1995" s="71"/>
      <c r="O1995" s="27" t="s">
        <v>376</v>
      </c>
      <c r="P1995" s="106" t="str">
        <f t="shared" ref="P1995:AI1995" si="6191">IFERROR(IF(P1993="",
            "",
            IF(COUNT($P1993:$XX1993)&lt;=4,
               P1993,
               IF(OR(P1993&gt;(QUARTILE($P1993:$XX1993,3)+(QUARTILE($P1993:$XX1993,3)-QUARTILE($P1993:$XX1993,1))),
                     P1993&lt;(QUARTILE($P1993:$XX1993,1)-(QUARTILE($P1993:$XX1993,3)-QUARTILE($P1993:$XX1993,1)))
                  ),
               "DESCARTADO",P1993)
             )
  ),P1993)</f>
        <v/>
      </c>
      <c r="Q1995" s="106" t="str">
        <f t="shared" si="6191"/>
        <v/>
      </c>
      <c r="R1995" s="106" t="str">
        <f t="shared" si="6191"/>
        <v/>
      </c>
      <c r="S1995" s="106" t="str">
        <f t="shared" si="6191"/>
        <v/>
      </c>
      <c r="T1995" s="106" t="str">
        <f t="shared" si="6191"/>
        <v/>
      </c>
      <c r="U1995" s="106" t="str">
        <f t="shared" si="6191"/>
        <v/>
      </c>
      <c r="V1995" s="106" t="str">
        <f t="shared" si="6191"/>
        <v/>
      </c>
      <c r="W1995" s="106" t="str">
        <f t="shared" si="6191"/>
        <v/>
      </c>
      <c r="X1995" s="106" t="str">
        <f t="shared" si="6191"/>
        <v/>
      </c>
      <c r="Y1995" s="106" t="str">
        <f t="shared" si="6191"/>
        <v/>
      </c>
      <c r="Z1995" s="106" t="str">
        <f t="shared" si="6191"/>
        <v/>
      </c>
      <c r="AA1995" s="106" t="str">
        <f t="shared" si="6191"/>
        <v/>
      </c>
      <c r="AB1995" s="106" t="str">
        <f t="shared" si="6191"/>
        <v/>
      </c>
      <c r="AC1995" s="106" t="str">
        <f t="shared" si="6191"/>
        <v/>
      </c>
      <c r="AD1995" s="106" t="str">
        <f t="shared" si="6191"/>
        <v/>
      </c>
      <c r="AE1995" s="106" t="str">
        <f t="shared" si="6191"/>
        <v/>
      </c>
      <c r="AF1995" s="106" t="str">
        <f t="shared" si="6191"/>
        <v/>
      </c>
      <c r="AG1995" s="106" t="str">
        <f t="shared" si="6191"/>
        <v/>
      </c>
      <c r="AH1995" s="106" t="str">
        <f t="shared" si="6191"/>
        <v/>
      </c>
      <c r="AI1995" s="106" t="str">
        <f t="shared" si="6191"/>
        <v/>
      </c>
    </row>
    <row r="1996" spans="1:167" hidden="1" x14ac:dyDescent="0.25">
      <c r="B1996" s="128" t="e">
        <f t="shared" ref="B1996" si="6192">B1995</f>
        <v>#VALUE!</v>
      </c>
      <c r="C1996" s="128" t="e">
        <f t="shared" ref="C1996" si="6193">C1995</f>
        <v>#VALUE!</v>
      </c>
      <c r="D1996" s="127">
        <f t="shared" ref="D1996" si="6194">D1995</f>
        <v>1</v>
      </c>
      <c r="E1996" s="743"/>
      <c r="F1996" s="93"/>
      <c r="G1996" s="745"/>
      <c r="H1996"/>
      <c r="I1996"/>
      <c r="J1996"/>
      <c r="K1996" s="66"/>
      <c r="L1996" s="29" t="s">
        <v>360</v>
      </c>
      <c r="M1996" s="30" t="e">
        <f t="shared" ref="M1996" si="6195">AVERAGE($P1995:$XX1995)</f>
        <v>#DIV/0!</v>
      </c>
      <c r="N1996" s="71"/>
      <c r="O1996" s="27" t="str">
        <f t="shared" ref="O1996" si="6196">"1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52"/>
        <v>#VALUE!</v>
      </c>
      <c r="C1997" s="128" t="e">
        <f t="shared" si="6152"/>
        <v>#VALUE!</v>
      </c>
      <c r="D1997" s="127">
        <f t="shared" si="6152"/>
        <v>1</v>
      </c>
      <c r="E1997" s="743"/>
      <c r="F1997" s="93"/>
      <c r="G1997" s="745"/>
      <c r="H1997" s="134">
        <f t="shared" ref="H1997" si="6197">COUNT($P1997:$XX1997)</f>
        <v>0</v>
      </c>
      <c r="I1997" s="132" t="e">
        <f t="shared" ref="I1997" si="6198">_xlfn.STDEV.P($P1996:$XX1997)/AVERAGE($P1996:$XX1997)</f>
        <v>#DIV/0!</v>
      </c>
      <c r="J1997" s="7">
        <f t="shared" ref="J1997" si="6199">IF(AND(H1997&gt;2,
OR(L1989="MÉDIA SANEADA",L1989="MEDIANA SANEADA",
AND(L1989="PREÇO ESTIMADO",NOT(AND(P1991="Orçamento",COUNTA(P1989:XX1989)=COUNTIF(P1991:XX1991,"Orçamento")))))),
ROW(),0)</f>
        <v>0</v>
      </c>
      <c r="K1997" s="66"/>
      <c r="L1997" s="29" t="s">
        <v>361</v>
      </c>
      <c r="M1997" s="30" t="e">
        <f t="shared" ref="M1997" si="6200">MEDIAN($P1995:$XX1995)</f>
        <v>#NUM!</v>
      </c>
      <c r="N1997" s="71"/>
      <c r="O1997" s="27" t="str">
        <f t="shared" ref="O1997" si="6201">"1 RODADA"</f>
        <v>1 RODADA</v>
      </c>
      <c r="P1997" s="107" t="str">
        <f t="shared" ref="P1997:AI1997" si="6202">IF(P1995="","",IF((_xlfn.STDEV.P($P1994:$XX1995)/AVERAGE($P1994:$XX1995))&lt;=25%,P1995,IF(OR(P1995&gt;(AVERAGE($P1994:$XX1995)+_xlfn.STDEV.P($P1994:$XX1995)),P1995&lt;(AVERAGE($P1994:$XX1995)-_xlfn.STDEV.P($P1994:$XX1995))),"DESCARTADO",P1995)))</f>
        <v/>
      </c>
      <c r="Q1997" s="107" t="str">
        <f t="shared" si="6202"/>
        <v/>
      </c>
      <c r="R1997" s="107" t="str">
        <f t="shared" si="6202"/>
        <v/>
      </c>
      <c r="S1997" s="107" t="str">
        <f t="shared" si="6202"/>
        <v/>
      </c>
      <c r="T1997" s="107" t="str">
        <f t="shared" si="6202"/>
        <v/>
      </c>
      <c r="U1997" s="107" t="str">
        <f t="shared" si="6202"/>
        <v/>
      </c>
      <c r="V1997" s="107" t="str">
        <f t="shared" si="6202"/>
        <v/>
      </c>
      <c r="W1997" s="107" t="str">
        <f t="shared" si="6202"/>
        <v/>
      </c>
      <c r="X1997" s="107" t="str">
        <f t="shared" si="6202"/>
        <v/>
      </c>
      <c r="Y1997" s="107" t="str">
        <f t="shared" si="6202"/>
        <v/>
      </c>
      <c r="Z1997" s="107" t="str">
        <f t="shared" si="6202"/>
        <v/>
      </c>
      <c r="AA1997" s="107" t="str">
        <f t="shared" si="6202"/>
        <v/>
      </c>
      <c r="AB1997" s="107" t="str">
        <f t="shared" si="6202"/>
        <v/>
      </c>
      <c r="AC1997" s="107" t="str">
        <f t="shared" si="6202"/>
        <v/>
      </c>
      <c r="AD1997" s="107" t="str">
        <f t="shared" si="6202"/>
        <v/>
      </c>
      <c r="AE1997" s="107" t="str">
        <f t="shared" si="6202"/>
        <v/>
      </c>
      <c r="AF1997" s="107" t="str">
        <f t="shared" si="6202"/>
        <v/>
      </c>
      <c r="AG1997" s="107" t="str">
        <f t="shared" si="6202"/>
        <v/>
      </c>
      <c r="AH1997" s="107" t="str">
        <f t="shared" si="6202"/>
        <v/>
      </c>
      <c r="AI1997" s="107" t="str">
        <f t="shared" si="6202"/>
        <v/>
      </c>
    </row>
    <row r="1998" spans="1:167" hidden="1" x14ac:dyDescent="0.25">
      <c r="B1998" s="128" t="e">
        <f t="shared" ref="B1998:D2013" si="6203">B1997</f>
        <v>#VALUE!</v>
      </c>
      <c r="C1998" s="128" t="e">
        <f t="shared" si="6203"/>
        <v>#VALUE!</v>
      </c>
      <c r="D1998" s="127">
        <f t="shared" si="6203"/>
        <v>1</v>
      </c>
      <c r="E1998" s="743"/>
      <c r="F1998" s="93"/>
      <c r="G1998" s="745"/>
      <c r="H1998"/>
      <c r="I1998"/>
      <c r="J1998"/>
      <c r="L1998" s="29" t="s">
        <v>38</v>
      </c>
      <c r="M1998" s="30" t="str">
        <f t="shared" ref="M1998" si="6204">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205">"2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203"/>
        <v>#VALUE!</v>
      </c>
      <c r="C1999" s="128" t="e">
        <f t="shared" si="6203"/>
        <v>#VALUE!</v>
      </c>
      <c r="D1999" s="127">
        <f t="shared" si="6203"/>
        <v>1</v>
      </c>
      <c r="E1999" s="743"/>
      <c r="F1999" s="93"/>
      <c r="G1999" s="745"/>
      <c r="H1999" s="134">
        <f t="shared" ref="H1999" si="6206">COUNT($P1999:$XX1999)</f>
        <v>0</v>
      </c>
      <c r="I1999" s="132" t="e">
        <f t="shared" ref="I1999" si="6207">_xlfn.STDEV.P($P1998:$XX1999)/AVERAGE($P1998:$XX1999)</f>
        <v>#DIV/0!</v>
      </c>
      <c r="J1999" s="7">
        <f t="shared" ref="J1999" si="6208">IF(AND(H1999&gt;2,
OR(L1989="MÉDIA SANEADA",L1989="MEDIANA SANEADA",
AND(L1989="PREÇO ESTIMADO",NOT(AND(P1991="Orçamento",COUNTA(P1989:XX1989)=COUNTIF(P1991:XX1991,"Orçamento")))))),
ROW(),0)</f>
        <v>0</v>
      </c>
      <c r="K1999" s="66"/>
      <c r="L1999" s="29" t="s">
        <v>362</v>
      </c>
      <c r="M1999" s="30" t="e">
        <f t="shared" ref="M1999" si="6209" xml:space="preserve">
IF(H1997&gt;2,MEDIAN(P1996:XX1997),
IF(H1999&gt;2,MEDIAN(P1998:XX1999),
IF(H2001&gt;2,MEDIAN(P2000:XX2001),
IF(H2003&gt;2,MEDIAN(P2002:XX2003),
IF(H2005&gt;2,MEDIAN(P2004:XX2005),
IF(H2007&gt;2,MEDIAN(P2006:XX2007),
MEDIAN(P1994:XX1995)))))))</f>
        <v>#NUM!</v>
      </c>
      <c r="N1999" s="71"/>
      <c r="O1999" s="27" t="str">
        <f t="shared" ref="O1999" si="6210">"2 RODADA"</f>
        <v>2 RODADA</v>
      </c>
      <c r="P1999" s="107" t="str">
        <f t="shared" ref="P1999:AI1999" si="6211">IF(P1997="","",IF((_xlfn.STDEV.P($P1996:$XX1997)/AVERAGE($P1996:$XX1997))&lt;=25%,P1997,IF(OR(P1997&gt;(AVERAGE($P1996:$XX1997)+_xlfn.STDEV.P($P1996:$XX1997)),P1997&lt;(AVERAGE($P1996:$XX1997)-_xlfn.STDEV.P($P1996:$XX1997))),"DESCARTADO",P1997)))</f>
        <v/>
      </c>
      <c r="Q1999" s="107" t="str">
        <f t="shared" si="6211"/>
        <v/>
      </c>
      <c r="R1999" s="107" t="str">
        <f t="shared" si="6211"/>
        <v/>
      </c>
      <c r="S1999" s="107" t="str">
        <f t="shared" si="6211"/>
        <v/>
      </c>
      <c r="T1999" s="107" t="str">
        <f t="shared" si="6211"/>
        <v/>
      </c>
      <c r="U1999" s="107" t="str">
        <f t="shared" si="6211"/>
        <v/>
      </c>
      <c r="V1999" s="107" t="str">
        <f t="shared" si="6211"/>
        <v/>
      </c>
      <c r="W1999" s="107" t="str">
        <f t="shared" si="6211"/>
        <v/>
      </c>
      <c r="X1999" s="107" t="str">
        <f t="shared" si="6211"/>
        <v/>
      </c>
      <c r="Y1999" s="107" t="str">
        <f t="shared" si="6211"/>
        <v/>
      </c>
      <c r="Z1999" s="107" t="str">
        <f t="shared" si="6211"/>
        <v/>
      </c>
      <c r="AA1999" s="107" t="str">
        <f t="shared" si="6211"/>
        <v/>
      </c>
      <c r="AB1999" s="107" t="str">
        <f t="shared" si="6211"/>
        <v/>
      </c>
      <c r="AC1999" s="107" t="str">
        <f t="shared" si="6211"/>
        <v/>
      </c>
      <c r="AD1999" s="107" t="str">
        <f t="shared" si="6211"/>
        <v/>
      </c>
      <c r="AE1999" s="107" t="str">
        <f t="shared" si="6211"/>
        <v/>
      </c>
      <c r="AF1999" s="107" t="str">
        <f t="shared" si="6211"/>
        <v/>
      </c>
      <c r="AG1999" s="107" t="str">
        <f t="shared" si="6211"/>
        <v/>
      </c>
      <c r="AH1999" s="107" t="str">
        <f t="shared" si="6211"/>
        <v/>
      </c>
      <c r="AI1999" s="107" t="str">
        <f t="shared" si="6211"/>
        <v/>
      </c>
    </row>
    <row r="2000" spans="1:167" hidden="1" x14ac:dyDescent="0.25">
      <c r="B2000" s="128" t="e">
        <f t="shared" si="6203"/>
        <v>#VALUE!</v>
      </c>
      <c r="C2000" s="128" t="e">
        <f t="shared" si="6203"/>
        <v>#VALUE!</v>
      </c>
      <c r="D2000" s="127">
        <f t="shared" si="6203"/>
        <v>1</v>
      </c>
      <c r="E2000" s="743"/>
      <c r="F2000" s="93"/>
      <c r="G2000" s="745"/>
      <c r="H2000"/>
      <c r="I2000"/>
      <c r="J2000"/>
      <c r="K2000" s="66"/>
      <c r="L2000" s="29" t="s">
        <v>359</v>
      </c>
      <c r="M2000" s="30" t="e">
        <f t="shared" ref="M2000" si="6212">HARMEAN($P1994:$XX1995)</f>
        <v>#N/A</v>
      </c>
      <c r="N2000" s="71"/>
      <c r="O2000" s="27" t="str">
        <f t="shared" ref="O2000" si="6213">"3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203"/>
        <v>#VALUE!</v>
      </c>
      <c r="C2001" s="128" t="e">
        <f t="shared" si="6203"/>
        <v>#VALUE!</v>
      </c>
      <c r="D2001" s="127">
        <f t="shared" si="6203"/>
        <v>1</v>
      </c>
      <c r="E2001" s="743"/>
      <c r="F2001" s="93"/>
      <c r="G2001" s="745"/>
      <c r="H2001" s="134">
        <f t="shared" ref="H2001" si="6214">COUNT($P2001:$XX2001)</f>
        <v>0</v>
      </c>
      <c r="I2001" s="132" t="e">
        <f t="shared" ref="I2001" si="6215">_xlfn.STDEV.P($P2000:$XX2001)/AVERAGE($P2000:$XX2001)</f>
        <v>#DIV/0!</v>
      </c>
      <c r="J2001" s="7">
        <f t="shared" ref="J2001" si="6216">IF(AND(H2001&gt;2,
OR(L1989="MÉDIA SANEADA",L1989="MEDIANA SANEADA",
AND(L1989="PREÇO ESTIMADO",NOT(AND(P1991="Orçamento",COUNTA(P1989:XX1989)=COUNTIF(P1991:XX1991,"Orçamento")))))),
ROW(),0)</f>
        <v>0</v>
      </c>
      <c r="K2001" s="66"/>
      <c r="L2001" s="29" t="s">
        <v>41</v>
      </c>
      <c r="M2001" s="30" t="str">
        <f t="shared" ref="M2001" si="6217">IFERROR(_xlfn.QUARTILE.EXC($P1995:$XX1995,1),"")</f>
        <v/>
      </c>
      <c r="N2001" s="71"/>
      <c r="O2001" s="27" t="str">
        <f t="shared" ref="O2001" si="6218">"3 RODADA"</f>
        <v>3 RODADA</v>
      </c>
      <c r="P2001" s="107" t="str">
        <f t="shared" ref="P2001:AI2001" si="6219">IF(P1999="","",IF((_xlfn.STDEV.P($P1998:$XX1999)/AVERAGE($P1998:$XX1999))&lt;=25%,P1999,IF(OR(P1999&gt;(AVERAGE($P1998:$XX1999)+_xlfn.STDEV.P($P1998:$XX1999)),P1999&lt;(AVERAGE($P1998:$XX1999)-_xlfn.STDEV.P($P1998:$XX1999))),"DESCARTADO",P1999)))</f>
        <v/>
      </c>
      <c r="Q2001" s="107" t="str">
        <f t="shared" si="6219"/>
        <v/>
      </c>
      <c r="R2001" s="107" t="str">
        <f t="shared" si="6219"/>
        <v/>
      </c>
      <c r="S2001" s="107" t="str">
        <f t="shared" si="6219"/>
        <v/>
      </c>
      <c r="T2001" s="107" t="str">
        <f t="shared" si="6219"/>
        <v/>
      </c>
      <c r="U2001" s="107" t="str">
        <f t="shared" si="6219"/>
        <v/>
      </c>
      <c r="V2001" s="107" t="str">
        <f t="shared" si="6219"/>
        <v/>
      </c>
      <c r="W2001" s="107" t="str">
        <f t="shared" si="6219"/>
        <v/>
      </c>
      <c r="X2001" s="107" t="str">
        <f t="shared" si="6219"/>
        <v/>
      </c>
      <c r="Y2001" s="107" t="str">
        <f t="shared" si="6219"/>
        <v/>
      </c>
      <c r="Z2001" s="107" t="str">
        <f t="shared" si="6219"/>
        <v/>
      </c>
      <c r="AA2001" s="107" t="str">
        <f t="shared" si="6219"/>
        <v/>
      </c>
      <c r="AB2001" s="107" t="str">
        <f t="shared" si="6219"/>
        <v/>
      </c>
      <c r="AC2001" s="107" t="str">
        <f t="shared" si="6219"/>
        <v/>
      </c>
      <c r="AD2001" s="107" t="str">
        <f t="shared" si="6219"/>
        <v/>
      </c>
      <c r="AE2001" s="107" t="str">
        <f t="shared" si="6219"/>
        <v/>
      </c>
      <c r="AF2001" s="107" t="str">
        <f t="shared" si="6219"/>
        <v/>
      </c>
      <c r="AG2001" s="107" t="str">
        <f t="shared" si="6219"/>
        <v/>
      </c>
      <c r="AH2001" s="107" t="str">
        <f t="shared" si="6219"/>
        <v/>
      </c>
      <c r="AI2001" s="107" t="str">
        <f t="shared" si="6219"/>
        <v/>
      </c>
    </row>
    <row r="2002" spans="1:167" hidden="1" x14ac:dyDescent="0.25">
      <c r="B2002" s="128" t="e">
        <f t="shared" si="6203"/>
        <v>#VALUE!</v>
      </c>
      <c r="C2002" s="128" t="e">
        <f t="shared" si="6203"/>
        <v>#VALUE!</v>
      </c>
      <c r="D2002" s="127">
        <f t="shared" si="6203"/>
        <v>1</v>
      </c>
      <c r="E2002" s="743"/>
      <c r="F2002" s="93"/>
      <c r="G2002" s="745"/>
      <c r="H2002"/>
      <c r="I2002"/>
      <c r="J2002"/>
      <c r="K2002" s="66"/>
      <c r="L2002" s="29" t="s">
        <v>39</v>
      </c>
      <c r="M2002" s="30" t="str">
        <f t="shared" ref="M2002" si="6220">IFERROR(_xlfn.QUARTILE.EXC($P1995:$XX1995,3),"")</f>
        <v/>
      </c>
      <c r="N2002" s="71"/>
      <c r="O2002" s="27" t="str">
        <f t="shared" ref="O2002" si="6221">"4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203"/>
        <v>#VALUE!</v>
      </c>
      <c r="C2003" s="128" t="e">
        <f t="shared" si="6203"/>
        <v>#VALUE!</v>
      </c>
      <c r="D2003" s="127">
        <f t="shared" si="6203"/>
        <v>1</v>
      </c>
      <c r="E2003" s="743"/>
      <c r="F2003" s="93"/>
      <c r="G2003" s="745"/>
      <c r="H2003" s="134">
        <f t="shared" ref="H2003" si="6222">COUNT($P2003:$XX2003)</f>
        <v>0</v>
      </c>
      <c r="I2003" s="132" t="e">
        <f t="shared" ref="I2003" si="6223">_xlfn.STDEV.P($P2002:$XX2003)/AVERAGE($P2002:$XX2003)</f>
        <v>#DIV/0!</v>
      </c>
      <c r="J2003" s="7">
        <f t="shared" ref="J2003" si="6224">IF(AND(H2003&gt;2,
OR(L1989="MÉDIA SANEADA",L1989="MEDIANA SANEADA",
AND(L1989="PREÇO ESTIMADO",NOT(AND(P1991="Orçamento",COUNTA(P1989:XX1989)=COUNTIF(P1991:XX1991,"Orçamento")))))),
ROW(),0)</f>
        <v>0</v>
      </c>
      <c r="K2003" s="66"/>
      <c r="L2003" s="29" t="s">
        <v>42</v>
      </c>
      <c r="M2003" s="30">
        <f t="shared" ref="M2003" si="6225">MIN($P1995:$XX1995)</f>
        <v>0</v>
      </c>
      <c r="N2003" s="71"/>
      <c r="O2003" s="27" t="str">
        <f t="shared" ref="O2003" si="6226">"4 RODADA"</f>
        <v>4 RODADA</v>
      </c>
      <c r="P2003" s="107" t="str">
        <f t="shared" ref="P2003:AI2003" si="6227">IF(P2001="","",IF((_xlfn.STDEV.P($P2000:$XX2001)/AVERAGE($P2000:$XX2001))&lt;=25%,P2001,IF(OR(P2001&gt;(AVERAGE($P2000:$XX2001)+_xlfn.STDEV.P($P2000:$XX2001)),P2001&lt;(AVERAGE($P2000:$XX2001)-_xlfn.STDEV.P($P2000:$XX2001))),"DESCARTADO",P2001)))</f>
        <v/>
      </c>
      <c r="Q2003" s="107" t="str">
        <f t="shared" si="6227"/>
        <v/>
      </c>
      <c r="R2003" s="107" t="str">
        <f t="shared" si="6227"/>
        <v/>
      </c>
      <c r="S2003" s="107" t="str">
        <f t="shared" si="6227"/>
        <v/>
      </c>
      <c r="T2003" s="107" t="str">
        <f t="shared" si="6227"/>
        <v/>
      </c>
      <c r="U2003" s="107" t="str">
        <f t="shared" si="6227"/>
        <v/>
      </c>
      <c r="V2003" s="107" t="str">
        <f t="shared" si="6227"/>
        <v/>
      </c>
      <c r="W2003" s="107" t="str">
        <f t="shared" si="6227"/>
        <v/>
      </c>
      <c r="X2003" s="107" t="str">
        <f t="shared" si="6227"/>
        <v/>
      </c>
      <c r="Y2003" s="107" t="str">
        <f t="shared" si="6227"/>
        <v/>
      </c>
      <c r="Z2003" s="107" t="str">
        <f t="shared" si="6227"/>
        <v/>
      </c>
      <c r="AA2003" s="107" t="str">
        <f t="shared" si="6227"/>
        <v/>
      </c>
      <c r="AB2003" s="107" t="str">
        <f t="shared" si="6227"/>
        <v/>
      </c>
      <c r="AC2003" s="107" t="str">
        <f t="shared" si="6227"/>
        <v/>
      </c>
      <c r="AD2003" s="107" t="str">
        <f t="shared" si="6227"/>
        <v/>
      </c>
      <c r="AE2003" s="107" t="str">
        <f t="shared" si="6227"/>
        <v/>
      </c>
      <c r="AF2003" s="107" t="str">
        <f t="shared" si="6227"/>
        <v/>
      </c>
      <c r="AG2003" s="107" t="str">
        <f t="shared" si="6227"/>
        <v/>
      </c>
      <c r="AH2003" s="107" t="str">
        <f t="shared" si="6227"/>
        <v/>
      </c>
      <c r="AI2003" s="107" t="str">
        <f t="shared" si="6227"/>
        <v/>
      </c>
    </row>
    <row r="2004" spans="1:167" hidden="1" x14ac:dyDescent="0.25">
      <c r="B2004" s="128" t="e">
        <f t="shared" si="6203"/>
        <v>#VALUE!</v>
      </c>
      <c r="C2004" s="128" t="e">
        <f t="shared" si="6203"/>
        <v>#VALUE!</v>
      </c>
      <c r="D2004" s="127">
        <f t="shared" si="6203"/>
        <v>1</v>
      </c>
      <c r="E2004" s="743"/>
      <c r="F2004" s="93"/>
      <c r="G2004" s="745"/>
      <c r="H2004"/>
      <c r="I2004"/>
      <c r="J2004"/>
      <c r="K2004" s="66"/>
      <c r="L2004" s="29" t="s">
        <v>40</v>
      </c>
      <c r="M2004" s="30">
        <f t="shared" ref="M2004" si="6228">MAX($P1995:$XX1995)</f>
        <v>0</v>
      </c>
      <c r="N2004" s="71"/>
      <c r="O2004" s="27" t="str">
        <f t="shared" ref="O2004" si="6229">"5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203"/>
        <v>#VALUE!</v>
      </c>
      <c r="C2005" s="128" t="e">
        <f t="shared" si="6203"/>
        <v>#VALUE!</v>
      </c>
      <c r="D2005" s="127">
        <f t="shared" si="6203"/>
        <v>1</v>
      </c>
      <c r="E2005" s="743"/>
      <c r="F2005" s="93"/>
      <c r="G2005" s="745"/>
      <c r="H2005" s="134">
        <f t="shared" ref="H2005" si="6230">COUNT($P2005:$XX2005)</f>
        <v>0</v>
      </c>
      <c r="I2005" s="132" t="e">
        <f t="shared" ref="I2005" si="6231">_xlfn.STDEV.P($P2004:$XX2005)/AVERAGE($P2004:$XX2005)</f>
        <v>#DIV/0!</v>
      </c>
      <c r="J2005" s="7">
        <f t="shared" ref="J2005" si="6232">IF(AND(H2005&gt;2,
OR(L1989="MÉDIA SANEADA",L1989="MEDIANA SANEADA",
AND(L1989="PREÇO ESTIMADO",NOT(AND(P1991="Orçamento",COUNTA(P1989:XX1989)=COUNTIF(P1991:XX1991,"Orçamento")))))),
ROW(),0)</f>
        <v>0</v>
      </c>
      <c r="K2005" s="66"/>
      <c r="N2005" s="71"/>
      <c r="O2005" s="27" t="str">
        <f t="shared" ref="O2005" si="6233">"5 RODADA"</f>
        <v>5 RODADA</v>
      </c>
      <c r="P2005" s="107" t="str">
        <f t="shared" ref="P2005:AI2005" si="6234">IF(P2003="","",IF((_xlfn.STDEV.P($P2002:$XX2003)/AVERAGE($P2002:$XX2003))&lt;=25%,P2003,IF(OR(P2003&gt;(AVERAGE($P2002:$XX2003)+_xlfn.STDEV.P($P2002:$XX2003)),P2003&lt;(AVERAGE($P2002:$XX2003)-_xlfn.STDEV.P($P2002:$XX2003))),"DESCARTADO",P2003)))</f>
        <v/>
      </c>
      <c r="Q2005" s="107" t="str">
        <f t="shared" si="6234"/>
        <v/>
      </c>
      <c r="R2005" s="107" t="str">
        <f t="shared" si="6234"/>
        <v/>
      </c>
      <c r="S2005" s="107" t="str">
        <f t="shared" si="6234"/>
        <v/>
      </c>
      <c r="T2005" s="107" t="str">
        <f t="shared" si="6234"/>
        <v/>
      </c>
      <c r="U2005" s="107" t="str">
        <f t="shared" si="6234"/>
        <v/>
      </c>
      <c r="V2005" s="107" t="str">
        <f t="shared" si="6234"/>
        <v/>
      </c>
      <c r="W2005" s="107" t="str">
        <f t="shared" si="6234"/>
        <v/>
      </c>
      <c r="X2005" s="107" t="str">
        <f t="shared" si="6234"/>
        <v/>
      </c>
      <c r="Y2005" s="107" t="str">
        <f t="shared" si="6234"/>
        <v/>
      </c>
      <c r="Z2005" s="107" t="str">
        <f t="shared" si="6234"/>
        <v/>
      </c>
      <c r="AA2005" s="107" t="str">
        <f t="shared" si="6234"/>
        <v/>
      </c>
      <c r="AB2005" s="107" t="str">
        <f t="shared" si="6234"/>
        <v/>
      </c>
      <c r="AC2005" s="107" t="str">
        <f t="shared" si="6234"/>
        <v/>
      </c>
      <c r="AD2005" s="107" t="str">
        <f t="shared" si="6234"/>
        <v/>
      </c>
      <c r="AE2005" s="107" t="str">
        <f t="shared" si="6234"/>
        <v/>
      </c>
      <c r="AF2005" s="107" t="str">
        <f t="shared" si="6234"/>
        <v/>
      </c>
      <c r="AG2005" s="107" t="str">
        <f t="shared" si="6234"/>
        <v/>
      </c>
      <c r="AH2005" s="107" t="str">
        <f t="shared" si="6234"/>
        <v/>
      </c>
      <c r="AI2005" s="107" t="str">
        <f t="shared" si="6234"/>
        <v/>
      </c>
    </row>
    <row r="2006" spans="1:167" hidden="1" x14ac:dyDescent="0.25">
      <c r="B2006" s="128" t="e">
        <f t="shared" si="6203"/>
        <v>#VALUE!</v>
      </c>
      <c r="C2006" s="128" t="e">
        <f t="shared" si="6203"/>
        <v>#VALUE!</v>
      </c>
      <c r="D2006" s="127">
        <f t="shared" si="6203"/>
        <v>1</v>
      </c>
      <c r="E2006" s="743"/>
      <c r="F2006" s="93"/>
      <c r="G2006" s="745"/>
      <c r="H2006"/>
      <c r="I2006"/>
      <c r="J2006"/>
      <c r="K2006" s="66"/>
      <c r="L2006" s="22"/>
      <c r="M2006" s="22"/>
      <c r="N2006" s="71"/>
      <c r="O2006" s="27" t="str">
        <f t="shared" ref="O2006" si="6235">"6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203"/>
        <v>#VALUE!</v>
      </c>
      <c r="C2007" s="128" t="e">
        <f t="shared" si="6203"/>
        <v>#VALUE!</v>
      </c>
      <c r="D2007" s="127">
        <f t="shared" si="6203"/>
        <v>1</v>
      </c>
      <c r="E2007" s="743"/>
      <c r="F2007" s="93"/>
      <c r="G2007" s="745"/>
      <c r="H2007" s="134">
        <f t="shared" ref="H2007" si="6236">COUNT($P2007:$XX2007)</f>
        <v>0</v>
      </c>
      <c r="I2007" s="132" t="e">
        <f t="shared" ref="I2007" si="6237">_xlfn.STDEV.P($P2006:$XX2007)/AVERAGE($P2006:$XX2007)</f>
        <v>#DIV/0!</v>
      </c>
      <c r="J2007" s="7">
        <f t="shared" ref="J2007" si="6238">IF(AND(H2007&gt;2,
OR(L1989="MÉDIA SANEADA",L1989="MEDIANA SANEADA",
AND(L1989="PREÇO ESTIMADO",NOT(AND(P1991="Orçamento",COUNTA(P1989:XX1989)=COUNTIF(P1991:XX1991,"Orçamento")))))),
ROW(),0)</f>
        <v>0</v>
      </c>
      <c r="N2007" s="71"/>
      <c r="O2007" s="27" t="str">
        <f t="shared" ref="O2007" si="6239">"6 RODADA"</f>
        <v>6 RODADA</v>
      </c>
      <c r="P2007" s="107" t="str">
        <f t="shared" ref="P2007:AI2007" si="6240">IFERROR(IF(P2005="","",IF((_xlfn.STDEV.P($P2004:$XX2005)/AVERAGE($P2004:$XX2005))&lt;=25%,P2005,IF(OR(P2005&gt;(AVERAGE($P2004:$XX2005)+_xlfn.STDEV.P($P2004:$XX2005)),P2005&lt;(AVERAGE($P2004:$XX2005)-_xlfn.STDEV.P($P2004:$XX2005))),"DESCARTADO",P2005))),)</f>
        <v/>
      </c>
      <c r="Q2007" s="107" t="str">
        <f t="shared" si="6240"/>
        <v/>
      </c>
      <c r="R2007" s="107" t="str">
        <f t="shared" si="6240"/>
        <v/>
      </c>
      <c r="S2007" s="107" t="str">
        <f t="shared" si="6240"/>
        <v/>
      </c>
      <c r="T2007" s="107" t="str">
        <f t="shared" si="6240"/>
        <v/>
      </c>
      <c r="U2007" s="107" t="str">
        <f t="shared" si="6240"/>
        <v/>
      </c>
      <c r="V2007" s="107" t="str">
        <f t="shared" si="6240"/>
        <v/>
      </c>
      <c r="W2007" s="107" t="str">
        <f t="shared" si="6240"/>
        <v/>
      </c>
      <c r="X2007" s="107" t="str">
        <f t="shared" si="6240"/>
        <v/>
      </c>
      <c r="Y2007" s="107" t="str">
        <f t="shared" si="6240"/>
        <v/>
      </c>
      <c r="Z2007" s="107" t="str">
        <f t="shared" si="6240"/>
        <v/>
      </c>
      <c r="AA2007" s="107" t="str">
        <f t="shared" si="6240"/>
        <v/>
      </c>
      <c r="AB2007" s="107" t="str">
        <f t="shared" si="6240"/>
        <v/>
      </c>
      <c r="AC2007" s="107" t="str">
        <f t="shared" si="6240"/>
        <v/>
      </c>
      <c r="AD2007" s="107" t="str">
        <f t="shared" si="6240"/>
        <v/>
      </c>
      <c r="AE2007" s="107" t="str">
        <f t="shared" si="6240"/>
        <v/>
      </c>
      <c r="AF2007" s="107" t="str">
        <f t="shared" si="6240"/>
        <v/>
      </c>
      <c r="AG2007" s="107" t="str">
        <f t="shared" si="6240"/>
        <v/>
      </c>
      <c r="AH2007" s="107" t="str">
        <f t="shared" si="6240"/>
        <v/>
      </c>
      <c r="AI2007" s="107" t="str">
        <f t="shared" si="6240"/>
        <v/>
      </c>
    </row>
    <row r="2008" spans="1:167" x14ac:dyDescent="0.25">
      <c r="B2008" s="128" t="e">
        <f t="shared" si="6203"/>
        <v>#VALUE!</v>
      </c>
      <c r="C2008" s="128" t="e">
        <f t="shared" si="6203"/>
        <v>#VALUE!</v>
      </c>
      <c r="D2008" s="127">
        <f t="shared" si="6203"/>
        <v>1</v>
      </c>
      <c r="E2008" s="743"/>
      <c r="F2008" s="136"/>
      <c r="G2008" s="745"/>
      <c r="H2008" s="748"/>
      <c r="I2008" s="748"/>
      <c r="J2008" s="749"/>
      <c r="K2008" s="67"/>
      <c r="L2008" s="1" t="s">
        <v>43</v>
      </c>
      <c r="M2008" s="144" t="str">
        <f t="shared" ref="M2008" si="6241">IFERROR(ROUND(M1989*M1991,2),"")</f>
        <v/>
      </c>
      <c r="O2008" s="27" t="s">
        <v>363</v>
      </c>
      <c r="P2008" s="107" t="str">
        <f t="shared" ref="P2008:R2008" si="6242">INDEX(P1995:P2007,MATCH(MAX($J1995:$J2007),$J1995:$J2007,0))</f>
        <v/>
      </c>
      <c r="Q2008" s="107" t="str">
        <f t="shared" si="6242"/>
        <v/>
      </c>
      <c r="R2008" s="107" t="str">
        <f t="shared" si="6242"/>
        <v/>
      </c>
      <c r="S2008" s="107" t="str">
        <f t="shared" si="6173"/>
        <v/>
      </c>
      <c r="T2008" s="107" t="str">
        <f t="shared" si="6173"/>
        <v/>
      </c>
      <c r="U2008" s="107" t="str">
        <f t="shared" si="6173"/>
        <v/>
      </c>
      <c r="V2008" s="107" t="str">
        <f t="shared" si="6173"/>
        <v/>
      </c>
      <c r="W2008" s="107" t="str">
        <f t="shared" si="6173"/>
        <v/>
      </c>
      <c r="X2008" s="107" t="str">
        <f t="shared" si="6173"/>
        <v/>
      </c>
      <c r="Y2008" s="107" t="str">
        <f t="shared" si="6173"/>
        <v/>
      </c>
      <c r="Z2008" s="107" t="str">
        <f t="shared" si="6173"/>
        <v/>
      </c>
      <c r="AA2008" s="107" t="str">
        <f t="shared" si="6173"/>
        <v/>
      </c>
      <c r="AB2008" s="107" t="str">
        <f t="shared" si="6173"/>
        <v/>
      </c>
      <c r="AC2008" s="107" t="str">
        <f t="shared" si="6173"/>
        <v/>
      </c>
      <c r="AD2008" s="107" t="str">
        <f t="shared" si="6173"/>
        <v/>
      </c>
      <c r="AE2008" s="107" t="str">
        <f t="shared" si="6173"/>
        <v/>
      </c>
      <c r="AF2008" s="107" t="str">
        <f t="shared" si="6173"/>
        <v/>
      </c>
      <c r="AG2008" s="107" t="str">
        <f t="shared" si="6173"/>
        <v/>
      </c>
      <c r="AH2008" s="107" t="str">
        <f t="shared" si="6173"/>
        <v/>
      </c>
      <c r="AI2008" s="107" t="str">
        <f t="shared" si="6173"/>
        <v/>
      </c>
    </row>
    <row r="2010" spans="1:167" s="117" customFormat="1" ht="15" customHeight="1" x14ac:dyDescent="0.25">
      <c r="A2010" s="120"/>
      <c r="B2010" s="127" t="e">
        <f t="shared" ref="B2010" si="6243">LARGE(IFERROR(IF(B2008+1&gt;$H$8,"",B2008+1),""),1)</f>
        <v>#VALUE!</v>
      </c>
      <c r="C2010" s="127" t="e">
        <f>IF(_xlfn.ISFORMULA(E2014),MAX(INDEX('BASE FORMAÇÃO'!A:A,B2010+1),1),E2014)</f>
        <v>#VALUE!</v>
      </c>
      <c r="D2010" s="127">
        <f t="shared" ref="D2010" si="6244">IFERROR(IF(C2010=C2000,D2000+1,1),1)</f>
        <v>1</v>
      </c>
      <c r="E2010" s="38" t="s">
        <v>9</v>
      </c>
      <c r="F2010" s="73"/>
      <c r="G2010" s="38" t="s">
        <v>15</v>
      </c>
      <c r="H2010" s="135" t="e">
        <f>INDEX('BASE FORMAÇÃO'!B:B,B2010+1)</f>
        <v>#VALUE!</v>
      </c>
      <c r="I2010" s="143" t="s">
        <v>16</v>
      </c>
      <c r="J2010" s="6" t="e">
        <f>INDEX('BASE FORMAÇÃO'!K:K,B2010+1)</f>
        <v>#VALUE!</v>
      </c>
      <c r="K2010" s="65"/>
      <c r="L2010" s="750" t="s">
        <v>10</v>
      </c>
      <c r="M2010" s="752" t="str">
        <f t="shared" ref="M2010" si="6245">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46">B2010</f>
        <v>#VALUE!</v>
      </c>
      <c r="C2011" s="128" t="e">
        <f t="shared" si="6246"/>
        <v>#VALUE!</v>
      </c>
      <c r="D2011" s="127">
        <f t="shared" si="6246"/>
        <v>1</v>
      </c>
      <c r="E2011" s="754">
        <f t="shared" ref="E2011" si="6247">D2010</f>
        <v>1</v>
      </c>
      <c r="F2011" s="92"/>
      <c r="G2011" s="756" t="s">
        <v>1</v>
      </c>
      <c r="H2011" s="759" t="e">
        <f>INDEX('BASE FORMAÇÃO'!C:C,B2010+1)</f>
        <v>#VALUE!</v>
      </c>
      <c r="I2011" s="759"/>
      <c r="J2011" s="760"/>
      <c r="K2011" s="66"/>
      <c r="L2011" s="751"/>
      <c r="M2011" s="753"/>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8">B2011</f>
        <v>#VALUE!</v>
      </c>
      <c r="C2012" s="128" t="e">
        <f t="shared" si="6248"/>
        <v>#VALUE!</v>
      </c>
      <c r="D2012" s="127">
        <f t="shared" si="6248"/>
        <v>1</v>
      </c>
      <c r="E2012" s="755"/>
      <c r="F2012" s="93"/>
      <c r="G2012" s="757"/>
      <c r="H2012" s="761"/>
      <c r="I2012" s="761"/>
      <c r="J2012" s="762"/>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9">B2012</f>
        <v>#VALUE!</v>
      </c>
      <c r="C2013" s="128" t="e">
        <f t="shared" si="6249"/>
        <v>#VALUE!</v>
      </c>
      <c r="D2013" s="127">
        <f t="shared" si="6203"/>
        <v>1</v>
      </c>
      <c r="E2013" s="38" t="s">
        <v>313</v>
      </c>
      <c r="F2013" s="93"/>
      <c r="G2013" s="758"/>
      <c r="H2013" s="763"/>
      <c r="I2013" s="763"/>
      <c r="J2013" s="764"/>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50">B2012</f>
        <v>#VALUE!</v>
      </c>
      <c r="C2014" s="128" t="e">
        <f t="shared" si="6250"/>
        <v>#VALUE!</v>
      </c>
      <c r="D2014" s="127">
        <f t="shared" ref="D2014:D2077" si="6251">D2013</f>
        <v>1</v>
      </c>
      <c r="E2014" s="742" t="e">
        <f t="shared" ref="E2014" si="6252">C2010</f>
        <v>#VALUE!</v>
      </c>
      <c r="F2014" s="93"/>
      <c r="G2014" s="744" t="s">
        <v>304</v>
      </c>
      <c r="H2014" s="746"/>
      <c r="I2014" s="747"/>
      <c r="J2014" s="747"/>
      <c r="K2014" s="67"/>
      <c r="L2014" s="28" t="s">
        <v>303</v>
      </c>
      <c r="M2014" s="133" t="str">
        <f t="shared" ref="M2014" si="6253">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54">B2014</f>
        <v>#VALUE!</v>
      </c>
      <c r="C2015" s="128" t="e">
        <f t="shared" ref="C2015" si="6255">C2014</f>
        <v>#VALUE!</v>
      </c>
      <c r="D2015" s="127">
        <f t="shared" si="6251"/>
        <v>1</v>
      </c>
      <c r="E2015" s="743"/>
      <c r="F2015" s="93"/>
      <c r="G2015" s="745"/>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56">B2015</f>
        <v>#VALUE!</v>
      </c>
      <c r="C2016" s="128" t="e">
        <f t="shared" si="6256"/>
        <v>#VALUE!</v>
      </c>
      <c r="D2016" s="127">
        <f t="shared" si="6251"/>
        <v>1</v>
      </c>
      <c r="E2016" s="743"/>
      <c r="F2016" s="93"/>
      <c r="G2016" s="745"/>
      <c r="H2016" s="134">
        <f t="shared" ref="H2016" si="6257">COUNT($P2016:$XX2016)</f>
        <v>0</v>
      </c>
      <c r="I2016" s="132" t="e">
        <f t="shared" ref="I2016" si="6258">_xlfn.STDEV.P($P2015:$XX2016)/AVERAGE($P2015:$XX2016)</f>
        <v>#DIV/0!</v>
      </c>
      <c r="J2016" s="7">
        <f>ROW()</f>
        <v>2016</v>
      </c>
      <c r="K2016" s="67"/>
      <c r="L2016" s="29" t="s">
        <v>10</v>
      </c>
      <c r="M2016" s="30" t="str">
        <f t="shared" ref="M2016" si="6259">IFERROR(
IF(COUNTA(P2010:AI2010)=COUNTIF(P2012:XX2012,"Orçamento"),MIN(M2021,M2018),
IF(M2019&lt;&gt;"",M2019,
IF(M2020&lt;&gt;"",M2020,
M2018
))),"")</f>
        <v/>
      </c>
      <c r="N2016" s="71"/>
      <c r="O2016" s="27" t="s">
        <v>376</v>
      </c>
      <c r="P2016" s="106" t="str">
        <f t="shared" ref="P2016:AI2016" si="6260">IFERROR(IF(P2014="",
            "",
            IF(COUNT($P2014:$XX2014)&lt;=4,
               P2014,
               IF(OR(P2014&gt;(QUARTILE($P2014:$XX2014,3)+(QUARTILE($P2014:$XX2014,3)-QUARTILE($P2014:$XX2014,1))),
                     P2014&lt;(QUARTILE($P2014:$XX2014,1)-(QUARTILE($P2014:$XX2014,3)-QUARTILE($P2014:$XX2014,1)))
                  ),
               "DESCARTADO",P2014)
             )
  ),P2014)</f>
        <v/>
      </c>
      <c r="Q2016" s="106" t="str">
        <f t="shared" si="6260"/>
        <v/>
      </c>
      <c r="R2016" s="106" t="str">
        <f t="shared" si="6260"/>
        <v/>
      </c>
      <c r="S2016" s="106" t="str">
        <f t="shared" si="6260"/>
        <v/>
      </c>
      <c r="T2016" s="106" t="str">
        <f t="shared" si="6260"/>
        <v/>
      </c>
      <c r="U2016" s="106" t="str">
        <f t="shared" si="6260"/>
        <v/>
      </c>
      <c r="V2016" s="106" t="str">
        <f t="shared" si="6260"/>
        <v/>
      </c>
      <c r="W2016" s="106" t="str">
        <f t="shared" si="6260"/>
        <v/>
      </c>
      <c r="X2016" s="106" t="str">
        <f t="shared" si="6260"/>
        <v/>
      </c>
      <c r="Y2016" s="106" t="str">
        <f t="shared" si="6260"/>
        <v/>
      </c>
      <c r="Z2016" s="106" t="str">
        <f t="shared" si="6260"/>
        <v/>
      </c>
      <c r="AA2016" s="106" t="str">
        <f t="shared" si="6260"/>
        <v/>
      </c>
      <c r="AB2016" s="106" t="str">
        <f t="shared" si="6260"/>
        <v/>
      </c>
      <c r="AC2016" s="106" t="str">
        <f t="shared" si="6260"/>
        <v/>
      </c>
      <c r="AD2016" s="106" t="str">
        <f t="shared" si="6260"/>
        <v/>
      </c>
      <c r="AE2016" s="106" t="str">
        <f t="shared" si="6260"/>
        <v/>
      </c>
      <c r="AF2016" s="106" t="str">
        <f t="shared" si="6260"/>
        <v/>
      </c>
      <c r="AG2016" s="106" t="str">
        <f t="shared" si="6260"/>
        <v/>
      </c>
      <c r="AH2016" s="106" t="str">
        <f t="shared" si="6260"/>
        <v/>
      </c>
      <c r="AI2016" s="106" t="str">
        <f t="shared" si="6260"/>
        <v/>
      </c>
    </row>
    <row r="2017" spans="1:167" hidden="1" x14ac:dyDescent="0.25">
      <c r="B2017" s="128" t="e">
        <f t="shared" ref="B2017:B2071" si="6261">B2016</f>
        <v>#VALUE!</v>
      </c>
      <c r="C2017" s="128" t="e">
        <f t="shared" ref="C2017:C2071" si="6262">C2016</f>
        <v>#VALUE!</v>
      </c>
      <c r="D2017" s="127">
        <f t="shared" si="6251"/>
        <v>1</v>
      </c>
      <c r="E2017" s="743"/>
      <c r="F2017" s="93"/>
      <c r="G2017" s="745"/>
      <c r="H2017"/>
      <c r="I2017"/>
      <c r="J2017"/>
      <c r="K2017" s="66"/>
      <c r="L2017" s="29" t="s">
        <v>360</v>
      </c>
      <c r="M2017" s="30" t="e">
        <f t="shared" ref="M2017" si="6263">AVERAGE($P2016:$XX2016)</f>
        <v>#DIV/0!</v>
      </c>
      <c r="N2017" s="71"/>
      <c r="O2017" s="27" t="str">
        <f t="shared" ref="O2017" si="6264">"1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261"/>
        <v>#VALUE!</v>
      </c>
      <c r="C2018" s="128" t="e">
        <f t="shared" si="6262"/>
        <v>#VALUE!</v>
      </c>
      <c r="D2018" s="127">
        <f t="shared" si="6251"/>
        <v>1</v>
      </c>
      <c r="E2018" s="743"/>
      <c r="F2018" s="93"/>
      <c r="G2018" s="745"/>
      <c r="H2018" s="134">
        <f t="shared" ref="H2018" si="6265">COUNT($P2018:$XX2018)</f>
        <v>0</v>
      </c>
      <c r="I2018" s="132" t="e">
        <f t="shared" ref="I2018" si="6266">_xlfn.STDEV.P($P2017:$XX2018)/AVERAGE($P2017:$XX2018)</f>
        <v>#DIV/0!</v>
      </c>
      <c r="J2018" s="7">
        <f t="shared" ref="J2018" si="6267">IF(AND(H2018&gt;2,
OR(L2010="MÉDIA SANEADA",L2010="MEDIANA SANEADA",
AND(L2010="PREÇO ESTIMADO",NOT(AND(P2012="Orçamento",COUNTA(P2010:XX2010)=COUNTIF(P2012:XX2012,"Orçamento")))))),
ROW(),0)</f>
        <v>0</v>
      </c>
      <c r="K2018" s="66"/>
      <c r="L2018" s="29" t="s">
        <v>361</v>
      </c>
      <c r="M2018" s="30" t="e">
        <f t="shared" ref="M2018" si="6268">MEDIAN($P2016:$XX2016)</f>
        <v>#NUM!</v>
      </c>
      <c r="N2018" s="71"/>
      <c r="O2018" s="27" t="str">
        <f t="shared" ref="O2018" si="6269">"1 RODADA"</f>
        <v>1 RODADA</v>
      </c>
      <c r="P2018" s="107" t="str">
        <f t="shared" ref="P2018:AI2018" si="6270">IF(P2016="","",IF((_xlfn.STDEV.P($P2015:$XX2016)/AVERAGE($P2015:$XX2016))&lt;=25%,P2016,IF(OR(P2016&gt;(AVERAGE($P2015:$XX2016)+_xlfn.STDEV.P($P2015:$XX2016)),P2016&lt;(AVERAGE($P2015:$XX2016)-_xlfn.STDEV.P($P2015:$XX2016))),"DESCARTADO",P2016)))</f>
        <v/>
      </c>
      <c r="Q2018" s="107" t="str">
        <f t="shared" si="6270"/>
        <v/>
      </c>
      <c r="R2018" s="107" t="str">
        <f t="shared" si="6270"/>
        <v/>
      </c>
      <c r="S2018" s="107" t="str">
        <f t="shared" si="6270"/>
        <v/>
      </c>
      <c r="T2018" s="107" t="str">
        <f t="shared" si="6270"/>
        <v/>
      </c>
      <c r="U2018" s="107" t="str">
        <f t="shared" si="6270"/>
        <v/>
      </c>
      <c r="V2018" s="107" t="str">
        <f t="shared" si="6270"/>
        <v/>
      </c>
      <c r="W2018" s="107" t="str">
        <f t="shared" si="6270"/>
        <v/>
      </c>
      <c r="X2018" s="107" t="str">
        <f t="shared" si="6270"/>
        <v/>
      </c>
      <c r="Y2018" s="107" t="str">
        <f t="shared" si="6270"/>
        <v/>
      </c>
      <c r="Z2018" s="107" t="str">
        <f t="shared" si="6270"/>
        <v/>
      </c>
      <c r="AA2018" s="107" t="str">
        <f t="shared" si="6270"/>
        <v/>
      </c>
      <c r="AB2018" s="107" t="str">
        <f t="shared" si="6270"/>
        <v/>
      </c>
      <c r="AC2018" s="107" t="str">
        <f t="shared" si="6270"/>
        <v/>
      </c>
      <c r="AD2018" s="107" t="str">
        <f t="shared" si="6270"/>
        <v/>
      </c>
      <c r="AE2018" s="107" t="str">
        <f t="shared" si="6270"/>
        <v/>
      </c>
      <c r="AF2018" s="107" t="str">
        <f t="shared" si="6270"/>
        <v/>
      </c>
      <c r="AG2018" s="107" t="str">
        <f t="shared" si="6270"/>
        <v/>
      </c>
      <c r="AH2018" s="107" t="str">
        <f t="shared" si="6270"/>
        <v/>
      </c>
      <c r="AI2018" s="107" t="str">
        <f t="shared" si="6270"/>
        <v/>
      </c>
    </row>
    <row r="2019" spans="1:167" hidden="1" x14ac:dyDescent="0.25">
      <c r="B2019" s="128" t="e">
        <f t="shared" si="6261"/>
        <v>#VALUE!</v>
      </c>
      <c r="C2019" s="128" t="e">
        <f t="shared" si="6262"/>
        <v>#VALUE!</v>
      </c>
      <c r="D2019" s="127">
        <f t="shared" si="6251"/>
        <v>1</v>
      </c>
      <c r="E2019" s="743"/>
      <c r="F2019" s="93"/>
      <c r="G2019" s="745"/>
      <c r="H2019"/>
      <c r="I2019"/>
      <c r="J2019"/>
      <c r="L2019" s="29" t="s">
        <v>38</v>
      </c>
      <c r="M2019" s="30" t="str">
        <f t="shared" ref="M2019" si="6271">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72">"2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261"/>
        <v>#VALUE!</v>
      </c>
      <c r="C2020" s="128" t="e">
        <f t="shared" si="6262"/>
        <v>#VALUE!</v>
      </c>
      <c r="D2020" s="127">
        <f t="shared" si="6251"/>
        <v>1</v>
      </c>
      <c r="E2020" s="743"/>
      <c r="F2020" s="93"/>
      <c r="G2020" s="745"/>
      <c r="H2020" s="134">
        <f t="shared" ref="H2020" si="6273">COUNT($P2020:$XX2020)</f>
        <v>0</v>
      </c>
      <c r="I2020" s="132" t="e">
        <f t="shared" ref="I2020" si="6274">_xlfn.STDEV.P($P2019:$XX2020)/AVERAGE($P2019:$XX2020)</f>
        <v>#DIV/0!</v>
      </c>
      <c r="J2020" s="7">
        <f t="shared" ref="J2020" si="6275">IF(AND(H2020&gt;2,
OR(L2010="MÉDIA SANEADA",L2010="MEDIANA SANEADA",
AND(L2010="PREÇO ESTIMADO",NOT(AND(P2012="Orçamento",COUNTA(P2010:XX2010)=COUNTIF(P2012:XX2012,"Orçamento")))))),
ROW(),0)</f>
        <v>0</v>
      </c>
      <c r="K2020" s="66"/>
      <c r="L2020" s="29" t="s">
        <v>362</v>
      </c>
      <c r="M2020" s="30" t="e">
        <f t="shared" ref="M2020" si="6276" xml:space="preserve">
IF(H2018&gt;2,MEDIAN(P2017:XX2018),
IF(H2020&gt;2,MEDIAN(P2019:XX2020),
IF(H2022&gt;2,MEDIAN(P2021:XX2022),
IF(H2024&gt;2,MEDIAN(P2023:XX2024),
IF(H2026&gt;2,MEDIAN(P2025:XX2026),
IF(H2028&gt;2,MEDIAN(P2027:XX2028),
MEDIAN(P2015:XX2016)))))))</f>
        <v>#NUM!</v>
      </c>
      <c r="N2020" s="71"/>
      <c r="O2020" s="27" t="str">
        <f t="shared" ref="O2020" si="6277">"2 RODADA"</f>
        <v>2 RODADA</v>
      </c>
      <c r="P2020" s="107" t="str">
        <f t="shared" ref="P2020:AI2020" si="6278">IF(P2018="","",IF((_xlfn.STDEV.P($P2017:$XX2018)/AVERAGE($P2017:$XX2018))&lt;=25%,P2018,IF(OR(P2018&gt;(AVERAGE($P2017:$XX2018)+_xlfn.STDEV.P($P2017:$XX2018)),P2018&lt;(AVERAGE($P2017:$XX2018)-_xlfn.STDEV.P($P2017:$XX2018))),"DESCARTADO",P2018)))</f>
        <v/>
      </c>
      <c r="Q2020" s="107" t="str">
        <f t="shared" si="6278"/>
        <v/>
      </c>
      <c r="R2020" s="107" t="str">
        <f t="shared" si="6278"/>
        <v/>
      </c>
      <c r="S2020" s="107" t="str">
        <f t="shared" si="6278"/>
        <v/>
      </c>
      <c r="T2020" s="107" t="str">
        <f t="shared" si="6278"/>
        <v/>
      </c>
      <c r="U2020" s="107" t="str">
        <f t="shared" si="6278"/>
        <v/>
      </c>
      <c r="V2020" s="107" t="str">
        <f t="shared" si="6278"/>
        <v/>
      </c>
      <c r="W2020" s="107" t="str">
        <f t="shared" si="6278"/>
        <v/>
      </c>
      <c r="X2020" s="107" t="str">
        <f t="shared" si="6278"/>
        <v/>
      </c>
      <c r="Y2020" s="107" t="str">
        <f t="shared" si="6278"/>
        <v/>
      </c>
      <c r="Z2020" s="107" t="str">
        <f t="shared" si="6278"/>
        <v/>
      </c>
      <c r="AA2020" s="107" t="str">
        <f t="shared" si="6278"/>
        <v/>
      </c>
      <c r="AB2020" s="107" t="str">
        <f t="shared" si="6278"/>
        <v/>
      </c>
      <c r="AC2020" s="107" t="str">
        <f t="shared" si="6278"/>
        <v/>
      </c>
      <c r="AD2020" s="107" t="str">
        <f t="shared" si="6278"/>
        <v/>
      </c>
      <c r="AE2020" s="107" t="str">
        <f t="shared" si="6278"/>
        <v/>
      </c>
      <c r="AF2020" s="107" t="str">
        <f t="shared" si="6278"/>
        <v/>
      </c>
      <c r="AG2020" s="107" t="str">
        <f t="shared" si="6278"/>
        <v/>
      </c>
      <c r="AH2020" s="107" t="str">
        <f t="shared" si="6278"/>
        <v/>
      </c>
      <c r="AI2020" s="107" t="str">
        <f t="shared" si="6278"/>
        <v/>
      </c>
    </row>
    <row r="2021" spans="1:167" hidden="1" x14ac:dyDescent="0.25">
      <c r="B2021" s="128" t="e">
        <f t="shared" si="6261"/>
        <v>#VALUE!</v>
      </c>
      <c r="C2021" s="128" t="e">
        <f t="shared" si="6262"/>
        <v>#VALUE!</v>
      </c>
      <c r="D2021" s="127">
        <f t="shared" si="6251"/>
        <v>1</v>
      </c>
      <c r="E2021" s="743"/>
      <c r="F2021" s="93"/>
      <c r="G2021" s="745"/>
      <c r="H2021"/>
      <c r="I2021"/>
      <c r="J2021"/>
      <c r="K2021" s="66"/>
      <c r="L2021" s="29" t="s">
        <v>359</v>
      </c>
      <c r="M2021" s="30" t="e">
        <f t="shared" ref="M2021" si="6279">HARMEAN($P2015:$XX2016)</f>
        <v>#N/A</v>
      </c>
      <c r="N2021" s="71"/>
      <c r="O2021" s="27" t="str">
        <f t="shared" ref="O2021" si="6280">"3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261"/>
        <v>#VALUE!</v>
      </c>
      <c r="C2022" s="128" t="e">
        <f t="shared" si="6262"/>
        <v>#VALUE!</v>
      </c>
      <c r="D2022" s="127">
        <f t="shared" si="6251"/>
        <v>1</v>
      </c>
      <c r="E2022" s="743"/>
      <c r="F2022" s="93"/>
      <c r="G2022" s="745"/>
      <c r="H2022" s="134">
        <f t="shared" ref="H2022" si="6281">COUNT($P2022:$XX2022)</f>
        <v>0</v>
      </c>
      <c r="I2022" s="132" t="e">
        <f t="shared" ref="I2022" si="6282">_xlfn.STDEV.P($P2021:$XX2022)/AVERAGE($P2021:$XX2022)</f>
        <v>#DIV/0!</v>
      </c>
      <c r="J2022" s="7">
        <f t="shared" ref="J2022" si="6283">IF(AND(H2022&gt;2,
OR(L2010="MÉDIA SANEADA",L2010="MEDIANA SANEADA",
AND(L2010="PREÇO ESTIMADO",NOT(AND(P2012="Orçamento",COUNTA(P2010:XX2010)=COUNTIF(P2012:XX2012,"Orçamento")))))),
ROW(),0)</f>
        <v>0</v>
      </c>
      <c r="K2022" s="66"/>
      <c r="L2022" s="29" t="s">
        <v>41</v>
      </c>
      <c r="M2022" s="30" t="str">
        <f t="shared" ref="M2022" si="6284">IFERROR(_xlfn.QUARTILE.EXC($P2016:$XX2016,1),"")</f>
        <v/>
      </c>
      <c r="N2022" s="71"/>
      <c r="O2022" s="27" t="str">
        <f t="shared" ref="O2022" si="6285">"3 RODADA"</f>
        <v>3 RODADA</v>
      </c>
      <c r="P2022" s="107" t="str">
        <f t="shared" ref="P2022:AI2022" si="6286">IF(P2020="","",IF((_xlfn.STDEV.P($P2019:$XX2020)/AVERAGE($P2019:$XX2020))&lt;=25%,P2020,IF(OR(P2020&gt;(AVERAGE($P2019:$XX2020)+_xlfn.STDEV.P($P2019:$XX2020)),P2020&lt;(AVERAGE($P2019:$XX2020)-_xlfn.STDEV.P($P2019:$XX2020))),"DESCARTADO",P2020)))</f>
        <v/>
      </c>
      <c r="Q2022" s="107" t="str">
        <f t="shared" si="6286"/>
        <v/>
      </c>
      <c r="R2022" s="107" t="str">
        <f t="shared" si="6286"/>
        <v/>
      </c>
      <c r="S2022" s="107" t="str">
        <f t="shared" si="6286"/>
        <v/>
      </c>
      <c r="T2022" s="107" t="str">
        <f t="shared" si="6286"/>
        <v/>
      </c>
      <c r="U2022" s="107" t="str">
        <f t="shared" si="6286"/>
        <v/>
      </c>
      <c r="V2022" s="107" t="str">
        <f t="shared" si="6286"/>
        <v/>
      </c>
      <c r="W2022" s="107" t="str">
        <f t="shared" si="6286"/>
        <v/>
      </c>
      <c r="X2022" s="107" t="str">
        <f t="shared" si="6286"/>
        <v/>
      </c>
      <c r="Y2022" s="107" t="str">
        <f t="shared" si="6286"/>
        <v/>
      </c>
      <c r="Z2022" s="107" t="str">
        <f t="shared" si="6286"/>
        <v/>
      </c>
      <c r="AA2022" s="107" t="str">
        <f t="shared" si="6286"/>
        <v/>
      </c>
      <c r="AB2022" s="107" t="str">
        <f t="shared" si="6286"/>
        <v/>
      </c>
      <c r="AC2022" s="107" t="str">
        <f t="shared" si="6286"/>
        <v/>
      </c>
      <c r="AD2022" s="107" t="str">
        <f t="shared" si="6286"/>
        <v/>
      </c>
      <c r="AE2022" s="107" t="str">
        <f t="shared" si="6286"/>
        <v/>
      </c>
      <c r="AF2022" s="107" t="str">
        <f t="shared" si="6286"/>
        <v/>
      </c>
      <c r="AG2022" s="107" t="str">
        <f t="shared" si="6286"/>
        <v/>
      </c>
      <c r="AH2022" s="107" t="str">
        <f t="shared" si="6286"/>
        <v/>
      </c>
      <c r="AI2022" s="107" t="str">
        <f t="shared" si="6286"/>
        <v/>
      </c>
    </row>
    <row r="2023" spans="1:167" hidden="1" x14ac:dyDescent="0.25">
      <c r="B2023" s="128" t="e">
        <f t="shared" si="6261"/>
        <v>#VALUE!</v>
      </c>
      <c r="C2023" s="128" t="e">
        <f t="shared" si="6262"/>
        <v>#VALUE!</v>
      </c>
      <c r="D2023" s="127">
        <f t="shared" si="6251"/>
        <v>1</v>
      </c>
      <c r="E2023" s="743"/>
      <c r="F2023" s="93"/>
      <c r="G2023" s="745"/>
      <c r="H2023"/>
      <c r="I2023"/>
      <c r="J2023"/>
      <c r="K2023" s="66"/>
      <c r="L2023" s="29" t="s">
        <v>39</v>
      </c>
      <c r="M2023" s="30" t="str">
        <f t="shared" ref="M2023" si="6287">IFERROR(_xlfn.QUARTILE.EXC($P2016:$XX2016,3),"")</f>
        <v/>
      </c>
      <c r="N2023" s="71"/>
      <c r="O2023" s="27" t="str">
        <f t="shared" ref="O2023" si="6288">"4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261"/>
        <v>#VALUE!</v>
      </c>
      <c r="C2024" s="128" t="e">
        <f t="shared" si="6262"/>
        <v>#VALUE!</v>
      </c>
      <c r="D2024" s="127">
        <f t="shared" si="6251"/>
        <v>1</v>
      </c>
      <c r="E2024" s="743"/>
      <c r="F2024" s="93"/>
      <c r="G2024" s="745"/>
      <c r="H2024" s="134">
        <f t="shared" ref="H2024" si="6289">COUNT($P2024:$XX2024)</f>
        <v>0</v>
      </c>
      <c r="I2024" s="132" t="e">
        <f t="shared" ref="I2024" si="6290">_xlfn.STDEV.P($P2023:$XX2024)/AVERAGE($P2023:$XX2024)</f>
        <v>#DIV/0!</v>
      </c>
      <c r="J2024" s="7">
        <f t="shared" ref="J2024" si="6291">IF(AND(H2024&gt;2,
OR(L2010="MÉDIA SANEADA",L2010="MEDIANA SANEADA",
AND(L2010="PREÇO ESTIMADO",NOT(AND(P2012="Orçamento",COUNTA(P2010:XX2010)=COUNTIF(P2012:XX2012,"Orçamento")))))),
ROW(),0)</f>
        <v>0</v>
      </c>
      <c r="K2024" s="66"/>
      <c r="L2024" s="29" t="s">
        <v>42</v>
      </c>
      <c r="M2024" s="30">
        <f t="shared" ref="M2024" si="6292">MIN($P2016:$XX2016)</f>
        <v>0</v>
      </c>
      <c r="N2024" s="71"/>
      <c r="O2024" s="27" t="str">
        <f t="shared" ref="O2024" si="6293">"4 RODADA"</f>
        <v>4 RODADA</v>
      </c>
      <c r="P2024" s="107" t="str">
        <f t="shared" ref="P2024:AI2024" si="6294">IF(P2022="","",IF((_xlfn.STDEV.P($P2021:$XX2022)/AVERAGE($P2021:$XX2022))&lt;=25%,P2022,IF(OR(P2022&gt;(AVERAGE($P2021:$XX2022)+_xlfn.STDEV.P($P2021:$XX2022)),P2022&lt;(AVERAGE($P2021:$XX2022)-_xlfn.STDEV.P($P2021:$XX2022))),"DESCARTADO",P2022)))</f>
        <v/>
      </c>
      <c r="Q2024" s="107" t="str">
        <f t="shared" si="6294"/>
        <v/>
      </c>
      <c r="R2024" s="107" t="str">
        <f t="shared" si="6294"/>
        <v/>
      </c>
      <c r="S2024" s="107" t="str">
        <f t="shared" si="6294"/>
        <v/>
      </c>
      <c r="T2024" s="107" t="str">
        <f t="shared" si="6294"/>
        <v/>
      </c>
      <c r="U2024" s="107" t="str">
        <f t="shared" si="6294"/>
        <v/>
      </c>
      <c r="V2024" s="107" t="str">
        <f t="shared" si="6294"/>
        <v/>
      </c>
      <c r="W2024" s="107" t="str">
        <f t="shared" si="6294"/>
        <v/>
      </c>
      <c r="X2024" s="107" t="str">
        <f t="shared" si="6294"/>
        <v/>
      </c>
      <c r="Y2024" s="107" t="str">
        <f t="shared" si="6294"/>
        <v/>
      </c>
      <c r="Z2024" s="107" t="str">
        <f t="shared" si="6294"/>
        <v/>
      </c>
      <c r="AA2024" s="107" t="str">
        <f t="shared" si="6294"/>
        <v/>
      </c>
      <c r="AB2024" s="107" t="str">
        <f t="shared" si="6294"/>
        <v/>
      </c>
      <c r="AC2024" s="107" t="str">
        <f t="shared" si="6294"/>
        <v/>
      </c>
      <c r="AD2024" s="107" t="str">
        <f t="shared" si="6294"/>
        <v/>
      </c>
      <c r="AE2024" s="107" t="str">
        <f t="shared" si="6294"/>
        <v/>
      </c>
      <c r="AF2024" s="107" t="str">
        <f t="shared" si="6294"/>
        <v/>
      </c>
      <c r="AG2024" s="107" t="str">
        <f t="shared" si="6294"/>
        <v/>
      </c>
      <c r="AH2024" s="107" t="str">
        <f t="shared" si="6294"/>
        <v/>
      </c>
      <c r="AI2024" s="107" t="str">
        <f t="shared" si="6294"/>
        <v/>
      </c>
    </row>
    <row r="2025" spans="1:167" hidden="1" x14ac:dyDescent="0.25">
      <c r="B2025" s="128" t="e">
        <f t="shared" si="6261"/>
        <v>#VALUE!</v>
      </c>
      <c r="C2025" s="128" t="e">
        <f t="shared" si="6262"/>
        <v>#VALUE!</v>
      </c>
      <c r="D2025" s="127">
        <f t="shared" si="6251"/>
        <v>1</v>
      </c>
      <c r="E2025" s="743"/>
      <c r="F2025" s="93"/>
      <c r="G2025" s="745"/>
      <c r="H2025"/>
      <c r="I2025"/>
      <c r="J2025"/>
      <c r="K2025" s="66"/>
      <c r="L2025" s="29" t="s">
        <v>40</v>
      </c>
      <c r="M2025" s="30">
        <f t="shared" ref="M2025" si="6295">MAX($P2016:$XX2016)</f>
        <v>0</v>
      </c>
      <c r="N2025" s="71"/>
      <c r="O2025" s="27" t="str">
        <f t="shared" ref="O2025" si="6296">"5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261"/>
        <v>#VALUE!</v>
      </c>
      <c r="C2026" s="128" t="e">
        <f t="shared" si="6262"/>
        <v>#VALUE!</v>
      </c>
      <c r="D2026" s="127">
        <f t="shared" si="6251"/>
        <v>1</v>
      </c>
      <c r="E2026" s="743"/>
      <c r="F2026" s="93"/>
      <c r="G2026" s="745"/>
      <c r="H2026" s="134">
        <f t="shared" ref="H2026" si="6297">COUNT($P2026:$XX2026)</f>
        <v>0</v>
      </c>
      <c r="I2026" s="132" t="e">
        <f t="shared" ref="I2026" si="6298">_xlfn.STDEV.P($P2025:$XX2026)/AVERAGE($P2025:$XX2026)</f>
        <v>#DIV/0!</v>
      </c>
      <c r="J2026" s="7">
        <f t="shared" ref="J2026" si="6299">IF(AND(H2026&gt;2,
OR(L2010="MÉDIA SANEADA",L2010="MEDIANA SANEADA",
AND(L2010="PREÇO ESTIMADO",NOT(AND(P2012="Orçamento",COUNTA(P2010:XX2010)=COUNTIF(P2012:XX2012,"Orçamento")))))),
ROW(),0)</f>
        <v>0</v>
      </c>
      <c r="K2026" s="66"/>
      <c r="N2026" s="71"/>
      <c r="O2026" s="27" t="str">
        <f t="shared" ref="O2026" si="6300">"5 RODADA"</f>
        <v>5 RODADA</v>
      </c>
      <c r="P2026" s="107" t="str">
        <f t="shared" ref="P2026:AI2026" si="6301">IF(P2024="","",IF((_xlfn.STDEV.P($P2023:$XX2024)/AVERAGE($P2023:$XX2024))&lt;=25%,P2024,IF(OR(P2024&gt;(AVERAGE($P2023:$XX2024)+_xlfn.STDEV.P($P2023:$XX2024)),P2024&lt;(AVERAGE($P2023:$XX2024)-_xlfn.STDEV.P($P2023:$XX2024))),"DESCARTADO",P2024)))</f>
        <v/>
      </c>
      <c r="Q2026" s="107" t="str">
        <f t="shared" si="6301"/>
        <v/>
      </c>
      <c r="R2026" s="107" t="str">
        <f t="shared" si="6301"/>
        <v/>
      </c>
      <c r="S2026" s="107" t="str">
        <f t="shared" si="6301"/>
        <v/>
      </c>
      <c r="T2026" s="107" t="str">
        <f t="shared" si="6301"/>
        <v/>
      </c>
      <c r="U2026" s="107" t="str">
        <f t="shared" si="6301"/>
        <v/>
      </c>
      <c r="V2026" s="107" t="str">
        <f t="shared" si="6301"/>
        <v/>
      </c>
      <c r="W2026" s="107" t="str">
        <f t="shared" si="6301"/>
        <v/>
      </c>
      <c r="X2026" s="107" t="str">
        <f t="shared" si="6301"/>
        <v/>
      </c>
      <c r="Y2026" s="107" t="str">
        <f t="shared" si="6301"/>
        <v/>
      </c>
      <c r="Z2026" s="107" t="str">
        <f t="shared" si="6301"/>
        <v/>
      </c>
      <c r="AA2026" s="107" t="str">
        <f t="shared" si="6301"/>
        <v/>
      </c>
      <c r="AB2026" s="107" t="str">
        <f t="shared" si="6301"/>
        <v/>
      </c>
      <c r="AC2026" s="107" t="str">
        <f t="shared" si="6301"/>
        <v/>
      </c>
      <c r="AD2026" s="107" t="str">
        <f t="shared" si="6301"/>
        <v/>
      </c>
      <c r="AE2026" s="107" t="str">
        <f t="shared" si="6301"/>
        <v/>
      </c>
      <c r="AF2026" s="107" t="str">
        <f t="shared" si="6301"/>
        <v/>
      </c>
      <c r="AG2026" s="107" t="str">
        <f t="shared" si="6301"/>
        <v/>
      </c>
      <c r="AH2026" s="107" t="str">
        <f t="shared" si="6301"/>
        <v/>
      </c>
      <c r="AI2026" s="107" t="str">
        <f t="shared" si="6301"/>
        <v/>
      </c>
    </row>
    <row r="2027" spans="1:167" hidden="1" x14ac:dyDescent="0.25">
      <c r="B2027" s="128" t="e">
        <f t="shared" si="6261"/>
        <v>#VALUE!</v>
      </c>
      <c r="C2027" s="128" t="e">
        <f t="shared" si="6262"/>
        <v>#VALUE!</v>
      </c>
      <c r="D2027" s="127">
        <f t="shared" si="6251"/>
        <v>1</v>
      </c>
      <c r="E2027" s="743"/>
      <c r="F2027" s="93"/>
      <c r="G2027" s="745"/>
      <c r="H2027"/>
      <c r="I2027"/>
      <c r="J2027"/>
      <c r="K2027" s="66"/>
      <c r="L2027" s="22"/>
      <c r="M2027" s="22"/>
      <c r="N2027" s="71"/>
      <c r="O2027" s="27" t="str">
        <f t="shared" ref="O2027" si="6302">"6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261"/>
        <v>#VALUE!</v>
      </c>
      <c r="C2028" s="128" t="e">
        <f t="shared" si="6262"/>
        <v>#VALUE!</v>
      </c>
      <c r="D2028" s="127">
        <f t="shared" si="6251"/>
        <v>1</v>
      </c>
      <c r="E2028" s="743"/>
      <c r="F2028" s="93"/>
      <c r="G2028" s="745"/>
      <c r="H2028" s="134">
        <f t="shared" ref="H2028" si="6303">COUNT($P2028:$XX2028)</f>
        <v>0</v>
      </c>
      <c r="I2028" s="132" t="e">
        <f t="shared" ref="I2028" si="6304">_xlfn.STDEV.P($P2027:$XX2028)/AVERAGE($P2027:$XX2028)</f>
        <v>#DIV/0!</v>
      </c>
      <c r="J2028" s="7">
        <f t="shared" ref="J2028" si="6305">IF(AND(H2028&gt;2,
OR(L2010="MÉDIA SANEADA",L2010="MEDIANA SANEADA",
AND(L2010="PREÇO ESTIMADO",NOT(AND(P2012="Orçamento",COUNTA(P2010:XX2010)=COUNTIF(P2012:XX2012,"Orçamento")))))),
ROW(),0)</f>
        <v>0</v>
      </c>
      <c r="N2028" s="71"/>
      <c r="O2028" s="27" t="str">
        <f t="shared" ref="O2028" si="6306">"6 RODADA"</f>
        <v>6 RODADA</v>
      </c>
      <c r="P2028" s="107" t="str">
        <f t="shared" ref="P2028:AI2028" si="6307">IFERROR(IF(P2026="","",IF((_xlfn.STDEV.P($P2025:$XX2026)/AVERAGE($P2025:$XX2026))&lt;=25%,P2026,IF(OR(P2026&gt;(AVERAGE($P2025:$XX2026)+_xlfn.STDEV.P($P2025:$XX2026)),P2026&lt;(AVERAGE($P2025:$XX2026)-_xlfn.STDEV.P($P2025:$XX2026))),"DESCARTADO",P2026))),)</f>
        <v/>
      </c>
      <c r="Q2028" s="107" t="str">
        <f t="shared" si="6307"/>
        <v/>
      </c>
      <c r="R2028" s="107" t="str">
        <f t="shared" si="6307"/>
        <v/>
      </c>
      <c r="S2028" s="107" t="str">
        <f t="shared" si="6307"/>
        <v/>
      </c>
      <c r="T2028" s="107" t="str">
        <f t="shared" si="6307"/>
        <v/>
      </c>
      <c r="U2028" s="107" t="str">
        <f t="shared" si="6307"/>
        <v/>
      </c>
      <c r="V2028" s="107" t="str">
        <f t="shared" si="6307"/>
        <v/>
      </c>
      <c r="W2028" s="107" t="str">
        <f t="shared" si="6307"/>
        <v/>
      </c>
      <c r="X2028" s="107" t="str">
        <f t="shared" si="6307"/>
        <v/>
      </c>
      <c r="Y2028" s="107" t="str">
        <f t="shared" si="6307"/>
        <v/>
      </c>
      <c r="Z2028" s="107" t="str">
        <f t="shared" si="6307"/>
        <v/>
      </c>
      <c r="AA2028" s="107" t="str">
        <f t="shared" si="6307"/>
        <v/>
      </c>
      <c r="AB2028" s="107" t="str">
        <f t="shared" si="6307"/>
        <v/>
      </c>
      <c r="AC2028" s="107" t="str">
        <f t="shared" si="6307"/>
        <v/>
      </c>
      <c r="AD2028" s="107" t="str">
        <f t="shared" si="6307"/>
        <v/>
      </c>
      <c r="AE2028" s="107" t="str">
        <f t="shared" si="6307"/>
        <v/>
      </c>
      <c r="AF2028" s="107" t="str">
        <f t="shared" si="6307"/>
        <v/>
      </c>
      <c r="AG2028" s="107" t="str">
        <f t="shared" si="6307"/>
        <v/>
      </c>
      <c r="AH2028" s="107" t="str">
        <f t="shared" si="6307"/>
        <v/>
      </c>
      <c r="AI2028" s="107" t="str">
        <f t="shared" si="6307"/>
        <v/>
      </c>
    </row>
    <row r="2029" spans="1:167" x14ac:dyDescent="0.25">
      <c r="B2029" s="128" t="e">
        <f t="shared" si="6261"/>
        <v>#VALUE!</v>
      </c>
      <c r="C2029" s="128" t="e">
        <f t="shared" si="6262"/>
        <v>#VALUE!</v>
      </c>
      <c r="D2029" s="127">
        <f t="shared" si="6251"/>
        <v>1</v>
      </c>
      <c r="E2029" s="743"/>
      <c r="F2029" s="136"/>
      <c r="G2029" s="745"/>
      <c r="H2029" s="748"/>
      <c r="I2029" s="748"/>
      <c r="J2029" s="749"/>
      <c r="K2029" s="67"/>
      <c r="L2029" s="1" t="s">
        <v>43</v>
      </c>
      <c r="M2029" s="144" t="str">
        <f t="shared" ref="M2029" si="6308">IFERROR(ROUND(M2010*M2012,2),"")</f>
        <v/>
      </c>
      <c r="O2029" s="27" t="s">
        <v>363</v>
      </c>
      <c r="P2029" s="107" t="str">
        <f t="shared" ref="P2029:AI2050" si="6309">INDEX(P2016:P2028,MATCH(MAX($J2016:$J2028),$J2016:$J2028,0))</f>
        <v/>
      </c>
      <c r="Q2029" s="107" t="str">
        <f t="shared" si="6309"/>
        <v/>
      </c>
      <c r="R2029" s="107" t="str">
        <f t="shared" si="6309"/>
        <v/>
      </c>
      <c r="S2029" s="107" t="str">
        <f t="shared" si="6309"/>
        <v/>
      </c>
      <c r="T2029" s="107" t="str">
        <f t="shared" si="6309"/>
        <v/>
      </c>
      <c r="U2029" s="107" t="str">
        <f t="shared" si="6309"/>
        <v/>
      </c>
      <c r="V2029" s="107" t="str">
        <f t="shared" si="6309"/>
        <v/>
      </c>
      <c r="W2029" s="107" t="str">
        <f t="shared" si="6309"/>
        <v/>
      </c>
      <c r="X2029" s="107" t="str">
        <f t="shared" si="6309"/>
        <v/>
      </c>
      <c r="Y2029" s="107" t="str">
        <f t="shared" si="6309"/>
        <v/>
      </c>
      <c r="Z2029" s="107" t="str">
        <f t="shared" si="6309"/>
        <v/>
      </c>
      <c r="AA2029" s="107" t="str">
        <f t="shared" si="6309"/>
        <v/>
      </c>
      <c r="AB2029" s="107" t="str">
        <f t="shared" si="6309"/>
        <v/>
      </c>
      <c r="AC2029" s="107" t="str">
        <f t="shared" si="6309"/>
        <v/>
      </c>
      <c r="AD2029" s="107" t="str">
        <f t="shared" si="6309"/>
        <v/>
      </c>
      <c r="AE2029" s="107" t="str">
        <f t="shared" si="6309"/>
        <v/>
      </c>
      <c r="AF2029" s="107" t="str">
        <f t="shared" si="6309"/>
        <v/>
      </c>
      <c r="AG2029" s="107" t="str">
        <f t="shared" si="6309"/>
        <v/>
      </c>
      <c r="AH2029" s="107" t="str">
        <f t="shared" si="6309"/>
        <v/>
      </c>
      <c r="AI2029" s="107" t="str">
        <f t="shared" si="6309"/>
        <v/>
      </c>
    </row>
    <row r="2031" spans="1:167" s="117" customFormat="1" ht="15" customHeight="1" x14ac:dyDescent="0.25">
      <c r="A2031" s="120"/>
      <c r="B2031" s="127" t="e">
        <f t="shared" ref="B2031" si="6310">LARGE(IFERROR(IF(B2029+1&gt;$H$8,"",B2029+1),""),1)</f>
        <v>#VALUE!</v>
      </c>
      <c r="C2031" s="127" t="e">
        <f>IF(_xlfn.ISFORMULA(E2035),MAX(INDEX('BASE FORMAÇÃO'!A:A,B2031+1),1),E2035)</f>
        <v>#VALUE!</v>
      </c>
      <c r="D2031" s="127">
        <f t="shared" ref="D2031" si="6311">IFERROR(IF(C2031=C2021,D2021+1,1),1)</f>
        <v>1</v>
      </c>
      <c r="E2031" s="38" t="s">
        <v>9</v>
      </c>
      <c r="F2031" s="73"/>
      <c r="G2031" s="38" t="s">
        <v>15</v>
      </c>
      <c r="H2031" s="135" t="e">
        <f>INDEX('BASE FORMAÇÃO'!B:B,B2031+1)</f>
        <v>#VALUE!</v>
      </c>
      <c r="I2031" s="143" t="s">
        <v>16</v>
      </c>
      <c r="J2031" s="6" t="e">
        <f>INDEX('BASE FORMAÇÃO'!K:K,B2031+1)</f>
        <v>#VALUE!</v>
      </c>
      <c r="K2031" s="65"/>
      <c r="L2031" s="750" t="s">
        <v>10</v>
      </c>
      <c r="M2031" s="752" t="str">
        <f t="shared" ref="M2031" si="6312">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13">B2031</f>
        <v>#VALUE!</v>
      </c>
      <c r="C2032" s="128" t="e">
        <f t="shared" si="6313"/>
        <v>#VALUE!</v>
      </c>
      <c r="D2032" s="127">
        <f t="shared" si="6313"/>
        <v>1</v>
      </c>
      <c r="E2032" s="754">
        <f t="shared" ref="E2032" si="6314">D2031</f>
        <v>1</v>
      </c>
      <c r="F2032" s="92"/>
      <c r="G2032" s="756" t="s">
        <v>1</v>
      </c>
      <c r="H2032" s="759" t="e">
        <f>INDEX('BASE FORMAÇÃO'!C:C,B2031+1)</f>
        <v>#VALUE!</v>
      </c>
      <c r="I2032" s="759"/>
      <c r="J2032" s="760"/>
      <c r="K2032" s="66"/>
      <c r="L2032" s="751"/>
      <c r="M2032" s="753"/>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15">B2032</f>
        <v>#VALUE!</v>
      </c>
      <c r="C2033" s="128" t="e">
        <f t="shared" si="6315"/>
        <v>#VALUE!</v>
      </c>
      <c r="D2033" s="127">
        <f t="shared" si="6315"/>
        <v>1</v>
      </c>
      <c r="E2033" s="755"/>
      <c r="F2033" s="93"/>
      <c r="G2033" s="757"/>
      <c r="H2033" s="761"/>
      <c r="I2033" s="761"/>
      <c r="J2033" s="762"/>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16">B2033</f>
        <v>#VALUE!</v>
      </c>
      <c r="C2034" s="128" t="e">
        <f t="shared" si="6316"/>
        <v>#VALUE!</v>
      </c>
      <c r="D2034" s="127">
        <f t="shared" si="6251"/>
        <v>1</v>
      </c>
      <c r="E2034" s="38" t="s">
        <v>313</v>
      </c>
      <c r="F2034" s="93"/>
      <c r="G2034" s="758"/>
      <c r="H2034" s="763"/>
      <c r="I2034" s="763"/>
      <c r="J2034" s="764"/>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7">B2033</f>
        <v>#VALUE!</v>
      </c>
      <c r="C2035" s="128" t="e">
        <f t="shared" si="6317"/>
        <v>#VALUE!</v>
      </c>
      <c r="D2035" s="127">
        <f t="shared" si="6251"/>
        <v>1</v>
      </c>
      <c r="E2035" s="742" t="e">
        <f t="shared" ref="E2035" si="6318">C2031</f>
        <v>#VALUE!</v>
      </c>
      <c r="F2035" s="93"/>
      <c r="G2035" s="744" t="s">
        <v>304</v>
      </c>
      <c r="H2035" s="746"/>
      <c r="I2035" s="747"/>
      <c r="J2035" s="747"/>
      <c r="K2035" s="67"/>
      <c r="L2035" s="28" t="s">
        <v>303</v>
      </c>
      <c r="M2035" s="133" t="str">
        <f t="shared" ref="M2035" si="6319">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20">B2035</f>
        <v>#VALUE!</v>
      </c>
      <c r="C2036" s="128" t="e">
        <f t="shared" ref="C2036" si="6321">C2035</f>
        <v>#VALUE!</v>
      </c>
      <c r="D2036" s="127">
        <f t="shared" si="6251"/>
        <v>1</v>
      </c>
      <c r="E2036" s="743"/>
      <c r="F2036" s="93"/>
      <c r="G2036" s="745"/>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22">B2036</f>
        <v>#VALUE!</v>
      </c>
      <c r="C2037" s="128" t="e">
        <f t="shared" si="6322"/>
        <v>#VALUE!</v>
      </c>
      <c r="D2037" s="127">
        <f t="shared" si="6251"/>
        <v>1</v>
      </c>
      <c r="E2037" s="743"/>
      <c r="F2037" s="93"/>
      <c r="G2037" s="745"/>
      <c r="H2037" s="134">
        <f t="shared" ref="H2037" si="6323">COUNT($P2037:$XX2037)</f>
        <v>0</v>
      </c>
      <c r="I2037" s="132" t="e">
        <f t="shared" ref="I2037" si="6324">_xlfn.STDEV.P($P2036:$XX2037)/AVERAGE($P2036:$XX2037)</f>
        <v>#DIV/0!</v>
      </c>
      <c r="J2037" s="7">
        <f>ROW()</f>
        <v>2037</v>
      </c>
      <c r="K2037" s="67"/>
      <c r="L2037" s="29" t="s">
        <v>10</v>
      </c>
      <c r="M2037" s="30" t="str">
        <f t="shared" ref="M2037" si="6325">IFERROR(
IF(COUNTA(P2031:AI2031)=COUNTIF(P2033:XX2033,"Orçamento"),MIN(M2042,M2039),
IF(M2040&lt;&gt;"",M2040,
IF(M2041&lt;&gt;"",M2041,
M2039
))),"")</f>
        <v/>
      </c>
      <c r="N2037" s="71"/>
      <c r="O2037" s="27" t="s">
        <v>376</v>
      </c>
      <c r="P2037" s="106" t="str">
        <f t="shared" ref="P2037:AI2037" si="6326">IFERROR(IF(P2035="",
            "",
            IF(COUNT($P2035:$XX2035)&lt;=4,
               P2035,
               IF(OR(P2035&gt;(QUARTILE($P2035:$XX2035,3)+(QUARTILE($P2035:$XX2035,3)-QUARTILE($P2035:$XX2035,1))),
                     P2035&lt;(QUARTILE($P2035:$XX2035,1)-(QUARTILE($P2035:$XX2035,3)-QUARTILE($P2035:$XX2035,1)))
                  ),
               "DESCARTADO",P2035)
             )
  ),P2035)</f>
        <v/>
      </c>
      <c r="Q2037" s="106" t="str">
        <f t="shared" si="6326"/>
        <v/>
      </c>
      <c r="R2037" s="106" t="str">
        <f t="shared" si="6326"/>
        <v/>
      </c>
      <c r="S2037" s="106" t="str">
        <f t="shared" si="6326"/>
        <v/>
      </c>
      <c r="T2037" s="106" t="str">
        <f t="shared" si="6326"/>
        <v/>
      </c>
      <c r="U2037" s="106" t="str">
        <f t="shared" si="6326"/>
        <v/>
      </c>
      <c r="V2037" s="106" t="str">
        <f t="shared" si="6326"/>
        <v/>
      </c>
      <c r="W2037" s="106" t="str">
        <f t="shared" si="6326"/>
        <v/>
      </c>
      <c r="X2037" s="106" t="str">
        <f t="shared" si="6326"/>
        <v/>
      </c>
      <c r="Y2037" s="106" t="str">
        <f t="shared" si="6326"/>
        <v/>
      </c>
      <c r="Z2037" s="106" t="str">
        <f t="shared" si="6326"/>
        <v/>
      </c>
      <c r="AA2037" s="106" t="str">
        <f t="shared" si="6326"/>
        <v/>
      </c>
      <c r="AB2037" s="106" t="str">
        <f t="shared" si="6326"/>
        <v/>
      </c>
      <c r="AC2037" s="106" t="str">
        <f t="shared" si="6326"/>
        <v/>
      </c>
      <c r="AD2037" s="106" t="str">
        <f t="shared" si="6326"/>
        <v/>
      </c>
      <c r="AE2037" s="106" t="str">
        <f t="shared" si="6326"/>
        <v/>
      </c>
      <c r="AF2037" s="106" t="str">
        <f t="shared" si="6326"/>
        <v/>
      </c>
      <c r="AG2037" s="106" t="str">
        <f t="shared" si="6326"/>
        <v/>
      </c>
      <c r="AH2037" s="106" t="str">
        <f t="shared" si="6326"/>
        <v/>
      </c>
      <c r="AI2037" s="106" t="str">
        <f t="shared" si="6326"/>
        <v/>
      </c>
    </row>
    <row r="2038" spans="1:35" hidden="1" x14ac:dyDescent="0.25">
      <c r="B2038" s="128" t="e">
        <f t="shared" ref="B2038" si="6327">B2037</f>
        <v>#VALUE!</v>
      </c>
      <c r="C2038" s="128" t="e">
        <f t="shared" ref="C2038" si="6328">C2037</f>
        <v>#VALUE!</v>
      </c>
      <c r="D2038" s="127">
        <f t="shared" si="6251"/>
        <v>1</v>
      </c>
      <c r="E2038" s="743"/>
      <c r="F2038" s="93"/>
      <c r="G2038" s="745"/>
      <c r="H2038"/>
      <c r="I2038"/>
      <c r="J2038"/>
      <c r="K2038" s="66"/>
      <c r="L2038" s="29" t="s">
        <v>360</v>
      </c>
      <c r="M2038" s="30" t="e">
        <f t="shared" ref="M2038" si="6329">AVERAGE($P2037:$XX2037)</f>
        <v>#DIV/0!</v>
      </c>
      <c r="N2038" s="71"/>
      <c r="O2038" s="27" t="str">
        <f t="shared" ref="O2038" si="6330">"1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261"/>
        <v>#VALUE!</v>
      </c>
      <c r="C2039" s="128" t="e">
        <f t="shared" si="6262"/>
        <v>#VALUE!</v>
      </c>
      <c r="D2039" s="127">
        <f t="shared" si="6251"/>
        <v>1</v>
      </c>
      <c r="E2039" s="743"/>
      <c r="F2039" s="93"/>
      <c r="G2039" s="745"/>
      <c r="H2039" s="134">
        <f t="shared" ref="H2039" si="6331">COUNT($P2039:$XX2039)</f>
        <v>0</v>
      </c>
      <c r="I2039" s="132" t="e">
        <f t="shared" ref="I2039" si="6332">_xlfn.STDEV.P($P2038:$XX2039)/AVERAGE($P2038:$XX2039)</f>
        <v>#DIV/0!</v>
      </c>
      <c r="J2039" s="7">
        <f t="shared" ref="J2039" si="6333">IF(AND(H2039&gt;2,
OR(L2031="MÉDIA SANEADA",L2031="MEDIANA SANEADA",
AND(L2031="PREÇO ESTIMADO",NOT(AND(P2033="Orçamento",COUNTA(P2031:XX2031)=COUNTIF(P2033:XX2033,"Orçamento")))))),
ROW(),0)</f>
        <v>0</v>
      </c>
      <c r="K2039" s="66"/>
      <c r="L2039" s="29" t="s">
        <v>361</v>
      </c>
      <c r="M2039" s="30" t="e">
        <f t="shared" ref="M2039" si="6334">MEDIAN($P2037:$XX2037)</f>
        <v>#NUM!</v>
      </c>
      <c r="N2039" s="71"/>
      <c r="O2039" s="27" t="str">
        <f t="shared" ref="O2039" si="6335">"1 RODADA"</f>
        <v>1 RODADA</v>
      </c>
      <c r="P2039" s="107" t="str">
        <f t="shared" ref="P2039:AI2039" si="6336">IF(P2037="","",IF((_xlfn.STDEV.P($P2036:$XX2037)/AVERAGE($P2036:$XX2037))&lt;=25%,P2037,IF(OR(P2037&gt;(AVERAGE($P2036:$XX2037)+_xlfn.STDEV.P($P2036:$XX2037)),P2037&lt;(AVERAGE($P2036:$XX2037)-_xlfn.STDEV.P($P2036:$XX2037))),"DESCARTADO",P2037)))</f>
        <v/>
      </c>
      <c r="Q2039" s="107" t="str">
        <f t="shared" si="6336"/>
        <v/>
      </c>
      <c r="R2039" s="107" t="str">
        <f t="shared" si="6336"/>
        <v/>
      </c>
      <c r="S2039" s="107" t="str">
        <f t="shared" si="6336"/>
        <v/>
      </c>
      <c r="T2039" s="107" t="str">
        <f t="shared" si="6336"/>
        <v/>
      </c>
      <c r="U2039" s="107" t="str">
        <f t="shared" si="6336"/>
        <v/>
      </c>
      <c r="V2039" s="107" t="str">
        <f t="shared" si="6336"/>
        <v/>
      </c>
      <c r="W2039" s="107" t="str">
        <f t="shared" si="6336"/>
        <v/>
      </c>
      <c r="X2039" s="107" t="str">
        <f t="shared" si="6336"/>
        <v/>
      </c>
      <c r="Y2039" s="107" t="str">
        <f t="shared" si="6336"/>
        <v/>
      </c>
      <c r="Z2039" s="107" t="str">
        <f t="shared" si="6336"/>
        <v/>
      </c>
      <c r="AA2039" s="107" t="str">
        <f t="shared" si="6336"/>
        <v/>
      </c>
      <c r="AB2039" s="107" t="str">
        <f t="shared" si="6336"/>
        <v/>
      </c>
      <c r="AC2039" s="107" t="str">
        <f t="shared" si="6336"/>
        <v/>
      </c>
      <c r="AD2039" s="107" t="str">
        <f t="shared" si="6336"/>
        <v/>
      </c>
      <c r="AE2039" s="107" t="str">
        <f t="shared" si="6336"/>
        <v/>
      </c>
      <c r="AF2039" s="107" t="str">
        <f t="shared" si="6336"/>
        <v/>
      </c>
      <c r="AG2039" s="107" t="str">
        <f t="shared" si="6336"/>
        <v/>
      </c>
      <c r="AH2039" s="107" t="str">
        <f t="shared" si="6336"/>
        <v/>
      </c>
      <c r="AI2039" s="107" t="str">
        <f t="shared" si="6336"/>
        <v/>
      </c>
    </row>
    <row r="2040" spans="1:35" hidden="1" x14ac:dyDescent="0.25">
      <c r="B2040" s="128" t="e">
        <f t="shared" si="6261"/>
        <v>#VALUE!</v>
      </c>
      <c r="C2040" s="128" t="e">
        <f t="shared" si="6262"/>
        <v>#VALUE!</v>
      </c>
      <c r="D2040" s="127">
        <f t="shared" si="6251"/>
        <v>1</v>
      </c>
      <c r="E2040" s="743"/>
      <c r="F2040" s="93"/>
      <c r="G2040" s="745"/>
      <c r="H2040"/>
      <c r="I2040"/>
      <c r="J2040"/>
      <c r="L2040" s="29" t="s">
        <v>38</v>
      </c>
      <c r="M2040" s="30" t="str">
        <f t="shared" ref="M2040" si="6337">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8">"2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261"/>
        <v>#VALUE!</v>
      </c>
      <c r="C2041" s="128" t="e">
        <f t="shared" si="6262"/>
        <v>#VALUE!</v>
      </c>
      <c r="D2041" s="127">
        <f t="shared" si="6251"/>
        <v>1</v>
      </c>
      <c r="E2041" s="743"/>
      <c r="F2041" s="93"/>
      <c r="G2041" s="745"/>
      <c r="H2041" s="134">
        <f t="shared" ref="H2041" si="6339">COUNT($P2041:$XX2041)</f>
        <v>0</v>
      </c>
      <c r="I2041" s="132" t="e">
        <f t="shared" ref="I2041" si="6340">_xlfn.STDEV.P($P2040:$XX2041)/AVERAGE($P2040:$XX2041)</f>
        <v>#DIV/0!</v>
      </c>
      <c r="J2041" s="7">
        <f t="shared" ref="J2041" si="6341">IF(AND(H2041&gt;2,
OR(L2031="MÉDIA SANEADA",L2031="MEDIANA SANEADA",
AND(L2031="PREÇO ESTIMADO",NOT(AND(P2033="Orçamento",COUNTA(P2031:XX2031)=COUNTIF(P2033:XX2033,"Orçamento")))))),
ROW(),0)</f>
        <v>0</v>
      </c>
      <c r="K2041" s="66"/>
      <c r="L2041" s="29" t="s">
        <v>362</v>
      </c>
      <c r="M2041" s="30" t="e">
        <f t="shared" ref="M2041" si="6342" xml:space="preserve">
IF(H2039&gt;2,MEDIAN(P2038:XX2039),
IF(H2041&gt;2,MEDIAN(P2040:XX2041),
IF(H2043&gt;2,MEDIAN(P2042:XX2043),
IF(H2045&gt;2,MEDIAN(P2044:XX2045),
IF(H2047&gt;2,MEDIAN(P2046:XX2047),
IF(H2049&gt;2,MEDIAN(P2048:XX2049),
MEDIAN(P2036:XX2037)))))))</f>
        <v>#NUM!</v>
      </c>
      <c r="N2041" s="71"/>
      <c r="O2041" s="27" t="str">
        <f t="shared" ref="O2041" si="6343">"2 RODADA"</f>
        <v>2 RODADA</v>
      </c>
      <c r="P2041" s="107" t="str">
        <f t="shared" ref="P2041:AI2041" si="6344">IF(P2039="","",IF((_xlfn.STDEV.P($P2038:$XX2039)/AVERAGE($P2038:$XX2039))&lt;=25%,P2039,IF(OR(P2039&gt;(AVERAGE($P2038:$XX2039)+_xlfn.STDEV.P($P2038:$XX2039)),P2039&lt;(AVERAGE($P2038:$XX2039)-_xlfn.STDEV.P($P2038:$XX2039))),"DESCARTADO",P2039)))</f>
        <v/>
      </c>
      <c r="Q2041" s="107" t="str">
        <f t="shared" si="6344"/>
        <v/>
      </c>
      <c r="R2041" s="107" t="str">
        <f t="shared" si="6344"/>
        <v/>
      </c>
      <c r="S2041" s="107" t="str">
        <f t="shared" si="6344"/>
        <v/>
      </c>
      <c r="T2041" s="107" t="str">
        <f t="shared" si="6344"/>
        <v/>
      </c>
      <c r="U2041" s="107" t="str">
        <f t="shared" si="6344"/>
        <v/>
      </c>
      <c r="V2041" s="107" t="str">
        <f t="shared" si="6344"/>
        <v/>
      </c>
      <c r="W2041" s="107" t="str">
        <f t="shared" si="6344"/>
        <v/>
      </c>
      <c r="X2041" s="107" t="str">
        <f t="shared" si="6344"/>
        <v/>
      </c>
      <c r="Y2041" s="107" t="str">
        <f t="shared" si="6344"/>
        <v/>
      </c>
      <c r="Z2041" s="107" t="str">
        <f t="shared" si="6344"/>
        <v/>
      </c>
      <c r="AA2041" s="107" t="str">
        <f t="shared" si="6344"/>
        <v/>
      </c>
      <c r="AB2041" s="107" t="str">
        <f t="shared" si="6344"/>
        <v/>
      </c>
      <c r="AC2041" s="107" t="str">
        <f t="shared" si="6344"/>
        <v/>
      </c>
      <c r="AD2041" s="107" t="str">
        <f t="shared" si="6344"/>
        <v/>
      </c>
      <c r="AE2041" s="107" t="str">
        <f t="shared" si="6344"/>
        <v/>
      </c>
      <c r="AF2041" s="107" t="str">
        <f t="shared" si="6344"/>
        <v/>
      </c>
      <c r="AG2041" s="107" t="str">
        <f t="shared" si="6344"/>
        <v/>
      </c>
      <c r="AH2041" s="107" t="str">
        <f t="shared" si="6344"/>
        <v/>
      </c>
      <c r="AI2041" s="107" t="str">
        <f t="shared" si="6344"/>
        <v/>
      </c>
    </row>
    <row r="2042" spans="1:35" hidden="1" x14ac:dyDescent="0.25">
      <c r="B2042" s="128" t="e">
        <f t="shared" si="6261"/>
        <v>#VALUE!</v>
      </c>
      <c r="C2042" s="128" t="e">
        <f t="shared" si="6262"/>
        <v>#VALUE!</v>
      </c>
      <c r="D2042" s="127">
        <f t="shared" si="6251"/>
        <v>1</v>
      </c>
      <c r="E2042" s="743"/>
      <c r="F2042" s="93"/>
      <c r="G2042" s="745"/>
      <c r="H2042"/>
      <c r="I2042"/>
      <c r="J2042"/>
      <c r="K2042" s="66"/>
      <c r="L2042" s="29" t="s">
        <v>359</v>
      </c>
      <c r="M2042" s="30" t="e">
        <f t="shared" ref="M2042" si="6345">HARMEAN($P2036:$XX2037)</f>
        <v>#N/A</v>
      </c>
      <c r="N2042" s="71"/>
      <c r="O2042" s="27" t="str">
        <f t="shared" ref="O2042" si="6346">"3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261"/>
        <v>#VALUE!</v>
      </c>
      <c r="C2043" s="128" t="e">
        <f t="shared" si="6262"/>
        <v>#VALUE!</v>
      </c>
      <c r="D2043" s="127">
        <f t="shared" si="6251"/>
        <v>1</v>
      </c>
      <c r="E2043" s="743"/>
      <c r="F2043" s="93"/>
      <c r="G2043" s="745"/>
      <c r="H2043" s="134">
        <f t="shared" ref="H2043" si="6347">COUNT($P2043:$XX2043)</f>
        <v>0</v>
      </c>
      <c r="I2043" s="132" t="e">
        <f t="shared" ref="I2043" si="6348">_xlfn.STDEV.P($P2042:$XX2043)/AVERAGE($P2042:$XX2043)</f>
        <v>#DIV/0!</v>
      </c>
      <c r="J2043" s="7">
        <f t="shared" ref="J2043" si="6349">IF(AND(H2043&gt;2,
OR(L2031="MÉDIA SANEADA",L2031="MEDIANA SANEADA",
AND(L2031="PREÇO ESTIMADO",NOT(AND(P2033="Orçamento",COUNTA(P2031:XX2031)=COUNTIF(P2033:XX2033,"Orçamento")))))),
ROW(),0)</f>
        <v>0</v>
      </c>
      <c r="K2043" s="66"/>
      <c r="L2043" s="29" t="s">
        <v>41</v>
      </c>
      <c r="M2043" s="30" t="str">
        <f t="shared" ref="M2043" si="6350">IFERROR(_xlfn.QUARTILE.EXC($P2037:$XX2037,1),"")</f>
        <v/>
      </c>
      <c r="N2043" s="71"/>
      <c r="O2043" s="27" t="str">
        <f t="shared" ref="O2043" si="6351">"3 RODADA"</f>
        <v>3 RODADA</v>
      </c>
      <c r="P2043" s="107" t="str">
        <f t="shared" ref="P2043:AI2043" si="6352">IF(P2041="","",IF((_xlfn.STDEV.P($P2040:$XX2041)/AVERAGE($P2040:$XX2041))&lt;=25%,P2041,IF(OR(P2041&gt;(AVERAGE($P2040:$XX2041)+_xlfn.STDEV.P($P2040:$XX2041)),P2041&lt;(AVERAGE($P2040:$XX2041)-_xlfn.STDEV.P($P2040:$XX2041))),"DESCARTADO",P2041)))</f>
        <v/>
      </c>
      <c r="Q2043" s="107" t="str">
        <f t="shared" si="6352"/>
        <v/>
      </c>
      <c r="R2043" s="107" t="str">
        <f t="shared" si="6352"/>
        <v/>
      </c>
      <c r="S2043" s="107" t="str">
        <f t="shared" si="6352"/>
        <v/>
      </c>
      <c r="T2043" s="107" t="str">
        <f t="shared" si="6352"/>
        <v/>
      </c>
      <c r="U2043" s="107" t="str">
        <f t="shared" si="6352"/>
        <v/>
      </c>
      <c r="V2043" s="107" t="str">
        <f t="shared" si="6352"/>
        <v/>
      </c>
      <c r="W2043" s="107" t="str">
        <f t="shared" si="6352"/>
        <v/>
      </c>
      <c r="X2043" s="107" t="str">
        <f t="shared" si="6352"/>
        <v/>
      </c>
      <c r="Y2043" s="107" t="str">
        <f t="shared" si="6352"/>
        <v/>
      </c>
      <c r="Z2043" s="107" t="str">
        <f t="shared" si="6352"/>
        <v/>
      </c>
      <c r="AA2043" s="107" t="str">
        <f t="shared" si="6352"/>
        <v/>
      </c>
      <c r="AB2043" s="107" t="str">
        <f t="shared" si="6352"/>
        <v/>
      </c>
      <c r="AC2043" s="107" t="str">
        <f t="shared" si="6352"/>
        <v/>
      </c>
      <c r="AD2043" s="107" t="str">
        <f t="shared" si="6352"/>
        <v/>
      </c>
      <c r="AE2043" s="107" t="str">
        <f t="shared" si="6352"/>
        <v/>
      </c>
      <c r="AF2043" s="107" t="str">
        <f t="shared" si="6352"/>
        <v/>
      </c>
      <c r="AG2043" s="107" t="str">
        <f t="shared" si="6352"/>
        <v/>
      </c>
      <c r="AH2043" s="107" t="str">
        <f t="shared" si="6352"/>
        <v/>
      </c>
      <c r="AI2043" s="107" t="str">
        <f t="shared" si="6352"/>
        <v/>
      </c>
    </row>
    <row r="2044" spans="1:35" hidden="1" x14ac:dyDescent="0.25">
      <c r="B2044" s="128" t="e">
        <f t="shared" si="6261"/>
        <v>#VALUE!</v>
      </c>
      <c r="C2044" s="128" t="e">
        <f t="shared" si="6262"/>
        <v>#VALUE!</v>
      </c>
      <c r="D2044" s="127">
        <f t="shared" si="6251"/>
        <v>1</v>
      </c>
      <c r="E2044" s="743"/>
      <c r="F2044" s="93"/>
      <c r="G2044" s="745"/>
      <c r="H2044"/>
      <c r="I2044"/>
      <c r="J2044"/>
      <c r="K2044" s="66"/>
      <c r="L2044" s="29" t="s">
        <v>39</v>
      </c>
      <c r="M2044" s="30" t="str">
        <f t="shared" ref="M2044" si="6353">IFERROR(_xlfn.QUARTILE.EXC($P2037:$XX2037,3),"")</f>
        <v/>
      </c>
      <c r="N2044" s="71"/>
      <c r="O2044" s="27" t="str">
        <f t="shared" ref="O2044" si="6354">"4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si="6261"/>
        <v>#VALUE!</v>
      </c>
      <c r="C2045" s="128" t="e">
        <f t="shared" si="6262"/>
        <v>#VALUE!</v>
      </c>
      <c r="D2045" s="127">
        <f t="shared" si="6251"/>
        <v>1</v>
      </c>
      <c r="E2045" s="743"/>
      <c r="F2045" s="93"/>
      <c r="G2045" s="745"/>
      <c r="H2045" s="134">
        <f t="shared" ref="H2045" si="6355">COUNT($P2045:$XX2045)</f>
        <v>0</v>
      </c>
      <c r="I2045" s="132" t="e">
        <f t="shared" ref="I2045" si="6356">_xlfn.STDEV.P($P2044:$XX2045)/AVERAGE($P2044:$XX2045)</f>
        <v>#DIV/0!</v>
      </c>
      <c r="J2045" s="7">
        <f t="shared" ref="J2045" si="6357">IF(AND(H2045&gt;2,
OR(L2031="MÉDIA SANEADA",L2031="MEDIANA SANEADA",
AND(L2031="PREÇO ESTIMADO",NOT(AND(P2033="Orçamento",COUNTA(P2031:XX2031)=COUNTIF(P2033:XX2033,"Orçamento")))))),
ROW(),0)</f>
        <v>0</v>
      </c>
      <c r="K2045" s="66"/>
      <c r="L2045" s="29" t="s">
        <v>42</v>
      </c>
      <c r="M2045" s="30">
        <f t="shared" ref="M2045" si="6358">MIN($P2037:$XX2037)</f>
        <v>0</v>
      </c>
      <c r="N2045" s="71"/>
      <c r="O2045" s="27" t="str">
        <f t="shared" ref="O2045" si="6359">"4 RODADA"</f>
        <v>4 RODADA</v>
      </c>
      <c r="P2045" s="107" t="str">
        <f t="shared" ref="P2045:AI2045" si="6360">IF(P2043="","",IF((_xlfn.STDEV.P($P2042:$XX2043)/AVERAGE($P2042:$XX2043))&lt;=25%,P2043,IF(OR(P2043&gt;(AVERAGE($P2042:$XX2043)+_xlfn.STDEV.P($P2042:$XX2043)),P2043&lt;(AVERAGE($P2042:$XX2043)-_xlfn.STDEV.P($P2042:$XX2043))),"DESCARTADO",P2043)))</f>
        <v/>
      </c>
      <c r="Q2045" s="107" t="str">
        <f t="shared" si="6360"/>
        <v/>
      </c>
      <c r="R2045" s="107" t="str">
        <f t="shared" si="6360"/>
        <v/>
      </c>
      <c r="S2045" s="107" t="str">
        <f t="shared" si="6360"/>
        <v/>
      </c>
      <c r="T2045" s="107" t="str">
        <f t="shared" si="6360"/>
        <v/>
      </c>
      <c r="U2045" s="107" t="str">
        <f t="shared" si="6360"/>
        <v/>
      </c>
      <c r="V2045" s="107" t="str">
        <f t="shared" si="6360"/>
        <v/>
      </c>
      <c r="W2045" s="107" t="str">
        <f t="shared" si="6360"/>
        <v/>
      </c>
      <c r="X2045" s="107" t="str">
        <f t="shared" si="6360"/>
        <v/>
      </c>
      <c r="Y2045" s="107" t="str">
        <f t="shared" si="6360"/>
        <v/>
      </c>
      <c r="Z2045" s="107" t="str">
        <f t="shared" si="6360"/>
        <v/>
      </c>
      <c r="AA2045" s="107" t="str">
        <f t="shared" si="6360"/>
        <v/>
      </c>
      <c r="AB2045" s="107" t="str">
        <f t="shared" si="6360"/>
        <v/>
      </c>
      <c r="AC2045" s="107" t="str">
        <f t="shared" si="6360"/>
        <v/>
      </c>
      <c r="AD2045" s="107" t="str">
        <f t="shared" si="6360"/>
        <v/>
      </c>
      <c r="AE2045" s="107" t="str">
        <f t="shared" si="6360"/>
        <v/>
      </c>
      <c r="AF2045" s="107" t="str">
        <f t="shared" si="6360"/>
        <v/>
      </c>
      <c r="AG2045" s="107" t="str">
        <f t="shared" si="6360"/>
        <v/>
      </c>
      <c r="AH2045" s="107" t="str">
        <f t="shared" si="6360"/>
        <v/>
      </c>
      <c r="AI2045" s="107" t="str">
        <f t="shared" si="6360"/>
        <v/>
      </c>
    </row>
    <row r="2046" spans="1:35" hidden="1" x14ac:dyDescent="0.25">
      <c r="B2046" s="128" t="e">
        <f t="shared" si="6261"/>
        <v>#VALUE!</v>
      </c>
      <c r="C2046" s="128" t="e">
        <f t="shared" si="6262"/>
        <v>#VALUE!</v>
      </c>
      <c r="D2046" s="127">
        <f t="shared" si="6251"/>
        <v>1</v>
      </c>
      <c r="E2046" s="743"/>
      <c r="F2046" s="93"/>
      <c r="G2046" s="745"/>
      <c r="H2046"/>
      <c r="I2046"/>
      <c r="J2046"/>
      <c r="K2046" s="66"/>
      <c r="L2046" s="29" t="s">
        <v>40</v>
      </c>
      <c r="M2046" s="30">
        <f t="shared" ref="M2046" si="6361">MAX($P2037:$XX2037)</f>
        <v>0</v>
      </c>
      <c r="N2046" s="71"/>
      <c r="O2046" s="27" t="str">
        <f t="shared" ref="O2046" si="6362">"5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261"/>
        <v>#VALUE!</v>
      </c>
      <c r="C2047" s="128" t="e">
        <f t="shared" si="6262"/>
        <v>#VALUE!</v>
      </c>
      <c r="D2047" s="127">
        <f t="shared" si="6251"/>
        <v>1</v>
      </c>
      <c r="E2047" s="743"/>
      <c r="F2047" s="93"/>
      <c r="G2047" s="745"/>
      <c r="H2047" s="134">
        <f t="shared" ref="H2047" si="6363">COUNT($P2047:$XX2047)</f>
        <v>0</v>
      </c>
      <c r="I2047" s="132" t="e">
        <f t="shared" ref="I2047" si="6364">_xlfn.STDEV.P($P2046:$XX2047)/AVERAGE($P2046:$XX2047)</f>
        <v>#DIV/0!</v>
      </c>
      <c r="J2047" s="7">
        <f t="shared" ref="J2047" si="6365">IF(AND(H2047&gt;2,
OR(L2031="MÉDIA SANEADA",L2031="MEDIANA SANEADA",
AND(L2031="PREÇO ESTIMADO",NOT(AND(P2033="Orçamento",COUNTA(P2031:XX2031)=COUNTIF(P2033:XX2033,"Orçamento")))))),
ROW(),0)</f>
        <v>0</v>
      </c>
      <c r="K2047" s="66"/>
      <c r="N2047" s="71"/>
      <c r="O2047" s="27" t="str">
        <f t="shared" ref="O2047" si="6366">"5 RODADA"</f>
        <v>5 RODADA</v>
      </c>
      <c r="P2047" s="107" t="str">
        <f t="shared" ref="P2047:AI2047" si="6367">IF(P2045="","",IF((_xlfn.STDEV.P($P2044:$XX2045)/AVERAGE($P2044:$XX2045))&lt;=25%,P2045,IF(OR(P2045&gt;(AVERAGE($P2044:$XX2045)+_xlfn.STDEV.P($P2044:$XX2045)),P2045&lt;(AVERAGE($P2044:$XX2045)-_xlfn.STDEV.P($P2044:$XX2045))),"DESCARTADO",P2045)))</f>
        <v/>
      </c>
      <c r="Q2047" s="107" t="str">
        <f t="shared" si="6367"/>
        <v/>
      </c>
      <c r="R2047" s="107" t="str">
        <f t="shared" si="6367"/>
        <v/>
      </c>
      <c r="S2047" s="107" t="str">
        <f t="shared" si="6367"/>
        <v/>
      </c>
      <c r="T2047" s="107" t="str">
        <f t="shared" si="6367"/>
        <v/>
      </c>
      <c r="U2047" s="107" t="str">
        <f t="shared" si="6367"/>
        <v/>
      </c>
      <c r="V2047" s="107" t="str">
        <f t="shared" si="6367"/>
        <v/>
      </c>
      <c r="W2047" s="107" t="str">
        <f t="shared" si="6367"/>
        <v/>
      </c>
      <c r="X2047" s="107" t="str">
        <f t="shared" si="6367"/>
        <v/>
      </c>
      <c r="Y2047" s="107" t="str">
        <f t="shared" si="6367"/>
        <v/>
      </c>
      <c r="Z2047" s="107" t="str">
        <f t="shared" si="6367"/>
        <v/>
      </c>
      <c r="AA2047" s="107" t="str">
        <f t="shared" si="6367"/>
        <v/>
      </c>
      <c r="AB2047" s="107" t="str">
        <f t="shared" si="6367"/>
        <v/>
      </c>
      <c r="AC2047" s="107" t="str">
        <f t="shared" si="6367"/>
        <v/>
      </c>
      <c r="AD2047" s="107" t="str">
        <f t="shared" si="6367"/>
        <v/>
      </c>
      <c r="AE2047" s="107" t="str">
        <f t="shared" si="6367"/>
        <v/>
      </c>
      <c r="AF2047" s="107" t="str">
        <f t="shared" si="6367"/>
        <v/>
      </c>
      <c r="AG2047" s="107" t="str">
        <f t="shared" si="6367"/>
        <v/>
      </c>
      <c r="AH2047" s="107" t="str">
        <f t="shared" si="6367"/>
        <v/>
      </c>
      <c r="AI2047" s="107" t="str">
        <f t="shared" si="6367"/>
        <v/>
      </c>
    </row>
    <row r="2048" spans="1:35" hidden="1" x14ac:dyDescent="0.25">
      <c r="B2048" s="128" t="e">
        <f t="shared" si="6261"/>
        <v>#VALUE!</v>
      </c>
      <c r="C2048" s="128" t="e">
        <f t="shared" si="6262"/>
        <v>#VALUE!</v>
      </c>
      <c r="D2048" s="127">
        <f t="shared" si="6251"/>
        <v>1</v>
      </c>
      <c r="E2048" s="743"/>
      <c r="F2048" s="93"/>
      <c r="G2048" s="745"/>
      <c r="H2048"/>
      <c r="I2048"/>
      <c r="J2048"/>
      <c r="K2048" s="66"/>
      <c r="L2048" s="22"/>
      <c r="M2048" s="22"/>
      <c r="N2048" s="71"/>
      <c r="O2048" s="27" t="str">
        <f t="shared" ref="O2048" si="6368">"6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261"/>
        <v>#VALUE!</v>
      </c>
      <c r="C2049" s="128" t="e">
        <f t="shared" si="6262"/>
        <v>#VALUE!</v>
      </c>
      <c r="D2049" s="127">
        <f t="shared" si="6251"/>
        <v>1</v>
      </c>
      <c r="E2049" s="743"/>
      <c r="F2049" s="93"/>
      <c r="G2049" s="745"/>
      <c r="H2049" s="134">
        <f t="shared" ref="H2049" si="6369">COUNT($P2049:$XX2049)</f>
        <v>0</v>
      </c>
      <c r="I2049" s="132" t="e">
        <f t="shared" ref="I2049" si="6370">_xlfn.STDEV.P($P2048:$XX2049)/AVERAGE($P2048:$XX2049)</f>
        <v>#DIV/0!</v>
      </c>
      <c r="J2049" s="7">
        <f t="shared" ref="J2049" si="6371">IF(AND(H2049&gt;2,
OR(L2031="MÉDIA SANEADA",L2031="MEDIANA SANEADA",
AND(L2031="PREÇO ESTIMADO",NOT(AND(P2033="Orçamento",COUNTA(P2031:XX2031)=COUNTIF(P2033:XX2033,"Orçamento")))))),
ROW(),0)</f>
        <v>0</v>
      </c>
      <c r="N2049" s="71"/>
      <c r="O2049" s="27" t="str">
        <f t="shared" ref="O2049" si="6372">"6 RODADA"</f>
        <v>6 RODADA</v>
      </c>
      <c r="P2049" s="107" t="str">
        <f t="shared" ref="P2049:AI2049" si="6373">IFERROR(IF(P2047="","",IF((_xlfn.STDEV.P($P2046:$XX2047)/AVERAGE($P2046:$XX2047))&lt;=25%,P2047,IF(OR(P2047&gt;(AVERAGE($P2046:$XX2047)+_xlfn.STDEV.P($P2046:$XX2047)),P2047&lt;(AVERAGE($P2046:$XX2047)-_xlfn.STDEV.P($P2046:$XX2047))),"DESCARTADO",P2047))),)</f>
        <v/>
      </c>
      <c r="Q2049" s="107" t="str">
        <f t="shared" si="6373"/>
        <v/>
      </c>
      <c r="R2049" s="107" t="str">
        <f t="shared" si="6373"/>
        <v/>
      </c>
      <c r="S2049" s="107" t="str">
        <f t="shared" si="6373"/>
        <v/>
      </c>
      <c r="T2049" s="107" t="str">
        <f t="shared" si="6373"/>
        <v/>
      </c>
      <c r="U2049" s="107" t="str">
        <f t="shared" si="6373"/>
        <v/>
      </c>
      <c r="V2049" s="107" t="str">
        <f t="shared" si="6373"/>
        <v/>
      </c>
      <c r="W2049" s="107" t="str">
        <f t="shared" si="6373"/>
        <v/>
      </c>
      <c r="X2049" s="107" t="str">
        <f t="shared" si="6373"/>
        <v/>
      </c>
      <c r="Y2049" s="107" t="str">
        <f t="shared" si="6373"/>
        <v/>
      </c>
      <c r="Z2049" s="107" t="str">
        <f t="shared" si="6373"/>
        <v/>
      </c>
      <c r="AA2049" s="107" t="str">
        <f t="shared" si="6373"/>
        <v/>
      </c>
      <c r="AB2049" s="107" t="str">
        <f t="shared" si="6373"/>
        <v/>
      </c>
      <c r="AC2049" s="107" t="str">
        <f t="shared" si="6373"/>
        <v/>
      </c>
      <c r="AD2049" s="107" t="str">
        <f t="shared" si="6373"/>
        <v/>
      </c>
      <c r="AE2049" s="107" t="str">
        <f t="shared" si="6373"/>
        <v/>
      </c>
      <c r="AF2049" s="107" t="str">
        <f t="shared" si="6373"/>
        <v/>
      </c>
      <c r="AG2049" s="107" t="str">
        <f t="shared" si="6373"/>
        <v/>
      </c>
      <c r="AH2049" s="107" t="str">
        <f t="shared" si="6373"/>
        <v/>
      </c>
      <c r="AI2049" s="107" t="str">
        <f t="shared" si="6373"/>
        <v/>
      </c>
    </row>
    <row r="2050" spans="1:167" x14ac:dyDescent="0.25">
      <c r="B2050" s="128" t="e">
        <f t="shared" si="6261"/>
        <v>#VALUE!</v>
      </c>
      <c r="C2050" s="128" t="e">
        <f t="shared" si="6262"/>
        <v>#VALUE!</v>
      </c>
      <c r="D2050" s="127">
        <f t="shared" si="6251"/>
        <v>1</v>
      </c>
      <c r="E2050" s="743"/>
      <c r="F2050" s="136"/>
      <c r="G2050" s="745"/>
      <c r="H2050" s="748"/>
      <c r="I2050" s="748"/>
      <c r="J2050" s="749"/>
      <c r="K2050" s="67"/>
      <c r="L2050" s="1" t="s">
        <v>43</v>
      </c>
      <c r="M2050" s="144" t="str">
        <f t="shared" ref="M2050" si="6374">IFERROR(ROUND(M2031*M2033,2),"")</f>
        <v/>
      </c>
      <c r="O2050" s="27" t="s">
        <v>363</v>
      </c>
      <c r="P2050" s="107" t="str">
        <f t="shared" ref="P2050:R2050" si="6375">INDEX(P2037:P2049,MATCH(MAX($J2037:$J2049),$J2037:$J2049,0))</f>
        <v/>
      </c>
      <c r="Q2050" s="107" t="str">
        <f t="shared" si="6375"/>
        <v/>
      </c>
      <c r="R2050" s="107" t="str">
        <f t="shared" si="6375"/>
        <v/>
      </c>
      <c r="S2050" s="107" t="str">
        <f t="shared" si="6309"/>
        <v/>
      </c>
      <c r="T2050" s="107" t="str">
        <f t="shared" si="6309"/>
        <v/>
      </c>
      <c r="U2050" s="107" t="str">
        <f t="shared" si="6309"/>
        <v/>
      </c>
      <c r="V2050" s="107" t="str">
        <f t="shared" si="6309"/>
        <v/>
      </c>
      <c r="W2050" s="107" t="str">
        <f t="shared" si="6309"/>
        <v/>
      </c>
      <c r="X2050" s="107" t="str">
        <f t="shared" si="6309"/>
        <v/>
      </c>
      <c r="Y2050" s="107" t="str">
        <f t="shared" si="6309"/>
        <v/>
      </c>
      <c r="Z2050" s="107" t="str">
        <f t="shared" si="6309"/>
        <v/>
      </c>
      <c r="AA2050" s="107" t="str">
        <f t="shared" si="6309"/>
        <v/>
      </c>
      <c r="AB2050" s="107" t="str">
        <f t="shared" si="6309"/>
        <v/>
      </c>
      <c r="AC2050" s="107" t="str">
        <f t="shared" si="6309"/>
        <v/>
      </c>
      <c r="AD2050" s="107" t="str">
        <f t="shared" si="6309"/>
        <v/>
      </c>
      <c r="AE2050" s="107" t="str">
        <f t="shared" si="6309"/>
        <v/>
      </c>
      <c r="AF2050" s="107" t="str">
        <f t="shared" si="6309"/>
        <v/>
      </c>
      <c r="AG2050" s="107" t="str">
        <f t="shared" si="6309"/>
        <v/>
      </c>
      <c r="AH2050" s="107" t="str">
        <f t="shared" si="6309"/>
        <v/>
      </c>
      <c r="AI2050" s="107" t="str">
        <f t="shared" si="6309"/>
        <v/>
      </c>
    </row>
    <row r="2052" spans="1:167" s="117" customFormat="1" ht="15" customHeight="1" x14ac:dyDescent="0.25">
      <c r="A2052" s="120"/>
      <c r="B2052" s="127" t="e">
        <f t="shared" ref="B2052" si="6376">LARGE(IFERROR(IF(B2050+1&gt;$H$8,"",B2050+1),""),1)</f>
        <v>#VALUE!</v>
      </c>
      <c r="C2052" s="127" t="e">
        <f>IF(_xlfn.ISFORMULA(E2056),MAX(INDEX('BASE FORMAÇÃO'!A:A,B2052+1),1),E2056)</f>
        <v>#VALUE!</v>
      </c>
      <c r="D2052" s="127">
        <f t="shared" ref="D2052" si="6377">IFERROR(IF(C2052=C2042,D2042+1,1),1)</f>
        <v>1</v>
      </c>
      <c r="E2052" s="38" t="s">
        <v>9</v>
      </c>
      <c r="F2052" s="73"/>
      <c r="G2052" s="38" t="s">
        <v>15</v>
      </c>
      <c r="H2052" s="135" t="e">
        <f>INDEX('BASE FORMAÇÃO'!B:B,B2052+1)</f>
        <v>#VALUE!</v>
      </c>
      <c r="I2052" s="143" t="s">
        <v>16</v>
      </c>
      <c r="J2052" s="6" t="e">
        <f>INDEX('BASE FORMAÇÃO'!K:K,B2052+1)</f>
        <v>#VALUE!</v>
      </c>
      <c r="K2052" s="65"/>
      <c r="L2052" s="750" t="s">
        <v>10</v>
      </c>
      <c r="M2052" s="752" t="str">
        <f t="shared" ref="M2052" si="6378">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9">B2052</f>
        <v>#VALUE!</v>
      </c>
      <c r="C2053" s="128" t="e">
        <f t="shared" si="6379"/>
        <v>#VALUE!</v>
      </c>
      <c r="D2053" s="127">
        <f t="shared" si="6379"/>
        <v>1</v>
      </c>
      <c r="E2053" s="754">
        <f t="shared" ref="E2053" si="6380">D2052</f>
        <v>1</v>
      </c>
      <c r="F2053" s="92"/>
      <c r="G2053" s="756" t="s">
        <v>1</v>
      </c>
      <c r="H2053" s="759" t="e">
        <f>INDEX('BASE FORMAÇÃO'!C:C,B2052+1)</f>
        <v>#VALUE!</v>
      </c>
      <c r="I2053" s="759"/>
      <c r="J2053" s="760"/>
      <c r="K2053" s="66"/>
      <c r="L2053" s="751"/>
      <c r="M2053" s="753"/>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81">B2053</f>
        <v>#VALUE!</v>
      </c>
      <c r="C2054" s="128" t="e">
        <f t="shared" si="6381"/>
        <v>#VALUE!</v>
      </c>
      <c r="D2054" s="127">
        <f t="shared" si="6381"/>
        <v>1</v>
      </c>
      <c r="E2054" s="755"/>
      <c r="F2054" s="93"/>
      <c r="G2054" s="757"/>
      <c r="H2054" s="761"/>
      <c r="I2054" s="761"/>
      <c r="J2054" s="762"/>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82">B2054</f>
        <v>#VALUE!</v>
      </c>
      <c r="C2055" s="128" t="e">
        <f t="shared" si="6382"/>
        <v>#VALUE!</v>
      </c>
      <c r="D2055" s="127">
        <f t="shared" si="6251"/>
        <v>1</v>
      </c>
      <c r="E2055" s="38" t="s">
        <v>313</v>
      </c>
      <c r="F2055" s="93"/>
      <c r="G2055" s="758"/>
      <c r="H2055" s="763"/>
      <c r="I2055" s="763"/>
      <c r="J2055" s="764"/>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83">B2054</f>
        <v>#VALUE!</v>
      </c>
      <c r="C2056" s="128" t="e">
        <f t="shared" si="6383"/>
        <v>#VALUE!</v>
      </c>
      <c r="D2056" s="127">
        <f t="shared" si="6251"/>
        <v>1</v>
      </c>
      <c r="E2056" s="742" t="e">
        <f t="shared" ref="E2056" si="6384">C2052</f>
        <v>#VALUE!</v>
      </c>
      <c r="F2056" s="93"/>
      <c r="G2056" s="744" t="s">
        <v>304</v>
      </c>
      <c r="H2056" s="746"/>
      <c r="I2056" s="747"/>
      <c r="J2056" s="747"/>
      <c r="K2056" s="67"/>
      <c r="L2056" s="28" t="s">
        <v>303</v>
      </c>
      <c r="M2056" s="133" t="str">
        <f t="shared" ref="M2056" si="6385">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6">B2056</f>
        <v>#VALUE!</v>
      </c>
      <c r="C2057" s="128" t="e">
        <f t="shared" ref="C2057" si="6387">C2056</f>
        <v>#VALUE!</v>
      </c>
      <c r="D2057" s="127">
        <f t="shared" si="6251"/>
        <v>1</v>
      </c>
      <c r="E2057" s="743"/>
      <c r="F2057" s="93"/>
      <c r="G2057" s="745"/>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8">B2057</f>
        <v>#VALUE!</v>
      </c>
      <c r="C2058" s="128" t="e">
        <f t="shared" si="6388"/>
        <v>#VALUE!</v>
      </c>
      <c r="D2058" s="127">
        <f t="shared" si="6251"/>
        <v>1</v>
      </c>
      <c r="E2058" s="743"/>
      <c r="F2058" s="93"/>
      <c r="G2058" s="745"/>
      <c r="H2058" s="134">
        <f t="shared" ref="H2058" si="6389">COUNT($P2058:$XX2058)</f>
        <v>0</v>
      </c>
      <c r="I2058" s="132" t="e">
        <f t="shared" ref="I2058" si="6390">_xlfn.STDEV.P($P2057:$XX2058)/AVERAGE($P2057:$XX2058)</f>
        <v>#DIV/0!</v>
      </c>
      <c r="J2058" s="7">
        <f>ROW()</f>
        <v>2058</v>
      </c>
      <c r="K2058" s="67"/>
      <c r="L2058" s="29" t="s">
        <v>10</v>
      </c>
      <c r="M2058" s="30" t="str">
        <f t="shared" ref="M2058" si="6391">IFERROR(
IF(COUNTA(P2052:AI2052)=COUNTIF(P2054:XX2054,"Orçamento"),MIN(M2063,M2060),
IF(M2061&lt;&gt;"",M2061,
IF(M2062&lt;&gt;"",M2062,
M2060
))),"")</f>
        <v/>
      </c>
      <c r="N2058" s="71"/>
      <c r="O2058" s="27" t="s">
        <v>376</v>
      </c>
      <c r="P2058" s="106" t="str">
        <f t="shared" ref="P2058:AI2058" si="6392">IFERROR(IF(P2056="",
            "",
            IF(COUNT($P2056:$XX2056)&lt;=4,
               P2056,
               IF(OR(P2056&gt;(QUARTILE($P2056:$XX2056,3)+(QUARTILE($P2056:$XX2056,3)-QUARTILE($P2056:$XX2056,1))),
                     P2056&lt;(QUARTILE($P2056:$XX2056,1)-(QUARTILE($P2056:$XX2056,3)-QUARTILE($P2056:$XX2056,1)))
                  ),
               "DESCARTADO",P2056)
             )
  ),P2056)</f>
        <v/>
      </c>
      <c r="Q2058" s="106" t="str">
        <f t="shared" si="6392"/>
        <v/>
      </c>
      <c r="R2058" s="106" t="str">
        <f t="shared" si="6392"/>
        <v/>
      </c>
      <c r="S2058" s="106" t="str">
        <f t="shared" si="6392"/>
        <v/>
      </c>
      <c r="T2058" s="106" t="str">
        <f t="shared" si="6392"/>
        <v/>
      </c>
      <c r="U2058" s="106" t="str">
        <f t="shared" si="6392"/>
        <v/>
      </c>
      <c r="V2058" s="106" t="str">
        <f t="shared" si="6392"/>
        <v/>
      </c>
      <c r="W2058" s="106" t="str">
        <f t="shared" si="6392"/>
        <v/>
      </c>
      <c r="X2058" s="106" t="str">
        <f t="shared" si="6392"/>
        <v/>
      </c>
      <c r="Y2058" s="106" t="str">
        <f t="shared" si="6392"/>
        <v/>
      </c>
      <c r="Z2058" s="106" t="str">
        <f t="shared" si="6392"/>
        <v/>
      </c>
      <c r="AA2058" s="106" t="str">
        <f t="shared" si="6392"/>
        <v/>
      </c>
      <c r="AB2058" s="106" t="str">
        <f t="shared" si="6392"/>
        <v/>
      </c>
      <c r="AC2058" s="106" t="str">
        <f t="shared" si="6392"/>
        <v/>
      </c>
      <c r="AD2058" s="106" t="str">
        <f t="shared" si="6392"/>
        <v/>
      </c>
      <c r="AE2058" s="106" t="str">
        <f t="shared" si="6392"/>
        <v/>
      </c>
      <c r="AF2058" s="106" t="str">
        <f t="shared" si="6392"/>
        <v/>
      </c>
      <c r="AG2058" s="106" t="str">
        <f t="shared" si="6392"/>
        <v/>
      </c>
      <c r="AH2058" s="106" t="str">
        <f t="shared" si="6392"/>
        <v/>
      </c>
      <c r="AI2058" s="106" t="str">
        <f t="shared" si="6392"/>
        <v/>
      </c>
    </row>
    <row r="2059" spans="1:167" hidden="1" x14ac:dyDescent="0.25">
      <c r="B2059" s="128" t="e">
        <f t="shared" ref="B2059" si="6393">B2058</f>
        <v>#VALUE!</v>
      </c>
      <c r="C2059" s="128" t="e">
        <f t="shared" ref="C2059" si="6394">C2058</f>
        <v>#VALUE!</v>
      </c>
      <c r="D2059" s="127">
        <f t="shared" si="6251"/>
        <v>1</v>
      </c>
      <c r="E2059" s="743"/>
      <c r="F2059" s="93"/>
      <c r="G2059" s="745"/>
      <c r="H2059"/>
      <c r="I2059"/>
      <c r="J2059"/>
      <c r="K2059" s="66"/>
      <c r="L2059" s="29" t="s">
        <v>360</v>
      </c>
      <c r="M2059" s="30" t="e">
        <f t="shared" ref="M2059" si="6395">AVERAGE($P2058:$XX2058)</f>
        <v>#DIV/0!</v>
      </c>
      <c r="N2059" s="71"/>
      <c r="O2059" s="27" t="str">
        <f t="shared" ref="O2059" si="6396">"1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261"/>
        <v>#VALUE!</v>
      </c>
      <c r="C2060" s="128" t="e">
        <f t="shared" si="6262"/>
        <v>#VALUE!</v>
      </c>
      <c r="D2060" s="127">
        <f t="shared" si="6251"/>
        <v>1</v>
      </c>
      <c r="E2060" s="743"/>
      <c r="F2060" s="93"/>
      <c r="G2060" s="745"/>
      <c r="H2060" s="134">
        <f t="shared" ref="H2060" si="6397">COUNT($P2060:$XX2060)</f>
        <v>0</v>
      </c>
      <c r="I2060" s="132" t="e">
        <f t="shared" ref="I2060" si="6398">_xlfn.STDEV.P($P2059:$XX2060)/AVERAGE($P2059:$XX2060)</f>
        <v>#DIV/0!</v>
      </c>
      <c r="J2060" s="7">
        <f t="shared" ref="J2060" si="6399">IF(AND(H2060&gt;2,
OR(L2052="MÉDIA SANEADA",L2052="MEDIANA SANEADA",
AND(L2052="PREÇO ESTIMADO",NOT(AND(P2054="Orçamento",COUNTA(P2052:XX2052)=COUNTIF(P2054:XX2054,"Orçamento")))))),
ROW(),0)</f>
        <v>0</v>
      </c>
      <c r="K2060" s="66"/>
      <c r="L2060" s="29" t="s">
        <v>361</v>
      </c>
      <c r="M2060" s="30" t="e">
        <f t="shared" ref="M2060" si="6400">MEDIAN($P2058:$XX2058)</f>
        <v>#NUM!</v>
      </c>
      <c r="N2060" s="71"/>
      <c r="O2060" s="27" t="str">
        <f t="shared" ref="O2060" si="6401">"1 RODADA"</f>
        <v>1 RODADA</v>
      </c>
      <c r="P2060" s="107" t="str">
        <f t="shared" ref="P2060:AI2060" si="6402">IF(P2058="","",IF((_xlfn.STDEV.P($P2057:$XX2058)/AVERAGE($P2057:$XX2058))&lt;=25%,P2058,IF(OR(P2058&gt;(AVERAGE($P2057:$XX2058)+_xlfn.STDEV.P($P2057:$XX2058)),P2058&lt;(AVERAGE($P2057:$XX2058)-_xlfn.STDEV.P($P2057:$XX2058))),"DESCARTADO",P2058)))</f>
        <v/>
      </c>
      <c r="Q2060" s="107" t="str">
        <f t="shared" si="6402"/>
        <v/>
      </c>
      <c r="R2060" s="107" t="str">
        <f t="shared" si="6402"/>
        <v/>
      </c>
      <c r="S2060" s="107" t="str">
        <f t="shared" si="6402"/>
        <v/>
      </c>
      <c r="T2060" s="107" t="str">
        <f t="shared" si="6402"/>
        <v/>
      </c>
      <c r="U2060" s="107" t="str">
        <f t="shared" si="6402"/>
        <v/>
      </c>
      <c r="V2060" s="107" t="str">
        <f t="shared" si="6402"/>
        <v/>
      </c>
      <c r="W2060" s="107" t="str">
        <f t="shared" si="6402"/>
        <v/>
      </c>
      <c r="X2060" s="107" t="str">
        <f t="shared" si="6402"/>
        <v/>
      </c>
      <c r="Y2060" s="107" t="str">
        <f t="shared" si="6402"/>
        <v/>
      </c>
      <c r="Z2060" s="107" t="str">
        <f t="shared" si="6402"/>
        <v/>
      </c>
      <c r="AA2060" s="107" t="str">
        <f t="shared" si="6402"/>
        <v/>
      </c>
      <c r="AB2060" s="107" t="str">
        <f t="shared" si="6402"/>
        <v/>
      </c>
      <c r="AC2060" s="107" t="str">
        <f t="shared" si="6402"/>
        <v/>
      </c>
      <c r="AD2060" s="107" t="str">
        <f t="shared" si="6402"/>
        <v/>
      </c>
      <c r="AE2060" s="107" t="str">
        <f t="shared" si="6402"/>
        <v/>
      </c>
      <c r="AF2060" s="107" t="str">
        <f t="shared" si="6402"/>
        <v/>
      </c>
      <c r="AG2060" s="107" t="str">
        <f t="shared" si="6402"/>
        <v/>
      </c>
      <c r="AH2060" s="107" t="str">
        <f t="shared" si="6402"/>
        <v/>
      </c>
      <c r="AI2060" s="107" t="str">
        <f t="shared" si="6402"/>
        <v/>
      </c>
    </row>
    <row r="2061" spans="1:167" hidden="1" x14ac:dyDescent="0.25">
      <c r="B2061" s="128" t="e">
        <f t="shared" si="6261"/>
        <v>#VALUE!</v>
      </c>
      <c r="C2061" s="128" t="e">
        <f t="shared" si="6262"/>
        <v>#VALUE!</v>
      </c>
      <c r="D2061" s="127">
        <f t="shared" si="6251"/>
        <v>1</v>
      </c>
      <c r="E2061" s="743"/>
      <c r="F2061" s="93"/>
      <c r="G2061" s="745"/>
      <c r="H2061"/>
      <c r="I2061"/>
      <c r="J2061"/>
      <c r="L2061" s="29" t="s">
        <v>38</v>
      </c>
      <c r="M2061" s="30" t="str">
        <f t="shared" ref="M2061" si="640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4">"2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261"/>
        <v>#VALUE!</v>
      </c>
      <c r="C2062" s="128" t="e">
        <f t="shared" si="6262"/>
        <v>#VALUE!</v>
      </c>
      <c r="D2062" s="127">
        <f t="shared" si="6251"/>
        <v>1</v>
      </c>
      <c r="E2062" s="743"/>
      <c r="F2062" s="93"/>
      <c r="G2062" s="745"/>
      <c r="H2062" s="134">
        <f t="shared" ref="H2062" si="6405">COUNT($P2062:$XX2062)</f>
        <v>0</v>
      </c>
      <c r="I2062" s="132" t="e">
        <f t="shared" ref="I2062" si="6406">_xlfn.STDEV.P($P2061:$XX2062)/AVERAGE($P2061:$XX2062)</f>
        <v>#DIV/0!</v>
      </c>
      <c r="J2062" s="7">
        <f t="shared" ref="J2062" si="6407">IF(AND(H2062&gt;2,
OR(L2052="MÉDIA SANEADA",L2052="MEDIANA SANEADA",
AND(L2052="PREÇO ESTIMADO",NOT(AND(P2054="Orçamento",COUNTA(P2052:XX2052)=COUNTIF(P2054:XX2054,"Orçamento")))))),
ROW(),0)</f>
        <v>0</v>
      </c>
      <c r="K2062" s="66"/>
      <c r="L2062" s="29" t="s">
        <v>362</v>
      </c>
      <c r="M2062" s="30" t="e">
        <f t="shared" ref="M2062" si="6408" xml:space="preserve">
IF(H2060&gt;2,MEDIAN(P2059:XX2060),
IF(H2062&gt;2,MEDIAN(P2061:XX2062),
IF(H2064&gt;2,MEDIAN(P2063:XX2064),
IF(H2066&gt;2,MEDIAN(P2065:XX2066),
IF(H2068&gt;2,MEDIAN(P2067:XX2068),
IF(H2070&gt;2,MEDIAN(P2069:XX2070),
MEDIAN(P2057:XX2058)))))))</f>
        <v>#NUM!</v>
      </c>
      <c r="N2062" s="71"/>
      <c r="O2062" s="27" t="str">
        <f t="shared" ref="O2062" si="6409">"2 RODADA"</f>
        <v>2 RODADA</v>
      </c>
      <c r="P2062" s="107" t="str">
        <f t="shared" ref="P2062:AI2062" si="6410">IF(P2060="","",IF((_xlfn.STDEV.P($P2059:$XX2060)/AVERAGE($P2059:$XX2060))&lt;=25%,P2060,IF(OR(P2060&gt;(AVERAGE($P2059:$XX2060)+_xlfn.STDEV.P($P2059:$XX2060)),P2060&lt;(AVERAGE($P2059:$XX2060)-_xlfn.STDEV.P($P2059:$XX2060))),"DESCARTADO",P2060)))</f>
        <v/>
      </c>
      <c r="Q2062" s="107" t="str">
        <f t="shared" si="6410"/>
        <v/>
      </c>
      <c r="R2062" s="107" t="str">
        <f t="shared" si="6410"/>
        <v/>
      </c>
      <c r="S2062" s="107" t="str">
        <f t="shared" si="6410"/>
        <v/>
      </c>
      <c r="T2062" s="107" t="str">
        <f t="shared" si="6410"/>
        <v/>
      </c>
      <c r="U2062" s="107" t="str">
        <f t="shared" si="6410"/>
        <v/>
      </c>
      <c r="V2062" s="107" t="str">
        <f t="shared" si="6410"/>
        <v/>
      </c>
      <c r="W2062" s="107" t="str">
        <f t="shared" si="6410"/>
        <v/>
      </c>
      <c r="X2062" s="107" t="str">
        <f t="shared" si="6410"/>
        <v/>
      </c>
      <c r="Y2062" s="107" t="str">
        <f t="shared" si="6410"/>
        <v/>
      </c>
      <c r="Z2062" s="107" t="str">
        <f t="shared" si="6410"/>
        <v/>
      </c>
      <c r="AA2062" s="107" t="str">
        <f t="shared" si="6410"/>
        <v/>
      </c>
      <c r="AB2062" s="107" t="str">
        <f t="shared" si="6410"/>
        <v/>
      </c>
      <c r="AC2062" s="107" t="str">
        <f t="shared" si="6410"/>
        <v/>
      </c>
      <c r="AD2062" s="107" t="str">
        <f t="shared" si="6410"/>
        <v/>
      </c>
      <c r="AE2062" s="107" t="str">
        <f t="shared" si="6410"/>
        <v/>
      </c>
      <c r="AF2062" s="107" t="str">
        <f t="shared" si="6410"/>
        <v/>
      </c>
      <c r="AG2062" s="107" t="str">
        <f t="shared" si="6410"/>
        <v/>
      </c>
      <c r="AH2062" s="107" t="str">
        <f t="shared" si="6410"/>
        <v/>
      </c>
      <c r="AI2062" s="107" t="str">
        <f t="shared" si="6410"/>
        <v/>
      </c>
    </row>
    <row r="2063" spans="1:167" hidden="1" x14ac:dyDescent="0.25">
      <c r="B2063" s="128" t="e">
        <f t="shared" si="6261"/>
        <v>#VALUE!</v>
      </c>
      <c r="C2063" s="128" t="e">
        <f t="shared" si="6262"/>
        <v>#VALUE!</v>
      </c>
      <c r="D2063" s="127">
        <f t="shared" si="6251"/>
        <v>1</v>
      </c>
      <c r="E2063" s="743"/>
      <c r="F2063" s="93"/>
      <c r="G2063" s="745"/>
      <c r="H2063"/>
      <c r="I2063"/>
      <c r="J2063"/>
      <c r="K2063" s="66"/>
      <c r="L2063" s="29" t="s">
        <v>359</v>
      </c>
      <c r="M2063" s="30" t="e">
        <f t="shared" ref="M2063" si="6411">HARMEAN($P2057:$XX2058)</f>
        <v>#N/A</v>
      </c>
      <c r="N2063" s="71"/>
      <c r="O2063" s="27" t="str">
        <f t="shared" ref="O2063" si="6412">"3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261"/>
        <v>#VALUE!</v>
      </c>
      <c r="C2064" s="128" t="e">
        <f t="shared" si="6262"/>
        <v>#VALUE!</v>
      </c>
      <c r="D2064" s="127">
        <f t="shared" si="6251"/>
        <v>1</v>
      </c>
      <c r="E2064" s="743"/>
      <c r="F2064" s="93"/>
      <c r="G2064" s="745"/>
      <c r="H2064" s="134">
        <f t="shared" ref="H2064" si="6413">COUNT($P2064:$XX2064)</f>
        <v>0</v>
      </c>
      <c r="I2064" s="132" t="e">
        <f t="shared" ref="I2064" si="6414">_xlfn.STDEV.P($P2063:$XX2064)/AVERAGE($P2063:$XX2064)</f>
        <v>#DIV/0!</v>
      </c>
      <c r="J2064" s="7">
        <f t="shared" ref="J2064" si="6415">IF(AND(H2064&gt;2,
OR(L2052="MÉDIA SANEADA",L2052="MEDIANA SANEADA",
AND(L2052="PREÇO ESTIMADO",NOT(AND(P2054="Orçamento",COUNTA(P2052:XX2052)=COUNTIF(P2054:XX2054,"Orçamento")))))),
ROW(),0)</f>
        <v>0</v>
      </c>
      <c r="K2064" s="66"/>
      <c r="L2064" s="29" t="s">
        <v>41</v>
      </c>
      <c r="M2064" s="30" t="str">
        <f t="shared" ref="M2064" si="6416">IFERROR(_xlfn.QUARTILE.EXC($P2058:$XX2058,1),"")</f>
        <v/>
      </c>
      <c r="N2064" s="71"/>
      <c r="O2064" s="27" t="str">
        <f t="shared" ref="O2064" si="6417">"3 RODADA"</f>
        <v>3 RODADA</v>
      </c>
      <c r="P2064" s="107" t="str">
        <f t="shared" ref="P2064:AI2064" si="6418">IF(P2062="","",IF((_xlfn.STDEV.P($P2061:$XX2062)/AVERAGE($P2061:$XX2062))&lt;=25%,P2062,IF(OR(P2062&gt;(AVERAGE($P2061:$XX2062)+_xlfn.STDEV.P($P2061:$XX2062)),P2062&lt;(AVERAGE($P2061:$XX2062)-_xlfn.STDEV.P($P2061:$XX2062))),"DESCARTADO",P2062)))</f>
        <v/>
      </c>
      <c r="Q2064" s="107" t="str">
        <f t="shared" si="6418"/>
        <v/>
      </c>
      <c r="R2064" s="107" t="str">
        <f t="shared" si="6418"/>
        <v/>
      </c>
      <c r="S2064" s="107" t="str">
        <f t="shared" si="6418"/>
        <v/>
      </c>
      <c r="T2064" s="107" t="str">
        <f t="shared" si="6418"/>
        <v/>
      </c>
      <c r="U2064" s="107" t="str">
        <f t="shared" si="6418"/>
        <v/>
      </c>
      <c r="V2064" s="107" t="str">
        <f t="shared" si="6418"/>
        <v/>
      </c>
      <c r="W2064" s="107" t="str">
        <f t="shared" si="6418"/>
        <v/>
      </c>
      <c r="X2064" s="107" t="str">
        <f t="shared" si="6418"/>
        <v/>
      </c>
      <c r="Y2064" s="107" t="str">
        <f t="shared" si="6418"/>
        <v/>
      </c>
      <c r="Z2064" s="107" t="str">
        <f t="shared" si="6418"/>
        <v/>
      </c>
      <c r="AA2064" s="107" t="str">
        <f t="shared" si="6418"/>
        <v/>
      </c>
      <c r="AB2064" s="107" t="str">
        <f t="shared" si="6418"/>
        <v/>
      </c>
      <c r="AC2064" s="107" t="str">
        <f t="shared" si="6418"/>
        <v/>
      </c>
      <c r="AD2064" s="107" t="str">
        <f t="shared" si="6418"/>
        <v/>
      </c>
      <c r="AE2064" s="107" t="str">
        <f t="shared" si="6418"/>
        <v/>
      </c>
      <c r="AF2064" s="107" t="str">
        <f t="shared" si="6418"/>
        <v/>
      </c>
      <c r="AG2064" s="107" t="str">
        <f t="shared" si="6418"/>
        <v/>
      </c>
      <c r="AH2064" s="107" t="str">
        <f t="shared" si="6418"/>
        <v/>
      </c>
      <c r="AI2064" s="107" t="str">
        <f t="shared" si="6418"/>
        <v/>
      </c>
    </row>
    <row r="2065" spans="1:167" hidden="1" x14ac:dyDescent="0.25">
      <c r="B2065" s="128" t="e">
        <f t="shared" si="6261"/>
        <v>#VALUE!</v>
      </c>
      <c r="C2065" s="128" t="e">
        <f t="shared" si="6262"/>
        <v>#VALUE!</v>
      </c>
      <c r="D2065" s="127">
        <f t="shared" si="6251"/>
        <v>1</v>
      </c>
      <c r="E2065" s="743"/>
      <c r="F2065" s="93"/>
      <c r="G2065" s="745"/>
      <c r="H2065"/>
      <c r="I2065"/>
      <c r="J2065"/>
      <c r="K2065" s="66"/>
      <c r="L2065" s="29" t="s">
        <v>39</v>
      </c>
      <c r="M2065" s="30" t="str">
        <f t="shared" ref="M2065" si="6419">IFERROR(_xlfn.QUARTILE.EXC($P2058:$XX2058,3),"")</f>
        <v/>
      </c>
      <c r="N2065" s="71"/>
      <c r="O2065" s="27" t="str">
        <f t="shared" ref="O2065" si="6420">"4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261"/>
        <v>#VALUE!</v>
      </c>
      <c r="C2066" s="128" t="e">
        <f t="shared" si="6262"/>
        <v>#VALUE!</v>
      </c>
      <c r="D2066" s="127">
        <f t="shared" si="6251"/>
        <v>1</v>
      </c>
      <c r="E2066" s="743"/>
      <c r="F2066" s="93"/>
      <c r="G2066" s="745"/>
      <c r="H2066" s="134">
        <f t="shared" ref="H2066" si="6421">COUNT($P2066:$XX2066)</f>
        <v>0</v>
      </c>
      <c r="I2066" s="132" t="e">
        <f t="shared" ref="I2066" si="6422">_xlfn.STDEV.P($P2065:$XX2066)/AVERAGE($P2065:$XX2066)</f>
        <v>#DIV/0!</v>
      </c>
      <c r="J2066" s="7">
        <f t="shared" ref="J2066" si="6423">IF(AND(H2066&gt;2,
OR(L2052="MÉDIA SANEADA",L2052="MEDIANA SANEADA",
AND(L2052="PREÇO ESTIMADO",NOT(AND(P2054="Orçamento",COUNTA(P2052:XX2052)=COUNTIF(P2054:XX2054,"Orçamento")))))),
ROW(),0)</f>
        <v>0</v>
      </c>
      <c r="K2066" s="66"/>
      <c r="L2066" s="29" t="s">
        <v>42</v>
      </c>
      <c r="M2066" s="30">
        <f t="shared" ref="M2066" si="6424">MIN($P2058:$XX2058)</f>
        <v>0</v>
      </c>
      <c r="N2066" s="71"/>
      <c r="O2066" s="27" t="str">
        <f t="shared" ref="O2066" si="6425">"4 RODADA"</f>
        <v>4 RODADA</v>
      </c>
      <c r="P2066" s="107" t="str">
        <f t="shared" ref="P2066:AI2066" si="6426">IF(P2064="","",IF((_xlfn.STDEV.P($P2063:$XX2064)/AVERAGE($P2063:$XX2064))&lt;=25%,P2064,IF(OR(P2064&gt;(AVERAGE($P2063:$XX2064)+_xlfn.STDEV.P($P2063:$XX2064)),P2064&lt;(AVERAGE($P2063:$XX2064)-_xlfn.STDEV.P($P2063:$XX2064))),"DESCARTADO",P2064)))</f>
        <v/>
      </c>
      <c r="Q2066" s="107" t="str">
        <f t="shared" si="6426"/>
        <v/>
      </c>
      <c r="R2066" s="107" t="str">
        <f t="shared" si="6426"/>
        <v/>
      </c>
      <c r="S2066" s="107" t="str">
        <f t="shared" si="6426"/>
        <v/>
      </c>
      <c r="T2066" s="107" t="str">
        <f t="shared" si="6426"/>
        <v/>
      </c>
      <c r="U2066" s="107" t="str">
        <f t="shared" si="6426"/>
        <v/>
      </c>
      <c r="V2066" s="107" t="str">
        <f t="shared" si="6426"/>
        <v/>
      </c>
      <c r="W2066" s="107" t="str">
        <f t="shared" si="6426"/>
        <v/>
      </c>
      <c r="X2066" s="107" t="str">
        <f t="shared" si="6426"/>
        <v/>
      </c>
      <c r="Y2066" s="107" t="str">
        <f t="shared" si="6426"/>
        <v/>
      </c>
      <c r="Z2066" s="107" t="str">
        <f t="shared" si="6426"/>
        <v/>
      </c>
      <c r="AA2066" s="107" t="str">
        <f t="shared" si="6426"/>
        <v/>
      </c>
      <c r="AB2066" s="107" t="str">
        <f t="shared" si="6426"/>
        <v/>
      </c>
      <c r="AC2066" s="107" t="str">
        <f t="shared" si="6426"/>
        <v/>
      </c>
      <c r="AD2066" s="107" t="str">
        <f t="shared" si="6426"/>
        <v/>
      </c>
      <c r="AE2066" s="107" t="str">
        <f t="shared" si="6426"/>
        <v/>
      </c>
      <c r="AF2066" s="107" t="str">
        <f t="shared" si="6426"/>
        <v/>
      </c>
      <c r="AG2066" s="107" t="str">
        <f t="shared" si="6426"/>
        <v/>
      </c>
      <c r="AH2066" s="107" t="str">
        <f t="shared" si="6426"/>
        <v/>
      </c>
      <c r="AI2066" s="107" t="str">
        <f t="shared" si="6426"/>
        <v/>
      </c>
    </row>
    <row r="2067" spans="1:167" hidden="1" x14ac:dyDescent="0.25">
      <c r="B2067" s="128" t="e">
        <f t="shared" si="6261"/>
        <v>#VALUE!</v>
      </c>
      <c r="C2067" s="128" t="e">
        <f t="shared" si="6262"/>
        <v>#VALUE!</v>
      </c>
      <c r="D2067" s="127">
        <f t="shared" si="6251"/>
        <v>1</v>
      </c>
      <c r="E2067" s="743"/>
      <c r="F2067" s="93"/>
      <c r="G2067" s="745"/>
      <c r="H2067"/>
      <c r="I2067"/>
      <c r="J2067"/>
      <c r="K2067" s="66"/>
      <c r="L2067" s="29" t="s">
        <v>40</v>
      </c>
      <c r="M2067" s="30">
        <f t="shared" ref="M2067" si="6427">MAX($P2058:$XX2058)</f>
        <v>0</v>
      </c>
      <c r="N2067" s="71"/>
      <c r="O2067" s="27" t="str">
        <f t="shared" ref="O2067" si="6428">"5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261"/>
        <v>#VALUE!</v>
      </c>
      <c r="C2068" s="128" t="e">
        <f t="shared" si="6262"/>
        <v>#VALUE!</v>
      </c>
      <c r="D2068" s="127">
        <f t="shared" si="6251"/>
        <v>1</v>
      </c>
      <c r="E2068" s="743"/>
      <c r="F2068" s="93"/>
      <c r="G2068" s="745"/>
      <c r="H2068" s="134">
        <f t="shared" ref="H2068" si="6429">COUNT($P2068:$XX2068)</f>
        <v>0</v>
      </c>
      <c r="I2068" s="132" t="e">
        <f t="shared" ref="I2068" si="6430">_xlfn.STDEV.P($P2067:$XX2068)/AVERAGE($P2067:$XX2068)</f>
        <v>#DIV/0!</v>
      </c>
      <c r="J2068" s="7">
        <f t="shared" ref="J2068" si="6431">IF(AND(H2068&gt;2,
OR(L2052="MÉDIA SANEADA",L2052="MEDIANA SANEADA",
AND(L2052="PREÇO ESTIMADO",NOT(AND(P2054="Orçamento",COUNTA(P2052:XX2052)=COUNTIF(P2054:XX2054,"Orçamento")))))),
ROW(),0)</f>
        <v>0</v>
      </c>
      <c r="K2068" s="66"/>
      <c r="N2068" s="71"/>
      <c r="O2068" s="27" t="str">
        <f t="shared" ref="O2068" si="6432">"5 RODADA"</f>
        <v>5 RODADA</v>
      </c>
      <c r="P2068" s="107" t="str">
        <f t="shared" ref="P2068:AI2068" si="6433">IF(P2066="","",IF((_xlfn.STDEV.P($P2065:$XX2066)/AVERAGE($P2065:$XX2066))&lt;=25%,P2066,IF(OR(P2066&gt;(AVERAGE($P2065:$XX2066)+_xlfn.STDEV.P($P2065:$XX2066)),P2066&lt;(AVERAGE($P2065:$XX2066)-_xlfn.STDEV.P($P2065:$XX2066))),"DESCARTADO",P2066)))</f>
        <v/>
      </c>
      <c r="Q2068" s="107" t="str">
        <f t="shared" si="6433"/>
        <v/>
      </c>
      <c r="R2068" s="107" t="str">
        <f t="shared" si="6433"/>
        <v/>
      </c>
      <c r="S2068" s="107" t="str">
        <f t="shared" si="6433"/>
        <v/>
      </c>
      <c r="T2068" s="107" t="str">
        <f t="shared" si="6433"/>
        <v/>
      </c>
      <c r="U2068" s="107" t="str">
        <f t="shared" si="6433"/>
        <v/>
      </c>
      <c r="V2068" s="107" t="str">
        <f t="shared" si="6433"/>
        <v/>
      </c>
      <c r="W2068" s="107" t="str">
        <f t="shared" si="6433"/>
        <v/>
      </c>
      <c r="X2068" s="107" t="str">
        <f t="shared" si="6433"/>
        <v/>
      </c>
      <c r="Y2068" s="107" t="str">
        <f t="shared" si="6433"/>
        <v/>
      </c>
      <c r="Z2068" s="107" t="str">
        <f t="shared" si="6433"/>
        <v/>
      </c>
      <c r="AA2068" s="107" t="str">
        <f t="shared" si="6433"/>
        <v/>
      </c>
      <c r="AB2068" s="107" t="str">
        <f t="shared" si="6433"/>
        <v/>
      </c>
      <c r="AC2068" s="107" t="str">
        <f t="shared" si="6433"/>
        <v/>
      </c>
      <c r="AD2068" s="107" t="str">
        <f t="shared" si="6433"/>
        <v/>
      </c>
      <c r="AE2068" s="107" t="str">
        <f t="shared" si="6433"/>
        <v/>
      </c>
      <c r="AF2068" s="107" t="str">
        <f t="shared" si="6433"/>
        <v/>
      </c>
      <c r="AG2068" s="107" t="str">
        <f t="shared" si="6433"/>
        <v/>
      </c>
      <c r="AH2068" s="107" t="str">
        <f t="shared" si="6433"/>
        <v/>
      </c>
      <c r="AI2068" s="107" t="str">
        <f t="shared" si="6433"/>
        <v/>
      </c>
    </row>
    <row r="2069" spans="1:167" hidden="1" x14ac:dyDescent="0.25">
      <c r="B2069" s="128" t="e">
        <f t="shared" si="6261"/>
        <v>#VALUE!</v>
      </c>
      <c r="C2069" s="128" t="e">
        <f t="shared" si="6262"/>
        <v>#VALUE!</v>
      </c>
      <c r="D2069" s="127">
        <f t="shared" si="6251"/>
        <v>1</v>
      </c>
      <c r="E2069" s="743"/>
      <c r="F2069" s="93"/>
      <c r="G2069" s="745"/>
      <c r="H2069"/>
      <c r="I2069"/>
      <c r="J2069"/>
      <c r="K2069" s="66"/>
      <c r="L2069" s="22"/>
      <c r="M2069" s="22"/>
      <c r="N2069" s="71"/>
      <c r="O2069" s="27" t="str">
        <f t="shared" ref="O2069" si="6434">"6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261"/>
        <v>#VALUE!</v>
      </c>
      <c r="C2070" s="128" t="e">
        <f t="shared" si="6262"/>
        <v>#VALUE!</v>
      </c>
      <c r="D2070" s="127">
        <f t="shared" si="6251"/>
        <v>1</v>
      </c>
      <c r="E2070" s="743"/>
      <c r="F2070" s="93"/>
      <c r="G2070" s="745"/>
      <c r="H2070" s="134">
        <f t="shared" ref="H2070" si="6435">COUNT($P2070:$XX2070)</f>
        <v>0</v>
      </c>
      <c r="I2070" s="132" t="e">
        <f t="shared" ref="I2070" si="6436">_xlfn.STDEV.P($P2069:$XX2070)/AVERAGE($P2069:$XX2070)</f>
        <v>#DIV/0!</v>
      </c>
      <c r="J2070" s="7">
        <f t="shared" ref="J2070" si="6437">IF(AND(H2070&gt;2,
OR(L2052="MÉDIA SANEADA",L2052="MEDIANA SANEADA",
AND(L2052="PREÇO ESTIMADO",NOT(AND(P2054="Orçamento",COUNTA(P2052:XX2052)=COUNTIF(P2054:XX2054,"Orçamento")))))),
ROW(),0)</f>
        <v>0</v>
      </c>
      <c r="N2070" s="71"/>
      <c r="O2070" s="27" t="str">
        <f t="shared" ref="O2070" si="6438">"6 RODADA"</f>
        <v>6 RODADA</v>
      </c>
      <c r="P2070" s="107" t="str">
        <f t="shared" ref="P2070:AI2070" si="6439">IFERROR(IF(P2068="","",IF((_xlfn.STDEV.P($P2067:$XX2068)/AVERAGE($P2067:$XX2068))&lt;=25%,P2068,IF(OR(P2068&gt;(AVERAGE($P2067:$XX2068)+_xlfn.STDEV.P($P2067:$XX2068)),P2068&lt;(AVERAGE($P2067:$XX2068)-_xlfn.STDEV.P($P2067:$XX2068))),"DESCARTADO",P2068))),)</f>
        <v/>
      </c>
      <c r="Q2070" s="107" t="str">
        <f t="shared" si="6439"/>
        <v/>
      </c>
      <c r="R2070" s="107" t="str">
        <f t="shared" si="6439"/>
        <v/>
      </c>
      <c r="S2070" s="107" t="str">
        <f t="shared" si="6439"/>
        <v/>
      </c>
      <c r="T2070" s="107" t="str">
        <f t="shared" si="6439"/>
        <v/>
      </c>
      <c r="U2070" s="107" t="str">
        <f t="shared" si="6439"/>
        <v/>
      </c>
      <c r="V2070" s="107" t="str">
        <f t="shared" si="6439"/>
        <v/>
      </c>
      <c r="W2070" s="107" t="str">
        <f t="shared" si="6439"/>
        <v/>
      </c>
      <c r="X2070" s="107" t="str">
        <f t="shared" si="6439"/>
        <v/>
      </c>
      <c r="Y2070" s="107" t="str">
        <f t="shared" si="6439"/>
        <v/>
      </c>
      <c r="Z2070" s="107" t="str">
        <f t="shared" si="6439"/>
        <v/>
      </c>
      <c r="AA2070" s="107" t="str">
        <f t="shared" si="6439"/>
        <v/>
      </c>
      <c r="AB2070" s="107" t="str">
        <f t="shared" si="6439"/>
        <v/>
      </c>
      <c r="AC2070" s="107" t="str">
        <f t="shared" si="6439"/>
        <v/>
      </c>
      <c r="AD2070" s="107" t="str">
        <f t="shared" si="6439"/>
        <v/>
      </c>
      <c r="AE2070" s="107" t="str">
        <f t="shared" si="6439"/>
        <v/>
      </c>
      <c r="AF2070" s="107" t="str">
        <f t="shared" si="6439"/>
        <v/>
      </c>
      <c r="AG2070" s="107" t="str">
        <f t="shared" si="6439"/>
        <v/>
      </c>
      <c r="AH2070" s="107" t="str">
        <f t="shared" si="6439"/>
        <v/>
      </c>
      <c r="AI2070" s="107" t="str">
        <f t="shared" si="6439"/>
        <v/>
      </c>
    </row>
    <row r="2071" spans="1:167" x14ac:dyDescent="0.25">
      <c r="B2071" s="128" t="e">
        <f t="shared" si="6261"/>
        <v>#VALUE!</v>
      </c>
      <c r="C2071" s="128" t="e">
        <f t="shared" si="6262"/>
        <v>#VALUE!</v>
      </c>
      <c r="D2071" s="127">
        <f t="shared" si="6251"/>
        <v>1</v>
      </c>
      <c r="E2071" s="743"/>
      <c r="F2071" s="136"/>
      <c r="G2071" s="745"/>
      <c r="H2071" s="748"/>
      <c r="I2071" s="748"/>
      <c r="J2071" s="749"/>
      <c r="K2071" s="67"/>
      <c r="L2071" s="1" t="s">
        <v>43</v>
      </c>
      <c r="M2071" s="144" t="str">
        <f t="shared" ref="M2071" si="6440">IFERROR(ROUND(M2052*M2054,2),"")</f>
        <v/>
      </c>
      <c r="O2071" s="27" t="s">
        <v>363</v>
      </c>
      <c r="P2071" s="107" t="str">
        <f t="shared" ref="P2071:AI2092" si="6441">INDEX(P2058:P2070,MATCH(MAX($J2058:$J2070),$J2058:$J2070,0))</f>
        <v/>
      </c>
      <c r="Q2071" s="107" t="str">
        <f t="shared" si="6441"/>
        <v/>
      </c>
      <c r="R2071" s="107" t="str">
        <f t="shared" si="6441"/>
        <v/>
      </c>
      <c r="S2071" s="107" t="str">
        <f t="shared" si="6441"/>
        <v/>
      </c>
      <c r="T2071" s="107" t="str">
        <f t="shared" si="6441"/>
        <v/>
      </c>
      <c r="U2071" s="107" t="str">
        <f t="shared" si="6441"/>
        <v/>
      </c>
      <c r="V2071" s="107" t="str">
        <f t="shared" si="6441"/>
        <v/>
      </c>
      <c r="W2071" s="107" t="str">
        <f t="shared" si="6441"/>
        <v/>
      </c>
      <c r="X2071" s="107" t="str">
        <f t="shared" si="6441"/>
        <v/>
      </c>
      <c r="Y2071" s="107" t="str">
        <f t="shared" si="6441"/>
        <v/>
      </c>
      <c r="Z2071" s="107" t="str">
        <f t="shared" si="6441"/>
        <v/>
      </c>
      <c r="AA2071" s="107" t="str">
        <f t="shared" si="6441"/>
        <v/>
      </c>
      <c r="AB2071" s="107" t="str">
        <f t="shared" si="6441"/>
        <v/>
      </c>
      <c r="AC2071" s="107" t="str">
        <f t="shared" si="6441"/>
        <v/>
      </c>
      <c r="AD2071" s="107" t="str">
        <f t="shared" si="6441"/>
        <v/>
      </c>
      <c r="AE2071" s="107" t="str">
        <f t="shared" si="6441"/>
        <v/>
      </c>
      <c r="AF2071" s="107" t="str">
        <f t="shared" si="6441"/>
        <v/>
      </c>
      <c r="AG2071" s="107" t="str">
        <f t="shared" si="6441"/>
        <v/>
      </c>
      <c r="AH2071" s="107" t="str">
        <f t="shared" si="6441"/>
        <v/>
      </c>
      <c r="AI2071" s="107" t="str">
        <f t="shared" si="6441"/>
        <v/>
      </c>
    </row>
    <row r="2073" spans="1:167" s="117" customFormat="1" ht="15" customHeight="1" x14ac:dyDescent="0.25">
      <c r="A2073" s="120"/>
      <c r="B2073" s="127" t="e">
        <f t="shared" ref="B2073" si="6442">LARGE(IFERROR(IF(B2071+1&gt;$H$8,"",B2071+1),""),1)</f>
        <v>#VALUE!</v>
      </c>
      <c r="C2073" s="127" t="e">
        <f>IF(_xlfn.ISFORMULA(E2077),MAX(INDEX('BASE FORMAÇÃO'!A:A,B2073+1),1),E2077)</f>
        <v>#VALUE!</v>
      </c>
      <c r="D2073" s="127">
        <f t="shared" ref="D2073" si="6443">IFERROR(IF(C2073=C2063,D2063+1,1),1)</f>
        <v>1</v>
      </c>
      <c r="E2073" s="38" t="s">
        <v>9</v>
      </c>
      <c r="F2073" s="73"/>
      <c r="G2073" s="38" t="s">
        <v>15</v>
      </c>
      <c r="H2073" s="135" t="e">
        <f>INDEX('BASE FORMAÇÃO'!B:B,B2073+1)</f>
        <v>#VALUE!</v>
      </c>
      <c r="I2073" s="143" t="s">
        <v>16</v>
      </c>
      <c r="J2073" s="6" t="e">
        <f>INDEX('BASE FORMAÇÃO'!K:K,B2073+1)</f>
        <v>#VALUE!</v>
      </c>
      <c r="K2073" s="65"/>
      <c r="L2073" s="750" t="s">
        <v>10</v>
      </c>
      <c r="M2073" s="752" t="str">
        <f t="shared" ref="M2073" si="6444">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5">B2073</f>
        <v>#VALUE!</v>
      </c>
      <c r="C2074" s="128" t="e">
        <f t="shared" si="6445"/>
        <v>#VALUE!</v>
      </c>
      <c r="D2074" s="127">
        <f t="shared" si="6445"/>
        <v>1</v>
      </c>
      <c r="E2074" s="754">
        <f t="shared" ref="E2074" si="6446">D2073</f>
        <v>1</v>
      </c>
      <c r="F2074" s="92"/>
      <c r="G2074" s="756" t="s">
        <v>1</v>
      </c>
      <c r="H2074" s="759" t="e">
        <f>INDEX('BASE FORMAÇÃO'!C:C,B2073+1)</f>
        <v>#VALUE!</v>
      </c>
      <c r="I2074" s="759"/>
      <c r="J2074" s="760"/>
      <c r="K2074" s="66"/>
      <c r="L2074" s="751"/>
      <c r="M2074" s="753"/>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7">B2074</f>
        <v>#VALUE!</v>
      </c>
      <c r="C2075" s="128" t="e">
        <f t="shared" si="6447"/>
        <v>#VALUE!</v>
      </c>
      <c r="D2075" s="127">
        <f t="shared" si="6447"/>
        <v>1</v>
      </c>
      <c r="E2075" s="755"/>
      <c r="F2075" s="93"/>
      <c r="G2075" s="757"/>
      <c r="H2075" s="761"/>
      <c r="I2075" s="761"/>
      <c r="J2075" s="762"/>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8">B2075</f>
        <v>#VALUE!</v>
      </c>
      <c r="C2076" s="128" t="e">
        <f t="shared" si="6448"/>
        <v>#VALUE!</v>
      </c>
      <c r="D2076" s="127">
        <f t="shared" si="6251"/>
        <v>1</v>
      </c>
      <c r="E2076" s="38" t="s">
        <v>313</v>
      </c>
      <c r="F2076" s="93"/>
      <c r="G2076" s="758"/>
      <c r="H2076" s="763"/>
      <c r="I2076" s="763"/>
      <c r="J2076" s="764"/>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9">B2075</f>
        <v>#VALUE!</v>
      </c>
      <c r="C2077" s="128" t="e">
        <f t="shared" si="6449"/>
        <v>#VALUE!</v>
      </c>
      <c r="D2077" s="127">
        <f t="shared" si="6251"/>
        <v>1</v>
      </c>
      <c r="E2077" s="742" t="e">
        <f t="shared" ref="E2077" si="6450">C2073</f>
        <v>#VALUE!</v>
      </c>
      <c r="F2077" s="93"/>
      <c r="G2077" s="744" t="s">
        <v>304</v>
      </c>
      <c r="H2077" s="746"/>
      <c r="I2077" s="747"/>
      <c r="J2077" s="747"/>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ref="D2078:D2113" si="6454">D2077</f>
        <v>1</v>
      </c>
      <c r="E2078" s="743"/>
      <c r="F2078" s="93"/>
      <c r="G2078" s="745"/>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5">B2078</f>
        <v>#VALUE!</v>
      </c>
      <c r="C2079" s="128" t="e">
        <f t="shared" si="6455"/>
        <v>#VALUE!</v>
      </c>
      <c r="D2079" s="127">
        <f t="shared" si="6454"/>
        <v>1</v>
      </c>
      <c r="E2079" s="743"/>
      <c r="F2079" s="93"/>
      <c r="G2079" s="745"/>
      <c r="H2079" s="134">
        <f t="shared" ref="H2079" si="6456">COUNT($P2079:$XX2079)</f>
        <v>0</v>
      </c>
      <c r="I2079" s="132" t="e">
        <f t="shared" ref="I2079" si="6457">_xlfn.STDEV.P($P2078:$XX2079)/AVERAGE($P2078:$XX2079)</f>
        <v>#DIV/0!</v>
      </c>
      <c r="J2079" s="7">
        <f>ROW()</f>
        <v>2079</v>
      </c>
      <c r="K2079" s="67"/>
      <c r="L2079" s="29" t="s">
        <v>10</v>
      </c>
      <c r="M2079" s="30" t="str">
        <f t="shared" ref="M2079" si="6458">IFERROR(
IF(COUNTA(P2073:AI2073)=COUNTIF(P2075:XX2075,"Orçamento"),MIN(M2084,M2081),
IF(M2082&lt;&gt;"",M2082,
IF(M2083&lt;&gt;"",M2083,
M2081
))),"")</f>
        <v/>
      </c>
      <c r="N2079" s="71"/>
      <c r="O2079" s="27" t="s">
        <v>376</v>
      </c>
      <c r="P2079" s="106" t="str">
        <f t="shared" ref="P2079:AI2079" si="6459">IFERROR(IF(P2077="",
            "",
            IF(COUNT($P2077:$XX2077)&lt;=4,
               P2077,
               IF(OR(P2077&gt;(QUARTILE($P2077:$XX2077,3)+(QUARTILE($P2077:$XX2077,3)-QUARTILE($P2077:$XX2077,1))),
                     P2077&lt;(QUARTILE($P2077:$XX2077,1)-(QUARTILE($P2077:$XX2077,3)-QUARTILE($P2077:$XX2077,1)))
                  ),
               "DESCARTADO",P2077)
             )
  ),P2077)</f>
        <v/>
      </c>
      <c r="Q2079" s="106" t="str">
        <f t="shared" si="6459"/>
        <v/>
      </c>
      <c r="R2079" s="106" t="str">
        <f t="shared" si="6459"/>
        <v/>
      </c>
      <c r="S2079" s="106" t="str">
        <f t="shared" si="6459"/>
        <v/>
      </c>
      <c r="T2079" s="106" t="str">
        <f t="shared" si="6459"/>
        <v/>
      </c>
      <c r="U2079" s="106" t="str">
        <f t="shared" si="6459"/>
        <v/>
      </c>
      <c r="V2079" s="106" t="str">
        <f t="shared" si="6459"/>
        <v/>
      </c>
      <c r="W2079" s="106" t="str">
        <f t="shared" si="6459"/>
        <v/>
      </c>
      <c r="X2079" s="106" t="str">
        <f t="shared" si="6459"/>
        <v/>
      </c>
      <c r="Y2079" s="106" t="str">
        <f t="shared" si="6459"/>
        <v/>
      </c>
      <c r="Z2079" s="106" t="str">
        <f t="shared" si="6459"/>
        <v/>
      </c>
      <c r="AA2079" s="106" t="str">
        <f t="shared" si="6459"/>
        <v/>
      </c>
      <c r="AB2079" s="106" t="str">
        <f t="shared" si="6459"/>
        <v/>
      </c>
      <c r="AC2079" s="106" t="str">
        <f t="shared" si="6459"/>
        <v/>
      </c>
      <c r="AD2079" s="106" t="str">
        <f t="shared" si="6459"/>
        <v/>
      </c>
      <c r="AE2079" s="106" t="str">
        <f t="shared" si="6459"/>
        <v/>
      </c>
      <c r="AF2079" s="106" t="str">
        <f t="shared" si="6459"/>
        <v/>
      </c>
      <c r="AG2079" s="106" t="str">
        <f t="shared" si="6459"/>
        <v/>
      </c>
      <c r="AH2079" s="106" t="str">
        <f t="shared" si="6459"/>
        <v/>
      </c>
      <c r="AI2079" s="106" t="str">
        <f t="shared" si="6459"/>
        <v/>
      </c>
    </row>
    <row r="2080" spans="1:167" hidden="1" x14ac:dyDescent="0.25">
      <c r="B2080" s="128" t="e">
        <f t="shared" ref="B2080:B2113" si="6460">B2079</f>
        <v>#VALUE!</v>
      </c>
      <c r="C2080" s="128" t="e">
        <f t="shared" ref="C2080:C2113" si="6461">C2079</f>
        <v>#VALUE!</v>
      </c>
      <c r="D2080" s="127">
        <f t="shared" si="6454"/>
        <v>1</v>
      </c>
      <c r="E2080" s="743"/>
      <c r="F2080" s="93"/>
      <c r="G2080" s="745"/>
      <c r="H2080"/>
      <c r="I2080"/>
      <c r="J2080"/>
      <c r="K2080" s="66"/>
      <c r="L2080" s="29" t="s">
        <v>360</v>
      </c>
      <c r="M2080" s="30" t="e">
        <f t="shared" ref="M2080" si="6462">AVERAGE($P2079:$XX2079)</f>
        <v>#DIV/0!</v>
      </c>
      <c r="N2080" s="71"/>
      <c r="O2080" s="27" t="str">
        <f t="shared" ref="O2080" si="6463">"1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60"/>
        <v>#VALUE!</v>
      </c>
      <c r="C2081" s="128" t="e">
        <f t="shared" si="6461"/>
        <v>#VALUE!</v>
      </c>
      <c r="D2081" s="127">
        <f t="shared" si="6454"/>
        <v>1</v>
      </c>
      <c r="E2081" s="743"/>
      <c r="F2081" s="93"/>
      <c r="G2081" s="745"/>
      <c r="H2081" s="134">
        <f t="shared" ref="H2081" si="6464">COUNT($P2081:$XX2081)</f>
        <v>0</v>
      </c>
      <c r="I2081" s="132" t="e">
        <f t="shared" ref="I2081" si="6465">_xlfn.STDEV.P($P2080:$XX2081)/AVERAGE($P2080:$XX2081)</f>
        <v>#DIV/0!</v>
      </c>
      <c r="J2081" s="7">
        <f t="shared" ref="J2081" si="6466">IF(AND(H2081&gt;2,
OR(L2073="MÉDIA SANEADA",L2073="MEDIANA SANEADA",
AND(L2073="PREÇO ESTIMADO",NOT(AND(P2075="Orçamento",COUNTA(P2073:XX2073)=COUNTIF(P2075:XX2075,"Orçamento")))))),
ROW(),0)</f>
        <v>0</v>
      </c>
      <c r="K2081" s="66"/>
      <c r="L2081" s="29" t="s">
        <v>361</v>
      </c>
      <c r="M2081" s="30" t="e">
        <f t="shared" ref="M2081" si="6467">MEDIAN($P2079:$XX2079)</f>
        <v>#NUM!</v>
      </c>
      <c r="N2081" s="71"/>
      <c r="O2081" s="27" t="str">
        <f t="shared" ref="O2081" si="6468">"1 RODADA"</f>
        <v>1 RODADA</v>
      </c>
      <c r="P2081" s="107" t="str">
        <f t="shared" ref="P2081:AI2081" si="6469">IF(P2079="","",IF((_xlfn.STDEV.P($P2078:$XX2079)/AVERAGE($P2078:$XX2079))&lt;=25%,P2079,IF(OR(P2079&gt;(AVERAGE($P2078:$XX2079)+_xlfn.STDEV.P($P2078:$XX2079)),P2079&lt;(AVERAGE($P2078:$XX2079)-_xlfn.STDEV.P($P2078:$XX2079))),"DESCARTADO",P2079)))</f>
        <v/>
      </c>
      <c r="Q2081" s="107" t="str">
        <f t="shared" si="6469"/>
        <v/>
      </c>
      <c r="R2081" s="107" t="str">
        <f t="shared" si="6469"/>
        <v/>
      </c>
      <c r="S2081" s="107" t="str">
        <f t="shared" si="6469"/>
        <v/>
      </c>
      <c r="T2081" s="107" t="str">
        <f t="shared" si="6469"/>
        <v/>
      </c>
      <c r="U2081" s="107" t="str">
        <f t="shared" si="6469"/>
        <v/>
      </c>
      <c r="V2081" s="107" t="str">
        <f t="shared" si="6469"/>
        <v/>
      </c>
      <c r="W2081" s="107" t="str">
        <f t="shared" si="6469"/>
        <v/>
      </c>
      <c r="X2081" s="107" t="str">
        <f t="shared" si="6469"/>
        <v/>
      </c>
      <c r="Y2081" s="107" t="str">
        <f t="shared" si="6469"/>
        <v/>
      </c>
      <c r="Z2081" s="107" t="str">
        <f t="shared" si="6469"/>
        <v/>
      </c>
      <c r="AA2081" s="107" t="str">
        <f t="shared" si="6469"/>
        <v/>
      </c>
      <c r="AB2081" s="107" t="str">
        <f t="shared" si="6469"/>
        <v/>
      </c>
      <c r="AC2081" s="107" t="str">
        <f t="shared" si="6469"/>
        <v/>
      </c>
      <c r="AD2081" s="107" t="str">
        <f t="shared" si="6469"/>
        <v/>
      </c>
      <c r="AE2081" s="107" t="str">
        <f t="shared" si="6469"/>
        <v/>
      </c>
      <c r="AF2081" s="107" t="str">
        <f t="shared" si="6469"/>
        <v/>
      </c>
      <c r="AG2081" s="107" t="str">
        <f t="shared" si="6469"/>
        <v/>
      </c>
      <c r="AH2081" s="107" t="str">
        <f t="shared" si="6469"/>
        <v/>
      </c>
      <c r="AI2081" s="107" t="str">
        <f t="shared" si="6469"/>
        <v/>
      </c>
    </row>
    <row r="2082" spans="1:167" hidden="1" x14ac:dyDescent="0.25">
      <c r="B2082" s="128" t="e">
        <f t="shared" si="6460"/>
        <v>#VALUE!</v>
      </c>
      <c r="C2082" s="128" t="e">
        <f t="shared" si="6461"/>
        <v>#VALUE!</v>
      </c>
      <c r="D2082" s="127">
        <f t="shared" si="6454"/>
        <v>1</v>
      </c>
      <c r="E2082" s="743"/>
      <c r="F2082" s="93"/>
      <c r="G2082" s="745"/>
      <c r="H2082"/>
      <c r="I2082"/>
      <c r="J2082"/>
      <c r="L2082" s="29" t="s">
        <v>38</v>
      </c>
      <c r="M2082" s="30" t="str">
        <f t="shared" ref="M2082" si="6470">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1">"2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60"/>
        <v>#VALUE!</v>
      </c>
      <c r="C2083" s="128" t="e">
        <f t="shared" si="6461"/>
        <v>#VALUE!</v>
      </c>
      <c r="D2083" s="127">
        <f t="shared" si="6454"/>
        <v>1</v>
      </c>
      <c r="E2083" s="743"/>
      <c r="F2083" s="93"/>
      <c r="G2083" s="745"/>
      <c r="H2083" s="134">
        <f t="shared" ref="H2083" si="6472">COUNT($P2083:$XX2083)</f>
        <v>0</v>
      </c>
      <c r="I2083" s="132" t="e">
        <f t="shared" ref="I2083" si="6473">_xlfn.STDEV.P($P2082:$XX2083)/AVERAGE($P2082:$XX2083)</f>
        <v>#DIV/0!</v>
      </c>
      <c r="J2083" s="7">
        <f t="shared" ref="J2083" si="6474">IF(AND(H2083&gt;2,
OR(L2073="MÉDIA SANEADA",L2073="MEDIANA SANEADA",
AND(L2073="PREÇO ESTIMADO",NOT(AND(P2075="Orçamento",COUNTA(P2073:XX2073)=COUNTIF(P2075:XX2075,"Orçamento")))))),
ROW(),0)</f>
        <v>0</v>
      </c>
      <c r="K2083" s="66"/>
      <c r="L2083" s="29" t="s">
        <v>362</v>
      </c>
      <c r="M2083" s="30" t="e">
        <f t="shared" ref="M2083" si="6475" xml:space="preserve">
IF(H2081&gt;2,MEDIAN(P2080:XX2081),
IF(H2083&gt;2,MEDIAN(P2082:XX2083),
IF(H2085&gt;2,MEDIAN(P2084:XX2085),
IF(H2087&gt;2,MEDIAN(P2086:XX2087),
IF(H2089&gt;2,MEDIAN(P2088:XX2089),
IF(H2091&gt;2,MEDIAN(P2090:XX2091),
MEDIAN(P2078:XX2079)))))))</f>
        <v>#NUM!</v>
      </c>
      <c r="N2083" s="71"/>
      <c r="O2083" s="27" t="str">
        <f t="shared" ref="O2083" si="6476">"2 RODADA"</f>
        <v>2 RODADA</v>
      </c>
      <c r="P2083" s="107" t="str">
        <f t="shared" ref="P2083:AI2083" si="6477">IF(P2081="","",IF((_xlfn.STDEV.P($P2080:$XX2081)/AVERAGE($P2080:$XX2081))&lt;=25%,P2081,IF(OR(P2081&gt;(AVERAGE($P2080:$XX2081)+_xlfn.STDEV.P($P2080:$XX2081)),P2081&lt;(AVERAGE($P2080:$XX2081)-_xlfn.STDEV.P($P2080:$XX2081))),"DESCARTADO",P2081)))</f>
        <v/>
      </c>
      <c r="Q2083" s="107" t="str">
        <f t="shared" si="6477"/>
        <v/>
      </c>
      <c r="R2083" s="107" t="str">
        <f t="shared" si="6477"/>
        <v/>
      </c>
      <c r="S2083" s="107" t="str">
        <f t="shared" si="6477"/>
        <v/>
      </c>
      <c r="T2083" s="107" t="str">
        <f t="shared" si="6477"/>
        <v/>
      </c>
      <c r="U2083" s="107" t="str">
        <f t="shared" si="6477"/>
        <v/>
      </c>
      <c r="V2083" s="107" t="str">
        <f t="shared" si="6477"/>
        <v/>
      </c>
      <c r="W2083" s="107" t="str">
        <f t="shared" si="6477"/>
        <v/>
      </c>
      <c r="X2083" s="107" t="str">
        <f t="shared" si="6477"/>
        <v/>
      </c>
      <c r="Y2083" s="107" t="str">
        <f t="shared" si="6477"/>
        <v/>
      </c>
      <c r="Z2083" s="107" t="str">
        <f t="shared" si="6477"/>
        <v/>
      </c>
      <c r="AA2083" s="107" t="str">
        <f t="shared" si="6477"/>
        <v/>
      </c>
      <c r="AB2083" s="107" t="str">
        <f t="shared" si="6477"/>
        <v/>
      </c>
      <c r="AC2083" s="107" t="str">
        <f t="shared" si="6477"/>
        <v/>
      </c>
      <c r="AD2083" s="107" t="str">
        <f t="shared" si="6477"/>
        <v/>
      </c>
      <c r="AE2083" s="107" t="str">
        <f t="shared" si="6477"/>
        <v/>
      </c>
      <c r="AF2083" s="107" t="str">
        <f t="shared" si="6477"/>
        <v/>
      </c>
      <c r="AG2083" s="107" t="str">
        <f t="shared" si="6477"/>
        <v/>
      </c>
      <c r="AH2083" s="107" t="str">
        <f t="shared" si="6477"/>
        <v/>
      </c>
      <c r="AI2083" s="107" t="str">
        <f t="shared" si="6477"/>
        <v/>
      </c>
    </row>
    <row r="2084" spans="1:167" hidden="1" x14ac:dyDescent="0.25">
      <c r="B2084" s="128" t="e">
        <f t="shared" si="6460"/>
        <v>#VALUE!</v>
      </c>
      <c r="C2084" s="128" t="e">
        <f t="shared" si="6461"/>
        <v>#VALUE!</v>
      </c>
      <c r="D2084" s="127">
        <f t="shared" si="6454"/>
        <v>1</v>
      </c>
      <c r="E2084" s="743"/>
      <c r="F2084" s="93"/>
      <c r="G2084" s="745"/>
      <c r="H2084"/>
      <c r="I2084"/>
      <c r="J2084"/>
      <c r="K2084" s="66"/>
      <c r="L2084" s="29" t="s">
        <v>359</v>
      </c>
      <c r="M2084" s="30" t="e">
        <f t="shared" ref="M2084" si="6478">HARMEAN($P2078:$XX2079)</f>
        <v>#N/A</v>
      </c>
      <c r="N2084" s="71"/>
      <c r="O2084" s="27" t="str">
        <f t="shared" ref="O2084" si="6479">"3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60"/>
        <v>#VALUE!</v>
      </c>
      <c r="C2085" s="128" t="e">
        <f t="shared" si="6461"/>
        <v>#VALUE!</v>
      </c>
      <c r="D2085" s="127">
        <f t="shared" si="6454"/>
        <v>1</v>
      </c>
      <c r="E2085" s="743"/>
      <c r="F2085" s="93"/>
      <c r="G2085" s="745"/>
      <c r="H2085" s="134">
        <f t="shared" ref="H2085" si="6480">COUNT($P2085:$XX2085)</f>
        <v>0</v>
      </c>
      <c r="I2085" s="132" t="e">
        <f t="shared" ref="I2085" si="6481">_xlfn.STDEV.P($P2084:$XX2085)/AVERAGE($P2084:$XX2085)</f>
        <v>#DIV/0!</v>
      </c>
      <c r="J2085" s="7">
        <f t="shared" ref="J2085" si="6482">IF(AND(H2085&gt;2,
OR(L2073="MÉDIA SANEADA",L2073="MEDIANA SANEADA",
AND(L2073="PREÇO ESTIMADO",NOT(AND(P2075="Orçamento",COUNTA(P2073:XX2073)=COUNTIF(P2075:XX2075,"Orçamento")))))),
ROW(),0)</f>
        <v>0</v>
      </c>
      <c r="K2085" s="66"/>
      <c r="L2085" s="29" t="s">
        <v>41</v>
      </c>
      <c r="M2085" s="30" t="str">
        <f t="shared" ref="M2085" si="6483">IFERROR(_xlfn.QUARTILE.EXC($P2079:$XX2079,1),"")</f>
        <v/>
      </c>
      <c r="N2085" s="71"/>
      <c r="O2085" s="27" t="str">
        <f t="shared" ref="O2085" si="6484">"3 RODADA"</f>
        <v>3 RODADA</v>
      </c>
      <c r="P2085" s="107" t="str">
        <f t="shared" ref="P2085:AI2085" si="6485">IF(P2083="","",IF((_xlfn.STDEV.P($P2082:$XX2083)/AVERAGE($P2082:$XX2083))&lt;=25%,P2083,IF(OR(P2083&gt;(AVERAGE($P2082:$XX2083)+_xlfn.STDEV.P($P2082:$XX2083)),P2083&lt;(AVERAGE($P2082:$XX2083)-_xlfn.STDEV.P($P2082:$XX2083))),"DESCARTADO",P2083)))</f>
        <v/>
      </c>
      <c r="Q2085" s="107" t="str">
        <f t="shared" si="6485"/>
        <v/>
      </c>
      <c r="R2085" s="107" t="str">
        <f t="shared" si="6485"/>
        <v/>
      </c>
      <c r="S2085" s="107" t="str">
        <f t="shared" si="6485"/>
        <v/>
      </c>
      <c r="T2085" s="107" t="str">
        <f t="shared" si="6485"/>
        <v/>
      </c>
      <c r="U2085" s="107" t="str">
        <f t="shared" si="6485"/>
        <v/>
      </c>
      <c r="V2085" s="107" t="str">
        <f t="shared" si="6485"/>
        <v/>
      </c>
      <c r="W2085" s="107" t="str">
        <f t="shared" si="6485"/>
        <v/>
      </c>
      <c r="X2085" s="107" t="str">
        <f t="shared" si="6485"/>
        <v/>
      </c>
      <c r="Y2085" s="107" t="str">
        <f t="shared" si="6485"/>
        <v/>
      </c>
      <c r="Z2085" s="107" t="str">
        <f t="shared" si="6485"/>
        <v/>
      </c>
      <c r="AA2085" s="107" t="str">
        <f t="shared" si="6485"/>
        <v/>
      </c>
      <c r="AB2085" s="107" t="str">
        <f t="shared" si="6485"/>
        <v/>
      </c>
      <c r="AC2085" s="107" t="str">
        <f t="shared" si="6485"/>
        <v/>
      </c>
      <c r="AD2085" s="107" t="str">
        <f t="shared" si="6485"/>
        <v/>
      </c>
      <c r="AE2085" s="107" t="str">
        <f t="shared" si="6485"/>
        <v/>
      </c>
      <c r="AF2085" s="107" t="str">
        <f t="shared" si="6485"/>
        <v/>
      </c>
      <c r="AG2085" s="107" t="str">
        <f t="shared" si="6485"/>
        <v/>
      </c>
      <c r="AH2085" s="107" t="str">
        <f t="shared" si="6485"/>
        <v/>
      </c>
      <c r="AI2085" s="107" t="str">
        <f t="shared" si="6485"/>
        <v/>
      </c>
    </row>
    <row r="2086" spans="1:167" hidden="1" x14ac:dyDescent="0.25">
      <c r="B2086" s="128" t="e">
        <f t="shared" si="6460"/>
        <v>#VALUE!</v>
      </c>
      <c r="C2086" s="128" t="e">
        <f t="shared" si="6461"/>
        <v>#VALUE!</v>
      </c>
      <c r="D2086" s="127">
        <f t="shared" si="6454"/>
        <v>1</v>
      </c>
      <c r="E2086" s="743"/>
      <c r="F2086" s="93"/>
      <c r="G2086" s="745"/>
      <c r="H2086"/>
      <c r="I2086"/>
      <c r="J2086"/>
      <c r="K2086" s="66"/>
      <c r="L2086" s="29" t="s">
        <v>39</v>
      </c>
      <c r="M2086" s="30" t="str">
        <f t="shared" ref="M2086" si="6486">IFERROR(_xlfn.QUARTILE.EXC($P2079:$XX2079,3),"")</f>
        <v/>
      </c>
      <c r="N2086" s="71"/>
      <c r="O2086" s="27" t="str">
        <f t="shared" ref="O2086" si="6487">"4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60"/>
        <v>#VALUE!</v>
      </c>
      <c r="C2087" s="128" t="e">
        <f t="shared" si="6461"/>
        <v>#VALUE!</v>
      </c>
      <c r="D2087" s="127">
        <f t="shared" si="6454"/>
        <v>1</v>
      </c>
      <c r="E2087" s="743"/>
      <c r="F2087" s="93"/>
      <c r="G2087" s="745"/>
      <c r="H2087" s="134">
        <f t="shared" ref="H2087" si="6488">COUNT($P2087:$XX2087)</f>
        <v>0</v>
      </c>
      <c r="I2087" s="132" t="e">
        <f t="shared" ref="I2087" si="6489">_xlfn.STDEV.P($P2086:$XX2087)/AVERAGE($P2086:$XX2087)</f>
        <v>#DIV/0!</v>
      </c>
      <c r="J2087" s="7">
        <f t="shared" ref="J2087" si="6490">IF(AND(H2087&gt;2,
OR(L2073="MÉDIA SANEADA",L2073="MEDIANA SANEADA",
AND(L2073="PREÇO ESTIMADO",NOT(AND(P2075="Orçamento",COUNTA(P2073:XX2073)=COUNTIF(P2075:XX2075,"Orçamento")))))),
ROW(),0)</f>
        <v>0</v>
      </c>
      <c r="K2087" s="66"/>
      <c r="L2087" s="29" t="s">
        <v>42</v>
      </c>
      <c r="M2087" s="30">
        <f t="shared" ref="M2087" si="6491">MIN($P2079:$XX2079)</f>
        <v>0</v>
      </c>
      <c r="N2087" s="71"/>
      <c r="O2087" s="27" t="str">
        <f t="shared" ref="O2087" si="6492">"4 RODADA"</f>
        <v>4 RODADA</v>
      </c>
      <c r="P2087" s="107" t="str">
        <f t="shared" ref="P2087:AI2087" si="6493">IF(P2085="","",IF((_xlfn.STDEV.P($P2084:$XX2085)/AVERAGE($P2084:$XX2085))&lt;=25%,P2085,IF(OR(P2085&gt;(AVERAGE($P2084:$XX2085)+_xlfn.STDEV.P($P2084:$XX2085)),P2085&lt;(AVERAGE($P2084:$XX2085)-_xlfn.STDEV.P($P2084:$XX2085))),"DESCARTADO",P2085)))</f>
        <v/>
      </c>
      <c r="Q2087" s="107" t="str">
        <f t="shared" si="6493"/>
        <v/>
      </c>
      <c r="R2087" s="107" t="str">
        <f t="shared" si="6493"/>
        <v/>
      </c>
      <c r="S2087" s="107" t="str">
        <f t="shared" si="6493"/>
        <v/>
      </c>
      <c r="T2087" s="107" t="str">
        <f t="shared" si="6493"/>
        <v/>
      </c>
      <c r="U2087" s="107" t="str">
        <f t="shared" si="6493"/>
        <v/>
      </c>
      <c r="V2087" s="107" t="str">
        <f t="shared" si="6493"/>
        <v/>
      </c>
      <c r="W2087" s="107" t="str">
        <f t="shared" si="6493"/>
        <v/>
      </c>
      <c r="X2087" s="107" t="str">
        <f t="shared" si="6493"/>
        <v/>
      </c>
      <c r="Y2087" s="107" t="str">
        <f t="shared" si="6493"/>
        <v/>
      </c>
      <c r="Z2087" s="107" t="str">
        <f t="shared" si="6493"/>
        <v/>
      </c>
      <c r="AA2087" s="107" t="str">
        <f t="shared" si="6493"/>
        <v/>
      </c>
      <c r="AB2087" s="107" t="str">
        <f t="shared" si="6493"/>
        <v/>
      </c>
      <c r="AC2087" s="107" t="str">
        <f t="shared" si="6493"/>
        <v/>
      </c>
      <c r="AD2087" s="107" t="str">
        <f t="shared" si="6493"/>
        <v/>
      </c>
      <c r="AE2087" s="107" t="str">
        <f t="shared" si="6493"/>
        <v/>
      </c>
      <c r="AF2087" s="107" t="str">
        <f t="shared" si="6493"/>
        <v/>
      </c>
      <c r="AG2087" s="107" t="str">
        <f t="shared" si="6493"/>
        <v/>
      </c>
      <c r="AH2087" s="107" t="str">
        <f t="shared" si="6493"/>
        <v/>
      </c>
      <c r="AI2087" s="107" t="str">
        <f t="shared" si="6493"/>
        <v/>
      </c>
    </row>
    <row r="2088" spans="1:167" hidden="1" x14ac:dyDescent="0.25">
      <c r="B2088" s="128" t="e">
        <f t="shared" si="6460"/>
        <v>#VALUE!</v>
      </c>
      <c r="C2088" s="128" t="e">
        <f t="shared" si="6461"/>
        <v>#VALUE!</v>
      </c>
      <c r="D2088" s="127">
        <f t="shared" si="6454"/>
        <v>1</v>
      </c>
      <c r="E2088" s="743"/>
      <c r="F2088" s="93"/>
      <c r="G2088" s="745"/>
      <c r="H2088"/>
      <c r="I2088"/>
      <c r="J2088"/>
      <c r="K2088" s="66"/>
      <c r="L2088" s="29" t="s">
        <v>40</v>
      </c>
      <c r="M2088" s="30">
        <f t="shared" ref="M2088" si="6494">MAX($P2079:$XX2079)</f>
        <v>0</v>
      </c>
      <c r="N2088" s="71"/>
      <c r="O2088" s="27" t="str">
        <f t="shared" ref="O2088" si="6495">"5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60"/>
        <v>#VALUE!</v>
      </c>
      <c r="C2089" s="128" t="e">
        <f t="shared" si="6461"/>
        <v>#VALUE!</v>
      </c>
      <c r="D2089" s="127">
        <f t="shared" si="6454"/>
        <v>1</v>
      </c>
      <c r="E2089" s="743"/>
      <c r="F2089" s="93"/>
      <c r="G2089" s="745"/>
      <c r="H2089" s="134">
        <f t="shared" ref="H2089" si="6496">COUNT($P2089:$XX2089)</f>
        <v>0</v>
      </c>
      <c r="I2089" s="132" t="e">
        <f t="shared" ref="I2089" si="6497">_xlfn.STDEV.P($P2088:$XX2089)/AVERAGE($P2088:$XX2089)</f>
        <v>#DIV/0!</v>
      </c>
      <c r="J2089" s="7">
        <f t="shared" ref="J2089" si="6498">IF(AND(H2089&gt;2,
OR(L2073="MÉDIA SANEADA",L2073="MEDIANA SANEADA",
AND(L2073="PREÇO ESTIMADO",NOT(AND(P2075="Orçamento",COUNTA(P2073:XX2073)=COUNTIF(P2075:XX2075,"Orçamento")))))),
ROW(),0)</f>
        <v>0</v>
      </c>
      <c r="K2089" s="66"/>
      <c r="N2089" s="71"/>
      <c r="O2089" s="27" t="str">
        <f t="shared" ref="O2089" si="6499">"5 RODADA"</f>
        <v>5 RODADA</v>
      </c>
      <c r="P2089" s="107" t="str">
        <f t="shared" ref="P2089:AI2089" si="6500">IF(P2087="","",IF((_xlfn.STDEV.P($P2086:$XX2087)/AVERAGE($P2086:$XX2087))&lt;=25%,P2087,IF(OR(P2087&gt;(AVERAGE($P2086:$XX2087)+_xlfn.STDEV.P($P2086:$XX2087)),P2087&lt;(AVERAGE($P2086:$XX2087)-_xlfn.STDEV.P($P2086:$XX2087))),"DESCARTADO",P2087)))</f>
        <v/>
      </c>
      <c r="Q2089" s="107" t="str">
        <f t="shared" si="6500"/>
        <v/>
      </c>
      <c r="R2089" s="107" t="str">
        <f t="shared" si="6500"/>
        <v/>
      </c>
      <c r="S2089" s="107" t="str">
        <f t="shared" si="6500"/>
        <v/>
      </c>
      <c r="T2089" s="107" t="str">
        <f t="shared" si="6500"/>
        <v/>
      </c>
      <c r="U2089" s="107" t="str">
        <f t="shared" si="6500"/>
        <v/>
      </c>
      <c r="V2089" s="107" t="str">
        <f t="shared" si="6500"/>
        <v/>
      </c>
      <c r="W2089" s="107" t="str">
        <f t="shared" si="6500"/>
        <v/>
      </c>
      <c r="X2089" s="107" t="str">
        <f t="shared" si="6500"/>
        <v/>
      </c>
      <c r="Y2089" s="107" t="str">
        <f t="shared" si="6500"/>
        <v/>
      </c>
      <c r="Z2089" s="107" t="str">
        <f t="shared" si="6500"/>
        <v/>
      </c>
      <c r="AA2089" s="107" t="str">
        <f t="shared" si="6500"/>
        <v/>
      </c>
      <c r="AB2089" s="107" t="str">
        <f t="shared" si="6500"/>
        <v/>
      </c>
      <c r="AC2089" s="107" t="str">
        <f t="shared" si="6500"/>
        <v/>
      </c>
      <c r="AD2089" s="107" t="str">
        <f t="shared" si="6500"/>
        <v/>
      </c>
      <c r="AE2089" s="107" t="str">
        <f t="shared" si="6500"/>
        <v/>
      </c>
      <c r="AF2089" s="107" t="str">
        <f t="shared" si="6500"/>
        <v/>
      </c>
      <c r="AG2089" s="107" t="str">
        <f t="shared" si="6500"/>
        <v/>
      </c>
      <c r="AH2089" s="107" t="str">
        <f t="shared" si="6500"/>
        <v/>
      </c>
      <c r="AI2089" s="107" t="str">
        <f t="shared" si="6500"/>
        <v/>
      </c>
    </row>
    <row r="2090" spans="1:167" hidden="1" x14ac:dyDescent="0.25">
      <c r="B2090" s="128" t="e">
        <f t="shared" si="6460"/>
        <v>#VALUE!</v>
      </c>
      <c r="C2090" s="128" t="e">
        <f t="shared" si="6461"/>
        <v>#VALUE!</v>
      </c>
      <c r="D2090" s="127">
        <f t="shared" si="6454"/>
        <v>1</v>
      </c>
      <c r="E2090" s="743"/>
      <c r="F2090" s="93"/>
      <c r="G2090" s="745"/>
      <c r="H2090"/>
      <c r="I2090"/>
      <c r="J2090"/>
      <c r="K2090" s="66"/>
      <c r="L2090" s="22"/>
      <c r="M2090" s="22"/>
      <c r="N2090" s="71"/>
      <c r="O2090" s="27" t="str">
        <f t="shared" ref="O2090" si="6501">"6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60"/>
        <v>#VALUE!</v>
      </c>
      <c r="C2091" s="128" t="e">
        <f t="shared" si="6461"/>
        <v>#VALUE!</v>
      </c>
      <c r="D2091" s="127">
        <f t="shared" si="6454"/>
        <v>1</v>
      </c>
      <c r="E2091" s="743"/>
      <c r="F2091" s="93"/>
      <c r="G2091" s="745"/>
      <c r="H2091" s="134">
        <f t="shared" ref="H2091" si="6502">COUNT($P2091:$XX2091)</f>
        <v>0</v>
      </c>
      <c r="I2091" s="132" t="e">
        <f t="shared" ref="I2091" si="6503">_xlfn.STDEV.P($P2090:$XX2091)/AVERAGE($P2090:$XX2091)</f>
        <v>#DIV/0!</v>
      </c>
      <c r="J2091" s="7">
        <f t="shared" ref="J2091" si="6504">IF(AND(H2091&gt;2,
OR(L2073="MÉDIA SANEADA",L2073="MEDIANA SANEADA",
AND(L2073="PREÇO ESTIMADO",NOT(AND(P2075="Orçamento",COUNTA(P2073:XX2073)=COUNTIF(P2075:XX2075,"Orçamento")))))),
ROW(),0)</f>
        <v>0</v>
      </c>
      <c r="N2091" s="71"/>
      <c r="O2091" s="27" t="str">
        <f t="shared" ref="O2091" si="6505">"6 RODADA"</f>
        <v>6 RODADA</v>
      </c>
      <c r="P2091" s="107" t="str">
        <f t="shared" ref="P2091:AI2091" si="6506">IFERROR(IF(P2089="","",IF((_xlfn.STDEV.P($P2088:$XX2089)/AVERAGE($P2088:$XX2089))&lt;=25%,P2089,IF(OR(P2089&gt;(AVERAGE($P2088:$XX2089)+_xlfn.STDEV.P($P2088:$XX2089)),P2089&lt;(AVERAGE($P2088:$XX2089)-_xlfn.STDEV.P($P2088:$XX2089))),"DESCARTADO",P2089))),)</f>
        <v/>
      </c>
      <c r="Q2091" s="107" t="str">
        <f t="shared" si="6506"/>
        <v/>
      </c>
      <c r="R2091" s="107" t="str">
        <f t="shared" si="6506"/>
        <v/>
      </c>
      <c r="S2091" s="107" t="str">
        <f t="shared" si="6506"/>
        <v/>
      </c>
      <c r="T2091" s="107" t="str">
        <f t="shared" si="6506"/>
        <v/>
      </c>
      <c r="U2091" s="107" t="str">
        <f t="shared" si="6506"/>
        <v/>
      </c>
      <c r="V2091" s="107" t="str">
        <f t="shared" si="6506"/>
        <v/>
      </c>
      <c r="W2091" s="107" t="str">
        <f t="shared" si="6506"/>
        <v/>
      </c>
      <c r="X2091" s="107" t="str">
        <f t="shared" si="6506"/>
        <v/>
      </c>
      <c r="Y2091" s="107" t="str">
        <f t="shared" si="6506"/>
        <v/>
      </c>
      <c r="Z2091" s="107" t="str">
        <f t="shared" si="6506"/>
        <v/>
      </c>
      <c r="AA2091" s="107" t="str">
        <f t="shared" si="6506"/>
        <v/>
      </c>
      <c r="AB2091" s="107" t="str">
        <f t="shared" si="6506"/>
        <v/>
      </c>
      <c r="AC2091" s="107" t="str">
        <f t="shared" si="6506"/>
        <v/>
      </c>
      <c r="AD2091" s="107" t="str">
        <f t="shared" si="6506"/>
        <v/>
      </c>
      <c r="AE2091" s="107" t="str">
        <f t="shared" si="6506"/>
        <v/>
      </c>
      <c r="AF2091" s="107" t="str">
        <f t="shared" si="6506"/>
        <v/>
      </c>
      <c r="AG2091" s="107" t="str">
        <f t="shared" si="6506"/>
        <v/>
      </c>
      <c r="AH2091" s="107" t="str">
        <f t="shared" si="6506"/>
        <v/>
      </c>
      <c r="AI2091" s="107" t="str">
        <f t="shared" si="6506"/>
        <v/>
      </c>
    </row>
    <row r="2092" spans="1:167" x14ac:dyDescent="0.25">
      <c r="B2092" s="128" t="e">
        <f t="shared" si="6460"/>
        <v>#VALUE!</v>
      </c>
      <c r="C2092" s="128" t="e">
        <f t="shared" si="6461"/>
        <v>#VALUE!</v>
      </c>
      <c r="D2092" s="127">
        <f t="shared" si="6454"/>
        <v>1</v>
      </c>
      <c r="E2092" s="743"/>
      <c r="F2092" s="136"/>
      <c r="G2092" s="745"/>
      <c r="H2092" s="748"/>
      <c r="I2092" s="748"/>
      <c r="J2092" s="749"/>
      <c r="K2092" s="67"/>
      <c r="L2092" s="1" t="s">
        <v>43</v>
      </c>
      <c r="M2092" s="144" t="str">
        <f t="shared" ref="M2092" si="6507">IFERROR(ROUND(M2073*M2075,2),"")</f>
        <v/>
      </c>
      <c r="O2092" s="27" t="s">
        <v>363</v>
      </c>
      <c r="P2092" s="107" t="str">
        <f t="shared" ref="P2092:R2092" si="6508">INDEX(P2079:P2091,MATCH(MAX($J2079:$J2091),$J2079:$J2091,0))</f>
        <v/>
      </c>
      <c r="Q2092" s="107" t="str">
        <f t="shared" si="6508"/>
        <v/>
      </c>
      <c r="R2092" s="107" t="str">
        <f t="shared" si="6508"/>
        <v/>
      </c>
      <c r="S2092" s="107" t="str">
        <f t="shared" si="6441"/>
        <v/>
      </c>
      <c r="T2092" s="107" t="str">
        <f t="shared" si="6441"/>
        <v/>
      </c>
      <c r="U2092" s="107" t="str">
        <f t="shared" si="6441"/>
        <v/>
      </c>
      <c r="V2092" s="107" t="str">
        <f t="shared" si="6441"/>
        <v/>
      </c>
      <c r="W2092" s="107" t="str">
        <f t="shared" si="6441"/>
        <v/>
      </c>
      <c r="X2092" s="107" t="str">
        <f t="shared" si="6441"/>
        <v/>
      </c>
      <c r="Y2092" s="107" t="str">
        <f t="shared" si="6441"/>
        <v/>
      </c>
      <c r="Z2092" s="107" t="str">
        <f t="shared" si="6441"/>
        <v/>
      </c>
      <c r="AA2092" s="107" t="str">
        <f t="shared" si="6441"/>
        <v/>
      </c>
      <c r="AB2092" s="107" t="str">
        <f t="shared" si="6441"/>
        <v/>
      </c>
      <c r="AC2092" s="107" t="str">
        <f t="shared" si="6441"/>
        <v/>
      </c>
      <c r="AD2092" s="107" t="str">
        <f t="shared" si="6441"/>
        <v/>
      </c>
      <c r="AE2092" s="107" t="str">
        <f t="shared" si="6441"/>
        <v/>
      </c>
      <c r="AF2092" s="107" t="str">
        <f t="shared" si="6441"/>
        <v/>
      </c>
      <c r="AG2092" s="107" t="str">
        <f t="shared" si="6441"/>
        <v/>
      </c>
      <c r="AH2092" s="107" t="str">
        <f t="shared" si="6441"/>
        <v/>
      </c>
      <c r="AI2092" s="107" t="str">
        <f t="shared" si="6441"/>
        <v/>
      </c>
    </row>
    <row r="2094" spans="1:167" s="117" customFormat="1" ht="15" customHeight="1" x14ac:dyDescent="0.25">
      <c r="A2094" s="120"/>
      <c r="B2094" s="127" t="e">
        <f t="shared" ref="B2094" si="6509">LARGE(IFERROR(IF(B2092+1&gt;$H$8,"",B2092+1),""),1)</f>
        <v>#VALUE!</v>
      </c>
      <c r="C2094" s="127" t="e">
        <f>IF(_xlfn.ISFORMULA(E2098),MAX(INDEX('BASE FORMAÇÃO'!A:A,B2094+1),1),E2098)</f>
        <v>#VALUE!</v>
      </c>
      <c r="D2094" s="127">
        <f t="shared" ref="D2094" si="6510">IFERROR(IF(C2094=C2084,D2084+1,1),1)</f>
        <v>1</v>
      </c>
      <c r="E2094" s="38" t="s">
        <v>9</v>
      </c>
      <c r="F2094" s="73"/>
      <c r="G2094" s="38" t="s">
        <v>15</v>
      </c>
      <c r="H2094" s="135" t="e">
        <f>INDEX('BASE FORMAÇÃO'!B:B,B2094+1)</f>
        <v>#VALUE!</v>
      </c>
      <c r="I2094" s="143" t="s">
        <v>16</v>
      </c>
      <c r="J2094" s="6" t="e">
        <f>INDEX('BASE FORMAÇÃO'!K:K,B2094+1)</f>
        <v>#VALUE!</v>
      </c>
      <c r="K2094" s="65"/>
      <c r="L2094" s="750" t="s">
        <v>10</v>
      </c>
      <c r="M2094" s="752" t="str">
        <f t="shared" ref="M2094" si="6511">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2">B2094</f>
        <v>#VALUE!</v>
      </c>
      <c r="C2095" s="128" t="e">
        <f t="shared" si="6512"/>
        <v>#VALUE!</v>
      </c>
      <c r="D2095" s="127">
        <f t="shared" si="6512"/>
        <v>1</v>
      </c>
      <c r="E2095" s="754">
        <f t="shared" ref="E2095" si="6513">D2094</f>
        <v>1</v>
      </c>
      <c r="F2095" s="92"/>
      <c r="G2095" s="756" t="s">
        <v>1</v>
      </c>
      <c r="H2095" s="759" t="e">
        <f>INDEX('BASE FORMAÇÃO'!C:C,B2094+1)</f>
        <v>#VALUE!</v>
      </c>
      <c r="I2095" s="759"/>
      <c r="J2095" s="760"/>
      <c r="K2095" s="66"/>
      <c r="L2095" s="751"/>
      <c r="M2095" s="753"/>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4">B2095</f>
        <v>#VALUE!</v>
      </c>
      <c r="C2096" s="128" t="e">
        <f t="shared" si="6514"/>
        <v>#VALUE!</v>
      </c>
      <c r="D2096" s="127">
        <f t="shared" si="6514"/>
        <v>1</v>
      </c>
      <c r="E2096" s="755"/>
      <c r="F2096" s="93"/>
      <c r="G2096" s="757"/>
      <c r="H2096" s="761"/>
      <c r="I2096" s="761"/>
      <c r="J2096" s="762"/>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5">B2096</f>
        <v>#VALUE!</v>
      </c>
      <c r="C2097" s="128" t="e">
        <f t="shared" si="6515"/>
        <v>#VALUE!</v>
      </c>
      <c r="D2097" s="127">
        <f t="shared" si="6454"/>
        <v>1</v>
      </c>
      <c r="E2097" s="38" t="s">
        <v>313</v>
      </c>
      <c r="F2097" s="93"/>
      <c r="G2097" s="758"/>
      <c r="H2097" s="763"/>
      <c r="I2097" s="763"/>
      <c r="J2097" s="764"/>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6">B2096</f>
        <v>#VALUE!</v>
      </c>
      <c r="C2098" s="128" t="e">
        <f t="shared" si="6516"/>
        <v>#VALUE!</v>
      </c>
      <c r="D2098" s="127">
        <f t="shared" si="6454"/>
        <v>1</v>
      </c>
      <c r="E2098" s="742" t="e">
        <f t="shared" ref="E2098" si="6517">C2094</f>
        <v>#VALUE!</v>
      </c>
      <c r="F2098" s="93"/>
      <c r="G2098" s="744" t="s">
        <v>304</v>
      </c>
      <c r="H2098" s="746"/>
      <c r="I2098" s="747"/>
      <c r="J2098" s="747"/>
      <c r="K2098" s="67"/>
      <c r="L2098" s="28" t="s">
        <v>303</v>
      </c>
      <c r="M2098" s="133" t="str">
        <f t="shared" ref="M2098" si="6518">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9">B2098</f>
        <v>#VALUE!</v>
      </c>
      <c r="C2099" s="128" t="e">
        <f t="shared" ref="C2099" si="6520">C2098</f>
        <v>#VALUE!</v>
      </c>
      <c r="D2099" s="127">
        <f t="shared" si="6454"/>
        <v>1</v>
      </c>
      <c r="E2099" s="743"/>
      <c r="F2099" s="93"/>
      <c r="G2099" s="745"/>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1">B2099</f>
        <v>#VALUE!</v>
      </c>
      <c r="C2100" s="128" t="e">
        <f t="shared" si="6521"/>
        <v>#VALUE!</v>
      </c>
      <c r="D2100" s="127">
        <f t="shared" si="6454"/>
        <v>1</v>
      </c>
      <c r="E2100" s="743"/>
      <c r="F2100" s="93"/>
      <c r="G2100" s="745"/>
      <c r="H2100" s="134">
        <f t="shared" ref="H2100" si="6522">COUNT($P2100:$XX2100)</f>
        <v>0</v>
      </c>
      <c r="I2100" s="132" t="e">
        <f t="shared" ref="I2100" si="6523">_xlfn.STDEV.P($P2099:$XX2100)/AVERAGE($P2099:$XX2100)</f>
        <v>#DIV/0!</v>
      </c>
      <c r="J2100" s="7">
        <f>ROW()</f>
        <v>2100</v>
      </c>
      <c r="K2100" s="67"/>
      <c r="L2100" s="29" t="s">
        <v>10</v>
      </c>
      <c r="M2100" s="30" t="str">
        <f t="shared" ref="M2100" si="6524">IFERROR(
IF(COUNTA(P2094:AI2094)=COUNTIF(P2096:XX2096,"Orçamento"),MIN(M2105,M2102),
IF(M2103&lt;&gt;"",M2103,
IF(M2104&lt;&gt;"",M2104,
M2102
))),"")</f>
        <v/>
      </c>
      <c r="N2100" s="71"/>
      <c r="O2100" s="27" t="s">
        <v>376</v>
      </c>
      <c r="P2100" s="106" t="str">
        <f t="shared" ref="P2100:AI2100" si="6525">IFERROR(IF(P2098="",
            "",
            IF(COUNT($P2098:$XX2098)&lt;=4,
               P2098,
               IF(OR(P2098&gt;(QUARTILE($P2098:$XX2098,3)+(QUARTILE($P2098:$XX2098,3)-QUARTILE($P2098:$XX2098,1))),
                     P2098&lt;(QUARTILE($P2098:$XX2098,1)-(QUARTILE($P2098:$XX2098,3)-QUARTILE($P2098:$XX2098,1)))
                  ),
               "DESCARTADO",P2098)
             )
  ),P2098)</f>
        <v/>
      </c>
      <c r="Q2100" s="106" t="str">
        <f t="shared" si="6525"/>
        <v/>
      </c>
      <c r="R2100" s="106" t="str">
        <f t="shared" si="6525"/>
        <v/>
      </c>
      <c r="S2100" s="106" t="str">
        <f t="shared" si="6525"/>
        <v/>
      </c>
      <c r="T2100" s="106" t="str">
        <f t="shared" si="6525"/>
        <v/>
      </c>
      <c r="U2100" s="106" t="str">
        <f t="shared" si="6525"/>
        <v/>
      </c>
      <c r="V2100" s="106" t="str">
        <f t="shared" si="6525"/>
        <v/>
      </c>
      <c r="W2100" s="106" t="str">
        <f t="shared" si="6525"/>
        <v/>
      </c>
      <c r="X2100" s="106" t="str">
        <f t="shared" si="6525"/>
        <v/>
      </c>
      <c r="Y2100" s="106" t="str">
        <f t="shared" si="6525"/>
        <v/>
      </c>
      <c r="Z2100" s="106" t="str">
        <f t="shared" si="6525"/>
        <v/>
      </c>
      <c r="AA2100" s="106" t="str">
        <f t="shared" si="6525"/>
        <v/>
      </c>
      <c r="AB2100" s="106" t="str">
        <f t="shared" si="6525"/>
        <v/>
      </c>
      <c r="AC2100" s="106" t="str">
        <f t="shared" si="6525"/>
        <v/>
      </c>
      <c r="AD2100" s="106" t="str">
        <f t="shared" si="6525"/>
        <v/>
      </c>
      <c r="AE2100" s="106" t="str">
        <f t="shared" si="6525"/>
        <v/>
      </c>
      <c r="AF2100" s="106" t="str">
        <f t="shared" si="6525"/>
        <v/>
      </c>
      <c r="AG2100" s="106" t="str">
        <f t="shared" si="6525"/>
        <v/>
      </c>
      <c r="AH2100" s="106" t="str">
        <f t="shared" si="6525"/>
        <v/>
      </c>
      <c r="AI2100" s="106" t="str">
        <f t="shared" si="6525"/>
        <v/>
      </c>
    </row>
    <row r="2101" spans="1:35" hidden="1" x14ac:dyDescent="0.25">
      <c r="B2101" s="128" t="e">
        <f t="shared" ref="B2101" si="6526">B2100</f>
        <v>#VALUE!</v>
      </c>
      <c r="C2101" s="128" t="e">
        <f t="shared" ref="C2101" si="6527">C2100</f>
        <v>#VALUE!</v>
      </c>
      <c r="D2101" s="127">
        <f t="shared" si="6454"/>
        <v>1</v>
      </c>
      <c r="E2101" s="743"/>
      <c r="F2101" s="93"/>
      <c r="G2101" s="745"/>
      <c r="H2101"/>
      <c r="I2101"/>
      <c r="J2101"/>
      <c r="K2101" s="66"/>
      <c r="L2101" s="29" t="s">
        <v>360</v>
      </c>
      <c r="M2101" s="30" t="e">
        <f t="shared" ref="M2101" si="6528">AVERAGE($P2100:$XX2100)</f>
        <v>#DIV/0!</v>
      </c>
      <c r="N2101" s="71"/>
      <c r="O2101" s="27" t="str">
        <f t="shared" ref="O2101" si="6529">"1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60"/>
        <v>#VALUE!</v>
      </c>
      <c r="C2102" s="128" t="e">
        <f t="shared" si="6461"/>
        <v>#VALUE!</v>
      </c>
      <c r="D2102" s="127">
        <f t="shared" si="6454"/>
        <v>1</v>
      </c>
      <c r="E2102" s="743"/>
      <c r="F2102" s="93"/>
      <c r="G2102" s="745"/>
      <c r="H2102" s="134">
        <f t="shared" ref="H2102" si="6530">COUNT($P2102:$XX2102)</f>
        <v>0</v>
      </c>
      <c r="I2102" s="132" t="e">
        <f t="shared" ref="I2102" si="6531">_xlfn.STDEV.P($P2101:$XX2102)/AVERAGE($P2101:$XX2102)</f>
        <v>#DIV/0!</v>
      </c>
      <c r="J2102" s="7">
        <f t="shared" ref="J2102" si="6532">IF(AND(H2102&gt;2,
OR(L2094="MÉDIA SANEADA",L2094="MEDIANA SANEADA",
AND(L2094="PREÇO ESTIMADO",NOT(AND(P2096="Orçamento",COUNTA(P2094:XX2094)=COUNTIF(P2096:XX2096,"Orçamento")))))),
ROW(),0)</f>
        <v>0</v>
      </c>
      <c r="K2102" s="66"/>
      <c r="L2102" s="29" t="s">
        <v>361</v>
      </c>
      <c r="M2102" s="30" t="e">
        <f t="shared" ref="M2102" si="6533">MEDIAN($P2100:$XX2100)</f>
        <v>#NUM!</v>
      </c>
      <c r="N2102" s="71"/>
      <c r="O2102" s="27" t="str">
        <f t="shared" ref="O2102" si="6534">"1 RODADA"</f>
        <v>1 RODADA</v>
      </c>
      <c r="P2102" s="107" t="str">
        <f t="shared" ref="P2102:AI2102" si="6535">IF(P2100="","",IF((_xlfn.STDEV.P($P2099:$XX2100)/AVERAGE($P2099:$XX2100))&lt;=25%,P2100,IF(OR(P2100&gt;(AVERAGE($P2099:$XX2100)+_xlfn.STDEV.P($P2099:$XX2100)),P2100&lt;(AVERAGE($P2099:$XX2100)-_xlfn.STDEV.P($P2099:$XX2100))),"DESCARTADO",P2100)))</f>
        <v/>
      </c>
      <c r="Q2102" s="107" t="str">
        <f t="shared" si="6535"/>
        <v/>
      </c>
      <c r="R2102" s="107" t="str">
        <f t="shared" si="6535"/>
        <v/>
      </c>
      <c r="S2102" s="107" t="str">
        <f t="shared" si="6535"/>
        <v/>
      </c>
      <c r="T2102" s="107" t="str">
        <f t="shared" si="6535"/>
        <v/>
      </c>
      <c r="U2102" s="107" t="str">
        <f t="shared" si="6535"/>
        <v/>
      </c>
      <c r="V2102" s="107" t="str">
        <f t="shared" si="6535"/>
        <v/>
      </c>
      <c r="W2102" s="107" t="str">
        <f t="shared" si="6535"/>
        <v/>
      </c>
      <c r="X2102" s="107" t="str">
        <f t="shared" si="6535"/>
        <v/>
      </c>
      <c r="Y2102" s="107" t="str">
        <f t="shared" si="6535"/>
        <v/>
      </c>
      <c r="Z2102" s="107" t="str">
        <f t="shared" si="6535"/>
        <v/>
      </c>
      <c r="AA2102" s="107" t="str">
        <f t="shared" si="6535"/>
        <v/>
      </c>
      <c r="AB2102" s="107" t="str">
        <f t="shared" si="6535"/>
        <v/>
      </c>
      <c r="AC2102" s="107" t="str">
        <f t="shared" si="6535"/>
        <v/>
      </c>
      <c r="AD2102" s="107" t="str">
        <f t="shared" si="6535"/>
        <v/>
      </c>
      <c r="AE2102" s="107" t="str">
        <f t="shared" si="6535"/>
        <v/>
      </c>
      <c r="AF2102" s="107" t="str">
        <f t="shared" si="6535"/>
        <v/>
      </c>
      <c r="AG2102" s="107" t="str">
        <f t="shared" si="6535"/>
        <v/>
      </c>
      <c r="AH2102" s="107" t="str">
        <f t="shared" si="6535"/>
        <v/>
      </c>
      <c r="AI2102" s="107" t="str">
        <f t="shared" si="6535"/>
        <v/>
      </c>
    </row>
    <row r="2103" spans="1:35" hidden="1" x14ac:dyDescent="0.25">
      <c r="B2103" s="128" t="e">
        <f t="shared" si="6460"/>
        <v>#VALUE!</v>
      </c>
      <c r="C2103" s="128" t="e">
        <f t="shared" si="6461"/>
        <v>#VALUE!</v>
      </c>
      <c r="D2103" s="127">
        <f t="shared" si="6454"/>
        <v>1</v>
      </c>
      <c r="E2103" s="743"/>
      <c r="F2103" s="93"/>
      <c r="G2103" s="745"/>
      <c r="H2103"/>
      <c r="I2103"/>
      <c r="J2103"/>
      <c r="L2103" s="29" t="s">
        <v>38</v>
      </c>
      <c r="M2103" s="30" t="str">
        <f t="shared" ref="M2103" si="6536">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7">"2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60"/>
        <v>#VALUE!</v>
      </c>
      <c r="C2104" s="128" t="e">
        <f t="shared" si="6461"/>
        <v>#VALUE!</v>
      </c>
      <c r="D2104" s="127">
        <f t="shared" si="6454"/>
        <v>1</v>
      </c>
      <c r="E2104" s="743"/>
      <c r="F2104" s="93"/>
      <c r="G2104" s="745"/>
      <c r="H2104" s="134">
        <f t="shared" ref="H2104" si="6538">COUNT($P2104:$XX2104)</f>
        <v>0</v>
      </c>
      <c r="I2104" s="132" t="e">
        <f t="shared" ref="I2104" si="6539">_xlfn.STDEV.P($P2103:$XX2104)/AVERAGE($P2103:$XX2104)</f>
        <v>#DIV/0!</v>
      </c>
      <c r="J2104" s="7">
        <f t="shared" ref="J2104" si="6540">IF(AND(H2104&gt;2,
OR(L2094="MÉDIA SANEADA",L2094="MEDIANA SANEADA",
AND(L2094="PREÇO ESTIMADO",NOT(AND(P2096="Orçamento",COUNTA(P2094:XX2094)=COUNTIF(P2096:XX2096,"Orçamento")))))),
ROW(),0)</f>
        <v>0</v>
      </c>
      <c r="K2104" s="66"/>
      <c r="L2104" s="29" t="s">
        <v>362</v>
      </c>
      <c r="M2104" s="30" t="e">
        <f t="shared" ref="M2104" si="6541" xml:space="preserve">
IF(H2102&gt;2,MEDIAN(P2101:XX2102),
IF(H2104&gt;2,MEDIAN(P2103:XX2104),
IF(H2106&gt;2,MEDIAN(P2105:XX2106),
IF(H2108&gt;2,MEDIAN(P2107:XX2108),
IF(H2110&gt;2,MEDIAN(P2109:XX2110),
IF(H2112&gt;2,MEDIAN(P2111:XX2112),
MEDIAN(P2099:XX2100)))))))</f>
        <v>#NUM!</v>
      </c>
      <c r="N2104" s="71"/>
      <c r="O2104" s="27" t="str">
        <f t="shared" ref="O2104" si="6542">"2 RODADA"</f>
        <v>2 RODADA</v>
      </c>
      <c r="P2104" s="107" t="str">
        <f t="shared" ref="P2104:AI2104" si="6543">IF(P2102="","",IF((_xlfn.STDEV.P($P2101:$XX2102)/AVERAGE($P2101:$XX2102))&lt;=25%,P2102,IF(OR(P2102&gt;(AVERAGE($P2101:$XX2102)+_xlfn.STDEV.P($P2101:$XX2102)),P2102&lt;(AVERAGE($P2101:$XX2102)-_xlfn.STDEV.P($P2101:$XX2102))),"DESCARTADO",P2102)))</f>
        <v/>
      </c>
      <c r="Q2104" s="107" t="str">
        <f t="shared" si="6543"/>
        <v/>
      </c>
      <c r="R2104" s="107" t="str">
        <f t="shared" si="6543"/>
        <v/>
      </c>
      <c r="S2104" s="107" t="str">
        <f t="shared" si="6543"/>
        <v/>
      </c>
      <c r="T2104" s="107" t="str">
        <f t="shared" si="6543"/>
        <v/>
      </c>
      <c r="U2104" s="107" t="str">
        <f t="shared" si="6543"/>
        <v/>
      </c>
      <c r="V2104" s="107" t="str">
        <f t="shared" si="6543"/>
        <v/>
      </c>
      <c r="W2104" s="107" t="str">
        <f t="shared" si="6543"/>
        <v/>
      </c>
      <c r="X2104" s="107" t="str">
        <f t="shared" si="6543"/>
        <v/>
      </c>
      <c r="Y2104" s="107" t="str">
        <f t="shared" si="6543"/>
        <v/>
      </c>
      <c r="Z2104" s="107" t="str">
        <f t="shared" si="6543"/>
        <v/>
      </c>
      <c r="AA2104" s="107" t="str">
        <f t="shared" si="6543"/>
        <v/>
      </c>
      <c r="AB2104" s="107" t="str">
        <f t="shared" si="6543"/>
        <v/>
      </c>
      <c r="AC2104" s="107" t="str">
        <f t="shared" si="6543"/>
        <v/>
      </c>
      <c r="AD2104" s="107" t="str">
        <f t="shared" si="6543"/>
        <v/>
      </c>
      <c r="AE2104" s="107" t="str">
        <f t="shared" si="6543"/>
        <v/>
      </c>
      <c r="AF2104" s="107" t="str">
        <f t="shared" si="6543"/>
        <v/>
      </c>
      <c r="AG2104" s="107" t="str">
        <f t="shared" si="6543"/>
        <v/>
      </c>
      <c r="AH2104" s="107" t="str">
        <f t="shared" si="6543"/>
        <v/>
      </c>
      <c r="AI2104" s="107" t="str">
        <f t="shared" si="6543"/>
        <v/>
      </c>
    </row>
    <row r="2105" spans="1:35" hidden="1" x14ac:dyDescent="0.25">
      <c r="B2105" s="128" t="e">
        <f t="shared" si="6460"/>
        <v>#VALUE!</v>
      </c>
      <c r="C2105" s="128" t="e">
        <f t="shared" si="6461"/>
        <v>#VALUE!</v>
      </c>
      <c r="D2105" s="127">
        <f t="shared" si="6454"/>
        <v>1</v>
      </c>
      <c r="E2105" s="743"/>
      <c r="F2105" s="93"/>
      <c r="G2105" s="745"/>
      <c r="H2105"/>
      <c r="I2105"/>
      <c r="J2105"/>
      <c r="K2105" s="66"/>
      <c r="L2105" s="29" t="s">
        <v>359</v>
      </c>
      <c r="M2105" s="30" t="e">
        <f t="shared" ref="M2105" si="6544">HARMEAN($P2099:$XX2100)</f>
        <v>#N/A</v>
      </c>
      <c r="N2105" s="71"/>
      <c r="O2105" s="27" t="str">
        <f t="shared" ref="O2105" si="6545">"3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60"/>
        <v>#VALUE!</v>
      </c>
      <c r="C2106" s="128" t="e">
        <f t="shared" si="6461"/>
        <v>#VALUE!</v>
      </c>
      <c r="D2106" s="127">
        <f t="shared" si="6454"/>
        <v>1</v>
      </c>
      <c r="E2106" s="743"/>
      <c r="F2106" s="93"/>
      <c r="G2106" s="745"/>
      <c r="H2106" s="134">
        <f t="shared" ref="H2106" si="6546">COUNT($P2106:$XX2106)</f>
        <v>0</v>
      </c>
      <c r="I2106" s="132" t="e">
        <f t="shared" ref="I2106" si="6547">_xlfn.STDEV.P($P2105:$XX2106)/AVERAGE($P2105:$XX2106)</f>
        <v>#DIV/0!</v>
      </c>
      <c r="J2106" s="7">
        <f t="shared" ref="J2106" si="6548">IF(AND(H2106&gt;2,
OR(L2094="MÉDIA SANEADA",L2094="MEDIANA SANEADA",
AND(L2094="PREÇO ESTIMADO",NOT(AND(P2096="Orçamento",COUNTA(P2094:XX2094)=COUNTIF(P2096:XX2096,"Orçamento")))))),
ROW(),0)</f>
        <v>0</v>
      </c>
      <c r="K2106" s="66"/>
      <c r="L2106" s="29" t="s">
        <v>41</v>
      </c>
      <c r="M2106" s="30" t="str">
        <f t="shared" ref="M2106" si="6549">IFERROR(_xlfn.QUARTILE.EXC($P2100:$XX2100,1),"")</f>
        <v/>
      </c>
      <c r="N2106" s="71"/>
      <c r="O2106" s="27" t="str">
        <f t="shared" ref="O2106" si="6550">"3 RODADA"</f>
        <v>3 RODADA</v>
      </c>
      <c r="P2106" s="107" t="str">
        <f t="shared" ref="P2106:AI2106" si="6551">IF(P2104="","",IF((_xlfn.STDEV.P($P2103:$XX2104)/AVERAGE($P2103:$XX2104))&lt;=25%,P2104,IF(OR(P2104&gt;(AVERAGE($P2103:$XX2104)+_xlfn.STDEV.P($P2103:$XX2104)),P2104&lt;(AVERAGE($P2103:$XX2104)-_xlfn.STDEV.P($P2103:$XX2104))),"DESCARTADO",P2104)))</f>
        <v/>
      </c>
      <c r="Q2106" s="107" t="str">
        <f t="shared" si="6551"/>
        <v/>
      </c>
      <c r="R2106" s="107" t="str">
        <f t="shared" si="6551"/>
        <v/>
      </c>
      <c r="S2106" s="107" t="str">
        <f t="shared" si="6551"/>
        <v/>
      </c>
      <c r="T2106" s="107" t="str">
        <f t="shared" si="6551"/>
        <v/>
      </c>
      <c r="U2106" s="107" t="str">
        <f t="shared" si="6551"/>
        <v/>
      </c>
      <c r="V2106" s="107" t="str">
        <f t="shared" si="6551"/>
        <v/>
      </c>
      <c r="W2106" s="107" t="str">
        <f t="shared" si="6551"/>
        <v/>
      </c>
      <c r="X2106" s="107" t="str">
        <f t="shared" si="6551"/>
        <v/>
      </c>
      <c r="Y2106" s="107" t="str">
        <f t="shared" si="6551"/>
        <v/>
      </c>
      <c r="Z2106" s="107" t="str">
        <f t="shared" si="6551"/>
        <v/>
      </c>
      <c r="AA2106" s="107" t="str">
        <f t="shared" si="6551"/>
        <v/>
      </c>
      <c r="AB2106" s="107" t="str">
        <f t="shared" si="6551"/>
        <v/>
      </c>
      <c r="AC2106" s="107" t="str">
        <f t="shared" si="6551"/>
        <v/>
      </c>
      <c r="AD2106" s="107" t="str">
        <f t="shared" si="6551"/>
        <v/>
      </c>
      <c r="AE2106" s="107" t="str">
        <f t="shared" si="6551"/>
        <v/>
      </c>
      <c r="AF2106" s="107" t="str">
        <f t="shared" si="6551"/>
        <v/>
      </c>
      <c r="AG2106" s="107" t="str">
        <f t="shared" si="6551"/>
        <v/>
      </c>
      <c r="AH2106" s="107" t="str">
        <f t="shared" si="6551"/>
        <v/>
      </c>
      <c r="AI2106" s="107" t="str">
        <f t="shared" si="6551"/>
        <v/>
      </c>
    </row>
    <row r="2107" spans="1:35" hidden="1" x14ac:dyDescent="0.25">
      <c r="B2107" s="128" t="e">
        <f t="shared" si="6460"/>
        <v>#VALUE!</v>
      </c>
      <c r="C2107" s="128" t="e">
        <f t="shared" si="6461"/>
        <v>#VALUE!</v>
      </c>
      <c r="D2107" s="127">
        <f t="shared" si="6454"/>
        <v>1</v>
      </c>
      <c r="E2107" s="743"/>
      <c r="F2107" s="93"/>
      <c r="G2107" s="745"/>
      <c r="H2107"/>
      <c r="I2107"/>
      <c r="J2107"/>
      <c r="K2107" s="66"/>
      <c r="L2107" s="29" t="s">
        <v>39</v>
      </c>
      <c r="M2107" s="30" t="str">
        <f t="shared" ref="M2107" si="6552">IFERROR(_xlfn.QUARTILE.EXC($P2100:$XX2100,3),"")</f>
        <v/>
      </c>
      <c r="N2107" s="71"/>
      <c r="O2107" s="27" t="str">
        <f t="shared" ref="O2107" si="6553">"4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60"/>
        <v>#VALUE!</v>
      </c>
      <c r="C2108" s="128" t="e">
        <f t="shared" si="6461"/>
        <v>#VALUE!</v>
      </c>
      <c r="D2108" s="127">
        <f t="shared" si="6454"/>
        <v>1</v>
      </c>
      <c r="E2108" s="743"/>
      <c r="F2108" s="93"/>
      <c r="G2108" s="745"/>
      <c r="H2108" s="134">
        <f t="shared" ref="H2108" si="6554">COUNT($P2108:$XX2108)</f>
        <v>0</v>
      </c>
      <c r="I2108" s="132" t="e">
        <f t="shared" ref="I2108" si="6555">_xlfn.STDEV.P($P2107:$XX2108)/AVERAGE($P2107:$XX2108)</f>
        <v>#DIV/0!</v>
      </c>
      <c r="J2108" s="7">
        <f t="shared" ref="J2108" si="6556">IF(AND(H2108&gt;2,
OR(L2094="MÉDIA SANEADA",L2094="MEDIANA SANEADA",
AND(L2094="PREÇO ESTIMADO",NOT(AND(P2096="Orçamento",COUNTA(P2094:XX2094)=COUNTIF(P2096:XX2096,"Orçamento")))))),
ROW(),0)</f>
        <v>0</v>
      </c>
      <c r="K2108" s="66"/>
      <c r="L2108" s="29" t="s">
        <v>42</v>
      </c>
      <c r="M2108" s="30">
        <f t="shared" ref="M2108" si="6557">MIN($P2100:$XX2100)</f>
        <v>0</v>
      </c>
      <c r="N2108" s="71"/>
      <c r="O2108" s="27" t="str">
        <f t="shared" ref="O2108" si="6558">"4 RODADA"</f>
        <v>4 RODADA</v>
      </c>
      <c r="P2108" s="107" t="str">
        <f t="shared" ref="P2108:AI2108" si="6559">IF(P2106="","",IF((_xlfn.STDEV.P($P2105:$XX2106)/AVERAGE($P2105:$XX2106))&lt;=25%,P2106,IF(OR(P2106&gt;(AVERAGE($P2105:$XX2106)+_xlfn.STDEV.P($P2105:$XX2106)),P2106&lt;(AVERAGE($P2105:$XX2106)-_xlfn.STDEV.P($P2105:$XX2106))),"DESCARTADO",P2106)))</f>
        <v/>
      </c>
      <c r="Q2108" s="107" t="str">
        <f t="shared" si="6559"/>
        <v/>
      </c>
      <c r="R2108" s="107" t="str">
        <f t="shared" si="6559"/>
        <v/>
      </c>
      <c r="S2108" s="107" t="str">
        <f t="shared" si="6559"/>
        <v/>
      </c>
      <c r="T2108" s="107" t="str">
        <f t="shared" si="6559"/>
        <v/>
      </c>
      <c r="U2108" s="107" t="str">
        <f t="shared" si="6559"/>
        <v/>
      </c>
      <c r="V2108" s="107" t="str">
        <f t="shared" si="6559"/>
        <v/>
      </c>
      <c r="W2108" s="107" t="str">
        <f t="shared" si="6559"/>
        <v/>
      </c>
      <c r="X2108" s="107" t="str">
        <f t="shared" si="6559"/>
        <v/>
      </c>
      <c r="Y2108" s="107" t="str">
        <f t="shared" si="6559"/>
        <v/>
      </c>
      <c r="Z2108" s="107" t="str">
        <f t="shared" si="6559"/>
        <v/>
      </c>
      <c r="AA2108" s="107" t="str">
        <f t="shared" si="6559"/>
        <v/>
      </c>
      <c r="AB2108" s="107" t="str">
        <f t="shared" si="6559"/>
        <v/>
      </c>
      <c r="AC2108" s="107" t="str">
        <f t="shared" si="6559"/>
        <v/>
      </c>
      <c r="AD2108" s="107" t="str">
        <f t="shared" si="6559"/>
        <v/>
      </c>
      <c r="AE2108" s="107" t="str">
        <f t="shared" si="6559"/>
        <v/>
      </c>
      <c r="AF2108" s="107" t="str">
        <f t="shared" si="6559"/>
        <v/>
      </c>
      <c r="AG2108" s="107" t="str">
        <f t="shared" si="6559"/>
        <v/>
      </c>
      <c r="AH2108" s="107" t="str">
        <f t="shared" si="6559"/>
        <v/>
      </c>
      <c r="AI2108" s="107" t="str">
        <f t="shared" si="6559"/>
        <v/>
      </c>
    </row>
    <row r="2109" spans="1:35" hidden="1" x14ac:dyDescent="0.25">
      <c r="B2109" s="128" t="e">
        <f t="shared" si="6460"/>
        <v>#VALUE!</v>
      </c>
      <c r="C2109" s="128" t="e">
        <f t="shared" si="6461"/>
        <v>#VALUE!</v>
      </c>
      <c r="D2109" s="127">
        <f t="shared" si="6454"/>
        <v>1</v>
      </c>
      <c r="E2109" s="743"/>
      <c r="F2109" s="93"/>
      <c r="G2109" s="745"/>
      <c r="H2109"/>
      <c r="I2109"/>
      <c r="J2109"/>
      <c r="K2109" s="66"/>
      <c r="L2109" s="29" t="s">
        <v>40</v>
      </c>
      <c r="M2109" s="30">
        <f t="shared" ref="M2109" si="6560">MAX($P2100:$XX2100)</f>
        <v>0</v>
      </c>
      <c r="N2109" s="71"/>
      <c r="O2109" s="27" t="str">
        <f t="shared" ref="O2109" si="6561">"5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60"/>
        <v>#VALUE!</v>
      </c>
      <c r="C2110" s="128" t="e">
        <f t="shared" si="6461"/>
        <v>#VALUE!</v>
      </c>
      <c r="D2110" s="127">
        <f t="shared" si="6454"/>
        <v>1</v>
      </c>
      <c r="E2110" s="743"/>
      <c r="F2110" s="93"/>
      <c r="G2110" s="745"/>
      <c r="H2110" s="134">
        <f t="shared" ref="H2110" si="6562">COUNT($P2110:$XX2110)</f>
        <v>0</v>
      </c>
      <c r="I2110" s="132" t="e">
        <f t="shared" ref="I2110" si="6563">_xlfn.STDEV.P($P2109:$XX2110)/AVERAGE($P2109:$XX2110)</f>
        <v>#DIV/0!</v>
      </c>
      <c r="J2110" s="7">
        <f t="shared" ref="J2110" si="6564">IF(AND(H2110&gt;2,
OR(L2094="MÉDIA SANEADA",L2094="MEDIANA SANEADA",
AND(L2094="PREÇO ESTIMADO",NOT(AND(P2096="Orçamento",COUNTA(P2094:XX2094)=COUNTIF(P2096:XX2096,"Orçamento")))))),
ROW(),0)</f>
        <v>0</v>
      </c>
      <c r="K2110" s="66"/>
      <c r="N2110" s="71"/>
      <c r="O2110" s="27" t="str">
        <f t="shared" ref="O2110" si="6565">"5 RODADA"</f>
        <v>5 RODADA</v>
      </c>
      <c r="P2110" s="107" t="str">
        <f t="shared" ref="P2110:AI2110" si="6566">IF(P2108="","",IF((_xlfn.STDEV.P($P2107:$XX2108)/AVERAGE($P2107:$XX2108))&lt;=25%,P2108,IF(OR(P2108&gt;(AVERAGE($P2107:$XX2108)+_xlfn.STDEV.P($P2107:$XX2108)),P2108&lt;(AVERAGE($P2107:$XX2108)-_xlfn.STDEV.P($P2107:$XX2108))),"DESCARTADO",P2108)))</f>
        <v/>
      </c>
      <c r="Q2110" s="107" t="str">
        <f t="shared" si="6566"/>
        <v/>
      </c>
      <c r="R2110" s="107" t="str">
        <f t="shared" si="6566"/>
        <v/>
      </c>
      <c r="S2110" s="107" t="str">
        <f t="shared" si="6566"/>
        <v/>
      </c>
      <c r="T2110" s="107" t="str">
        <f t="shared" si="6566"/>
        <v/>
      </c>
      <c r="U2110" s="107" t="str">
        <f t="shared" si="6566"/>
        <v/>
      </c>
      <c r="V2110" s="107" t="str">
        <f t="shared" si="6566"/>
        <v/>
      </c>
      <c r="W2110" s="107" t="str">
        <f t="shared" si="6566"/>
        <v/>
      </c>
      <c r="X2110" s="107" t="str">
        <f t="shared" si="6566"/>
        <v/>
      </c>
      <c r="Y2110" s="107" t="str">
        <f t="shared" si="6566"/>
        <v/>
      </c>
      <c r="Z2110" s="107" t="str">
        <f t="shared" si="6566"/>
        <v/>
      </c>
      <c r="AA2110" s="107" t="str">
        <f t="shared" si="6566"/>
        <v/>
      </c>
      <c r="AB2110" s="107" t="str">
        <f t="shared" si="6566"/>
        <v/>
      </c>
      <c r="AC2110" s="107" t="str">
        <f t="shared" si="6566"/>
        <v/>
      </c>
      <c r="AD2110" s="107" t="str">
        <f t="shared" si="6566"/>
        <v/>
      </c>
      <c r="AE2110" s="107" t="str">
        <f t="shared" si="6566"/>
        <v/>
      </c>
      <c r="AF2110" s="107" t="str">
        <f t="shared" si="6566"/>
        <v/>
      </c>
      <c r="AG2110" s="107" t="str">
        <f t="shared" si="6566"/>
        <v/>
      </c>
      <c r="AH2110" s="107" t="str">
        <f t="shared" si="6566"/>
        <v/>
      </c>
      <c r="AI2110" s="107" t="str">
        <f t="shared" si="6566"/>
        <v/>
      </c>
    </row>
    <row r="2111" spans="1:35" hidden="1" x14ac:dyDescent="0.25">
      <c r="B2111" s="128" t="e">
        <f t="shared" si="6460"/>
        <v>#VALUE!</v>
      </c>
      <c r="C2111" s="128" t="e">
        <f t="shared" si="6461"/>
        <v>#VALUE!</v>
      </c>
      <c r="D2111" s="127">
        <f t="shared" si="6454"/>
        <v>1</v>
      </c>
      <c r="E2111" s="743"/>
      <c r="F2111" s="93"/>
      <c r="G2111" s="745"/>
      <c r="H2111"/>
      <c r="I2111"/>
      <c r="J2111"/>
      <c r="K2111" s="66"/>
      <c r="L2111" s="22"/>
      <c r="M2111" s="22"/>
      <c r="N2111" s="71"/>
      <c r="O2111" s="27" t="str">
        <f t="shared" ref="O2111" si="6567">"6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60"/>
        <v>#VALUE!</v>
      </c>
      <c r="C2112" s="128" t="e">
        <f t="shared" si="6461"/>
        <v>#VALUE!</v>
      </c>
      <c r="D2112" s="127">
        <f t="shared" si="6454"/>
        <v>1</v>
      </c>
      <c r="E2112" s="743"/>
      <c r="F2112" s="93"/>
      <c r="G2112" s="745"/>
      <c r="H2112" s="134">
        <f t="shared" ref="H2112" si="6568">COUNT($P2112:$XX2112)</f>
        <v>0</v>
      </c>
      <c r="I2112" s="132" t="e">
        <f t="shared" ref="I2112" si="6569">_xlfn.STDEV.P($P2111:$XX2112)/AVERAGE($P2111:$XX2112)</f>
        <v>#DIV/0!</v>
      </c>
      <c r="J2112" s="7">
        <f t="shared" ref="J2112" si="6570">IF(AND(H2112&gt;2,
OR(L2094="MÉDIA SANEADA",L2094="MEDIANA SANEADA",
AND(L2094="PREÇO ESTIMADO",NOT(AND(P2096="Orçamento",COUNTA(P2094:XX2094)=COUNTIF(P2096:XX2096,"Orçamento")))))),
ROW(),0)</f>
        <v>0</v>
      </c>
      <c r="N2112" s="71"/>
      <c r="O2112" s="27" t="str">
        <f t="shared" ref="O2112" si="6571">"6 RODADA"</f>
        <v>6 RODADA</v>
      </c>
      <c r="P2112" s="107" t="str">
        <f t="shared" ref="P2112:AI2112" si="6572">IFERROR(IF(P2110="","",IF((_xlfn.STDEV.P($P2109:$XX2110)/AVERAGE($P2109:$XX2110))&lt;=25%,P2110,IF(OR(P2110&gt;(AVERAGE($P2109:$XX2110)+_xlfn.STDEV.P($P2109:$XX2110)),P2110&lt;(AVERAGE($P2109:$XX2110)-_xlfn.STDEV.P($P2109:$XX2110))),"DESCARTADO",P2110))),)</f>
        <v/>
      </c>
      <c r="Q2112" s="107" t="str">
        <f t="shared" si="6572"/>
        <v/>
      </c>
      <c r="R2112" s="107" t="str">
        <f t="shared" si="6572"/>
        <v/>
      </c>
      <c r="S2112" s="107" t="str">
        <f t="shared" si="6572"/>
        <v/>
      </c>
      <c r="T2112" s="107" t="str">
        <f t="shared" si="6572"/>
        <v/>
      </c>
      <c r="U2112" s="107" t="str">
        <f t="shared" si="6572"/>
        <v/>
      </c>
      <c r="V2112" s="107" t="str">
        <f t="shared" si="6572"/>
        <v/>
      </c>
      <c r="W2112" s="107" t="str">
        <f t="shared" si="6572"/>
        <v/>
      </c>
      <c r="X2112" s="107" t="str">
        <f t="shared" si="6572"/>
        <v/>
      </c>
      <c r="Y2112" s="107" t="str">
        <f t="shared" si="6572"/>
        <v/>
      </c>
      <c r="Z2112" s="107" t="str">
        <f t="shared" si="6572"/>
        <v/>
      </c>
      <c r="AA2112" s="107" t="str">
        <f t="shared" si="6572"/>
        <v/>
      </c>
      <c r="AB2112" s="107" t="str">
        <f t="shared" si="6572"/>
        <v/>
      </c>
      <c r="AC2112" s="107" t="str">
        <f t="shared" si="6572"/>
        <v/>
      </c>
      <c r="AD2112" s="107" t="str">
        <f t="shared" si="6572"/>
        <v/>
      </c>
      <c r="AE2112" s="107" t="str">
        <f t="shared" si="6572"/>
        <v/>
      </c>
      <c r="AF2112" s="107" t="str">
        <f t="shared" si="6572"/>
        <v/>
      </c>
      <c r="AG2112" s="107" t="str">
        <f t="shared" si="6572"/>
        <v/>
      </c>
      <c r="AH2112" s="107" t="str">
        <f t="shared" si="6572"/>
        <v/>
      </c>
      <c r="AI2112" s="107" t="str">
        <f t="shared" si="6572"/>
        <v/>
      </c>
    </row>
    <row r="2113" spans="2:35" x14ac:dyDescent="0.25">
      <c r="B2113" s="128" t="e">
        <f t="shared" si="6460"/>
        <v>#VALUE!</v>
      </c>
      <c r="C2113" s="128" t="e">
        <f t="shared" si="6461"/>
        <v>#VALUE!</v>
      </c>
      <c r="D2113" s="127">
        <f t="shared" si="6454"/>
        <v>1</v>
      </c>
      <c r="E2113" s="743"/>
      <c r="F2113" s="136"/>
      <c r="G2113" s="745"/>
      <c r="H2113" s="748"/>
      <c r="I2113" s="748"/>
      <c r="J2113" s="749"/>
      <c r="K2113" s="67"/>
      <c r="L2113" s="1" t="s">
        <v>43</v>
      </c>
      <c r="M2113" s="144" t="str">
        <f t="shared" ref="M2113" si="6573">IFERROR(ROUND(M2094*M2096,2),"")</f>
        <v/>
      </c>
      <c r="O2113" s="27" t="s">
        <v>363</v>
      </c>
      <c r="P2113" s="107" t="str">
        <f t="shared" ref="P2113:AI2113" si="6574">INDEX(P2100:P2112,MATCH(MAX($J2100:$J2112),$J2100:$J2112,0))</f>
        <v/>
      </c>
      <c r="Q2113" s="107" t="str">
        <f t="shared" si="6574"/>
        <v/>
      </c>
      <c r="R2113" s="107" t="str">
        <f t="shared" si="6574"/>
        <v/>
      </c>
      <c r="S2113" s="107" t="str">
        <f t="shared" si="6574"/>
        <v/>
      </c>
      <c r="T2113" s="107" t="str">
        <f t="shared" si="6574"/>
        <v/>
      </c>
      <c r="U2113" s="107" t="str">
        <f t="shared" si="6574"/>
        <v/>
      </c>
      <c r="V2113" s="107" t="str">
        <f t="shared" si="6574"/>
        <v/>
      </c>
      <c r="W2113" s="107" t="str">
        <f t="shared" si="6574"/>
        <v/>
      </c>
      <c r="X2113" s="107" t="str">
        <f t="shared" si="6574"/>
        <v/>
      </c>
      <c r="Y2113" s="107" t="str">
        <f t="shared" si="6574"/>
        <v/>
      </c>
      <c r="Z2113" s="107" t="str">
        <f t="shared" si="6574"/>
        <v/>
      </c>
      <c r="AA2113" s="107" t="str">
        <f t="shared" si="6574"/>
        <v/>
      </c>
      <c r="AB2113" s="107" t="str">
        <f t="shared" si="6574"/>
        <v/>
      </c>
      <c r="AC2113" s="107" t="str">
        <f t="shared" si="6574"/>
        <v/>
      </c>
      <c r="AD2113" s="107" t="str">
        <f t="shared" si="6574"/>
        <v/>
      </c>
      <c r="AE2113" s="107" t="str">
        <f t="shared" si="6574"/>
        <v/>
      </c>
      <c r="AF2113" s="107" t="str">
        <f t="shared" si="6574"/>
        <v/>
      </c>
      <c r="AG2113" s="107" t="str">
        <f t="shared" si="6574"/>
        <v/>
      </c>
      <c r="AH2113" s="107" t="str">
        <f t="shared" si="6574"/>
        <v/>
      </c>
      <c r="AI2113" s="107" t="str">
        <f t="shared" si="6574"/>
        <v/>
      </c>
    </row>
  </sheetData>
  <sheetProtection algorithmName="SHA-512" hashValue="nhsDEtC9L4IDewWuzoxlES3i8c+WQEPz+7575B1QGQsmO7nY7agJD/GHt8g2o9SInY9rGDwhtJn+LC78Fv1BIw==" saltValue="3+sSzFGAU0eB8seKN6+c4Q==" spinCount="100000" sheet="1" formatColumns="0" formatRows="0" insertHyperlinks="0"/>
  <mergeCells count="928">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s>
  <phoneticPr fontId="43" type="noConversion"/>
  <conditionalFormatting sqref="A1:XFD3 A4:R5 Y4:XFD9 A6:Q7 A8:L8 O8 Q8:R8 A9:K9 Q9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formula1>$L$21:$L$30</formula1>
    </dataValidation>
  </dataValidations>
  <hyperlinks>
    <hyperlink ref="P18" r:id="rId1"/>
    <hyperlink ref="Q18" r:id="rId2"/>
    <hyperlink ref="R18" r:id="rId3"/>
    <hyperlink ref="S18" r:id="rId4"/>
    <hyperlink ref="P39" r:id="rId5"/>
    <hyperlink ref="Q39" r:id="rId6"/>
    <hyperlink ref="R39" r:id="rId7"/>
    <hyperlink ref="P60" r:id="rId8"/>
    <hyperlink ref="Q60" r:id="rId9"/>
    <hyperlink ref="R60" r:id="rId10"/>
    <hyperlink ref="P81" r:id="rId11"/>
    <hyperlink ref="Q81" r:id="rId12"/>
    <hyperlink ref="R81" r:id="rId13"/>
    <hyperlink ref="S81" r:id="rId14"/>
    <hyperlink ref="T81" r:id="rId15"/>
    <hyperlink ref="U81" r:id="rId16"/>
    <hyperlink ref="P102" r:id="rId17"/>
    <hyperlink ref="Q102" r:id="rId18"/>
    <hyperlink ref="R102" r:id="rId19"/>
    <hyperlink ref="P123" r:id="rId20"/>
    <hyperlink ref="P144" r:id="rId21"/>
    <hyperlink ref="Q144" r:id="rId22"/>
    <hyperlink ref="R144" r:id="rId23"/>
    <hyperlink ref="S144" r:id="rId24"/>
    <hyperlink ref="P165" r:id="rId25"/>
    <hyperlink ref="Q165" r:id="rId26"/>
    <hyperlink ref="R165" r:id="rId27"/>
    <hyperlink ref="S165" r:id="rId28"/>
    <hyperlink ref="T165" r:id="rId29"/>
    <hyperlink ref="U165" r:id="rId30"/>
    <hyperlink ref="P186" r:id="rId31"/>
    <hyperlink ref="Q186" r:id="rId32"/>
    <hyperlink ref="R186" r:id="rId33"/>
    <hyperlink ref="S186" r:id="rId34"/>
    <hyperlink ref="P207" r:id="rId35"/>
    <hyperlink ref="Q207" r:id="rId36"/>
    <hyperlink ref="R207" r:id="rId37"/>
    <hyperlink ref="S207" r:id="rId38"/>
    <hyperlink ref="P228" r:id="rId39"/>
    <hyperlink ref="Q228" r:id="rId40"/>
    <hyperlink ref="R228" r:id="rId41"/>
    <hyperlink ref="S228" r:id="rId42"/>
    <hyperlink ref="P249" r:id="rId43"/>
    <hyperlink ref="Q249" r:id="rId44"/>
    <hyperlink ref="R249" r:id="rId45"/>
    <hyperlink ref="S249" r:id="rId46"/>
    <hyperlink ref="P270" r:id="rId47"/>
    <hyperlink ref="Q270" r:id="rId48"/>
    <hyperlink ref="R270" r:id="rId49"/>
    <hyperlink ref="S270" r:id="rId50"/>
    <hyperlink ref="T270" r:id="rId51"/>
    <hyperlink ref="P291" r:id="rId52"/>
    <hyperlink ref="Q291" r:id="rId53"/>
    <hyperlink ref="R291" r:id="rId54"/>
    <hyperlink ref="S291" r:id="rId55"/>
    <hyperlink ref="P312" r:id="rId56"/>
    <hyperlink ref="Q312" r:id="rId57"/>
    <hyperlink ref="R312" r:id="rId58"/>
    <hyperlink ref="P333" r:id="rId59"/>
    <hyperlink ref="Q333" r:id="rId60"/>
    <hyperlink ref="R333" r:id="rId61"/>
    <hyperlink ref="P354" r:id="rId62"/>
    <hyperlink ref="Q354" r:id="rId63"/>
    <hyperlink ref="R354" r:id="rId64"/>
    <hyperlink ref="P375" r:id="rId65"/>
    <hyperlink ref="Q375" r:id="rId66"/>
    <hyperlink ref="R375" r:id="rId67"/>
    <hyperlink ref="S375" r:id="rId68"/>
    <hyperlink ref="P459" r:id="rId69"/>
    <hyperlink ref="Q459" r:id="rId70"/>
    <hyperlink ref="R459" r:id="rId71"/>
    <hyperlink ref="S459" r:id="rId72"/>
    <hyperlink ref="P480" r:id="rId73"/>
    <hyperlink ref="Q480" r:id="rId74"/>
    <hyperlink ref="R480" r:id="rId75"/>
    <hyperlink ref="P501" r:id="rId76"/>
    <hyperlink ref="Q501" r:id="rId77"/>
    <hyperlink ref="R501" r:id="rId78"/>
    <hyperlink ref="S501" r:id="rId79"/>
    <hyperlink ref="T501" r:id="rId80"/>
    <hyperlink ref="P522" r:id="rId81"/>
    <hyperlink ref="P585" r:id="rId82"/>
    <hyperlink ref="Q585" r:id="rId83"/>
    <hyperlink ref="R585" r:id="rId84"/>
    <hyperlink ref="P606" r:id="rId85"/>
    <hyperlink ref="Q606" r:id="rId86"/>
    <hyperlink ref="R606" r:id="rId87"/>
  </hyperlink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88"/>
  <headerFooter alignWithMargins="0"/>
  <drawing r:id="rId89"/>
  <legacyDrawing r:id="rId90"/>
  <mc:AlternateContent xmlns:mc="http://schemas.openxmlformats.org/markup-compatibility/2006">
    <mc:Choice Requires="x14">
      <controls>
        <mc:AlternateContent xmlns:mc="http://schemas.openxmlformats.org/markup-compatibility/2006">
          <mc:Choice Requires="x14">
            <control shapeId="3074" r:id="rId91"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7"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5"/>
      <c r="H1" s="79"/>
      <c r="I1" s="79"/>
      <c r="J1" s="80"/>
      <c r="K1" s="76"/>
    </row>
    <row r="2" spans="2:14" ht="26.25" x14ac:dyDescent="0.4">
      <c r="E2" s="791" t="s">
        <v>305</v>
      </c>
      <c r="F2" s="792"/>
      <c r="G2" s="792"/>
      <c r="H2" s="792"/>
      <c r="I2" s="792"/>
      <c r="J2" s="792"/>
      <c r="K2" s="792"/>
      <c r="L2" s="793"/>
    </row>
    <row r="3" spans="2:14" ht="21" x14ac:dyDescent="0.35">
      <c r="E3" s="794" t="str">
        <f>'MAPA DE PREÇOS'!H5</f>
        <v>DEPARTAMENTO MUNICIPAL DE LIMPEZA URBANA (DMLU)</v>
      </c>
      <c r="F3" s="795"/>
      <c r="G3" s="795"/>
      <c r="H3" s="795"/>
      <c r="I3" s="795"/>
      <c r="J3" s="795"/>
      <c r="K3" s="795"/>
      <c r="L3" s="796"/>
    </row>
    <row r="4" spans="2:14" hidden="1" x14ac:dyDescent="0.25">
      <c r="B4" s="41">
        <v>1</v>
      </c>
      <c r="C4" s="41" t="s">
        <v>315</v>
      </c>
      <c r="D4" s="41" t="s">
        <v>316</v>
      </c>
      <c r="E4" s="81"/>
      <c r="F4" s="82"/>
      <c r="G4" s="146"/>
      <c r="H4" s="84"/>
      <c r="I4" s="84"/>
      <c r="J4" s="60"/>
      <c r="K4" s="75"/>
      <c r="L4" s="85"/>
    </row>
    <row r="5" spans="2:14" x14ac:dyDescent="0.25">
      <c r="B5" s="41">
        <f>IFERROR(IF(C4=C1,IF(B4+1&lt;='MAPA DE PREÇOS'!$H$8,B4+1,""),B4),"")</f>
        <v>1</v>
      </c>
      <c r="C5" s="41">
        <f>IFERROR(VLOOKUP(B5,'MAPA DE PREÇOS'!B:D,2,FALSE),"")</f>
        <v>1</v>
      </c>
      <c r="D5" s="41">
        <f>IFERROR(VLOOKUP(B5,'MAPA DE PREÇOS'!B:D,3,FALSE),"")</f>
        <v>1</v>
      </c>
      <c r="E5" s="797" t="str">
        <f t="shared" ref="E5:E36" si="0">IF($B4="","",IF($C5=$C2,D5,IF($C5=$C3,"Item",IF(AND(MAX(C:C)&gt;1,$C5=$C4),CONCATENATE("LOTE ",C5),""))))</f>
        <v/>
      </c>
      <c r="F5" s="798"/>
      <c r="G5" s="798"/>
      <c r="H5" s="798"/>
      <c r="I5" s="798"/>
      <c r="J5" s="798"/>
      <c r="K5" s="798"/>
      <c r="L5" s="799"/>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6" t="str">
        <f>IF($B5="","",IF($C6=$C3,IF('BASE EDITAL'!$C$2="",INDEX('MAPA DE PREÇOS'!H:H,MATCH(EDITAL_A!B6,'MAPA DE PREÇOS'!B:B,0)+1),UPPER(INDEX('BASE EDITAL'!$C:$C,EDITAL_A!B6+1))),IF($C6=$C4,"Especificação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6" t="str">
        <f>IF($B6="","",IF($C7=$C4,IF('BASE EDITAL'!$C$2="",INDEX('MAPA DE PREÇOS'!H:H,MATCH(EDITAL_A!B7,'MAPA DE PREÇOS'!B:B,0)+1),UPPER(INDEX('BASE EDITAL'!$C:$C,EDITAL_A!B7+1))),IF($C7=$C5,"Especificação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3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6" t="str">
        <f>IF($B7="","",IF($C8=$C5,IF('BASE EDITAL'!$C$2="",INDEX('MAPA DE PREÇOS'!H:H,MATCH(EDITAL_A!B8,'MAPA DE PREÇOS'!B:B,0)+1),UPPER(INDEX('BASE EDITAL'!$C:$C,EDITAL_A!B8+1))),IF($C8=$C6,"Especificação do Objeto","")))</f>
        <v>Pensa Enfardadeira Hidráulica Vertical pressão hidráulica 15 toneladas, padrões ABNT e NRs</v>
      </c>
      <c r="H8" s="84">
        <f>IF($B7="","",IF($C8=$C5,INDEX('MAPA DE PREÇOS'!$M:$M,MATCH($B8,'MAPA DE PREÇOS'!$B:$B)-16),IF($C8=$C6,"Unidade","")))</f>
        <v>0</v>
      </c>
      <c r="I8" s="84">
        <f>IF($B7="","",IF($C8=$C5,INDEX('MAPA DE PREÇOS'!$M:$M,MATCH($B8,'MAPA DE PREÇOS'!$B:$B)-17),IF($C8=$C6,"Quant.","")))</f>
        <v>0</v>
      </c>
      <c r="J8" s="60">
        <f>IF(AND(COUNTBLANK($B5:$B7)=2,$B7="",$B6="",MAX(C:C)&gt;1),"Total Estimado",IF($B7="","",IF($C8=$C5,INDEX('MAPA DE PREÇOS'!$M:$M,MATCH($B8,'MAPA DE PREÇOS'!$B:$B)-19),IF($C8=$C6,"Valor Unit. (R$)",IF(AND($C8&lt;&gt;$C7,$J7&lt;&gt;""),IF(MAX(C:C)=1,"Total Estimado","Subtotal"),"")))))</f>
        <v>27220.45</v>
      </c>
      <c r="K8" s="75">
        <f>IFERROR(IF(AND(COUNTBLANK($B5:$B7)=2,$B7="",$B6="",MAX($C:$C)&gt;1),SUM($K$3:K7)/2,IF($B7="","",IF($C8=$C5,ROUND(J8*I8,2),IF($C8=$C6,"Total Item (R$)",IF(AND($C8&lt;&gt;$C7,$J7&lt;&gt;""),SUMIFS(K:K,$C:$C,C7,J:J,"&lt;&gt;Subtotal"),""))))),"")</f>
        <v>0</v>
      </c>
      <c r="L8" s="75" t="str">
        <f t="shared" si="1"/>
        <v/>
      </c>
      <c r="N8" s="137"/>
    </row>
    <row r="9" spans="2:14" ht="30"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6" t="str">
        <f>IF($B8="","",IF($C9=$C6,IF('BASE EDITAL'!$C$2="",INDEX('MAPA DE PREÇOS'!H:H,MATCH(EDITAL_A!B9,'MAPA DE PREÇOS'!B:B,0)+1),UPPER(INDEX('BASE EDITAL'!$C:$C,EDITAL_A!B9+1))),IF($C9=$C7,"Especificação do Objeto","")))</f>
        <v>Esteira de separação de resíduos tamanho mínimo 10500 mm</v>
      </c>
      <c r="H9" s="84">
        <f>IF($B8="","",IF($C9=$C6,INDEX('MAPA DE PREÇOS'!$M:$M,MATCH($B9,'MAPA DE PREÇOS'!$B:$B)-16),IF($C9=$C7,"Unidade","")))</f>
        <v>0</v>
      </c>
      <c r="I9" s="84">
        <f>IF($B8="","",IF($C9=$C6,INDEX('MAPA DE PREÇOS'!$M:$M,MATCH($B9,'MAPA DE PREÇOS'!$B:$B)-17),IF($C9=$C7,"Quant.","")))</f>
        <v>0</v>
      </c>
      <c r="J9" s="60">
        <f>IF(AND(COUNTBLANK($B6:$B8)=2,$B8="",$B7="",MAX(C:C)&gt;1),"Total Estimado",IF($B8="","",IF($C9=$C6,INDEX('MAPA DE PREÇOS'!$M:$M,MATCH($B9,'MAPA DE PREÇOS'!$B:$B)-19),IF($C9=$C7,"Valor Unit. (R$)",IF(AND($C9&lt;&gt;$C8,$J8&lt;&gt;""),IF(MAX(C:C)=1,"Total Estimado","Subtotal"),"")))))</f>
        <v>24150.58</v>
      </c>
      <c r="K9" s="75">
        <f>IFERROR(IF(AND(COUNTBLANK($B6:$B8)=2,$B8="",$B7="",MAX(C:C)&gt;1),SUM($K$3:K8)/2,IF($B8="","",IF($C9=$C6,ROUND(J9*I9,2),IF($C9=$C7,"Total Item (R$)",IF(AND($C9&lt;&gt;$C8,$J8&lt;&gt;""),SUMIFS(K:K,C:C,C8,J:J,"&lt;&gt;Subtotal"),""))))),"")</f>
        <v>0</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6" t="str">
        <f>IF($B9="","",IF($C10=$C7,IF('BASE EDITAL'!$C$2="",INDEX('MAPA DE PREÇOS'!H:H,MATCH(EDITAL_A!B10,'MAPA DE PREÇOS'!B:B,0)+1),UPPER(INDEX('BASE EDITAL'!$C:$C,EDITAL_A!B10+1))),IF($C10=$C8,"Especificação do Objeto","")))</f>
        <v>Empilhadeira hidráulica manual</v>
      </c>
      <c r="H10" s="84">
        <f>IF($B9="","",IF($C10=$C7,INDEX('MAPA DE PREÇOS'!$M:$M,MATCH($B10,'MAPA DE PREÇOS'!$B:$B)-16),IF($C10=$C8,"Unidade","")))</f>
        <v>0</v>
      </c>
      <c r="I10" s="84">
        <f>IF($B9="","",IF($C10=$C7,INDEX('MAPA DE PREÇOS'!$M:$M,MATCH($B10,'MAPA DE PREÇOS'!$B:$B)-17),IF($C10=$C8,"Quant.","")))</f>
        <v>0</v>
      </c>
      <c r="J10" s="60">
        <f>IF(AND(COUNTBLANK($B7:$B9)=2,$B9="",$B8="",MAX(C:C)&gt;1),"Total Estimado",IF($B9="","",IF($C10=$C7,INDEX('MAPA DE PREÇOS'!$M:$M,MATCH($B10,'MAPA DE PREÇOS'!$B:$B)-19),IF($C10=$C8,"Valor Unit. (R$)",IF(AND($C10&lt;&gt;$C9,$J9&lt;&gt;""),IF(MAX(C:C)=1,"Total Estimado","Subtotal"),"")))))</f>
        <v>6369.77</v>
      </c>
      <c r="K10" s="75">
        <f>IFERROR(IF(AND(COUNTBLANK($B7:$B9)=2,$B9="",$B8="",MAX(C:C)&gt;1),SUM($K$3:K9)/2,IF($B9="","",IF($C10=$C7,ROUND(J10*I10,2),IF($C10=$C8,"Total Item (R$)",IF(AND($C10&lt;&gt;$C9,$J9&lt;&gt;""),SUMIFS(K:K,C:C,C9,J:J,"&lt;&gt;Subtotal"),""))))),"")</f>
        <v>0</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6" t="str">
        <f>IF($B10="","",IF($C11=$C8,IF('BASE EDITAL'!$C$2="",INDEX('MAPA DE PREÇOS'!H:H,MATCH(EDITAL_A!B11,'MAPA DE PREÇOS'!B:B,0)+1),UPPER(INDEX('BASE EDITAL'!$C:$C,EDITAL_A!B11+1))),IF($C11=$C9,"Especificação do Objeto","")))</f>
        <v>Balança plataforma eletrônica</v>
      </c>
      <c r="H11" s="84">
        <f>IF($B10="","",IF($C11=$C8,INDEX('MAPA DE PREÇOS'!$M:$M,MATCH($B11,'MAPA DE PREÇOS'!$B:$B)-16),IF($C11=$C9,"Unidade","")))</f>
        <v>0</v>
      </c>
      <c r="I11" s="84">
        <f>IF($B10="","",IF($C11=$C8,INDEX('MAPA DE PREÇOS'!$M:$M,MATCH($B11,'MAPA DE PREÇOS'!$B:$B)-17),IF($C11=$C9,"Quant.","")))</f>
        <v>0</v>
      </c>
      <c r="J11" s="60">
        <f>IF(AND(COUNTBLANK($B8:$B10)=2,$B10="",$B9="",MAX(C:C)&gt;1),"Total Estimado",IF($B10="","",IF($C11=$C8,INDEX('MAPA DE PREÇOS'!$M:$M,MATCH($B11,'MAPA DE PREÇOS'!$B:$B)-19),IF($C11=$C9,"Valor Unit. (R$)",IF(AND($C11&lt;&gt;$C10,$J10&lt;&gt;""),IF(MAX(C:C)=1,"Total Estimado","Subtotal"),"")))))</f>
        <v>6350.65</v>
      </c>
      <c r="K11" s="75">
        <f>IFERROR(IF(AND(COUNTBLANK($B8:$B10)=2,$B10="",$B9="",MAX(C:C)&gt;1),SUM($K$3:K10)/2,IF($B10="","",IF($C11=$C8,ROUND(J11*I11,2),IF($C11=$C9,"Total Item (R$)",IF(AND($C11&lt;&gt;$C10,$J10&lt;&gt;""),SUMIFS(K:K,C:C,C10,J:J,"&lt;&gt;Subtotal"),""))))),"")</f>
        <v>0</v>
      </c>
      <c r="L11" s="75" t="str">
        <f t="shared" si="1"/>
        <v/>
      </c>
    </row>
    <row r="12" spans="2:14"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6" t="str">
        <f>IF($B11="","",IF($C12=$C9,IF('BASE EDITAL'!$C$2="",INDEX('MAPA DE PREÇOS'!H:H,MATCH(EDITAL_A!B12,'MAPA DE PREÇOS'!B:B,0)+1),UPPER(INDEX('BASE EDITAL'!$C:$C,EDITAL_A!B12+1))),IF($C12=$C10,"Especificação do Objeto","")))</f>
        <v>Carro de carga tipo plataforma 800kg</v>
      </c>
      <c r="H12" s="84">
        <f>IF($B11="","",IF($C12=$C9,INDEX('MAPA DE PREÇOS'!$M:$M,MATCH($B12,'MAPA DE PREÇOS'!$B:$B)-16),IF($C12=$C10,"Unidade","")))</f>
        <v>0</v>
      </c>
      <c r="I12" s="84">
        <f>IF($B11="","",IF($C12=$C9,INDEX('MAPA DE PREÇOS'!$M:$M,MATCH($B12,'MAPA DE PREÇOS'!$B:$B)-17),IF($C12=$C10,"Quant.","")))</f>
        <v>0</v>
      </c>
      <c r="J12" s="60">
        <f>IF(AND(COUNTBLANK($B9:$B11)=2,$B11="",$B10="",MAX(C:C)&gt;1),"Total Estimado",IF($B11="","",IF($C12=$C9,INDEX('MAPA DE PREÇOS'!$M:$M,MATCH($B12,'MAPA DE PREÇOS'!$B:$B)-19),IF($C12=$C10,"Valor Unit. (R$)",IF(AND($C12&lt;&gt;$C11,$J11&lt;&gt;""),IF(MAX(C:C)=1,"Total Estimado","Subtotal"),"")))))</f>
        <v>1733.93</v>
      </c>
      <c r="K12" s="75">
        <f>IFERROR(IF(AND(COUNTBLANK($B9:$B11)=2,$B11="",$B10="",MAX(C:C)&gt;1),SUM($K$3:K11)/2,IF($B11="","",IF($C12=$C9,ROUND(J12*I12,2),IF($C12=$C10,"Total Item (R$)",IF(AND($C12&lt;&gt;$C11,$J11&lt;&gt;""),SUMIFS(K:K,C:C,C11,J:J,"&lt;&gt;Subtotal"),""))))),"")</f>
        <v>0</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6" t="str">
        <f>IF($B12="","",IF($C13=$C10,IF('BASE EDITAL'!$C$2="",INDEX('MAPA DE PREÇOS'!H:H,MATCH(EDITAL_A!B13,'MAPA DE PREÇOS'!B:B,0)+1),UPPER(INDEX('BASE EDITAL'!$C:$C,EDITAL_A!B13+1))),IF($C13=$C11,"Especificação do Objeto","")))</f>
        <v>CUB-RS  GI (Galpão Industrial)</v>
      </c>
      <c r="H13" s="84">
        <f>IF($B12="","",IF($C13=$C10,INDEX('MAPA DE PREÇOS'!$M:$M,MATCH($B13,'MAPA DE PREÇOS'!$B:$B)-16),IF($C13=$C11,"Unidade","")))</f>
        <v>0</v>
      </c>
      <c r="I13" s="84">
        <f>IF($B12="","",IF($C13=$C10,INDEX('MAPA DE PREÇOS'!$M:$M,MATCH($B13,'MAPA DE PREÇOS'!$B:$B)-17),IF($C13=$C11,"Quant.","")))</f>
        <v>0</v>
      </c>
      <c r="J13" s="60">
        <f>IF(AND(COUNTBLANK($B10:$B12)=2,$B12="",$B11="",MAX(C:C)&gt;1),"Total Estimado",IF($B12="","",IF($C13=$C10,INDEX('MAPA DE PREÇOS'!$M:$M,MATCH($B13,'MAPA DE PREÇOS'!$B:$B)-19),IF($C13=$C11,"Valor Unit. (R$)",IF(AND($C13&lt;&gt;$C12,$J12&lt;&gt;""),IF(MAX(C:C)=1,"Total Estimado","Subtotal"),"")))))</f>
        <v>1299.3599999999999</v>
      </c>
      <c r="K13" s="75">
        <f>IFERROR(IF(AND(COUNTBLANK($B10:$B12)=2,$B12="",$B11="",MAX(C:C)&gt;1),SUM($K$3:K12)/2,IF($B12="","",IF($C13=$C10,ROUND(J13*I13,2),IF($C13=$C11,"Total Item (R$)",IF(AND($C13&lt;&gt;$C12,$J12&lt;&gt;""),SUMIFS(K:K,C:C,C12,J:J,"&lt;&gt;Subtotal"),""))))),"")</f>
        <v>0</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6" t="str">
        <f>IF($B13="","",IF($C14=$C11,IF('BASE EDITAL'!$C$2="",INDEX('MAPA DE PREÇOS'!H:H,MATCH(EDITAL_A!B14,'MAPA DE PREÇOS'!B:B,0)+1),UPPER(INDEX('BASE EDITAL'!$C:$C,EDITAL_A!B14+1))),IF($C14=$C12,"Especificação do Objeto","")))</f>
        <v>Luva malha algodão</v>
      </c>
      <c r="H14" s="84">
        <f>IF($B13="","",IF($C14=$C11,INDEX('MAPA DE PREÇOS'!$M:$M,MATCH($B14,'MAPA DE PREÇOS'!$B:$B)-16),IF($C14=$C12,"Unidade","")))</f>
        <v>0</v>
      </c>
      <c r="I14" s="84">
        <f>IF($B13="","",IF($C14=$C11,INDEX('MAPA DE PREÇOS'!$M:$M,MATCH($B14,'MAPA DE PREÇOS'!$B:$B)-17),IF($C14=$C12,"Quant.","")))</f>
        <v>0</v>
      </c>
      <c r="J14" s="60">
        <f>IF(AND(COUNTBLANK($B11:$B13)=2,$B13="",$B12="",MAX(C:C)&gt;1),"Total Estimado",IF($B13="","",IF($C14=$C11,INDEX('MAPA DE PREÇOS'!$M:$M,MATCH($B14,'MAPA DE PREÇOS'!$B:$B)-19),IF($C14=$C12,"Valor Unit. (R$)",IF(AND($C14&lt;&gt;$C13,$J13&lt;&gt;""),IF(MAX(C:C)=1,"Total Estimado","Subtotal"),"")))))</f>
        <v>2.77</v>
      </c>
      <c r="K14" s="75">
        <f>IFERROR(IF(AND(COUNTBLANK($B11:$B13)=2,$B13="",$B12="",MAX(C:C)&gt;1),SUM($K$3:K13)/2,IF($B13="","",IF($C14=$C11,ROUND(J14*I14,2),IF($C14=$C12,"Total Item (R$)",IF(AND($C14&lt;&gt;$C13,$J13&lt;&gt;""),SUMIFS(K:K,C:C,C13,J:J,"&lt;&gt;Subtotal"),""))))),"")</f>
        <v>0</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6" t="str">
        <f>IF($B14="","",IF($C15=$C12,IF('BASE EDITAL'!$C$2="",INDEX('MAPA DE PREÇOS'!H:H,MATCH(EDITAL_A!B15,'MAPA DE PREÇOS'!B:B,0)+1),UPPER(INDEX('BASE EDITAL'!$C:$C,EDITAL_A!B15+1))),IF($C15=$C13,"Especificação do Objeto","")))</f>
        <v>Avental PVC</v>
      </c>
      <c r="H15" s="84">
        <f>IF($B14="","",IF($C15=$C12,INDEX('MAPA DE PREÇOS'!$M:$M,MATCH($B15,'MAPA DE PREÇOS'!$B:$B)-16),IF($C15=$C13,"Unidade","")))</f>
        <v>0</v>
      </c>
      <c r="I15" s="84">
        <f>IF($B14="","",IF($C15=$C12,INDEX('MAPA DE PREÇOS'!$M:$M,MATCH($B15,'MAPA DE PREÇOS'!$B:$B)-17),IF($C15=$C13,"Quant.","")))</f>
        <v>0</v>
      </c>
      <c r="J15" s="60">
        <f>IF(AND(COUNTBLANK($B12:$B14)=2,$B14="",$B13="",MAX(C:C)&gt;1),"Total Estimado",IF($B14="","",IF($C15=$C12,INDEX('MAPA DE PREÇOS'!$M:$M,MATCH($B15,'MAPA DE PREÇOS'!$B:$B)-19),IF($C15=$C13,"Valor Unit. (R$)",IF(AND($C15&lt;&gt;$C14,$J14&lt;&gt;""),IF(MAX(C:C)=1,"Total Estimado","Subtotal"),"")))))</f>
        <v>12.66</v>
      </c>
      <c r="K15" s="75">
        <f>IFERROR(IF(AND(COUNTBLANK($B12:$B14)=2,$B14="",$B13="",MAX(C:C)&gt;1),SUM($K$3:K14)/2,IF($B14="","",IF($C15=$C12,ROUND(J15*I15,2),IF($C15=$C13,"Total Item (R$)",IF(AND($C15&lt;&gt;$C14,$J14&lt;&gt;""),SUMIFS(K:K,C:C,C14,J:J,"&lt;&gt;Subtotal"),""))))),"")</f>
        <v>0</v>
      </c>
      <c r="L15" s="75" t="str">
        <f t="shared" si="1"/>
        <v/>
      </c>
    </row>
    <row r="16" spans="2:14"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6" t="str">
        <f>IF($B15="","",IF($C16=$C13,IF('BASE EDITAL'!$C$2="",INDEX('MAPA DE PREÇOS'!H:H,MATCH(EDITAL_A!B16,'MAPA DE PREÇOS'!B:B,0)+1),UPPER(INDEX('BASE EDITAL'!$C:$C,EDITAL_A!B16+1))),IF($C16=$C14,"Especificação do Objeto","")))</f>
        <v>Botina com elástico</v>
      </c>
      <c r="H16" s="84">
        <f>IF($B15="","",IF($C16=$C13,INDEX('MAPA DE PREÇOS'!$M:$M,MATCH($B16,'MAPA DE PREÇOS'!$B:$B)-16),IF($C16=$C14,"Unidade","")))</f>
        <v>0</v>
      </c>
      <c r="I16" s="84">
        <f>IF($B15="","",IF($C16=$C13,INDEX('MAPA DE PREÇOS'!$M:$M,MATCH($B16,'MAPA DE PREÇOS'!$B:$B)-17),IF($C16=$C14,"Quant.","")))</f>
        <v>0</v>
      </c>
      <c r="J16" s="60">
        <f>IF(AND(COUNTBLANK($B13:$B15)=2,$B15="",$B14="",MAX(C:C)&gt;1),"Total Estimado",IF($B15="","",IF($C16=$C13,INDEX('MAPA DE PREÇOS'!$M:$M,MATCH($B16,'MAPA DE PREÇOS'!$B:$B)-19),IF($C16=$C14,"Valor Unit. (R$)",IF(AND($C16&lt;&gt;$C15,$J15&lt;&gt;""),IF(MAX(C:C)=1,"Total Estimado","Subtotal"),"")))))</f>
        <v>47.65</v>
      </c>
      <c r="K16" s="75">
        <f>IFERROR(IF(AND(COUNTBLANK($B13:$B15)=2,$B15="",$B14="",MAX(C:C)&gt;1),SUM($K$3:K15)/2,IF($B15="","",IF($C16=$C13,ROUND(J16*I16,2),IF($C16=$C14,"Total Item (R$)",IF(AND($C16&lt;&gt;$C15,$J15&lt;&gt;""),SUMIFS(K:K,C:C,C15,J:J,"&lt;&gt;Subtotal"),""))))),"")</f>
        <v>0</v>
      </c>
      <c r="L16" s="75" t="str">
        <f t="shared" si="1"/>
        <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6" t="str">
        <f>IF($B16="","",IF($C17=$C14,IF('BASE EDITAL'!$C$2="",INDEX('MAPA DE PREÇOS'!H:H,MATCH(EDITAL_A!B17,'MAPA DE PREÇOS'!B:B,0)+1),UPPER(INDEX('BASE EDITAL'!$C:$C,EDITAL_A!B17+1))),IF($C17=$C15,"Especificação do Objeto","")))</f>
        <v>Protetor Auditivo tipo concha</v>
      </c>
      <c r="H17" s="84">
        <f>IF($B16="","",IF($C17=$C14,INDEX('MAPA DE PREÇOS'!$M:$M,MATCH($B17,'MAPA DE PREÇOS'!$B:$B)-16),IF($C17=$C15,"Unidade","")))</f>
        <v>0</v>
      </c>
      <c r="I17" s="84">
        <f>IF($B16="","",IF($C17=$C14,INDEX('MAPA DE PREÇOS'!$M:$M,MATCH($B17,'MAPA DE PREÇOS'!$B:$B)-17),IF($C17=$C15,"Quant.","")))</f>
        <v>0</v>
      </c>
      <c r="J17" s="60">
        <f>IF(AND(COUNTBLANK($B14:$B16)=2,$B16="",$B15="",MAX(C:C)&gt;1),"Total Estimado",IF($B16="","",IF($C17=$C14,INDEX('MAPA DE PREÇOS'!$M:$M,MATCH($B17,'MAPA DE PREÇOS'!$B:$B)-19),IF($C17=$C15,"Valor Unit. (R$)",IF(AND($C17&lt;&gt;$C16,$J16&lt;&gt;""),IF(MAX(C:C)=1,"Total Estimado","Subtotal"),"")))))</f>
        <v>12.47</v>
      </c>
      <c r="K17" s="75">
        <f>IFERROR(IF(AND(COUNTBLANK($B14:$B16)=2,$B16="",$B15="",MAX(C:C)&gt;1),SUM($K$3:K16)/2,IF($B16="","",IF($C17=$C14,ROUND(J17*I17,2),IF($C17=$C15,"Total Item (R$)",IF(AND($C17&lt;&gt;$C16,$J16&lt;&gt;""),SUMIFS(K:K,C:C,C16,J:J,"&lt;&gt;Subtotal"),""))))),"")</f>
        <v>0</v>
      </c>
      <c r="L17" s="75" t="str">
        <f t="shared" si="1"/>
        <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6" t="str">
        <f>IF($B17="","",IF($C18=$C15,IF('BASE EDITAL'!$C$2="",INDEX('MAPA DE PREÇOS'!H:H,MATCH(EDITAL_A!B18,'MAPA DE PREÇOS'!B:B,0)+1),UPPER(INDEX('BASE EDITAL'!$C:$C,EDITAL_A!B18+1))),IF($C18=$C16,"Especificação do Objeto","")))</f>
        <v>Respirador dobrável</v>
      </c>
      <c r="H18" s="84">
        <f>IF($B17="","",IF($C18=$C15,INDEX('MAPA DE PREÇOS'!$M:$M,MATCH($B18,'MAPA DE PREÇOS'!$B:$B)-16),IF($C18=$C16,"Unidade","")))</f>
        <v>0</v>
      </c>
      <c r="I18" s="84">
        <f>IF($B17="","",IF($C18=$C15,INDEX('MAPA DE PREÇOS'!$M:$M,MATCH($B18,'MAPA DE PREÇOS'!$B:$B)-17),IF($C18=$C16,"Quant.","")))</f>
        <v>0</v>
      </c>
      <c r="J18" s="60">
        <f>IF(AND(COUNTBLANK($B15:$B17)=2,$B17="",$B16="",MAX(C:C)&gt;1),"Total Estimado",IF($B17="","",IF($C18=$C15,INDEX('MAPA DE PREÇOS'!$M:$M,MATCH($B18,'MAPA DE PREÇOS'!$B:$B)-19),IF($C18=$C16,"Valor Unit. (R$)",IF(AND($C18&lt;&gt;$C17,$J17&lt;&gt;""),IF(MAX(C:C)=1,"Total Estimado","Subtotal"),"")))))</f>
        <v>1.58</v>
      </c>
      <c r="K18" s="75">
        <f>IFERROR(IF(AND(COUNTBLANK($B15:$B17)=2,$B17="",$B16="",MAX(C:C)&gt;1),SUM($K$3:K17)/2,IF($B17="","",IF($C18=$C15,ROUND(J18*I18,2),IF($C18=$C16,"Total Item (R$)",IF(AND($C18&lt;&gt;$C17,$J17&lt;&gt;""),SUMIFS(K:K,C:C,C17,J:J,"&lt;&gt;Subtotal"),""))))),"")</f>
        <v>0</v>
      </c>
      <c r="L18" s="75" t="str">
        <f t="shared" si="1"/>
        <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6" t="str">
        <f>IF($B18="","",IF($C19=$C16,IF('BASE EDITAL'!$C$2="",INDEX('MAPA DE PREÇOS'!H:H,MATCH(EDITAL_A!B19,'MAPA DE PREÇOS'!B:B,0)+1),UPPER(INDEX('BASE EDITAL'!$C:$C,EDITAL_A!B19+1))),IF($C19=$C17,"Especificação do Objeto","")))</f>
        <v>Óculos leopardo incolor</v>
      </c>
      <c r="H19" s="84">
        <f>IF($B18="","",IF($C19=$C16,INDEX('MAPA DE PREÇOS'!$M:$M,MATCH($B19,'MAPA DE PREÇOS'!$B:$B)-16),IF($C19=$C17,"Unidade","")))</f>
        <v>0</v>
      </c>
      <c r="I19" s="84">
        <f>IF($B18="","",IF($C19=$C16,INDEX('MAPA DE PREÇOS'!$M:$M,MATCH($B19,'MAPA DE PREÇOS'!$B:$B)-17),IF($C19=$C17,"Quant.","")))</f>
        <v>0</v>
      </c>
      <c r="J19" s="60">
        <f>IF(AND(COUNTBLANK($B16:$B18)=2,$B18="",$B17="",MAX(C:C)&gt;1),"Total Estimado",IF($B18="","",IF($C19=$C16,INDEX('MAPA DE PREÇOS'!$M:$M,MATCH($B19,'MAPA DE PREÇOS'!$B:$B)-19),IF($C19=$C17,"Valor Unit. (R$)",IF(AND($C19&lt;&gt;$C18,$J18&lt;&gt;""),IF(MAX(C:C)=1,"Total Estimado","Subtotal"),"")))))</f>
        <v>2.65</v>
      </c>
      <c r="K19" s="75">
        <f>IFERROR(IF(AND(COUNTBLANK($B16:$B18)=2,$B18="",$B17="",MAX(C:C)&gt;1),SUM($K$3:K18)/2,IF($B18="","",IF($C19=$C16,ROUND(J19*I19,2),IF($C19=$C17,"Total Item (R$)",IF(AND($C19&lt;&gt;$C18,$J18&lt;&gt;""),SUMIFS(K:K,C:C,C18,J:J,"&lt;&gt;Subtotal"),""))))),"")</f>
        <v>0</v>
      </c>
      <c r="L19" s="75" t="str">
        <f t="shared" si="1"/>
        <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6" t="str">
        <f>IF($B19="","",IF($C20=$C17,IF('BASE EDITAL'!$C$2="",INDEX('MAPA DE PREÇOS'!H:H,MATCH(EDITAL_A!B20,'MAPA DE PREÇOS'!B:B,0)+1),UPPER(INDEX('BASE EDITAL'!$C:$C,EDITAL_A!B20+1))),IF($C20=$C18,"Especificação do Objeto","")))</f>
        <v>Calça de algodão</v>
      </c>
      <c r="H20" s="84">
        <f>IF($B19="","",IF($C20=$C17,INDEX('MAPA DE PREÇOS'!$M:$M,MATCH($B20,'MAPA DE PREÇOS'!$B:$B)-16),IF($C20=$C18,"Unidade","")))</f>
        <v>0</v>
      </c>
      <c r="I20" s="84">
        <f>IF($B19="","",IF($C20=$C17,INDEX('MAPA DE PREÇOS'!$M:$M,MATCH($B20,'MAPA DE PREÇOS'!$B:$B)-17),IF($C20=$C18,"Quant.","")))</f>
        <v>0</v>
      </c>
      <c r="J20" s="60">
        <f>IF(AND(COUNTBLANK($B17:$B19)=2,$B19="",$B18="",MAX(C:C)&gt;1),"Total Estimado",IF($B19="","",IF($C20=$C17,INDEX('MAPA DE PREÇOS'!$M:$M,MATCH($B20,'MAPA DE PREÇOS'!$B:$B)-19),IF($C20=$C18,"Valor Unit. (R$)",IF(AND($C20&lt;&gt;$C19,$J19&lt;&gt;""),IF(MAX(C:C)=1,"Total Estimado","Subtotal"),"")))))</f>
        <v>53.9</v>
      </c>
      <c r="K20" s="75">
        <f>IFERROR(IF(AND(COUNTBLANK($B17:$B19)=2,$B19="",$B18="",MAX(C:C)&gt;1),SUM($K$3:K19)/2,IF($B19="","",IF($C20=$C17,ROUND(J20*I20,2),IF($C20=$C18,"Total Item (R$)",IF(AND($C20&lt;&gt;$C19,$J19&lt;&gt;""),SUMIFS(K:K,C:C,C19,J:J,"&lt;&gt;Subtotal"),""))))),"")</f>
        <v>0</v>
      </c>
      <c r="L20" s="75" t="str">
        <f t="shared" si="1"/>
        <v/>
      </c>
    </row>
    <row r="21" spans="2:12"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146" t="str">
        <f>IF($B20="","",IF($C21=$C18,IF('BASE EDITAL'!$C$2="",INDEX('MAPA DE PREÇOS'!H:H,MATCH(EDITAL_A!B21,'MAPA DE PREÇOS'!B:B,0)+1),UPPER(INDEX('BASE EDITAL'!$C:$C,EDITAL_A!B21+1))),IF($C21=$C19,"Especificação do Objeto","")))</f>
        <v>Camiseta de algodão</v>
      </c>
      <c r="H21" s="84">
        <f>IF($B20="","",IF($C21=$C18,INDEX('MAPA DE PREÇOS'!$M:$M,MATCH($B21,'MAPA DE PREÇOS'!$B:$B)-16),IF($C21=$C19,"Unidade","")))</f>
        <v>0</v>
      </c>
      <c r="I21" s="84">
        <f>IF($B20="","",IF($C21=$C18,INDEX('MAPA DE PREÇOS'!$M:$M,MATCH($B21,'MAPA DE PREÇOS'!$B:$B)-17),IF($C21=$C19,"Quant.","")))</f>
        <v>0</v>
      </c>
      <c r="J21" s="60">
        <f>IF(AND(COUNTBLANK($B18:$B20)=2,$B20="",$B19="",MAX(C:C)&gt;1),"Total Estimado",IF($B20="","",IF($C21=$C18,INDEX('MAPA DE PREÇOS'!$M:$M,MATCH($B21,'MAPA DE PREÇOS'!$B:$B)-19),IF($C21=$C19,"Valor Unit. (R$)",IF(AND($C21&lt;&gt;$C20,$J20&lt;&gt;""),IF(MAX(C:C)=1,"Total Estimado","Subtotal"),"")))))</f>
        <v>32.53</v>
      </c>
      <c r="K21" s="75">
        <f>IFERROR(IF(AND(COUNTBLANK($B18:$B20)=2,$B20="",$B19="",MAX(C:C)&gt;1),SUM($K$3:K20)/2,IF($B20="","",IF($C21=$C18,ROUND(J21*I21,2),IF($C21=$C19,"Total Item (R$)",IF(AND($C21&lt;&gt;$C20,$J20&lt;&gt;""),SUMIFS(K:K,C:C,C20,J:J,"&lt;&gt;Subtotal"),""))))),"")</f>
        <v>0</v>
      </c>
      <c r="L21" s="75" t="str">
        <f t="shared" si="1"/>
        <v/>
      </c>
    </row>
    <row r="22" spans="2:12"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146" t="str">
        <f>IF($B21="","",IF($C22=$C19,IF('BASE EDITAL'!$C$2="",INDEX('MAPA DE PREÇOS'!H:H,MATCH(EDITAL_A!B22,'MAPA DE PREÇOS'!B:B,0)+1),UPPER(INDEX('BASE EDITAL'!$C:$C,EDITAL_A!B22+1))),IF($C22=$C20,"Especificação do Objeto","")))</f>
        <v>Plano mensal internet</v>
      </c>
      <c r="H22" s="84">
        <f>IF($B21="","",IF($C22=$C19,INDEX('MAPA DE PREÇOS'!$M:$M,MATCH($B22,'MAPA DE PREÇOS'!$B:$B)-16),IF($C22=$C20,"Unidade","")))</f>
        <v>0</v>
      </c>
      <c r="I22" s="84">
        <f>IF($B21="","",IF($C22=$C19,INDEX('MAPA DE PREÇOS'!$M:$M,MATCH($B22,'MAPA DE PREÇOS'!$B:$B)-17),IF($C22=$C20,"Quant.","")))</f>
        <v>0</v>
      </c>
      <c r="J22" s="60">
        <f>IF(AND(COUNTBLANK($B19:$B21)=2,$B21="",$B20="",MAX(C:C)&gt;1),"Total Estimado",IF($B21="","",IF($C22=$C19,INDEX('MAPA DE PREÇOS'!$M:$M,MATCH($B22,'MAPA DE PREÇOS'!$B:$B)-19),IF($C22=$C20,"Valor Unit. (R$)",IF(AND($C22&lt;&gt;$C21,$J21&lt;&gt;""),IF(MAX(C:C)=1,"Total Estimado","Subtotal"),"")))))</f>
        <v>93.53</v>
      </c>
      <c r="K22" s="75">
        <f>IFERROR(IF(AND(COUNTBLANK($B19:$B21)=2,$B21="",$B20="",MAX(C:C)&gt;1),SUM($K$3:K21)/2,IF($B21="","",IF($C22=$C19,ROUND(J22*I22,2),IF($C22=$C20,"Total Item (R$)",IF(AND($C22&lt;&gt;$C21,$J21&lt;&gt;""),SUMIFS(K:K,C:C,C21,J:J,"&lt;&gt;Subtotal"),""))))),"")</f>
        <v>0</v>
      </c>
      <c r="L22" s="75" t="str">
        <f t="shared" si="1"/>
        <v/>
      </c>
    </row>
    <row r="23" spans="2:12"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146" t="str">
        <f>IF($B22="","",IF($C23=$C20,IF('BASE EDITAL'!$C$2="",INDEX('MAPA DE PREÇOS'!H:H,MATCH(EDITAL_A!B23,'MAPA DE PREÇOS'!B:B,0)+1),UPPER(INDEX('BASE EDITAL'!$C:$C,EDITAL_A!B23+1))),IF($C23=$C21,"Especificação do Objeto","")))</f>
        <v>Big bag 1000G</v>
      </c>
      <c r="H23" s="84">
        <f>IF($B22="","",IF($C23=$C20,INDEX('MAPA DE PREÇOS'!$M:$M,MATCH($B23,'MAPA DE PREÇOS'!$B:$B)-16),IF($C23=$C21,"Unidade","")))</f>
        <v>0</v>
      </c>
      <c r="I23" s="84">
        <f>IF($B22="","",IF($C23=$C20,INDEX('MAPA DE PREÇOS'!$M:$M,MATCH($B23,'MAPA DE PREÇOS'!$B:$B)-17),IF($C23=$C21,"Quant.","")))</f>
        <v>0</v>
      </c>
      <c r="J23" s="60">
        <f>IF(AND(COUNTBLANK($B20:$B22)=2,$B22="",$B21="",MAX(C:C)&gt;1),"Total Estimado",IF($B22="","",IF($C23=$C20,INDEX('MAPA DE PREÇOS'!$M:$M,MATCH($B23,'MAPA DE PREÇOS'!$B:$B)-19),IF($C23=$C21,"Valor Unit. (R$)",IF(AND($C23&lt;&gt;$C22,$J22&lt;&gt;""),IF(MAX(C:C)=1,"Total Estimado","Subtotal"),"")))))</f>
        <v>40</v>
      </c>
      <c r="K23" s="75">
        <f>IFERROR(IF(AND(COUNTBLANK($B20:$B22)=2,$B22="",$B21="",MAX(C:C)&gt;1),SUM($K$3:K22)/2,IF($B22="","",IF($C23=$C20,ROUND(J23*I23,2),IF($C23=$C21,"Total Item (R$)",IF(AND($C23&lt;&gt;$C22,$J22&lt;&gt;""),SUMIFS(K:K,C:C,C22,J:J,"&lt;&gt;Subtotal"),""))))),"")</f>
        <v>0</v>
      </c>
      <c r="L23" s="75" t="str">
        <f t="shared" si="1"/>
        <v/>
      </c>
    </row>
    <row r="24" spans="2:12"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146" t="str">
        <f>IF($B23="","",IF($C24=$C21,IF('BASE EDITAL'!$C$2="",INDEX('MAPA DE PREÇOS'!H:H,MATCH(EDITAL_A!B24,'MAPA DE PREÇOS'!B:B,0)+1),UPPER(INDEX('BASE EDITAL'!$C:$C,EDITAL_A!B24+1))),IF($C24=$C22,"Especificação do Objeto","")))</f>
        <v>Bombona plástica 200 litros</v>
      </c>
      <c r="H24" s="84">
        <f>IF($B23="","",IF($C24=$C21,INDEX('MAPA DE PREÇOS'!$M:$M,MATCH($B24,'MAPA DE PREÇOS'!$B:$B)-16),IF($C24=$C22,"Unidade","")))</f>
        <v>0</v>
      </c>
      <c r="I24" s="84">
        <f>IF($B23="","",IF($C24=$C21,INDEX('MAPA DE PREÇOS'!$M:$M,MATCH($B24,'MAPA DE PREÇOS'!$B:$B)-17),IF($C24=$C22,"Quant.","")))</f>
        <v>0</v>
      </c>
      <c r="J24" s="60">
        <f>IF(AND(COUNTBLANK($B21:$B23)=2,$B23="",$B22="",MAX(C:C)&gt;1),"Total Estimado",IF($B23="","",IF($C24=$C21,INDEX('MAPA DE PREÇOS'!$M:$M,MATCH($B24,'MAPA DE PREÇOS'!$B:$B)-19),IF($C24=$C22,"Valor Unit. (R$)",IF(AND($C24&lt;&gt;$C23,$J23&lt;&gt;""),IF(MAX(C:C)=1,"Total Estimado","Subtotal"),"")))))</f>
        <v>225.55</v>
      </c>
      <c r="K24" s="75">
        <f>IFERROR(IF(AND(COUNTBLANK($B21:$B23)=2,$B23="",$B22="",MAX(C:C)&gt;1),SUM($K$3:K23)/2,IF($B23="","",IF($C24=$C21,ROUND(J24*I24,2),IF($C24=$C22,"Total Item (R$)",IF(AND($C24&lt;&gt;$C23,$J23&lt;&gt;""),SUMIFS(K:K,C:C,C23,J:J,"&lt;&gt;Subtotal"),""))))),"")</f>
        <v>0</v>
      </c>
      <c r="L24" s="75" t="str">
        <f t="shared" si="1"/>
        <v/>
      </c>
    </row>
    <row r="25" spans="2:12"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146" t="str">
        <f>IF($B24="","",IF($C25=$C22,IF('BASE EDITAL'!$C$2="",INDEX('MAPA DE PREÇOS'!H:H,MATCH(EDITAL_A!B25,'MAPA DE PREÇOS'!B:B,0)+1),UPPER(INDEX('BASE EDITAL'!$C:$C,EDITAL_A!B25+1))),IF($C25=$C23,"Especificação do Objeto","")))</f>
        <v>Fitilho de prolipropileno</v>
      </c>
      <c r="H25" s="84">
        <f>IF($B24="","",IF($C25=$C22,INDEX('MAPA DE PREÇOS'!$M:$M,MATCH($B25,'MAPA DE PREÇOS'!$B:$B)-16),IF($C25=$C23,"Unidade","")))</f>
        <v>0</v>
      </c>
      <c r="I25" s="84">
        <f>IF($B24="","",IF($C25=$C22,INDEX('MAPA DE PREÇOS'!$M:$M,MATCH($B25,'MAPA DE PREÇOS'!$B:$B)-17),IF($C25=$C23,"Quant.","")))</f>
        <v>0</v>
      </c>
      <c r="J25" s="60">
        <f>IF(AND(COUNTBLANK($B22:$B24)=2,$B24="",$B23="",MAX(C:C)&gt;1),"Total Estimado",IF($B24="","",IF($C25=$C22,INDEX('MAPA DE PREÇOS'!$M:$M,MATCH($B25,'MAPA DE PREÇOS'!$B:$B)-19),IF($C25=$C23,"Valor Unit. (R$)",IF(AND($C25&lt;&gt;$C24,$J24&lt;&gt;""),IF(MAX(C:C)=1,"Total Estimado","Subtotal"),"")))))</f>
        <v>15.25</v>
      </c>
      <c r="K25" s="75">
        <f>IFERROR(IF(AND(COUNTBLANK($B22:$B24)=2,$B24="",$B23="",MAX(C:C)&gt;1),SUM($K$3:K24)/2,IF($B24="","",IF($C25=$C22,ROUND(J25*I25,2),IF($C25=$C23,"Total Item (R$)",IF(AND($C25&lt;&gt;$C24,$J24&lt;&gt;""),SUMIFS(K:K,C:C,C24,J:J,"&lt;&gt;Subtotal"),""))))),"")</f>
        <v>0</v>
      </c>
      <c r="L25" s="75" t="str">
        <f t="shared" si="1"/>
        <v/>
      </c>
    </row>
    <row r="26" spans="2:12"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146" t="str">
        <f>IF($B25="","",IF($C26=$C23,IF('BASE EDITAL'!$C$2="",INDEX('MAPA DE PREÇOS'!H:H,MATCH(EDITAL_A!B26,'MAPA DE PREÇOS'!B:B,0)+1),UPPER(INDEX('BASE EDITAL'!$C:$C,EDITAL_A!B26+1))),IF($C26=$C24,"Especificação do Objeto","")))</f>
        <v>Energia Elétrica - Industrial Tarifa Branca P</v>
      </c>
      <c r="H26" s="84" t="str">
        <f>IF($B25="","",IF($C26=$C23,INDEX('MAPA DE PREÇOS'!$M:$M,MATCH($B26,'MAPA DE PREÇOS'!$B:$B)-16),IF($C26=$C24,"Unidade","")))</f>
        <v>KWH</v>
      </c>
      <c r="I26" s="84">
        <f>IF($B25="","",IF($C26=$C23,INDEX('MAPA DE PREÇOS'!$M:$M,MATCH($B26,'MAPA DE PREÇOS'!$B:$B)-17),IF($C26=$C24,"Quant.","")))</f>
        <v>1</v>
      </c>
      <c r="J26" s="60">
        <f>IF(AND(COUNTBLANK($B23:$B25)=2,$B25="",$B24="",MAX(C:C)&gt;1),"Total Estimado",IF($B25="","",IF($C26=$C23,INDEX('MAPA DE PREÇOS'!$M:$M,MATCH($B26,'MAPA DE PREÇOS'!$B:$B)-19),IF($C26=$C24,"Valor Unit. (R$)",IF(AND($C26&lt;&gt;$C25,$J25&lt;&gt;""),IF(MAX(C:C)=1,"Total Estimado","Subtotal"),"")))))</f>
        <v>1.41</v>
      </c>
      <c r="K26" s="75">
        <f>IFERROR(IF(AND(COUNTBLANK($B23:$B25)=2,$B25="",$B24="",MAX(C:C)&gt;1),SUM($K$3:K25)/2,IF($B25="","",IF($C26=$C23,ROUND(J26*I26,2),IF($C26=$C24,"Total Item (R$)",IF(AND($C26&lt;&gt;$C25,$J25&lt;&gt;""),SUMIFS(K:K,C:C,C25,J:J,"&lt;&gt;Subtotal"),""))))),"")</f>
        <v>1.41</v>
      </c>
      <c r="L26" s="75" t="str">
        <f t="shared" si="1"/>
        <v/>
      </c>
    </row>
    <row r="27" spans="2:12"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146" t="str">
        <f>IF($B26="","",IF($C27=$C24,IF('BASE EDITAL'!$C$2="",INDEX('MAPA DE PREÇOS'!H:H,MATCH(EDITAL_A!B27,'MAPA DE PREÇOS'!B:B,0)+1),UPPER(INDEX('BASE EDITAL'!$C:$C,EDITAL_A!B27+1))),IF($C27=$C25,"Especificação do Objeto","")))</f>
        <v>Energia Elétrica - Industrial Tarifa Branca Int</v>
      </c>
      <c r="H27" s="84" t="str">
        <f>IF($B26="","",IF($C27=$C24,INDEX('MAPA DE PREÇOS'!$M:$M,MATCH($B27,'MAPA DE PREÇOS'!$B:$B)-16),IF($C27=$C25,"Unidade","")))</f>
        <v>KWH</v>
      </c>
      <c r="I27" s="84">
        <f>IF($B26="","",IF($C27=$C24,INDEX('MAPA DE PREÇOS'!$M:$M,MATCH($B27,'MAPA DE PREÇOS'!$B:$B)-17),IF($C27=$C25,"Quant.","")))</f>
        <v>1</v>
      </c>
      <c r="J27" s="60">
        <f>IF(AND(COUNTBLANK($B24:$B26)=2,$B26="",$B25="",MAX(C:C)&gt;1),"Total Estimado",IF($B26="","",IF($C27=$C24,INDEX('MAPA DE PREÇOS'!$M:$M,MATCH($B27,'MAPA DE PREÇOS'!$B:$B)-19),IF($C27=$C25,"Valor Unit. (R$)",IF(AND($C27&lt;&gt;$C26,$J26&lt;&gt;""),IF(MAX(C:C)=1,"Total Estimado","Subtotal"),"")))))</f>
        <v>0.9163</v>
      </c>
      <c r="K27" s="75">
        <f>IFERROR(IF(AND(COUNTBLANK($B24:$B26)=2,$B26="",$B25="",MAX(C:C)&gt;1),SUM($K$3:K26)/2,IF($B26="","",IF($C27=$C24,ROUND(J27*I27,2),IF($C27=$C25,"Total Item (R$)",IF(AND($C27&lt;&gt;$C26,$J26&lt;&gt;""),SUMIFS(K:K,C:C,C26,J:J,"&lt;&gt;Subtotal"),""))))),"")</f>
        <v>0.92</v>
      </c>
      <c r="L27" s="75" t="str">
        <f t="shared" si="1"/>
        <v/>
      </c>
    </row>
    <row r="28" spans="2:12"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146" t="str">
        <f>IF($B27="","",IF($C28=$C25,IF('BASE EDITAL'!$C$2="",INDEX('MAPA DE PREÇOS'!H:H,MATCH(EDITAL_A!B28,'MAPA DE PREÇOS'!B:B,0)+1),UPPER(INDEX('BASE EDITAL'!$C:$C,EDITAL_A!B28+1))),IF($C28=$C26,"Especificação do Objeto","")))</f>
        <v>Energia Elétrica - Industrial Tarifa Branca FP</v>
      </c>
      <c r="H28" s="84" t="str">
        <f>IF($B27="","",IF($C28=$C25,INDEX('MAPA DE PREÇOS'!$M:$M,MATCH($B28,'MAPA DE PREÇOS'!$B:$B)-16),IF($C28=$C26,"Unidade","")))</f>
        <v>KWH</v>
      </c>
      <c r="I28" s="84">
        <f>IF($B27="","",IF($C28=$C25,INDEX('MAPA DE PREÇOS'!$M:$M,MATCH($B28,'MAPA DE PREÇOS'!$B:$B)-17),IF($C28=$C26,"Quant.","")))</f>
        <v>1</v>
      </c>
      <c r="J28" s="60">
        <f>IF(AND(COUNTBLANK($B25:$B27)=2,$B27="",$B26="",MAX(C:C)&gt;1),"Total Estimado",IF($B27="","",IF($C28=$C25,INDEX('MAPA DE PREÇOS'!$M:$M,MATCH($B28,'MAPA DE PREÇOS'!$B:$B)-19),IF($C28=$C26,"Valor Unit. (R$)",IF(AND($C28&lt;&gt;$C27,$J27&lt;&gt;""),IF(MAX(C:C)=1,"Total Estimado","Subtotal"),"")))))</f>
        <v>0.57350000000000001</v>
      </c>
      <c r="K28" s="75">
        <f>IFERROR(IF(AND(COUNTBLANK($B25:$B27)=2,$B27="",$B26="",MAX(C:C)&gt;1),SUM($K$3:K27)/2,IF($B27="","",IF($C28=$C25,ROUND(J28*I28,2),IF($C28=$C26,"Total Item (R$)",IF(AND($C28&lt;&gt;$C27,$J27&lt;&gt;""),SUMIFS(K:K,C:C,C27,J:J,"&lt;&gt;Subtotal"),""))))),"")</f>
        <v>0.56999999999999995</v>
      </c>
      <c r="L28" s="75" t="str">
        <f t="shared" si="1"/>
        <v/>
      </c>
    </row>
    <row r="29" spans="2:12"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146" t="str">
        <f>IF($B28="","",IF($C29=$C26,IF('BASE EDITAL'!$C$2="",INDEX('MAPA DE PREÇOS'!H:H,MATCH(EDITAL_A!B29,'MAPA DE PREÇOS'!B:B,0)+1),UPPER(INDEX('BASE EDITAL'!$C:$C,EDITAL_A!B29+1))),IF($C29=$C27,"Especificação do Objeto","")))</f>
        <v>Detergente concentrado</v>
      </c>
      <c r="H29" s="84" t="str">
        <f>IF($B28="","",IF($C29=$C26,INDEX('MAPA DE PREÇOS'!$M:$M,MATCH($B29,'MAPA DE PREÇOS'!$B:$B)-16),IF($C29=$C27,"Unidade","")))</f>
        <v>L</v>
      </c>
      <c r="I29" s="84">
        <f>IF($B28="","",IF($C29=$C26,INDEX('MAPA DE PREÇOS'!$M:$M,MATCH($B29,'MAPA DE PREÇOS'!$B:$B)-17),IF($C29=$C27,"Quant.","")))</f>
        <v>1</v>
      </c>
      <c r="J29" s="60">
        <f>IF(AND(COUNTBLANK($B26:$B28)=2,$B28="",$B27="",MAX(C:C)&gt;1),"Total Estimado",IF($B28="","",IF($C29=$C26,INDEX('MAPA DE PREÇOS'!$M:$M,MATCH($B29,'MAPA DE PREÇOS'!$B:$B)-19),IF($C29=$C27,"Valor Unit. (R$)",IF(AND($C29&lt;&gt;$C28,$J28&lt;&gt;""),IF(MAX(C:C)=1,"Total Estimado","Subtotal"),"")))))</f>
        <v>1.94</v>
      </c>
      <c r="K29" s="75">
        <f>IFERROR(IF(AND(COUNTBLANK($B26:$B28)=2,$B28="",$B27="",MAX(C:C)&gt;1),SUM($K$3:K28)/2,IF($B28="","",IF($C29=$C26,ROUND(J29*I29,2),IF($C29=$C27,"Total Item (R$)",IF(AND($C29&lt;&gt;$C28,$J28&lt;&gt;""),SUMIFS(K:K,C:C,C28,J:J,"&lt;&gt;Subtotal"),""))))),"")</f>
        <v>1.94</v>
      </c>
      <c r="L29" s="75" t="str">
        <f t="shared" si="1"/>
        <v/>
      </c>
    </row>
    <row r="30" spans="2:12"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146" t="str">
        <f>IF($B29="","",IF($C30=$C27,IF('BASE EDITAL'!$C$2="",INDEX('MAPA DE PREÇOS'!H:H,MATCH(EDITAL_A!B30,'MAPA DE PREÇOS'!B:B,0)+1),UPPER(INDEX('BASE EDITAL'!$C:$C,EDITAL_A!B30+1))),IF($C30=$C28,"Especificação do Objeto","")))</f>
        <v>Desinfetante</v>
      </c>
      <c r="H30" s="84" t="str">
        <f>IF($B29="","",IF($C30=$C27,INDEX('MAPA DE PREÇOS'!$M:$M,MATCH($B30,'MAPA DE PREÇOS'!$B:$B)-16),IF($C30=$C28,"Unidade","")))</f>
        <v>L</v>
      </c>
      <c r="I30" s="84">
        <f>IF($B29="","",IF($C30=$C27,INDEX('MAPA DE PREÇOS'!$M:$M,MATCH($B30,'MAPA DE PREÇOS'!$B:$B)-17),IF($C30=$C28,"Quant.","")))</f>
        <v>1</v>
      </c>
      <c r="J30" s="60">
        <f>IF(AND(COUNTBLANK($B27:$B29)=2,$B29="",$B28="",MAX(C:C)&gt;1),"Total Estimado",IF($B29="","",IF($C30=$C27,INDEX('MAPA DE PREÇOS'!$M:$M,MATCH($B30,'MAPA DE PREÇOS'!$B:$B)-19),IF($C30=$C28,"Valor Unit. (R$)",IF(AND($C30&lt;&gt;$C29,$J29&lt;&gt;""),IF(MAX(C:C)=1,"Total Estimado","Subtotal"),"")))))</f>
        <v>5.48</v>
      </c>
      <c r="K30" s="75">
        <f>IFERROR(IF(AND(COUNTBLANK($B27:$B29)=2,$B29="",$B28="",MAX(C:C)&gt;1),SUM($K$3:K29)/2,IF($B29="","",IF($C30=$C27,ROUND(J30*I30,2),IF($C30=$C28,"Total Item (R$)",IF(AND($C30&lt;&gt;$C29,$J29&lt;&gt;""),SUMIFS(K:K,C:C,C29,J:J,"&lt;&gt;Subtotal"),""))))),"")</f>
        <v>5.48</v>
      </c>
      <c r="L30" s="75" t="str">
        <f t="shared" si="1"/>
        <v/>
      </c>
    </row>
    <row r="31" spans="2:12"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146" t="str">
        <f>IF($B30="","",IF($C31=$C28,IF('BASE EDITAL'!$C$2="",INDEX('MAPA DE PREÇOS'!H:H,MATCH(EDITAL_A!B31,'MAPA DE PREÇOS'!B:B,0)+1),UPPER(INDEX('BASE EDITAL'!$C:$C,EDITAL_A!B31+1))),IF($C31=$C29,"Especificação do Objeto","")))</f>
        <v>Computador portátil (notebook)</v>
      </c>
      <c r="H31" s="84">
        <f>IF($B30="","",IF($C31=$C28,INDEX('MAPA DE PREÇOS'!$M:$M,MATCH($B31,'MAPA DE PREÇOS'!$B:$B)-16),IF($C31=$C29,"Unidade","")))</f>
        <v>0</v>
      </c>
      <c r="I31" s="84">
        <f>IF($B30="","",IF($C31=$C28,INDEX('MAPA DE PREÇOS'!$M:$M,MATCH($B31,'MAPA DE PREÇOS'!$B:$B)-17),IF($C31=$C29,"Quant.","")))</f>
        <v>0</v>
      </c>
      <c r="J31" s="60">
        <f>IF(AND(COUNTBLANK($B28:$B30)=2,$B30="",$B29="",MAX(C:C)&gt;1),"Total Estimado",IF($B30="","",IF($C31=$C28,INDEX('MAPA DE PREÇOS'!$M:$M,MATCH($B31,'MAPA DE PREÇOS'!$B:$B)-19),IF($C31=$C29,"Valor Unit. (R$)",IF(AND($C31&lt;&gt;$C30,$J30&lt;&gt;""),IF(MAX(C:C)=1,"Total Estimado","Subtotal"),"")))))</f>
        <v>2682.93</v>
      </c>
      <c r="K31" s="75">
        <f>IFERROR(IF(AND(COUNTBLANK($B28:$B30)=2,$B30="",$B29="",MAX(C:C)&gt;1),SUM($K$3:K30)/2,IF($B30="","",IF($C31=$C28,ROUND(J31*I31,2),IF($C31=$C29,"Total Item (R$)",IF(AND($C31&lt;&gt;$C30,$J30&lt;&gt;""),SUMIFS(K:K,C:C,C30,J:J,"&lt;&gt;Subtotal"),""))))),"")</f>
        <v>0</v>
      </c>
      <c r="L31" s="75" t="str">
        <f t="shared" si="1"/>
        <v/>
      </c>
    </row>
    <row r="32" spans="2:12"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146" t="str">
        <f>IF($B31="","",IF($C32=$C29,IF('BASE EDITAL'!$C$2="",INDEX('MAPA DE PREÇOS'!H:H,MATCH(EDITAL_A!B32,'MAPA DE PREÇOS'!B:B,0)+1),UPPER(INDEX('BASE EDITAL'!$C:$C,EDITAL_A!B32+1))),IF($C32=$C30,"Especificação do Objeto","")))</f>
        <v>Contabilidade (ME - Todos)</v>
      </c>
      <c r="H32" s="84" t="str">
        <f>IF($B31="","",IF($C32=$C29,INDEX('MAPA DE PREÇOS'!$M:$M,MATCH($B32,'MAPA DE PREÇOS'!$B:$B)-16),IF($C32=$C30,"Unidade","")))</f>
        <v>MES</v>
      </c>
      <c r="I32" s="84">
        <f>IF($B31="","",IF($C32=$C29,INDEX('MAPA DE PREÇOS'!$M:$M,MATCH($B32,'MAPA DE PREÇOS'!$B:$B)-17),IF($C32=$C30,"Quant.","")))</f>
        <v>1</v>
      </c>
      <c r="J32" s="60">
        <f>IF(AND(COUNTBLANK($B29:$B31)=2,$B31="",$B30="",MAX(C:C)&gt;1),"Total Estimado",IF($B31="","",IF($C32=$C29,INDEX('MAPA DE PREÇOS'!$M:$M,MATCH($B32,'MAPA DE PREÇOS'!$B:$B)-19),IF($C32=$C30,"Valor Unit. (R$)",IF(AND($C32&lt;&gt;$C31,$J31&lt;&gt;""),IF(MAX(C:C)=1,"Total Estimado","Subtotal"),"")))))</f>
        <v>1462.08</v>
      </c>
      <c r="K32" s="75">
        <f>IFERROR(IF(AND(COUNTBLANK($B29:$B31)=2,$B31="",$B30="",MAX(C:C)&gt;1),SUM($K$3:K31)/2,IF($B31="","",IF($C32=$C29,ROUND(J32*I32,2),IF($C32=$C30,"Total Item (R$)",IF(AND($C32&lt;&gt;$C31,$J31&lt;&gt;""),SUMIFS(K:K,C:C,C31,J:J,"&lt;&gt;Subtotal"),""))))),"")</f>
        <v>1462.08</v>
      </c>
      <c r="L32" s="75" t="str">
        <f t="shared" si="1"/>
        <v/>
      </c>
    </row>
    <row r="33" spans="2:12"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146" t="str">
        <f>IF($B32="","",IF($C33=$C30,IF('BASE EDITAL'!$C$2="",INDEX('MAPA DE PREÇOS'!H:H,MATCH(EDITAL_A!B33,'MAPA DE PREÇOS'!B:B,0)+1),UPPER(INDEX('BASE EDITAL'!$C:$C,EDITAL_A!B33+1))),IF($C33=$C31,"Especificação do Objeto","")))</f>
        <v>Tafiva B4a TSUD - Iluminação Pública</v>
      </c>
      <c r="H33" s="84" t="str">
        <f>IF($B32="","",IF($C33=$C30,INDEX('MAPA DE PREÇOS'!$M:$M,MATCH($B33,'MAPA DE PREÇOS'!$B:$B)-16),IF($C33=$C31,"Unidade","")))</f>
        <v>KWH</v>
      </c>
      <c r="I33" s="84">
        <f>IF($B32="","",IF($C33=$C30,INDEX('MAPA DE PREÇOS'!$M:$M,MATCH($B33,'MAPA DE PREÇOS'!$B:$B)-17),IF($C33=$C31,"Quant.","")))</f>
        <v>1</v>
      </c>
      <c r="J33" s="60">
        <f>IF(AND(COUNTBLANK($B30:$B32)=2,$B32="",$B31="",MAX(C:C)&gt;1),"Total Estimado",IF($B32="","",IF($C33=$C30,INDEX('MAPA DE PREÇOS'!$M:$M,MATCH($B33,'MAPA DE PREÇOS'!$B:$B)-19),IF($C33=$C31,"Valor Unit. (R$)",IF(AND($C33&lt;&gt;$C32,$J32&lt;&gt;""),IF(MAX(C:C)=1,"Total Estimado","Subtotal"),"")))))</f>
        <v>231.56</v>
      </c>
      <c r="K33" s="75">
        <f>IFERROR(IF(AND(COUNTBLANK($B30:$B32)=2,$B32="",$B31="",MAX(C:C)&gt;1),SUM($K$3:K32)/2,IF($B32="","",IF($C33=$C30,ROUND(J33*I33,2),IF($C33=$C31,"Total Item (R$)",IF(AND($C33&lt;&gt;$C32,$J32&lt;&gt;""),SUMIFS(K:K,C:C,C32,J:J,"&lt;&gt;Subtotal"),""))))),"")</f>
        <v>231.56</v>
      </c>
      <c r="L33" s="75" t="str">
        <f t="shared" si="1"/>
        <v/>
      </c>
    </row>
    <row r="34" spans="2:12"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146" t="str">
        <f>IF($B33="","",IF($C34=$C31,IF('BASE EDITAL'!$C$2="",INDEX('MAPA DE PREÇOS'!H:H,MATCH(EDITAL_A!B34,'MAPA DE PREÇOS'!B:B,0)+1),UPPER(INDEX('BASE EDITAL'!$C:$C,EDITAL_A!B34+1))),IF($C34=$C32,"Especificação do Objeto","")))</f>
        <v>Tarifa B4a TE - Iluminação Pública</v>
      </c>
      <c r="H34" s="84" t="str">
        <f>IF($B33="","",IF($C34=$C31,INDEX('MAPA DE PREÇOS'!$M:$M,MATCH($B34,'MAPA DE PREÇOS'!$B:$B)-16),IF($C34=$C32,"Unidade","")))</f>
        <v>KWH</v>
      </c>
      <c r="I34" s="84">
        <f>IF($B33="","",IF($C34=$C31,INDEX('MAPA DE PREÇOS'!$M:$M,MATCH($B34,'MAPA DE PREÇOS'!$B:$B)-17),IF($C34=$C32,"Quant.","")))</f>
        <v>1</v>
      </c>
      <c r="J34" s="60">
        <f>IF(AND(COUNTBLANK($B31:$B33)=2,$B33="",$B32="",MAX(C:C)&gt;1),"Total Estimado",IF($B33="","",IF($C34=$C31,INDEX('MAPA DE PREÇOS'!$M:$M,MATCH($B34,'MAPA DE PREÇOS'!$B:$B)-19),IF($C34=$C32,"Valor Unit. (R$)",IF(AND($C34&lt;&gt;$C33,$J33&lt;&gt;""),IF(MAX(C:C)=1,"Total Estimado","Subtotal"),"")))))</f>
        <v>139.16999999999999</v>
      </c>
      <c r="K34" s="75">
        <f>IFERROR(IF(AND(COUNTBLANK($B31:$B33)=2,$B33="",$B32="",MAX(C:C)&gt;1),SUM($K$3:K33)/2,IF($B33="","",IF($C34=$C31,ROUND(J34*I34,2),IF($C34=$C32,"Total Item (R$)",IF(AND($C34&lt;&gt;$C33,$J33&lt;&gt;""),SUMIFS(K:K,C:C,C33,J:J,"&lt;&gt;Subtotal"),""))))),"")</f>
        <v>139.16999999999999</v>
      </c>
      <c r="L34" s="75" t="str">
        <f t="shared" si="1"/>
        <v/>
      </c>
    </row>
    <row r="35" spans="2:12" ht="30"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146" t="str">
        <f>IF($B34="","",IF($C35=$C32,IF('BASE EDITAL'!$C$2="",INDEX('MAPA DE PREÇOS'!H:H,MATCH(EDITAL_A!B35,'MAPA DE PREÇOS'!B:B,0)+1),UPPER(INDEX('BASE EDITAL'!$C:$C,EDITAL_A!B35+1))),IF($C35=$C33,"Especificação do Objeto","")))</f>
        <v>Assessoria ambiental (licenciamento e acompanhamento)</v>
      </c>
      <c r="H35" s="84" t="str">
        <f>IF($B34="","",IF($C35=$C32,INDEX('MAPA DE PREÇOS'!$M:$M,MATCH($B35,'MAPA DE PREÇOS'!$B:$B)-16),IF($C35=$C33,"Unidade","")))</f>
        <v>MES</v>
      </c>
      <c r="I35" s="84">
        <f>IF($B34="","",IF($C35=$C32,INDEX('MAPA DE PREÇOS'!$M:$M,MATCH($B35,'MAPA DE PREÇOS'!$B:$B)-17),IF($C35=$C33,"Quant.","")))</f>
        <v>1</v>
      </c>
      <c r="J35" s="60">
        <f>IF(AND(COUNTBLANK($B32:$B34)=2,$B34="",$B33="",MAX(C:C)&gt;1),"Total Estimado",IF($B34="","",IF($C35=$C32,INDEX('MAPA DE PREÇOS'!$M:$M,MATCH($B35,'MAPA DE PREÇOS'!$B:$B)-19),IF($C35=$C33,"Valor Unit. (R$)",IF(AND($C35&lt;&gt;$C34,$J34&lt;&gt;""),IF(MAX(C:C)=1,"Total Estimado","Subtotal"),"")))))</f>
        <v>2431.67</v>
      </c>
      <c r="K35" s="75">
        <f>IFERROR(IF(AND(COUNTBLANK($B32:$B34)=2,$B34="",$B33="",MAX(C:C)&gt;1),SUM($K$3:K34)/2,IF($B34="","",IF($C35=$C32,ROUND(J35*I35,2),IF($C35=$C33,"Total Item (R$)",IF(AND($C35&lt;&gt;$C34,$J34&lt;&gt;""),SUMIFS(K:K,C:C,C34,J:J,"&lt;&gt;Subtotal"),""))))),"")</f>
        <v>2431.67</v>
      </c>
      <c r="L35" s="75" t="str">
        <f t="shared" si="1"/>
        <v/>
      </c>
    </row>
    <row r="36" spans="2:12"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146" t="str">
        <f>IF($B35="","",IF($C36=$C33,IF('BASE EDITAL'!$C$2="",INDEX('MAPA DE PREÇOS'!H:H,MATCH(EDITAL_A!B36,'MAPA DE PREÇOS'!B:B,0)+1),UPPER(INDEX('BASE EDITAL'!$C:$C,EDITAL_A!B36+1))),IF($C36=$C34,"Especificação do Objeto","")))</f>
        <v>Detetização / controle de pragas</v>
      </c>
      <c r="H36" s="84" t="str">
        <f>IF($B35="","",IF($C36=$C33,INDEX('MAPA DE PREÇOS'!$M:$M,MATCH($B36,'MAPA DE PREÇOS'!$B:$B)-16),IF($C36=$C34,"Unidade","")))</f>
        <v>M2</v>
      </c>
      <c r="I36" s="84">
        <f>IF($B35="","",IF($C36=$C33,INDEX('MAPA DE PREÇOS'!$M:$M,MATCH($B36,'MAPA DE PREÇOS'!$B:$B)-17),IF($C36=$C34,"Quant.","")))</f>
        <v>1</v>
      </c>
      <c r="J36" s="60">
        <f>IF(AND(COUNTBLANK($B33:$B35)=2,$B35="",$B34="",MAX(C:C)&gt;1),"Total Estimado",IF($B35="","",IF($C36=$C33,INDEX('MAPA DE PREÇOS'!$M:$M,MATCH($B36,'MAPA DE PREÇOS'!$B:$B)-19),IF($C36=$C34,"Valor Unit. (R$)",IF(AND($C36&lt;&gt;$C35,$J35&lt;&gt;""),IF(MAX(C:C)=1,"Total Estimado","Subtotal"),"")))))</f>
        <v>1.3</v>
      </c>
      <c r="K36" s="75">
        <f>IFERROR(IF(AND(COUNTBLANK($B33:$B35)=2,$B35="",$B34="",MAX(C:C)&gt;1),SUM($K$3:K35)/2,IF($B35="","",IF($C36=$C33,ROUND(J36*I36,2),IF($C36=$C34,"Total Item (R$)",IF(AND($C36&lt;&gt;$C35,$J35&lt;&gt;""),SUMIFS(K:K,C:C,C35,J:J,"&lt;&gt;Subtotal"),""))))),"")</f>
        <v>1.3</v>
      </c>
      <c r="L36" s="75" t="str">
        <f t="shared" si="1"/>
        <v/>
      </c>
    </row>
    <row r="37" spans="2:12" x14ac:dyDescent="0.25">
      <c r="B37" s="41">
        <f>IFERROR(IF(C36=C33,IF(B36+1&lt;='MAPA DE PREÇOS'!$H$8,B36+1,""),B36),"")</f>
        <v>30</v>
      </c>
      <c r="C37" s="41">
        <f>IFERROR(VLOOKUP(B37,'MAPA DE PREÇOS'!B:D,2,FALSE),"")</f>
        <v>1</v>
      </c>
      <c r="D37" s="41">
        <f>IFERROR(VLOOKUP(B37,'MAPA DE PREÇOS'!B:D,3,FALSE),"")</f>
        <v>30</v>
      </c>
      <c r="E37" s="82">
        <f t="shared" ref="E37:E68" si="2">IF($B36="","",IF($C37=$C34,D37,IF($C37=$C35,"Item",IF(AND(MAX(C:C)&gt;1,$C37=$C36),CONCATENATE("LOTE ",C37),""))))</f>
        <v>30</v>
      </c>
      <c r="F37" s="82">
        <f>IF($B36="","",IF($C37=$C34,INDEX('MAPA DE PREÇOS'!$H:$H,MATCH($B37,'MAPA DE PREÇOS'!$B:$B)-19),IF($C37=$C35,"Código","")))</f>
        <v>0</v>
      </c>
      <c r="G37" s="146" t="str">
        <f>IF($B36="","",IF($C37=$C34,IF('BASE EDITAL'!$C$2="",INDEX('MAPA DE PREÇOS'!H:H,MATCH(EDITAL_A!B37,'MAPA DE PREÇOS'!B:B,0)+1),UPPER(INDEX('BASE EDITAL'!$C:$C,EDITAL_A!B37+1))),IF($C37=$C35,"Especificação do Objeto","")))</f>
        <v>Tarifa d´água + esgoto DMAE</v>
      </c>
      <c r="H37" s="84" t="str">
        <f>IF($B36="","",IF($C37=$C34,INDEX('MAPA DE PREÇOS'!$M:$M,MATCH($B37,'MAPA DE PREÇOS'!$B:$B)-16),IF($C37=$C35,"Unidade","")))</f>
        <v>M³</v>
      </c>
      <c r="I37" s="84">
        <f>IF($B36="","",IF($C37=$C34,INDEX('MAPA DE PREÇOS'!$M:$M,MATCH($B37,'MAPA DE PREÇOS'!$B:$B)-17),IF($C37=$C35,"Quant.","")))</f>
        <v>1</v>
      </c>
      <c r="J37" s="60">
        <f>IF(AND(COUNTBLANK($B34:$B36)=2,$B36="",$B35="",MAX(C:C)&gt;1),"Total Estimado",IF($B36="","",IF($C37=$C34,INDEX('MAPA DE PREÇOS'!$M:$M,MATCH($B37,'MAPA DE PREÇOS'!$B:$B)-19),IF($C37=$C35,"Valor Unit. (R$)",IF(AND($C37&lt;&gt;$C36,$J36&lt;&gt;""),IF(MAX(C:C)=1,"Total Estimado","Subtotal"),"")))))</f>
        <v>11.8</v>
      </c>
      <c r="K37" s="75">
        <f>IFERROR(IF(AND(COUNTBLANK($B34:$B36)=2,$B36="",$B35="",MAX(C:C)&gt;1),SUM($K$3:K36)/2,IF($B36="","",IF($C37=$C34,ROUND(J37*I37,2),IF($C37=$C35,"Total Item (R$)",IF(AND($C37&lt;&gt;$C36,$J36&lt;&gt;""),SUMIFS(K:K,C:C,C36,J:J,"&lt;&gt;Subtotal"),""))))),"")</f>
        <v>11.8</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6" t="str">
        <f>IF($B37="","",IF($C38=$C35,IF('BASE EDITAL'!$C$2="",INDEX('MAPA DE PREÇOS'!H:H,MATCH(EDITAL_A!B38,'MAPA DE PREÇOS'!B:B,0)+1),UPPER(INDEX('BASE EDITAL'!$C:$C,EDITAL_A!B38+1))),IF($C38=$C36,"Especificação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Total Estimado</v>
      </c>
      <c r="K38" s="75">
        <f>IFERROR(IF(AND(COUNTBLANK($B35:$B37)=2,$B37="",$B36="",MAX(C:C)&gt;1),SUM($K$3:K37)/2,IF($B37="","",IF($C38=$C35,ROUND(J38*I38,2),IF($C38=$C36,"Total Item (R$)",IF(AND($C38&lt;&gt;$C37,$J37&lt;&gt;""),SUMIFS(K:K,C:C,C37,J:J,"&lt;&gt;Subtotal"),""))))),"")</f>
        <v>4287.9000000000005</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6" t="str">
        <f>IF($B38="","",IF($C39=$C36,IF('BASE EDITAL'!$C$2="",INDEX('MAPA DE PREÇOS'!H:H,MATCH(EDITAL_A!B39,'MAPA DE PREÇOS'!B:B,0)+1),UPPER(INDEX('BASE EDITAL'!$C:$C,EDITAL_A!B39+1))),IF($C39=$C37,"Especificação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6" t="str">
        <f>IF($B39="","",IF($C40=$C37,IF('BASE EDITAL'!$C$2="",INDEX('MAPA DE PREÇOS'!H:H,MATCH(EDITAL_A!B40,'MAPA DE PREÇOS'!B:B,0)+1),UPPER(INDEX('BASE EDITAL'!$C:$C,EDITAL_A!B40+1))),IF($C40=$C38,"Especificação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6" t="str">
        <f>IF($B40="","",IF($C41=$C38,IF('BASE EDITAL'!$C$2="",INDEX('MAPA DE PREÇOS'!H:H,MATCH(EDITAL_A!B41,'MAPA DE PREÇOS'!B:B,0)+1),UPPER(INDEX('BASE EDITAL'!$C:$C,EDITAL_A!B41+1))),IF($C41=$C39,"Especificação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6" t="str">
        <f>IF($B41="","",IF($C42=$C39,IF('BASE EDITAL'!$C$2="",INDEX('MAPA DE PREÇOS'!H:H,MATCH(EDITAL_A!B42,'MAPA DE PREÇOS'!B:B,0)+1),UPPER(INDEX('BASE EDITAL'!$C:$C,EDITAL_A!B42+1))),IF($C42=$C40,"Especificação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6" t="str">
        <f>IF($B42="","",IF($C43=$C40,IF('BASE EDITAL'!$C$2="",INDEX('MAPA DE PREÇOS'!H:H,MATCH(EDITAL_A!B43,'MAPA DE PREÇOS'!B:B,0)+1),UPPER(INDEX('BASE EDITAL'!$C:$C,EDITAL_A!B43+1))),IF($C43=$C41,"Especificação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6" t="str">
        <f>IF($B43="","",IF($C44=$C41,IF('BASE EDITAL'!$C$2="",INDEX('MAPA DE PREÇOS'!H:H,MATCH(EDITAL_A!B44,'MAPA DE PREÇOS'!B:B,0)+1),UPPER(INDEX('BASE EDITAL'!$C:$C,EDITAL_A!B44+1))),IF($C44=$C42,"Especificação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6" t="str">
        <f>IF($B44="","",IF($C45=$C42,IF('BASE EDITAL'!$C$2="",INDEX('MAPA DE PREÇOS'!H:H,MATCH(EDITAL_A!B45,'MAPA DE PREÇOS'!B:B,0)+1),UPPER(INDEX('BASE EDITAL'!$C:$C,EDITAL_A!B45+1))),IF($C45=$C43,"Especificação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6" t="str">
        <f>IF($B45="","",IF($C46=$C43,IF('BASE EDITAL'!$C$2="",INDEX('MAPA DE PREÇOS'!H:H,MATCH(EDITAL_A!B46,'MAPA DE PREÇOS'!B:B,0)+1),UPPER(INDEX('BASE EDITAL'!$C:$C,EDITAL_A!B46+1))),IF($C46=$C44,"Especificação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6" t="str">
        <f>IF($B46="","",IF($C47=$C44,IF('BASE EDITAL'!$C$2="",INDEX('MAPA DE PREÇOS'!H:H,MATCH(EDITAL_A!B47,'MAPA DE PREÇOS'!B:B,0)+1),UPPER(INDEX('BASE EDITAL'!$C:$C,EDITAL_A!B47+1))),IF($C47=$C45,"Especificação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6" t="str">
        <f>IF($B47="","",IF($C48=$C45,IF('BASE EDITAL'!$C$2="",INDEX('MAPA DE PREÇOS'!H:H,MATCH(EDITAL_A!B48,'MAPA DE PREÇOS'!B:B,0)+1),UPPER(INDEX('BASE EDITAL'!$C:$C,EDITAL_A!B48+1))),IF($C48=$C46,"Especificação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6" t="str">
        <f>IF($B48="","",IF($C49=$C46,IF('BASE EDITAL'!$C$2="",INDEX('MAPA DE PREÇOS'!H:H,MATCH(EDITAL_A!B49,'MAPA DE PREÇOS'!B:B,0)+1),UPPER(INDEX('BASE EDITAL'!$C:$C,EDITAL_A!B49+1))),IF($C49=$C47,"Especificação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6" t="str">
        <f>IF($B49="","",IF($C50=$C47,IF('BASE EDITAL'!$C$2="",INDEX('MAPA DE PREÇOS'!H:H,MATCH(EDITAL_A!B50,'MAPA DE PREÇOS'!B:B,0)+1),UPPER(INDEX('BASE EDITAL'!$C:$C,EDITAL_A!B50+1))),IF($C50=$C48,"Especificação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6" t="str">
        <f>IF($B50="","",IF($C51=$C48,IF('BASE EDITAL'!$C$2="",INDEX('MAPA DE PREÇOS'!H:H,MATCH(EDITAL_A!B51,'MAPA DE PREÇOS'!B:B,0)+1),UPPER(INDEX('BASE EDITAL'!$C:$C,EDITAL_A!B51+1))),IF($C51=$C49,"Especificação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6" t="str">
        <f>IF($B51="","",IF($C52=$C49,IF('BASE EDITAL'!$C$2="",INDEX('MAPA DE PREÇOS'!H:H,MATCH(EDITAL_A!B52,'MAPA DE PREÇOS'!B:B,0)+1),UPPER(INDEX('BASE EDITAL'!$C:$C,EDITAL_A!B52+1))),IF($C52=$C50,"Especificação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6" t="str">
        <f>IF($B52="","",IF($C53=$C50,IF('BASE EDITAL'!$C$2="",INDEX('MAPA DE PREÇOS'!H:H,MATCH(EDITAL_A!B53,'MAPA DE PREÇOS'!B:B,0)+1),UPPER(INDEX('BASE EDITAL'!$C:$C,EDITAL_A!B53+1))),IF($C53=$C51,"Especificação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6" t="str">
        <f>IF($B53="","",IF($C54=$C51,IF('BASE EDITAL'!$C$2="",INDEX('MAPA DE PREÇOS'!H:H,MATCH(EDITAL_A!B54,'MAPA DE PREÇOS'!B:B,0)+1),UPPER(INDEX('BASE EDITAL'!$C:$C,EDITAL_A!B54+1))),IF($C54=$C52,"Especificação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6" t="str">
        <f>IF($B54="","",IF($C55=$C52,IF('BASE EDITAL'!$C$2="",INDEX('MAPA DE PREÇOS'!H:H,MATCH(EDITAL_A!B55,'MAPA DE PREÇOS'!B:B,0)+1),UPPER(INDEX('BASE EDITAL'!$C:$C,EDITAL_A!B55+1))),IF($C55=$C53,"Especificação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6" t="str">
        <f>IF($B55="","",IF($C56=$C53,IF('BASE EDITAL'!$C$2="",INDEX('MAPA DE PREÇOS'!H:H,MATCH(EDITAL_A!B56,'MAPA DE PREÇOS'!B:B,0)+1),UPPER(INDEX('BASE EDITAL'!$C:$C,EDITAL_A!B56+1))),IF($C56=$C54,"Especificação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6" t="str">
        <f>IF($B56="","",IF($C57=$C54,IF('BASE EDITAL'!$C$2="",INDEX('MAPA DE PREÇOS'!H:H,MATCH(EDITAL_A!B57,'MAPA DE PREÇOS'!B:B,0)+1),UPPER(INDEX('BASE EDITAL'!$C:$C,EDITAL_A!B57+1))),IF($C57=$C55,"Especificação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6" t="str">
        <f>IF($B57="","",IF($C58=$C55,IF('BASE EDITAL'!$C$2="",INDEX('MAPA DE PREÇOS'!H:H,MATCH(EDITAL_A!B58,'MAPA DE PREÇOS'!B:B,0)+1),UPPER(INDEX('BASE EDITAL'!$C:$C,EDITAL_A!B58+1))),IF($C58=$C56,"Especificação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6" t="str">
        <f>IF($B58="","",IF($C59=$C56,IF('BASE EDITAL'!$C$2="",INDEX('MAPA DE PREÇOS'!H:H,MATCH(EDITAL_A!B59,'MAPA DE PREÇOS'!B:B,0)+1),UPPER(INDEX('BASE EDITAL'!$C:$C,EDITAL_A!B59+1))),IF($C59=$C57,"Especificação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6" t="str">
        <f>IF($B59="","",IF($C60=$C57,IF('BASE EDITAL'!$C$2="",INDEX('MAPA DE PREÇOS'!H:H,MATCH(EDITAL_A!B60,'MAPA DE PREÇOS'!B:B,0)+1),UPPER(INDEX('BASE EDITAL'!$C:$C,EDITAL_A!B60+1))),IF($C60=$C58,"Especificação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6" t="str">
        <f>IF($B60="","",IF($C61=$C58,IF('BASE EDITAL'!$C$2="",INDEX('MAPA DE PREÇOS'!H:H,MATCH(EDITAL_A!B61,'MAPA DE PREÇOS'!B:B,0)+1),UPPER(INDEX('BASE EDITAL'!$C:$C,EDITAL_A!B61+1))),IF($C61=$C59,"Especificação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6" t="str">
        <f>IF($B61="","",IF($C62=$C59,IF('BASE EDITAL'!$C$2="",INDEX('MAPA DE PREÇOS'!H:H,MATCH(EDITAL_A!B62,'MAPA DE PREÇOS'!B:B,0)+1),UPPER(INDEX('BASE EDITAL'!$C:$C,EDITAL_A!B62+1))),IF($C62=$C60,"Especificação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6" t="str">
        <f>IF($B62="","",IF($C63=$C60,IF('BASE EDITAL'!$C$2="",INDEX('MAPA DE PREÇOS'!H:H,MATCH(EDITAL_A!B63,'MAPA DE PREÇOS'!B:B,0)+1),UPPER(INDEX('BASE EDITAL'!$C:$C,EDITAL_A!B63+1))),IF($C63=$C61,"Especificação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6" t="str">
        <f>IF($B63="","",IF($C64=$C61,IF('BASE EDITAL'!$C$2="",INDEX('MAPA DE PREÇOS'!H:H,MATCH(EDITAL_A!B64,'MAPA DE PREÇOS'!B:B,0)+1),UPPER(INDEX('BASE EDITAL'!$C:$C,EDITAL_A!B64+1))),IF($C64=$C62,"Especificação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6" t="str">
        <f>IF($B64="","",IF($C65=$C62,IF('BASE EDITAL'!$C$2="",INDEX('MAPA DE PREÇOS'!H:H,MATCH(EDITAL_A!B65,'MAPA DE PREÇOS'!B:B,0)+1),UPPER(INDEX('BASE EDITAL'!$C:$C,EDITAL_A!B65+1))),IF($C65=$C63,"Especificação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6" t="str">
        <f>IF($B65="","",IF($C66=$C63,IF('BASE EDITAL'!$C$2="",INDEX('MAPA DE PREÇOS'!H:H,MATCH(EDITAL_A!B66,'MAPA DE PREÇOS'!B:B,0)+1),UPPER(INDEX('BASE EDITAL'!$C:$C,EDITAL_A!B66+1))),IF($C66=$C64,"Especificação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6" t="str">
        <f>IF($B66="","",IF($C67=$C64,IF('BASE EDITAL'!$C$2="",INDEX('MAPA DE PREÇOS'!H:H,MATCH(EDITAL_A!B67,'MAPA DE PREÇOS'!B:B,0)+1),UPPER(INDEX('BASE EDITAL'!$C:$C,EDITAL_A!B67+1))),IF($C67=$C65,"Especificação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6" t="str">
        <f>IF($B67="","",IF($C68=$C65,IF('BASE EDITAL'!$C$2="",INDEX('MAPA DE PREÇOS'!H:H,MATCH(EDITAL_A!B68,'MAPA DE PREÇOS'!B:B,0)+1),UPPER(INDEX('BASE EDITAL'!$C:$C,EDITAL_A!B68+1))),IF($C68=$C66,"Especificação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6" t="str">
        <f>IF($B68="","",IF($C69=$C66,IF('BASE EDITAL'!$C$2="",INDEX('MAPA DE PREÇOS'!H:H,MATCH(EDITAL_A!B69,'MAPA DE PREÇOS'!B:B,0)+1),UPPER(INDEX('BASE EDITAL'!$C:$C,EDITAL_A!B69+1))),IF($C69=$C67,"Especificação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6" t="str">
        <f>IF($B69="","",IF($C70=$C67,IF('BASE EDITAL'!$C$2="",INDEX('MAPA DE PREÇOS'!H:H,MATCH(EDITAL_A!B70,'MAPA DE PREÇOS'!B:B,0)+1),UPPER(INDEX('BASE EDITAL'!$C:$C,EDITAL_A!B70+1))),IF($C70=$C68,"Especificação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6" t="str">
        <f>IF($B70="","",IF($C71=$C68,IF('BASE EDITAL'!$C$2="",INDEX('MAPA DE PREÇOS'!H:H,MATCH(EDITAL_A!B71,'MAPA DE PREÇOS'!B:B,0)+1),UPPER(INDEX('BASE EDITAL'!$C:$C,EDITAL_A!B71+1))),IF($C71=$C69,"Especificação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6" t="str">
        <f>IF($B71="","",IF($C72=$C69,IF('BASE EDITAL'!$C$2="",INDEX('MAPA DE PREÇOS'!H:H,MATCH(EDITAL_A!B72,'MAPA DE PREÇOS'!B:B,0)+1),UPPER(INDEX('BASE EDITAL'!$C:$C,EDITAL_A!B72+1))),IF($C72=$C70,"Especificação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6" t="str">
        <f>IF($B72="","",IF($C73=$C70,IF('BASE EDITAL'!$C$2="",INDEX('MAPA DE PREÇOS'!H:H,MATCH(EDITAL_A!B73,'MAPA DE PREÇOS'!B:B,0)+1),UPPER(INDEX('BASE EDITAL'!$C:$C,EDITAL_A!B73+1))),IF($C73=$C71,"Especificação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6" t="str">
        <f>IF($B73="","",IF($C74=$C71,IF('BASE EDITAL'!$C$2="",INDEX('MAPA DE PREÇOS'!H:H,MATCH(EDITAL_A!B74,'MAPA DE PREÇOS'!B:B,0)+1),UPPER(INDEX('BASE EDITAL'!$C:$C,EDITAL_A!B74+1))),IF($C74=$C72,"Especificação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6" t="str">
        <f>IF($B74="","",IF($C75=$C72,IF('BASE EDITAL'!$C$2="",INDEX('MAPA DE PREÇOS'!H:H,MATCH(EDITAL_A!B75,'MAPA DE PREÇOS'!B:B,0)+1),UPPER(INDEX('BASE EDITAL'!$C:$C,EDITAL_A!B75+1))),IF($C75=$C73,"Especificação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6" t="str">
        <f>IF($B75="","",IF($C76=$C73,IF('BASE EDITAL'!$C$2="",INDEX('MAPA DE PREÇOS'!H:H,MATCH(EDITAL_A!B76,'MAPA DE PREÇOS'!B:B,0)+1),UPPER(INDEX('BASE EDITAL'!$C:$C,EDITAL_A!B76+1))),IF($C76=$C74,"Especificação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6" t="str">
        <f>IF($B76="","",IF($C77=$C74,IF('BASE EDITAL'!$C$2="",INDEX('MAPA DE PREÇOS'!H:H,MATCH(EDITAL_A!B77,'MAPA DE PREÇOS'!B:B,0)+1),UPPER(INDEX('BASE EDITAL'!$C:$C,EDITAL_A!B77+1))),IF($C77=$C75,"Especificação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6" t="str">
        <f>IF($B77="","",IF($C78=$C75,IF('BASE EDITAL'!$C$2="",INDEX('MAPA DE PREÇOS'!H:H,MATCH(EDITAL_A!B78,'MAPA DE PREÇOS'!B:B,0)+1),UPPER(INDEX('BASE EDITAL'!$C:$C,EDITAL_A!B78+1))),IF($C78=$C76,"Especificação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6" t="str">
        <f>IF($B78="","",IF($C79=$C76,IF('BASE EDITAL'!$C$2="",INDEX('MAPA DE PREÇOS'!H:H,MATCH(EDITAL_A!B79,'MAPA DE PREÇOS'!B:B,0)+1),UPPER(INDEX('BASE EDITAL'!$C:$C,EDITAL_A!B79+1))),IF($C79=$C77,"Especificação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6" t="str">
        <f>IF($B79="","",IF($C80=$C77,IF('BASE EDITAL'!$C$2="",INDEX('MAPA DE PREÇOS'!H:H,MATCH(EDITAL_A!B80,'MAPA DE PREÇOS'!B:B,0)+1),UPPER(INDEX('BASE EDITAL'!$C:$C,EDITAL_A!B80+1))),IF($C80=$C78,"Especificação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6" t="str">
        <f>IF($B80="","",IF($C81=$C78,IF('BASE EDITAL'!$C$2="",INDEX('MAPA DE PREÇOS'!H:H,MATCH(EDITAL_A!B81,'MAPA DE PREÇOS'!B:B,0)+1),UPPER(INDEX('BASE EDITAL'!$C:$C,EDITAL_A!B81+1))),IF($C81=$C79,"Especificação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6" t="str">
        <f>IF($B81="","",IF($C82=$C79,IF('BASE EDITAL'!$C$2="",INDEX('MAPA DE PREÇOS'!H:H,MATCH(EDITAL_A!B82,'MAPA DE PREÇOS'!B:B,0)+1),UPPER(INDEX('BASE EDITAL'!$C:$C,EDITAL_A!B82+1))),IF($C82=$C80,"Especificação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6" t="str">
        <f>IF($B82="","",IF($C83=$C80,IF('BASE EDITAL'!$C$2="",INDEX('MAPA DE PREÇOS'!H:H,MATCH(EDITAL_A!B83,'MAPA DE PREÇOS'!B:B,0)+1),UPPER(INDEX('BASE EDITAL'!$C:$C,EDITAL_A!B83+1))),IF($C83=$C81,"Especificação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6" t="str">
        <f>IF($B83="","",IF($C84=$C81,IF('BASE EDITAL'!$C$2="",INDEX('MAPA DE PREÇOS'!H:H,MATCH(EDITAL_A!B84,'MAPA DE PREÇOS'!B:B,0)+1),UPPER(INDEX('BASE EDITAL'!$C:$C,EDITAL_A!B84+1))),IF($C84=$C82,"Especificação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6" t="str">
        <f>IF($B84="","",IF($C85=$C82,IF('BASE EDITAL'!$C$2="",INDEX('MAPA DE PREÇOS'!H:H,MATCH(EDITAL_A!B85,'MAPA DE PREÇOS'!B:B,0)+1),UPPER(INDEX('BASE EDITAL'!$C:$C,EDITAL_A!B85+1))),IF($C85=$C83,"Especificação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6" t="str">
        <f>IF($B85="","",IF($C86=$C83,IF('BASE EDITAL'!$C$2="",INDEX('MAPA DE PREÇOS'!H:H,MATCH(EDITAL_A!B86,'MAPA DE PREÇOS'!B:B,0)+1),UPPER(INDEX('BASE EDITAL'!$C:$C,EDITAL_A!B86+1))),IF($C86=$C84,"Especificação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6" t="str">
        <f>IF($B86="","",IF($C87=$C84,IF('BASE EDITAL'!$C$2="",INDEX('MAPA DE PREÇOS'!H:H,MATCH(EDITAL_A!B87,'MAPA DE PREÇOS'!B:B,0)+1),UPPER(INDEX('BASE EDITAL'!$C:$C,EDITAL_A!B87+1))),IF($C87=$C85,"Especificação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6" t="str">
        <f>IF($B87="","",IF($C88=$C85,IF('BASE EDITAL'!$C$2="",INDEX('MAPA DE PREÇOS'!H:H,MATCH(EDITAL_A!B88,'MAPA DE PREÇOS'!B:B,0)+1),UPPER(INDEX('BASE EDITAL'!$C:$C,EDITAL_A!B88+1))),IF($C88=$C86,"Especificação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6" t="str">
        <f>IF($B88="","",IF($C89=$C86,IF('BASE EDITAL'!$C$2="",INDEX('MAPA DE PREÇOS'!H:H,MATCH(EDITAL_A!B89,'MAPA DE PREÇOS'!B:B,0)+1),UPPER(INDEX('BASE EDITAL'!$C:$C,EDITAL_A!B89+1))),IF($C89=$C87,"Especificação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6" t="str">
        <f>IF($B89="","",IF($C90=$C87,IF('BASE EDITAL'!$C$2="",INDEX('MAPA DE PREÇOS'!H:H,MATCH(EDITAL_A!B90,'MAPA DE PREÇOS'!B:B,0)+1),UPPER(INDEX('BASE EDITAL'!$C:$C,EDITAL_A!B90+1))),IF($C90=$C88,"Especificação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6" t="str">
        <f>IF($B90="","",IF($C91=$C88,IF('BASE EDITAL'!$C$2="",INDEX('MAPA DE PREÇOS'!H:H,MATCH(EDITAL_A!B91,'MAPA DE PREÇOS'!B:B,0)+1),UPPER(INDEX('BASE EDITAL'!$C:$C,EDITAL_A!B91+1))),IF($C91=$C89,"Especificação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6" t="str">
        <f>IF($B91="","",IF($C92=$C89,IF('BASE EDITAL'!$C$2="",INDEX('MAPA DE PREÇOS'!H:H,MATCH(EDITAL_A!B92,'MAPA DE PREÇOS'!B:B,0)+1),UPPER(INDEX('BASE EDITAL'!$C:$C,EDITAL_A!B92+1))),IF($C92=$C90,"Especificação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6" t="str">
        <f>IF($B92="","",IF($C93=$C90,IF('BASE EDITAL'!$C$2="",INDEX('MAPA DE PREÇOS'!H:H,MATCH(EDITAL_A!B93,'MAPA DE PREÇOS'!B:B,0)+1),UPPER(INDEX('BASE EDITAL'!$C:$C,EDITAL_A!B93+1))),IF($C93=$C91,"Especificação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6" t="str">
        <f>IF($B93="","",IF($C94=$C91,IF('BASE EDITAL'!$C$2="",INDEX('MAPA DE PREÇOS'!H:H,MATCH(EDITAL_A!B94,'MAPA DE PREÇOS'!B:B,0)+1),UPPER(INDEX('BASE EDITAL'!$C:$C,EDITAL_A!B94+1))),IF($C94=$C92,"Especificação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6" t="str">
        <f>IF($B94="","",IF($C95=$C92,IF('BASE EDITAL'!$C$2="",INDEX('MAPA DE PREÇOS'!H:H,MATCH(EDITAL_A!B95,'MAPA DE PREÇOS'!B:B,0)+1),UPPER(INDEX('BASE EDITAL'!$C:$C,EDITAL_A!B95+1))),IF($C95=$C93,"Especificação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6" t="str">
        <f>IF($B95="","",IF($C96=$C93,IF('BASE EDITAL'!$C$2="",INDEX('MAPA DE PREÇOS'!H:H,MATCH(EDITAL_A!B96,'MAPA DE PREÇOS'!B:B,0)+1),UPPER(INDEX('BASE EDITAL'!$C:$C,EDITAL_A!B96+1))),IF($C96=$C94,"Especificação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6" t="str">
        <f>IF($B96="","",IF($C97=$C94,IF('BASE EDITAL'!$C$2="",INDEX('MAPA DE PREÇOS'!H:H,MATCH(EDITAL_A!B97,'MAPA DE PREÇOS'!B:B,0)+1),UPPER(INDEX('BASE EDITAL'!$C:$C,EDITAL_A!B97+1))),IF($C97=$C95,"Especificação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6" t="str">
        <f>IF($B97="","",IF($C98=$C95,IF('BASE EDITAL'!$C$2="",INDEX('MAPA DE PREÇOS'!H:H,MATCH(EDITAL_A!B98,'MAPA DE PREÇOS'!B:B,0)+1),UPPER(INDEX('BASE EDITAL'!$C:$C,EDITAL_A!B98+1))),IF($C98=$C96,"Especificação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6" t="str">
        <f>IF($B98="","",IF($C99=$C96,IF('BASE EDITAL'!$C$2="",INDEX('MAPA DE PREÇOS'!H:H,MATCH(EDITAL_A!B99,'MAPA DE PREÇOS'!B:B,0)+1),UPPER(INDEX('BASE EDITAL'!$C:$C,EDITAL_A!B99+1))),IF($C99=$C97,"Especificação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6" t="str">
        <f>IF($B99="","",IF($C100=$C97,IF('BASE EDITAL'!$C$2="",INDEX('MAPA DE PREÇOS'!H:H,MATCH(EDITAL_A!B100,'MAPA DE PREÇOS'!B:B,0)+1),UPPER(INDEX('BASE EDITAL'!$C:$C,EDITAL_A!B100+1))),IF($C100=$C98,"Especificação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6" t="str">
        <f>IF($B100="","",IF($C101=$C98,IF('BASE EDITAL'!$C$2="",INDEX('MAPA DE PREÇOS'!H:H,MATCH(EDITAL_A!B101,'MAPA DE PREÇOS'!B:B,0)+1),UPPER(INDEX('BASE EDITAL'!$C:$C,EDITAL_A!B101+1))),IF($C101=$C99,"Especificação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6" t="str">
        <f>IF($B101="","",IF($C102=$C99,IF('BASE EDITAL'!$C$2="",INDEX('MAPA DE PREÇOS'!H:H,MATCH(EDITAL_A!B102,'MAPA DE PREÇOS'!B:B,0)+1),UPPER(INDEX('BASE EDITAL'!$C:$C,EDITAL_A!B102+1))),IF($C102=$C100,"Especificação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6" t="str">
        <f>IF($B102="","",IF($C103=$C100,IF('BASE EDITAL'!$C$2="",INDEX('MAPA DE PREÇOS'!H:H,MATCH(EDITAL_A!B103,'MAPA DE PREÇOS'!B:B,0)+1),UPPER(INDEX('BASE EDITAL'!$C:$C,EDITAL_A!B103+1))),IF($C103=$C101,"Especificação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6" t="str">
        <f>IF($B103="","",IF($C104=$C101,IF('BASE EDITAL'!$C$2="",INDEX('MAPA DE PREÇOS'!H:H,MATCH(EDITAL_A!B104,'MAPA DE PREÇOS'!B:B,0)+1),UPPER(INDEX('BASE EDITAL'!$C:$C,EDITAL_A!B104+1))),IF($C104=$C102,"Especificação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6" t="str">
        <f>IF($B104="","",IF($C105=$C102,IF('BASE EDITAL'!$C$2="",INDEX('MAPA DE PREÇOS'!H:H,MATCH(EDITAL_A!B105,'MAPA DE PREÇOS'!B:B,0)+1),UPPER(INDEX('BASE EDITAL'!$C:$C,EDITAL_A!B105+1))),IF($C105=$C103,"Especificação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6" t="str">
        <f>IF($B105="","",IF($C106=$C103,IF('BASE EDITAL'!$C$2="",INDEX('MAPA DE PREÇOS'!H:H,MATCH(EDITAL_A!B106,'MAPA DE PREÇOS'!B:B,0)+1),UPPER(INDEX('BASE EDITAL'!$C:$C,EDITAL_A!B106+1))),IF($C106=$C104,"Especificação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6" t="str">
        <f>IF($B106="","",IF($C107=$C104,IF('BASE EDITAL'!$C$2="",INDEX('MAPA DE PREÇOS'!H:H,MATCH(EDITAL_A!B107,'MAPA DE PREÇOS'!B:B,0)+1),UPPER(INDEX('BASE EDITAL'!$C:$C,EDITAL_A!B107+1))),IF($C107=$C105,"Especificação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802" t="s">
        <v>305</v>
      </c>
      <c r="F2" s="803"/>
      <c r="G2" s="803"/>
      <c r="H2" s="803"/>
      <c r="I2" s="803"/>
      <c r="J2" s="803"/>
      <c r="K2" s="803"/>
      <c r="L2" s="804"/>
      <c r="M2" s="110"/>
    </row>
    <row r="3" spans="2:37" ht="21" x14ac:dyDescent="0.35">
      <c r="E3" s="794" t="str">
        <f>'MAPA DE PREÇOS'!H5</f>
        <v>DEPARTAMENTO MUNICIPAL DE LIMPEZA URBANA (DMLU)</v>
      </c>
      <c r="F3" s="795"/>
      <c r="G3" s="795"/>
      <c r="H3" s="795"/>
      <c r="I3" s="795"/>
      <c r="J3" s="795"/>
      <c r="K3" s="795"/>
      <c r="L3" s="796"/>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805" t="s">
        <v>358</v>
      </c>
      <c r="F5" s="806"/>
      <c r="G5" s="806"/>
      <c r="H5" s="806"/>
      <c r="I5" s="806"/>
      <c r="J5" s="806"/>
      <c r="K5" s="806"/>
      <c r="L5" s="807"/>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800" t="s">
        <v>354</v>
      </c>
      <c r="O7" s="801"/>
      <c r="P7" s="800" t="s">
        <v>364</v>
      </c>
      <c r="Q7" s="801"/>
      <c r="R7" s="800" t="s">
        <v>365</v>
      </c>
      <c r="S7" s="801"/>
      <c r="T7" s="800" t="s">
        <v>366</v>
      </c>
      <c r="U7" s="801"/>
      <c r="V7" s="800" t="s">
        <v>367</v>
      </c>
      <c r="W7" s="801"/>
      <c r="X7" s="800" t="s">
        <v>368</v>
      </c>
      <c r="Y7" s="801"/>
      <c r="Z7" s="800" t="s">
        <v>369</v>
      </c>
      <c r="AA7" s="801"/>
      <c r="AB7" s="800" t="s">
        <v>370</v>
      </c>
      <c r="AC7" s="801"/>
      <c r="AD7" s="800" t="s">
        <v>371</v>
      </c>
      <c r="AE7" s="801"/>
      <c r="AF7" s="800" t="s">
        <v>372</v>
      </c>
      <c r="AG7" s="801"/>
      <c r="AH7" s="800" t="s">
        <v>373</v>
      </c>
      <c r="AI7" s="801"/>
      <c r="AJ7" s="800" t="s">
        <v>374</v>
      </c>
      <c r="AK7" s="801"/>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PREÇOS'!H:H,MATCH(EDITAL_A!B8,'MAPA DE PREÇOS'!B:B,0)+1),UPPER(INDEX('BASE EDITAL'!$C:$C,EDITAL_A!B8+1))),IF($C8=$C6,"Especificação do Objeto","")))</f>
        <v>Pensa Enfardadeira Hidráulica Vertical pressão hidráulica 15 toneladas, padrões ABNT e NRs</v>
      </c>
      <c r="H8" s="84">
        <f>IF($B7="","",IF($C8=$C5,INDEX('MAPA DE PREÇOS'!$M:$M,MATCH($B8,'MAPA DE PREÇOS'!$B:$B)-16),IF($C8=$C6,"Unidade","")))</f>
        <v>0</v>
      </c>
      <c r="I8" s="84">
        <f>IF($B7="","",IF($C8=$C5,INDEX('MAPA DE PREÇOS'!$M:$M,MATCH($B8,'MAPA DE PREÇOS'!$B:$B)-17),IF($C8=$C6,"Quant.","")))</f>
        <v>0</v>
      </c>
      <c r="J8" s="60">
        <f>IF(J7="Total Mensal","Total Acumulado",IF($B7="","",IF($C8=$C5,INDEX('MAPA DE PREÇOS'!$M:$M,MATCH($B8,'MAPA DE PREÇOS'!$B:$B)-19),IF($C8=$C6,"Valor Unit. (R$)",IF(AND($C8&lt;&gt;$C7,$J7&lt;&gt;""),"Total Mensal","")))))</f>
        <v>27220.45</v>
      </c>
      <c r="K8" s="75">
        <f>IF(J8="","",IF(J8="Total Mensal","-",IF(J8="Total Acumulado",SUM(K$7:K7),I8*J8)))</f>
        <v>0</v>
      </c>
      <c r="L8" s="112">
        <f>IF(J8="","",IF(J8="Total Mensal","-",IF(J8="Total Acumulado",SUM(L$7:L7),K8/SUMIF(J:J,"Total Acumulado",K:K))))</f>
        <v>0</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PREÇOS'!H:H,MATCH(EDITAL_A!B9,'MAPA DE PREÇOS'!B:B,0)+1),UPPER(INDEX('BASE EDITAL'!$C:$C,EDITAL_A!B9+1))),IF($C9=$C7,"Especificação do Objeto","")))</f>
        <v>Esteira de separação de resíduos tamanho mínimo 10500 mm</v>
      </c>
      <c r="H9" s="84">
        <f>IF($B8="","",IF($C9=$C6,INDEX('MAPA DE PREÇOS'!$M:$M,MATCH($B9,'MAPA DE PREÇOS'!$B:$B)-16),IF($C9=$C7,"Unidade","")))</f>
        <v>0</v>
      </c>
      <c r="I9" s="84">
        <f>IF($B8="","",IF($C9=$C6,INDEX('MAPA DE PREÇOS'!$M:$M,MATCH($B9,'MAPA DE PREÇOS'!$B:$B)-17),IF($C9=$C7,"Quant.","")))</f>
        <v>0</v>
      </c>
      <c r="J9" s="60">
        <f>IF(J8="Total Mensal","Total Acumulado",IF($B8="","",IF($C9=$C6,INDEX('MAPA DE PREÇOS'!$M:$M,MATCH($B9,'MAPA DE PREÇOS'!$B:$B)-19),IF($C9=$C7,"Valor Unit. (R$)",IF(AND($C9&lt;&gt;$C8,$J8&lt;&gt;""),"Total Mensal","")))))</f>
        <v>24150.58</v>
      </c>
      <c r="K9" s="75">
        <f>IF(J9="","",IF(J9="Total Mensal","-",IF(J9="Total Acumulado",SUM(K$7:K8),I9*J9)))</f>
        <v>0</v>
      </c>
      <c r="L9" s="112">
        <f>IF(J9="","",IF(J9="Total Mensal","-",IF(J9="Total Acumulado",SUM(L$7:L8),K9/SUMIF(J:J,"Total Acumulado",K:K))))</f>
        <v>0</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PREÇOS'!H:H,MATCH(EDITAL_A!B10,'MAPA DE PREÇOS'!B:B,0)+1),UPPER(INDEX('BASE EDITAL'!$C:$C,EDITAL_A!B10+1))),IF($C10=$C8,"Especificação do Objeto","")))</f>
        <v>Empilhadeira hidráulica manual</v>
      </c>
      <c r="H10" s="84">
        <f>IF($B9="","",IF($C10=$C7,INDEX('MAPA DE PREÇOS'!$M:$M,MATCH($B10,'MAPA DE PREÇOS'!$B:$B)-16),IF($C10=$C8,"Unidade","")))</f>
        <v>0</v>
      </c>
      <c r="I10" s="84">
        <f>IF($B9="","",IF($C10=$C7,INDEX('MAPA DE PREÇOS'!$M:$M,MATCH($B10,'MAPA DE PREÇOS'!$B:$B)-17),IF($C10=$C8,"Quant.","")))</f>
        <v>0</v>
      </c>
      <c r="J10" s="60">
        <f>IF(J9="Total Mensal","Total Acumulado",IF($B9="","",IF($C10=$C7,INDEX('MAPA DE PREÇOS'!$M:$M,MATCH($B10,'MAPA DE PREÇOS'!$B:$B)-19),IF($C10=$C8,"Valor Unit. (R$)",IF(AND($C10&lt;&gt;$C9,$J9&lt;&gt;""),"Total Mensal","")))))</f>
        <v>6369.77</v>
      </c>
      <c r="K10" s="75">
        <f>IF(J10="","",IF(J10="Total Mensal","-",IF(J10="Total Acumulado",SUM(K$7:K9),I10*J10)))</f>
        <v>0</v>
      </c>
      <c r="L10" s="112">
        <f>IF(J10="","",IF(J10="Total Mensal","-",IF(J10="Total Acumulado",SUM(L$7:L9),K10/SUMIF(J:J,"Total Acumulado",K:K))))</f>
        <v>0</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PREÇOS'!H:H,MATCH(EDITAL_A!B11,'MAPA DE PREÇOS'!B:B,0)+1),UPPER(INDEX('BASE EDITAL'!$C:$C,EDITAL_A!B11+1))),IF($C11=$C9,"Especificação do Objeto","")))</f>
        <v>Balança plataforma eletrônica</v>
      </c>
      <c r="H11" s="84">
        <f>IF($B10="","",IF($C11=$C8,INDEX('MAPA DE PREÇOS'!$M:$M,MATCH($B11,'MAPA DE PREÇOS'!$B:$B)-16),IF($C11=$C9,"Unidade","")))</f>
        <v>0</v>
      </c>
      <c r="I11" s="84">
        <f>IF($B10="","",IF($C11=$C8,INDEX('MAPA DE PREÇOS'!$M:$M,MATCH($B11,'MAPA DE PREÇOS'!$B:$B)-17),IF($C11=$C9,"Quant.","")))</f>
        <v>0</v>
      </c>
      <c r="J11" s="60">
        <f>IF(J10="Total Mensal","Total Acumulado",IF($B10="","",IF($C11=$C8,INDEX('MAPA DE PREÇOS'!$M:$M,MATCH($B11,'MAPA DE PREÇOS'!$B:$B)-19),IF($C11=$C9,"Valor Unit. (R$)",IF(AND($C11&lt;&gt;$C10,$J10&lt;&gt;""),"Total Mensal","")))))</f>
        <v>6350.65</v>
      </c>
      <c r="K11" s="75">
        <f>IF(J11="","",IF(J11="Total Mensal","-",IF(J11="Total Acumulado",SUM(K$7:K10),I11*J11)))</f>
        <v>0</v>
      </c>
      <c r="L11" s="112">
        <f>IF(J11="","",IF(J11="Total Mensal","-",IF(J11="Total Acumulado",SUM(L$7:L10),K11/SUMIF(J:J,"Total Acumulado",K:K))))</f>
        <v>0</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PREÇOS'!H:H,MATCH(EDITAL_A!B12,'MAPA DE PREÇOS'!B:B,0)+1),UPPER(INDEX('BASE EDITAL'!$C:$C,EDITAL_A!B12+1))),IF($C12=$C10,"Especificação do Objeto","")))</f>
        <v>Carro de carga tipo plataforma 800kg</v>
      </c>
      <c r="H12" s="84">
        <f>IF($B11="","",IF($C12=$C9,INDEX('MAPA DE PREÇOS'!$M:$M,MATCH($B12,'MAPA DE PREÇOS'!$B:$B)-16),IF($C12=$C10,"Unidade","")))</f>
        <v>0</v>
      </c>
      <c r="I12" s="84">
        <f>IF($B11="","",IF($C12=$C9,INDEX('MAPA DE PREÇOS'!$M:$M,MATCH($B12,'MAPA DE PREÇOS'!$B:$B)-17),IF($C12=$C10,"Quant.","")))</f>
        <v>0</v>
      </c>
      <c r="J12" s="60">
        <f>IF(J11="Total Mensal","Total Acumulado",IF($B11="","",IF($C12=$C9,INDEX('MAPA DE PREÇOS'!$M:$M,MATCH($B12,'MAPA DE PREÇOS'!$B:$B)-19),IF($C12=$C10,"Valor Unit. (R$)",IF(AND($C12&lt;&gt;$C11,$J11&lt;&gt;""),"Total Mensal","")))))</f>
        <v>1733.93</v>
      </c>
      <c r="K12" s="75">
        <f>IF(J12="","",IF(J12="Total Mensal","-",IF(J12="Total Acumulado",SUM(K$7:K11),I12*J12)))</f>
        <v>0</v>
      </c>
      <c r="L12" s="112">
        <f>IF(J12="","",IF(J12="Total Mensal","-",IF(J12="Total Acumulado",SUM(L$7:L11),K12/SUMIF(J:J,"Total Acumulado",K:K))))</f>
        <v>0</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PREÇOS'!H:H,MATCH(EDITAL_A!B13,'MAPA DE PREÇOS'!B:B,0)+1),UPPER(INDEX('BASE EDITAL'!$C:$C,EDITAL_A!B13+1))),IF($C13=$C11,"Especificação do Objeto","")))</f>
        <v>CUB-RS  GI (Galpão Industrial)</v>
      </c>
      <c r="H13" s="84">
        <f>IF($B12="","",IF($C13=$C10,INDEX('MAPA DE PREÇOS'!$M:$M,MATCH($B13,'MAPA DE PREÇOS'!$B:$B)-16),IF($C13=$C11,"Unidade","")))</f>
        <v>0</v>
      </c>
      <c r="I13" s="84">
        <f>IF($B12="","",IF($C13=$C10,INDEX('MAPA DE PREÇOS'!$M:$M,MATCH($B13,'MAPA DE PREÇOS'!$B:$B)-17),IF($C13=$C11,"Quant.","")))</f>
        <v>0</v>
      </c>
      <c r="J13" s="60">
        <f>IF(J12="Total Mensal","Total Acumulado",IF($B12="","",IF($C13=$C10,INDEX('MAPA DE PREÇOS'!$M:$M,MATCH($B13,'MAPA DE PREÇOS'!$B:$B)-19),IF($C13=$C11,"Valor Unit. (R$)",IF(AND($C13&lt;&gt;$C12,$J12&lt;&gt;""),"Total Mensal","")))))</f>
        <v>1299.3599999999999</v>
      </c>
      <c r="K13" s="75">
        <f>IF(J13="","",IF(J13="Total Mensal","-",IF(J13="Total Acumulado",SUM(K$7:K12),I13*J13)))</f>
        <v>0</v>
      </c>
      <c r="L13" s="112">
        <f>IF(J13="","",IF(J13="Total Mensal","-",IF(J13="Total Acumulado",SUM(L$7:L12),K13/SUMIF(J:J,"Total Acumulado",K:K))))</f>
        <v>0</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PREÇOS'!H:H,MATCH(EDITAL_A!B14,'MAPA DE PREÇOS'!B:B,0)+1),UPPER(INDEX('BASE EDITAL'!$C:$C,EDITAL_A!B14+1))),IF($C14=$C12,"Especificação do Objeto","")))</f>
        <v>Luva malha algodão</v>
      </c>
      <c r="H14" s="84">
        <f>IF($B13="","",IF($C14=$C11,INDEX('MAPA DE PREÇOS'!$M:$M,MATCH($B14,'MAPA DE PREÇOS'!$B:$B)-16),IF($C14=$C12,"Unidade","")))</f>
        <v>0</v>
      </c>
      <c r="I14" s="84">
        <f>IF($B13="","",IF($C14=$C11,INDEX('MAPA DE PREÇOS'!$M:$M,MATCH($B14,'MAPA DE PREÇOS'!$B:$B)-17),IF($C14=$C12,"Quant.","")))</f>
        <v>0</v>
      </c>
      <c r="J14" s="60">
        <f>IF(J13="Total Mensal","Total Acumulado",IF($B13="","",IF($C14=$C11,INDEX('MAPA DE PREÇOS'!$M:$M,MATCH($B14,'MAPA DE PREÇOS'!$B:$B)-19),IF($C14=$C12,"Valor Unit. (R$)",IF(AND($C14&lt;&gt;$C13,$J13&lt;&gt;""),"Total Mensal","")))))</f>
        <v>2.77</v>
      </c>
      <c r="K14" s="75">
        <f>IF(J14="","",IF(J14="Total Mensal","-",IF(J14="Total Acumulado",SUM(K$7:K13),I14*J14)))</f>
        <v>0</v>
      </c>
      <c r="L14" s="112">
        <f>IF(J14="","",IF(J14="Total Mensal","-",IF(J14="Total Acumulado",SUM(L$7:L13),K14/SUMIF(J:J,"Total Acumulado",K:K))))</f>
        <v>0</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PREÇOS'!H:H,MATCH(EDITAL_A!B15,'MAPA DE PREÇOS'!B:B,0)+1),UPPER(INDEX('BASE EDITAL'!$C:$C,EDITAL_A!B15+1))),IF($C15=$C13,"Especificação do Objeto","")))</f>
        <v>Avental PVC</v>
      </c>
      <c r="H15" s="84">
        <f>IF($B14="","",IF($C15=$C12,INDEX('MAPA DE PREÇOS'!$M:$M,MATCH($B15,'MAPA DE PREÇOS'!$B:$B)-16),IF($C15=$C13,"Unidade","")))</f>
        <v>0</v>
      </c>
      <c r="I15" s="84">
        <f>IF($B14="","",IF($C15=$C12,INDEX('MAPA DE PREÇOS'!$M:$M,MATCH($B15,'MAPA DE PREÇOS'!$B:$B)-17),IF($C15=$C13,"Quant.","")))</f>
        <v>0</v>
      </c>
      <c r="J15" s="60">
        <f>IF(J14="Total Mensal","Total Acumulado",IF($B14="","",IF($C15=$C12,INDEX('MAPA DE PREÇOS'!$M:$M,MATCH($B15,'MAPA DE PREÇOS'!$B:$B)-19),IF($C15=$C13,"Valor Unit. (R$)",IF(AND($C15&lt;&gt;$C14,$J14&lt;&gt;""),"Total Mensal","")))))</f>
        <v>12.66</v>
      </c>
      <c r="K15" s="75">
        <f>IF(J15="","",IF(J15="Total Mensal","-",IF(J15="Total Acumulado",SUM(K$7:K14),I15*J15)))</f>
        <v>0</v>
      </c>
      <c r="L15" s="112">
        <f>IF(J15="","",IF(J15="Total Mensal","-",IF(J15="Total Acumulado",SUM(L$7:L14),K15/SUMIF(J:J,"Total Acumulado",K:K))))</f>
        <v>0</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PREÇOS'!H:H,MATCH(EDITAL_A!B16,'MAPA DE PREÇOS'!B:B,0)+1),UPPER(INDEX('BASE EDITAL'!$C:$C,EDITAL_A!B16+1))),IF($C16=$C14,"Especificação do Objeto","")))</f>
        <v>Botina com elástico</v>
      </c>
      <c r="H16" s="84">
        <f>IF($B15="","",IF($C16=$C13,INDEX('MAPA DE PREÇOS'!$M:$M,MATCH($B16,'MAPA DE PREÇOS'!$B:$B)-16),IF($C16=$C14,"Unidade","")))</f>
        <v>0</v>
      </c>
      <c r="I16" s="84">
        <f>IF($B15="","",IF($C16=$C13,INDEX('MAPA DE PREÇOS'!$M:$M,MATCH($B16,'MAPA DE PREÇOS'!$B:$B)-17),IF($C16=$C14,"Quant.","")))</f>
        <v>0</v>
      </c>
      <c r="J16" s="60">
        <f>IF(J15="Total Mensal","Total Acumulado",IF($B15="","",IF($C16=$C13,INDEX('MAPA DE PREÇOS'!$M:$M,MATCH($B16,'MAPA DE PREÇOS'!$B:$B)-19),IF($C16=$C14,"Valor Unit. (R$)",IF(AND($C16&lt;&gt;$C15,$J15&lt;&gt;""),"Total Mensal","")))))</f>
        <v>47.65</v>
      </c>
      <c r="K16" s="75">
        <f>IF(J16="","",IF(J16="Total Mensal","-",IF(J16="Total Acumulado",SUM(K$7:K15),I16*J16)))</f>
        <v>0</v>
      </c>
      <c r="L16" s="112">
        <f>IF(J16="","",IF(J16="Total Mensal","-",IF(J16="Total Acumulado",SUM(L$7:L15),K16/SUMIF(J:J,"Total Acumulado",K:K))))</f>
        <v>0</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PREÇOS'!H:H,MATCH(EDITAL_A!B17,'MAPA DE PREÇOS'!B:B,0)+1),UPPER(INDEX('BASE EDITAL'!$C:$C,EDITAL_A!B17+1))),IF($C17=$C15,"Especificação do Objeto","")))</f>
        <v>Protetor Auditivo tipo concha</v>
      </c>
      <c r="H17" s="84">
        <f>IF($B16="","",IF($C17=$C14,INDEX('MAPA DE PREÇOS'!$M:$M,MATCH($B17,'MAPA DE PREÇOS'!$B:$B)-16),IF($C17=$C15,"Unidade","")))</f>
        <v>0</v>
      </c>
      <c r="I17" s="84">
        <f>IF($B16="","",IF($C17=$C14,INDEX('MAPA DE PREÇOS'!$M:$M,MATCH($B17,'MAPA DE PREÇOS'!$B:$B)-17),IF($C17=$C15,"Quant.","")))</f>
        <v>0</v>
      </c>
      <c r="J17" s="60">
        <f>IF(J16="Total Mensal","Total Acumulado",IF($B16="","",IF($C17=$C14,INDEX('MAPA DE PREÇOS'!$M:$M,MATCH($B17,'MAPA DE PREÇOS'!$B:$B)-19),IF($C17=$C15,"Valor Unit. (R$)",IF(AND($C17&lt;&gt;$C16,$J16&lt;&gt;""),"Total Mensal","")))))</f>
        <v>12.47</v>
      </c>
      <c r="K17" s="75">
        <f>IF(J17="","",IF(J17="Total Mensal","-",IF(J17="Total Acumulado",SUM(K$7:K16),I17*J17)))</f>
        <v>0</v>
      </c>
      <c r="L17" s="112">
        <f>IF(J17="","",IF(J17="Total Mensal","-",IF(J17="Total Acumulado",SUM(L$7:L16),K17/SUMIF(J:J,"Total Acumulado",K:K))))</f>
        <v>0</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PREÇOS'!H:H,MATCH(EDITAL_A!B18,'MAPA DE PREÇOS'!B:B,0)+1),UPPER(INDEX('BASE EDITAL'!$C:$C,EDITAL_A!B18+1))),IF($C18=$C16,"Especificação do Objeto","")))</f>
        <v>Respirador dobrável</v>
      </c>
      <c r="H18" s="84">
        <f>IF($B17="","",IF($C18=$C15,INDEX('MAPA DE PREÇOS'!$M:$M,MATCH($B18,'MAPA DE PREÇOS'!$B:$B)-16),IF($C18=$C16,"Unidade","")))</f>
        <v>0</v>
      </c>
      <c r="I18" s="84">
        <f>IF($B17="","",IF($C18=$C15,INDEX('MAPA DE PREÇOS'!$M:$M,MATCH($B18,'MAPA DE PREÇOS'!$B:$B)-17),IF($C18=$C16,"Quant.","")))</f>
        <v>0</v>
      </c>
      <c r="J18" s="60">
        <f>IF(J17="Total Mensal","Total Acumulado",IF($B17="","",IF($C18=$C15,INDEX('MAPA DE PREÇOS'!$M:$M,MATCH($B18,'MAPA DE PREÇOS'!$B:$B)-19),IF($C18=$C16,"Valor Unit. (R$)",IF(AND($C18&lt;&gt;$C17,$J17&lt;&gt;""),"Total Mensal","")))))</f>
        <v>1.58</v>
      </c>
      <c r="K18" s="75">
        <f>IF(J18="","",IF(J18="Total Mensal","-",IF(J18="Total Acumulado",SUM(K$7:K17),I18*J18)))</f>
        <v>0</v>
      </c>
      <c r="L18" s="112">
        <f>IF(J18="","",IF(J18="Total Mensal","-",IF(J18="Total Acumulado",SUM(L$7:L17),K18/SUMIF(J:J,"Total Acumulado",K:K))))</f>
        <v>0</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PREÇOS'!H:H,MATCH(EDITAL_A!B19,'MAPA DE PREÇOS'!B:B,0)+1),UPPER(INDEX('BASE EDITAL'!$C:$C,EDITAL_A!B19+1))),IF($C19=$C17,"Especificação do Objeto","")))</f>
        <v>Óculos leopardo incolor</v>
      </c>
      <c r="H19" s="84">
        <f>IF($B18="","",IF($C19=$C16,INDEX('MAPA DE PREÇOS'!$M:$M,MATCH($B19,'MAPA DE PREÇOS'!$B:$B)-16),IF($C19=$C17,"Unidade","")))</f>
        <v>0</v>
      </c>
      <c r="I19" s="84">
        <f>IF($B18="","",IF($C19=$C16,INDEX('MAPA DE PREÇOS'!$M:$M,MATCH($B19,'MAPA DE PREÇOS'!$B:$B)-17),IF($C19=$C17,"Quant.","")))</f>
        <v>0</v>
      </c>
      <c r="J19" s="60">
        <f>IF(J18="Total Mensal","Total Acumulado",IF($B18="","",IF($C19=$C16,INDEX('MAPA DE PREÇOS'!$M:$M,MATCH($B19,'MAPA DE PREÇOS'!$B:$B)-19),IF($C19=$C17,"Valor Unit. (R$)",IF(AND($C19&lt;&gt;$C18,$J18&lt;&gt;""),"Total Mensal","")))))</f>
        <v>2.65</v>
      </c>
      <c r="K19" s="75">
        <f>IF(J19="","",IF(J19="Total Mensal","-",IF(J19="Total Acumulado",SUM(K$7:K18),I19*J19)))</f>
        <v>0</v>
      </c>
      <c r="L19" s="112">
        <f>IF(J19="","",IF(J19="Total Mensal","-",IF(J19="Total Acumulado",SUM(L$7:L18),K19/SUMIF(J:J,"Total Acumulado",K:K))))</f>
        <v>0</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PREÇOS'!H:H,MATCH(EDITAL_A!B20,'MAPA DE PREÇOS'!B:B,0)+1),UPPER(INDEX('BASE EDITAL'!$C:$C,EDITAL_A!B20+1))),IF($C20=$C18,"Especificação do Objeto","")))</f>
        <v>Calça de algodão</v>
      </c>
      <c r="H20" s="84">
        <f>IF($B19="","",IF($C20=$C17,INDEX('MAPA DE PREÇOS'!$M:$M,MATCH($B20,'MAPA DE PREÇOS'!$B:$B)-16),IF($C20=$C18,"Unidade","")))</f>
        <v>0</v>
      </c>
      <c r="I20" s="84">
        <f>IF($B19="","",IF($C20=$C17,INDEX('MAPA DE PREÇOS'!$M:$M,MATCH($B20,'MAPA DE PREÇOS'!$B:$B)-17),IF($C20=$C18,"Quant.","")))</f>
        <v>0</v>
      </c>
      <c r="J20" s="60">
        <f>IF(J19="Total Mensal","Total Acumulado",IF($B19="","",IF($C20=$C17,INDEX('MAPA DE PREÇOS'!$M:$M,MATCH($B20,'MAPA DE PREÇOS'!$B:$B)-19),IF($C20=$C18,"Valor Unit. (R$)",IF(AND($C20&lt;&gt;$C19,$J19&lt;&gt;""),"Total Mensal","")))))</f>
        <v>53.9</v>
      </c>
      <c r="K20" s="75">
        <f>IF(J20="","",IF(J20="Total Mensal","-",IF(J20="Total Acumulado",SUM(K$7:K19),I20*J20)))</f>
        <v>0</v>
      </c>
      <c r="L20" s="112">
        <f>IF(J20="","",IF(J20="Total Mensal","-",IF(J20="Total Acumulado",SUM(L$7:L19),K20/SUMIF(J:J,"Total Acumulado",K:K))))</f>
        <v>0</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f>IFERROR(IF(C20=C17,IF(B20+1&lt;='MAPA DE PREÇOS'!$H$8,B20+1,""),B20),"")</f>
        <v>14</v>
      </c>
      <c r="C21" s="41">
        <f>IFERROR(VLOOKUP(B21,'MAPA DE PREÇOS'!B:D,2,FALSE),"")</f>
        <v>1</v>
      </c>
      <c r="D21" s="41">
        <f>IFERROR(VLOOKUP(B21,'MAPA DE PREÇOS'!B:D,3,FALSE),"")</f>
        <v>14</v>
      </c>
      <c r="E21" s="82">
        <f t="shared" si="0"/>
        <v>14</v>
      </c>
      <c r="F21" s="82">
        <f>IF($B20="","",IF($C21=$C18,INDEX('MAPA DE PREÇOS'!$H:$H,MATCH($B21,'MAPA DE PREÇOS'!$B:$B)-19),IF($C21=$C19,"Código","")))</f>
        <v>0</v>
      </c>
      <c r="G21" s="83" t="str">
        <f>IF($B20="","",IF($C21=$C18,IF('BASE EDITAL'!$C$2="",INDEX('MAPA DE PREÇOS'!H:H,MATCH(EDITAL_A!B21,'MAPA DE PREÇOS'!B:B,0)+1),UPPER(INDEX('BASE EDITAL'!$C:$C,EDITAL_A!B21+1))),IF($C21=$C19,"Especificação do Objeto","")))</f>
        <v>Camiseta de algodão</v>
      </c>
      <c r="H21" s="84">
        <f>IF($B20="","",IF($C21=$C18,INDEX('MAPA DE PREÇOS'!$M:$M,MATCH($B21,'MAPA DE PREÇOS'!$B:$B)-16),IF($C21=$C19,"Unidade","")))</f>
        <v>0</v>
      </c>
      <c r="I21" s="84">
        <f>IF($B20="","",IF($C21=$C18,INDEX('MAPA DE PREÇOS'!$M:$M,MATCH($B21,'MAPA DE PREÇOS'!$B:$B)-17),IF($C21=$C19,"Quant.","")))</f>
        <v>0</v>
      </c>
      <c r="J21" s="60">
        <f>IF(J20="Total Mensal","Total Acumulado",IF($B20="","",IF($C21=$C18,INDEX('MAPA DE PREÇOS'!$M:$M,MATCH($B21,'MAPA DE PREÇOS'!$B:$B)-19),IF($C21=$C19,"Valor Unit. (R$)",IF(AND($C21&lt;&gt;$C20,$J20&lt;&gt;""),"Total Mensal","")))))</f>
        <v>32.53</v>
      </c>
      <c r="K21" s="75">
        <f>IF(J21="","",IF(J21="Total Mensal","-",IF(J21="Total Acumulado",SUM(K$7:K20),I21*J21)))</f>
        <v>0</v>
      </c>
      <c r="L21" s="112">
        <f>IF(J21="","",IF(J21="Total Mensal","-",IF(J21="Total Acumulado",SUM(L$7:L20),K21/SUMIF(J:J,"Total Acumulado",K:K))))</f>
        <v>0</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f>IFERROR(IF(C21=C18,IF(B21+1&lt;='MAPA DE PREÇOS'!$H$8,B21+1,""),B21),"")</f>
        <v>15</v>
      </c>
      <c r="C22" s="41">
        <f>IFERROR(VLOOKUP(B22,'MAPA DE PREÇOS'!B:D,2,FALSE),"")</f>
        <v>1</v>
      </c>
      <c r="D22" s="41">
        <f>IFERROR(VLOOKUP(B22,'MAPA DE PREÇOS'!B:D,3,FALSE),"")</f>
        <v>15</v>
      </c>
      <c r="E22" s="82">
        <f t="shared" si="0"/>
        <v>15</v>
      </c>
      <c r="F22" s="82">
        <f>IF($B21="","",IF($C22=$C19,INDEX('MAPA DE PREÇOS'!$H:$H,MATCH($B22,'MAPA DE PREÇOS'!$B:$B)-19),IF($C22=$C20,"Código","")))</f>
        <v>0</v>
      </c>
      <c r="G22" s="83" t="str">
        <f>IF($B21="","",IF($C22=$C19,IF('BASE EDITAL'!$C$2="",INDEX('MAPA DE PREÇOS'!H:H,MATCH(EDITAL_A!B22,'MAPA DE PREÇOS'!B:B,0)+1),UPPER(INDEX('BASE EDITAL'!$C:$C,EDITAL_A!B22+1))),IF($C22=$C20,"Especificação do Objeto","")))</f>
        <v>Plano mensal internet</v>
      </c>
      <c r="H22" s="84">
        <f>IF($B21="","",IF($C22=$C19,INDEX('MAPA DE PREÇOS'!$M:$M,MATCH($B22,'MAPA DE PREÇOS'!$B:$B)-16),IF($C22=$C20,"Unidade","")))</f>
        <v>0</v>
      </c>
      <c r="I22" s="84">
        <f>IF($B21="","",IF($C22=$C19,INDEX('MAPA DE PREÇOS'!$M:$M,MATCH($B22,'MAPA DE PREÇOS'!$B:$B)-17),IF($C22=$C20,"Quant.","")))</f>
        <v>0</v>
      </c>
      <c r="J22" s="60">
        <f>IF(J21="Total Mensal","Total Acumulado",IF($B21="","",IF($C22=$C19,INDEX('MAPA DE PREÇOS'!$M:$M,MATCH($B22,'MAPA DE PREÇOS'!$B:$B)-19),IF($C22=$C20,"Valor Unit. (R$)",IF(AND($C22&lt;&gt;$C21,$J21&lt;&gt;""),"Total Mensal","")))))</f>
        <v>93.53</v>
      </c>
      <c r="K22" s="75">
        <f>IF(J22="","",IF(J22="Total Mensal","-",IF(J22="Total Acumulado",SUM(K$7:K21),I22*J22)))</f>
        <v>0</v>
      </c>
      <c r="L22" s="112">
        <f>IF(J22="","",IF(J22="Total Mensal","-",IF(J22="Total Acumulado",SUM(L$7:L21),K22/SUMIF(J:J,"Total Acumulado",K:K))))</f>
        <v>0</v>
      </c>
      <c r="M22" s="108"/>
      <c r="N22" s="112">
        <f>IF($J22="","",IF($J22="Total Mensal",SUM(O$7:O21)/VLOOKUP("Total Acumulado",$J:$K,2,FALSE),IF($J22="Total Acumulado",N21+L22+IF(L$7="% Item",-1,0),0%)))</f>
        <v>0</v>
      </c>
      <c r="O22" s="109">
        <f>IF($J22="","",IF($J22="Total Mensal",SUM(O$7:O21),IF($J22="Total Acumulado",SUM(O$7:O20)+M22,IFERROR(N22*$K22,0))))</f>
        <v>0</v>
      </c>
      <c r="P22" s="112">
        <f>IF($J22="","",IF($J22="Total Mensal",SUM(Q$7:Q21)/VLOOKUP("Total Acumulado",$J:$K,2,FALSE),IF($J22="Total Acumulado",P21+N22+IF(N$7="% Item",-1,0),0%)))</f>
        <v>0</v>
      </c>
      <c r="Q22" s="109">
        <f>IF($J22="","",IF($J22="Total Mensal",SUM(Q$7:Q21),IF($J22="Total Acumulado",SUM(Q$7:Q20)+O22,IFERROR(P22*$K22,0))))</f>
        <v>0</v>
      </c>
      <c r="R22" s="112">
        <f>IF($J22="","",IF($J22="Total Mensal",SUM(S$7:S21)/VLOOKUP("Total Acumulado",$J:$K,2,FALSE),IF($J22="Total Acumulado",R21+P22+IF(P$7="% Item",-1,0),0%)))</f>
        <v>0</v>
      </c>
      <c r="S22" s="109">
        <f>IF($J22="","",IF($J22="Total Mensal",SUM(S$7:S21),IF($J22="Total Acumulado",SUM(S$7:S20)+Q22,IFERROR(R22*$K22,0))))</f>
        <v>0</v>
      </c>
      <c r="T22" s="112">
        <f>IF($J22="","",IF($J22="Total Mensal",SUM(U$7:U21)/VLOOKUP("Total Acumulado",$J:$K,2,FALSE),IF($J22="Total Acumulado",T21+R22+IF(R$7="% Item",-1,0),0%)))</f>
        <v>0</v>
      </c>
      <c r="U22" s="109">
        <f>IF($J22="","",IF($J22="Total Mensal",SUM(U$7:U21),IF($J22="Total Acumulado",SUM(U$7:U20)+S22,IFERROR(T22*$K22,0))))</f>
        <v>0</v>
      </c>
      <c r="V22" s="112">
        <f>IF($J22="","",IF($J22="Total Mensal",SUM(W$7:W21)/VLOOKUP("Total Acumulado",$J:$K,2,FALSE),IF($J22="Total Acumulado",V21+T22+IF(T$7="% Item",-1,0),0%)))</f>
        <v>0</v>
      </c>
      <c r="W22" s="109">
        <f>IF($J22="","",IF($J22="Total Mensal",SUM(W$7:W21),IF($J22="Total Acumulado",SUM(W$7:W20)+U22,IFERROR(V22*$K22,0))))</f>
        <v>0</v>
      </c>
      <c r="X22" s="112">
        <f>IF($J22="","",IF($J22="Total Mensal",SUM(Y$7:Y21)/VLOOKUP("Total Acumulado",$J:$K,2,FALSE),IF($J22="Total Acumulado",X21+V22+IF(V$7="% Item",-1,0),0%)))</f>
        <v>0</v>
      </c>
      <c r="Y22" s="109">
        <f>IF($J22="","",IF($J22="Total Mensal",SUM(Y$7:Y21),IF($J22="Total Acumulado",SUM(Y$7:Y20)+W22,IFERROR(X22*$K22,0))))</f>
        <v>0</v>
      </c>
      <c r="Z22" s="112">
        <f>IF($J22="","",IF($J22="Total Mensal",SUM(AA$7:AA21)/VLOOKUP("Total Acumulado",$J:$K,2,FALSE),IF($J22="Total Acumulado",Z21+X22+IF(X$7="% Item",-1,0),0%)))</f>
        <v>0</v>
      </c>
      <c r="AA22" s="109">
        <f>IF($J22="","",IF($J22="Total Mensal",SUM(AA$7:AA21),IF($J22="Total Acumulado",SUM(AA$7:AA20)+Y22,IFERROR(Z22*$K22,0))))</f>
        <v>0</v>
      </c>
      <c r="AB22" s="112">
        <f>IF($J22="","",IF($J22="Total Mensal",SUM(AC$7:AC21)/VLOOKUP("Total Acumulado",$J:$K,2,FALSE),IF($J22="Total Acumulado",AB21+Z22+IF(Z$7="% Item",-1,0),0%)))</f>
        <v>0</v>
      </c>
      <c r="AC22" s="109">
        <f>IF($J22="","",IF($J22="Total Mensal",SUM(AC$7:AC21),IF($J22="Total Acumulado",SUM(AC$7:AC20)+AA22,IFERROR(AB22*$K22,0))))</f>
        <v>0</v>
      </c>
      <c r="AD22" s="112">
        <f>IF($J22="","",IF($J22="Total Mensal",SUM(AE$7:AE21)/VLOOKUP("Total Acumulado",$J:$K,2,FALSE),IF($J22="Total Acumulado",AD21+AB22+IF(AB$7="% Item",-1,0),0%)))</f>
        <v>0</v>
      </c>
      <c r="AE22" s="109">
        <f>IF($J22="","",IF($J22="Total Mensal",SUM(AE$7:AE21),IF($J22="Total Acumulado",SUM(AE$7:AE20)+AC22,IFERROR(AD22*$K22,0))))</f>
        <v>0</v>
      </c>
      <c r="AF22" s="112">
        <f>IF($J22="","",IF($J22="Total Mensal",SUM(AG$7:AG21)/VLOOKUP("Total Acumulado",$J:$K,2,FALSE),IF($J22="Total Acumulado",AF21+AD22+IF(AD$7="% Item",-1,0),0%)))</f>
        <v>0</v>
      </c>
      <c r="AG22" s="109">
        <f>IF($J22="","",IF($J22="Total Mensal",SUM(AG$7:AG21),IF($J22="Total Acumulado",SUM(AG$7:AG20)+AE22,IFERROR(AF22*$K22,0))))</f>
        <v>0</v>
      </c>
      <c r="AH22" s="112">
        <f>IF($J22="","",IF($J22="Total Mensal",SUM(AI$7:AI21)/VLOOKUP("Total Acumulado",$J:$K,2,FALSE),IF($J22="Total Acumulado",AH21+AF22+IF(AF$7="% Item",-1,0),0%)))</f>
        <v>0</v>
      </c>
      <c r="AI22" s="109">
        <f>IF($J22="","",IF($J22="Total Mensal",SUM(AI$7:AI21),IF($J22="Total Acumulado",SUM(AI$7:AI20)+AG22,IFERROR(AH22*$K22,0))))</f>
        <v>0</v>
      </c>
      <c r="AJ22" s="112">
        <f>IF($J22="","",IF($J22="Total Mensal",SUM(AK$7:AK21)/VLOOKUP("Total Acumulado",$J:$K,2,FALSE),IF($J22="Total Acumulado",AJ21+AH22+IF(AH$7="% Item",-1,0),0%)))</f>
        <v>0</v>
      </c>
      <c r="AK22" s="109">
        <f>IF($J22="","",IF($J22="Total Mensal",SUM(AK$7:AK21),IF($J22="Total Acumulado",SUM(AK$7:AK20)+AI22,IFERROR(AJ22*$K22,0))))</f>
        <v>0</v>
      </c>
    </row>
    <row r="23" spans="2:37" x14ac:dyDescent="0.25">
      <c r="B23" s="41">
        <f>IFERROR(IF(C22=C19,IF(B22+1&lt;='MAPA DE PREÇOS'!$H$8,B22+1,""),B22),"")</f>
        <v>16</v>
      </c>
      <c r="C23" s="41">
        <f>IFERROR(VLOOKUP(B23,'MAPA DE PREÇOS'!B:D,2,FALSE),"")</f>
        <v>1</v>
      </c>
      <c r="D23" s="41">
        <f>IFERROR(VLOOKUP(B23,'MAPA DE PREÇOS'!B:D,3,FALSE),"")</f>
        <v>16</v>
      </c>
      <c r="E23" s="82">
        <f t="shared" si="0"/>
        <v>16</v>
      </c>
      <c r="F23" s="82">
        <f>IF($B22="","",IF($C23=$C20,INDEX('MAPA DE PREÇOS'!$H:$H,MATCH($B23,'MAPA DE PREÇOS'!$B:$B)-19),IF($C23=$C21,"Código","")))</f>
        <v>0</v>
      </c>
      <c r="G23" s="83" t="str">
        <f>IF($B22="","",IF($C23=$C20,IF('BASE EDITAL'!$C$2="",INDEX('MAPA DE PREÇOS'!H:H,MATCH(EDITAL_A!B23,'MAPA DE PREÇOS'!B:B,0)+1),UPPER(INDEX('BASE EDITAL'!$C:$C,EDITAL_A!B23+1))),IF($C23=$C21,"Especificação do Objeto","")))</f>
        <v>Big bag 1000G</v>
      </c>
      <c r="H23" s="84">
        <f>IF($B22="","",IF($C23=$C20,INDEX('MAPA DE PREÇOS'!$M:$M,MATCH($B23,'MAPA DE PREÇOS'!$B:$B)-16),IF($C23=$C21,"Unidade","")))</f>
        <v>0</v>
      </c>
      <c r="I23" s="84">
        <f>IF($B22="","",IF($C23=$C20,INDEX('MAPA DE PREÇOS'!$M:$M,MATCH($B23,'MAPA DE PREÇOS'!$B:$B)-17),IF($C23=$C21,"Quant.","")))</f>
        <v>0</v>
      </c>
      <c r="J23" s="60">
        <f>IF(J22="Total Mensal","Total Acumulado",IF($B22="","",IF($C23=$C20,INDEX('MAPA DE PREÇOS'!$M:$M,MATCH($B23,'MAPA DE PREÇOS'!$B:$B)-19),IF($C23=$C21,"Valor Unit. (R$)",IF(AND($C23&lt;&gt;$C22,$J22&lt;&gt;""),"Total Mensal","")))))</f>
        <v>40</v>
      </c>
      <c r="K23" s="75">
        <f>IF(J23="","",IF(J23="Total Mensal","-",IF(J23="Total Acumulado",SUM(K$7:K22),I23*J23)))</f>
        <v>0</v>
      </c>
      <c r="L23" s="112">
        <f>IF(J23="","",IF(J23="Total Mensal","-",IF(J23="Total Acumulado",SUM(L$7:L22),K23/SUMIF(J:J,"Total Acumulado",K:K))))</f>
        <v>0</v>
      </c>
      <c r="M23" s="108"/>
      <c r="N23" s="112">
        <f>IF($J23="","",IF($J23="Total Mensal",SUM(O$7:O22)/VLOOKUP("Total Acumulado",$J:$K,2,FALSE),IF($J23="Total Acumulado",N22+L23+IF(L$7="% Item",-1,0),0%)))</f>
        <v>0</v>
      </c>
      <c r="O23" s="109">
        <f>IF($J23="","",IF($J23="Total Mensal",SUM(O$7:O22),IF($J23="Total Acumulado",SUM(O$7:O21)+M23,IFERROR(N23*$K23,0))))</f>
        <v>0</v>
      </c>
      <c r="P23" s="112">
        <f>IF($J23="","",IF($J23="Total Mensal",SUM(Q$7:Q22)/VLOOKUP("Total Acumulado",$J:$K,2,FALSE),IF($J23="Total Acumulado",P22+N23+IF(N$7="% Item",-1,0),0%)))</f>
        <v>0</v>
      </c>
      <c r="Q23" s="109">
        <f>IF($J23="","",IF($J23="Total Mensal",SUM(Q$7:Q22),IF($J23="Total Acumulado",SUM(Q$7:Q21)+O23,IFERROR(P23*$K23,0))))</f>
        <v>0</v>
      </c>
      <c r="R23" s="112">
        <f>IF($J23="","",IF($J23="Total Mensal",SUM(S$7:S22)/VLOOKUP("Total Acumulado",$J:$K,2,FALSE),IF($J23="Total Acumulado",R22+P23+IF(P$7="% Item",-1,0),0%)))</f>
        <v>0</v>
      </c>
      <c r="S23" s="109">
        <f>IF($J23="","",IF($J23="Total Mensal",SUM(S$7:S22),IF($J23="Total Acumulado",SUM(S$7:S21)+Q23,IFERROR(R23*$K23,0))))</f>
        <v>0</v>
      </c>
      <c r="T23" s="112">
        <f>IF($J23="","",IF($J23="Total Mensal",SUM(U$7:U22)/VLOOKUP("Total Acumulado",$J:$K,2,FALSE),IF($J23="Total Acumulado",T22+R23+IF(R$7="% Item",-1,0),0%)))</f>
        <v>0</v>
      </c>
      <c r="U23" s="109">
        <f>IF($J23="","",IF($J23="Total Mensal",SUM(U$7:U22),IF($J23="Total Acumulado",SUM(U$7:U21)+S23,IFERROR(T23*$K23,0))))</f>
        <v>0</v>
      </c>
      <c r="V23" s="112">
        <f>IF($J23="","",IF($J23="Total Mensal",SUM(W$7:W22)/VLOOKUP("Total Acumulado",$J:$K,2,FALSE),IF($J23="Total Acumulado",V22+T23+IF(T$7="% Item",-1,0),0%)))</f>
        <v>0</v>
      </c>
      <c r="W23" s="109">
        <f>IF($J23="","",IF($J23="Total Mensal",SUM(W$7:W22),IF($J23="Total Acumulado",SUM(W$7:W21)+U23,IFERROR(V23*$K23,0))))</f>
        <v>0</v>
      </c>
      <c r="X23" s="112">
        <f>IF($J23="","",IF($J23="Total Mensal",SUM(Y$7:Y22)/VLOOKUP("Total Acumulado",$J:$K,2,FALSE),IF($J23="Total Acumulado",X22+V23+IF(V$7="% Item",-1,0),0%)))</f>
        <v>0</v>
      </c>
      <c r="Y23" s="109">
        <f>IF($J23="","",IF($J23="Total Mensal",SUM(Y$7:Y22),IF($J23="Total Acumulado",SUM(Y$7:Y21)+W23,IFERROR(X23*$K23,0))))</f>
        <v>0</v>
      </c>
      <c r="Z23" s="112">
        <f>IF($J23="","",IF($J23="Total Mensal",SUM(AA$7:AA22)/VLOOKUP("Total Acumulado",$J:$K,2,FALSE),IF($J23="Total Acumulado",Z22+X23+IF(X$7="% Item",-1,0),0%)))</f>
        <v>0</v>
      </c>
      <c r="AA23" s="109">
        <f>IF($J23="","",IF($J23="Total Mensal",SUM(AA$7:AA22),IF($J23="Total Acumulado",SUM(AA$7:AA21)+Y23,IFERROR(Z23*$K23,0))))</f>
        <v>0</v>
      </c>
      <c r="AB23" s="112">
        <f>IF($J23="","",IF($J23="Total Mensal",SUM(AC$7:AC22)/VLOOKUP("Total Acumulado",$J:$K,2,FALSE),IF($J23="Total Acumulado",AB22+Z23+IF(Z$7="% Item",-1,0),0%)))</f>
        <v>0</v>
      </c>
      <c r="AC23" s="109">
        <f>IF($J23="","",IF($J23="Total Mensal",SUM(AC$7:AC22),IF($J23="Total Acumulado",SUM(AC$7:AC21)+AA23,IFERROR(AB23*$K23,0))))</f>
        <v>0</v>
      </c>
      <c r="AD23" s="112">
        <f>IF($J23="","",IF($J23="Total Mensal",SUM(AE$7:AE22)/VLOOKUP("Total Acumulado",$J:$K,2,FALSE),IF($J23="Total Acumulado",AD22+AB23+IF(AB$7="% Item",-1,0),0%)))</f>
        <v>0</v>
      </c>
      <c r="AE23" s="109">
        <f>IF($J23="","",IF($J23="Total Mensal",SUM(AE$7:AE22),IF($J23="Total Acumulado",SUM(AE$7:AE21)+AC23,IFERROR(AD23*$K23,0))))</f>
        <v>0</v>
      </c>
      <c r="AF23" s="112">
        <f>IF($J23="","",IF($J23="Total Mensal",SUM(AG$7:AG22)/VLOOKUP("Total Acumulado",$J:$K,2,FALSE),IF($J23="Total Acumulado",AF22+AD23+IF(AD$7="% Item",-1,0),0%)))</f>
        <v>0</v>
      </c>
      <c r="AG23" s="109">
        <f>IF($J23="","",IF($J23="Total Mensal",SUM(AG$7:AG22),IF($J23="Total Acumulado",SUM(AG$7:AG21)+AE23,IFERROR(AF23*$K23,0))))</f>
        <v>0</v>
      </c>
      <c r="AH23" s="112">
        <f>IF($J23="","",IF($J23="Total Mensal",SUM(AI$7:AI22)/VLOOKUP("Total Acumulado",$J:$K,2,FALSE),IF($J23="Total Acumulado",AH22+AF23+IF(AF$7="% Item",-1,0),0%)))</f>
        <v>0</v>
      </c>
      <c r="AI23" s="109">
        <f>IF($J23="","",IF($J23="Total Mensal",SUM(AI$7:AI22),IF($J23="Total Acumulado",SUM(AI$7:AI21)+AG23,IFERROR(AH23*$K23,0))))</f>
        <v>0</v>
      </c>
      <c r="AJ23" s="112">
        <f>IF($J23="","",IF($J23="Total Mensal",SUM(AK$7:AK22)/VLOOKUP("Total Acumulado",$J:$K,2,FALSE),IF($J23="Total Acumulado",AJ22+AH23+IF(AH$7="% Item",-1,0),0%)))</f>
        <v>0</v>
      </c>
      <c r="AK23" s="109">
        <f>IF($J23="","",IF($J23="Total Mensal",SUM(AK$7:AK22),IF($J23="Total Acumulado",SUM(AK$7:AK21)+AI23,IFERROR(AJ23*$K23,0))))</f>
        <v>0</v>
      </c>
    </row>
    <row r="24" spans="2:37" x14ac:dyDescent="0.25">
      <c r="B24" s="41">
        <f>IFERROR(IF(C23=C20,IF(B23+1&lt;='MAPA DE PREÇOS'!$H$8,B23+1,""),B23),"")</f>
        <v>17</v>
      </c>
      <c r="C24" s="41">
        <f>IFERROR(VLOOKUP(B24,'MAPA DE PREÇOS'!B:D,2,FALSE),"")</f>
        <v>1</v>
      </c>
      <c r="D24" s="41">
        <f>IFERROR(VLOOKUP(B24,'MAPA DE PREÇOS'!B:D,3,FALSE),"")</f>
        <v>17</v>
      </c>
      <c r="E24" s="82">
        <f t="shared" si="0"/>
        <v>17</v>
      </c>
      <c r="F24" s="82">
        <f>IF($B23="","",IF($C24=$C21,INDEX('MAPA DE PREÇOS'!$H:$H,MATCH($B24,'MAPA DE PREÇOS'!$B:$B)-19),IF($C24=$C22,"Código","")))</f>
        <v>0</v>
      </c>
      <c r="G24" s="83" t="str">
        <f>IF($B23="","",IF($C24=$C21,IF('BASE EDITAL'!$C$2="",INDEX('MAPA DE PREÇOS'!H:H,MATCH(EDITAL_A!B24,'MAPA DE PREÇOS'!B:B,0)+1),UPPER(INDEX('BASE EDITAL'!$C:$C,EDITAL_A!B24+1))),IF($C24=$C22,"Especificação do Objeto","")))</f>
        <v>Bombona plástica 200 litros</v>
      </c>
      <c r="H24" s="84">
        <f>IF($B23="","",IF($C24=$C21,INDEX('MAPA DE PREÇOS'!$M:$M,MATCH($B24,'MAPA DE PREÇOS'!$B:$B)-16),IF($C24=$C22,"Unidade","")))</f>
        <v>0</v>
      </c>
      <c r="I24" s="84">
        <f>IF($B23="","",IF($C24=$C21,INDEX('MAPA DE PREÇOS'!$M:$M,MATCH($B24,'MAPA DE PREÇOS'!$B:$B)-17),IF($C24=$C22,"Quant.","")))</f>
        <v>0</v>
      </c>
      <c r="J24" s="60">
        <f>IF(J23="Total Mensal","Total Acumulado",IF($B23="","",IF($C24=$C21,INDEX('MAPA DE PREÇOS'!$M:$M,MATCH($B24,'MAPA DE PREÇOS'!$B:$B)-19),IF($C24=$C22,"Valor Unit. (R$)",IF(AND($C24&lt;&gt;$C23,$J23&lt;&gt;""),"Total Mensal","")))))</f>
        <v>225.55</v>
      </c>
      <c r="K24" s="75">
        <f>IF(J24="","",IF(J24="Total Mensal","-",IF(J24="Total Acumulado",SUM(K$7:K23),I24*J24)))</f>
        <v>0</v>
      </c>
      <c r="L24" s="112">
        <f>IF(J24="","",IF(J24="Total Mensal","-",IF(J24="Total Acumulado",SUM(L$7:L23),K24/SUMIF(J:J,"Total Acumulado",K:K))))</f>
        <v>0</v>
      </c>
      <c r="M24" s="108"/>
      <c r="N24" s="112">
        <f>IF($J24="","",IF($J24="Total Mensal",SUM(O$7:O23)/VLOOKUP("Total Acumulado",$J:$K,2,FALSE),IF($J24="Total Acumulado",N23+L24+IF(L$7="% Item",-1,0),0%)))</f>
        <v>0</v>
      </c>
      <c r="O24" s="109">
        <f>IF($J24="","",IF($J24="Total Mensal",SUM(O$7:O23),IF($J24="Total Acumulado",SUM(O$7:O22)+M24,IFERROR(N24*$K24,0))))</f>
        <v>0</v>
      </c>
      <c r="P24" s="112">
        <f>IF($J24="","",IF($J24="Total Mensal",SUM(Q$7:Q23)/VLOOKUP("Total Acumulado",$J:$K,2,FALSE),IF($J24="Total Acumulado",P23+N24+IF(N$7="% Item",-1,0),0%)))</f>
        <v>0</v>
      </c>
      <c r="Q24" s="109">
        <f>IF($J24="","",IF($J24="Total Mensal",SUM(Q$7:Q23),IF($J24="Total Acumulado",SUM(Q$7:Q22)+O24,IFERROR(P24*$K24,0))))</f>
        <v>0</v>
      </c>
      <c r="R24" s="112">
        <f>IF($J24="","",IF($J24="Total Mensal",SUM(S$7:S23)/VLOOKUP("Total Acumulado",$J:$K,2,FALSE),IF($J24="Total Acumulado",R23+P24+IF(P$7="% Item",-1,0),0%)))</f>
        <v>0</v>
      </c>
      <c r="S24" s="109">
        <f>IF($J24="","",IF($J24="Total Mensal",SUM(S$7:S23),IF($J24="Total Acumulado",SUM(S$7:S22)+Q24,IFERROR(R24*$K24,0))))</f>
        <v>0</v>
      </c>
      <c r="T24" s="112">
        <f>IF($J24="","",IF($J24="Total Mensal",SUM(U$7:U23)/VLOOKUP("Total Acumulado",$J:$K,2,FALSE),IF($J24="Total Acumulado",T23+R24+IF(R$7="% Item",-1,0),0%)))</f>
        <v>0</v>
      </c>
      <c r="U24" s="109">
        <f>IF($J24="","",IF($J24="Total Mensal",SUM(U$7:U23),IF($J24="Total Acumulado",SUM(U$7:U22)+S24,IFERROR(T24*$K24,0))))</f>
        <v>0</v>
      </c>
      <c r="V24" s="112">
        <f>IF($J24="","",IF($J24="Total Mensal",SUM(W$7:W23)/VLOOKUP("Total Acumulado",$J:$K,2,FALSE),IF($J24="Total Acumulado",V23+T24+IF(T$7="% Item",-1,0),0%)))</f>
        <v>0</v>
      </c>
      <c r="W24" s="109">
        <f>IF($J24="","",IF($J24="Total Mensal",SUM(W$7:W23),IF($J24="Total Acumulado",SUM(W$7:W22)+U24,IFERROR(V24*$K24,0))))</f>
        <v>0</v>
      </c>
      <c r="X24" s="112">
        <f>IF($J24="","",IF($J24="Total Mensal",SUM(Y$7:Y23)/VLOOKUP("Total Acumulado",$J:$K,2,FALSE),IF($J24="Total Acumulado",X23+V24+IF(V$7="% Item",-1,0),0%)))</f>
        <v>0</v>
      </c>
      <c r="Y24" s="109">
        <f>IF($J24="","",IF($J24="Total Mensal",SUM(Y$7:Y23),IF($J24="Total Acumulado",SUM(Y$7:Y22)+W24,IFERROR(X24*$K24,0))))</f>
        <v>0</v>
      </c>
      <c r="Z24" s="112">
        <f>IF($J24="","",IF($J24="Total Mensal",SUM(AA$7:AA23)/VLOOKUP("Total Acumulado",$J:$K,2,FALSE),IF($J24="Total Acumulado",Z23+X24+IF(X$7="% Item",-1,0),0%)))</f>
        <v>0</v>
      </c>
      <c r="AA24" s="109">
        <f>IF($J24="","",IF($J24="Total Mensal",SUM(AA$7:AA23),IF($J24="Total Acumulado",SUM(AA$7:AA22)+Y24,IFERROR(Z24*$K24,0))))</f>
        <v>0</v>
      </c>
      <c r="AB24" s="112">
        <f>IF($J24="","",IF($J24="Total Mensal",SUM(AC$7:AC23)/VLOOKUP("Total Acumulado",$J:$K,2,FALSE),IF($J24="Total Acumulado",AB23+Z24+IF(Z$7="% Item",-1,0),0%)))</f>
        <v>0</v>
      </c>
      <c r="AC24" s="109">
        <f>IF($J24="","",IF($J24="Total Mensal",SUM(AC$7:AC23),IF($J24="Total Acumulado",SUM(AC$7:AC22)+AA24,IFERROR(AB24*$K24,0))))</f>
        <v>0</v>
      </c>
      <c r="AD24" s="112">
        <f>IF($J24="","",IF($J24="Total Mensal",SUM(AE$7:AE23)/VLOOKUP("Total Acumulado",$J:$K,2,FALSE),IF($J24="Total Acumulado",AD23+AB24+IF(AB$7="% Item",-1,0),0%)))</f>
        <v>0</v>
      </c>
      <c r="AE24" s="109">
        <f>IF($J24="","",IF($J24="Total Mensal",SUM(AE$7:AE23),IF($J24="Total Acumulado",SUM(AE$7:AE22)+AC24,IFERROR(AD24*$K24,0))))</f>
        <v>0</v>
      </c>
      <c r="AF24" s="112">
        <f>IF($J24="","",IF($J24="Total Mensal",SUM(AG$7:AG23)/VLOOKUP("Total Acumulado",$J:$K,2,FALSE),IF($J24="Total Acumulado",AF23+AD24+IF(AD$7="% Item",-1,0),0%)))</f>
        <v>0</v>
      </c>
      <c r="AG24" s="109">
        <f>IF($J24="","",IF($J24="Total Mensal",SUM(AG$7:AG23),IF($J24="Total Acumulado",SUM(AG$7:AG22)+AE24,IFERROR(AF24*$K24,0))))</f>
        <v>0</v>
      </c>
      <c r="AH24" s="112">
        <f>IF($J24="","",IF($J24="Total Mensal",SUM(AI$7:AI23)/VLOOKUP("Total Acumulado",$J:$K,2,FALSE),IF($J24="Total Acumulado",AH23+AF24+IF(AF$7="% Item",-1,0),0%)))</f>
        <v>0</v>
      </c>
      <c r="AI24" s="109">
        <f>IF($J24="","",IF($J24="Total Mensal",SUM(AI$7:AI23),IF($J24="Total Acumulado",SUM(AI$7:AI22)+AG24,IFERROR(AH24*$K24,0))))</f>
        <v>0</v>
      </c>
      <c r="AJ24" s="112">
        <f>IF($J24="","",IF($J24="Total Mensal",SUM(AK$7:AK23)/VLOOKUP("Total Acumulado",$J:$K,2,FALSE),IF($J24="Total Acumulado",AJ23+AH24+IF(AH$7="% Item",-1,0),0%)))</f>
        <v>0</v>
      </c>
      <c r="AK24" s="109">
        <f>IF($J24="","",IF($J24="Total Mensal",SUM(AK$7:AK23),IF($J24="Total Acumulado",SUM(AK$7:AK22)+AI24,IFERROR(AJ24*$K24,0))))</f>
        <v>0</v>
      </c>
    </row>
    <row r="25" spans="2:37" x14ac:dyDescent="0.25">
      <c r="B25" s="41">
        <f>IFERROR(IF(C24=C21,IF(B24+1&lt;='MAPA DE PREÇOS'!$H$8,B24+1,""),B24),"")</f>
        <v>18</v>
      </c>
      <c r="C25" s="41">
        <f>IFERROR(VLOOKUP(B25,'MAPA DE PREÇOS'!B:D,2,FALSE),"")</f>
        <v>1</v>
      </c>
      <c r="D25" s="41">
        <f>IFERROR(VLOOKUP(B25,'MAPA DE PREÇOS'!B:D,3,FALSE),"")</f>
        <v>18</v>
      </c>
      <c r="E25" s="82">
        <f t="shared" si="0"/>
        <v>18</v>
      </c>
      <c r="F25" s="82">
        <f>IF($B24="","",IF($C25=$C22,INDEX('MAPA DE PREÇOS'!$H:$H,MATCH($B25,'MAPA DE PREÇOS'!$B:$B)-19),IF($C25=$C23,"Código","")))</f>
        <v>0</v>
      </c>
      <c r="G25" s="83" t="str">
        <f>IF($B24="","",IF($C25=$C22,IF('BASE EDITAL'!$C$2="",INDEX('MAPA DE PREÇOS'!H:H,MATCH(EDITAL_A!B25,'MAPA DE PREÇOS'!B:B,0)+1),UPPER(INDEX('BASE EDITAL'!$C:$C,EDITAL_A!B25+1))),IF($C25=$C23,"Especificação do Objeto","")))</f>
        <v>Fitilho de prolipropileno</v>
      </c>
      <c r="H25" s="84">
        <f>IF($B24="","",IF($C25=$C22,INDEX('MAPA DE PREÇOS'!$M:$M,MATCH($B25,'MAPA DE PREÇOS'!$B:$B)-16),IF($C25=$C23,"Unidade","")))</f>
        <v>0</v>
      </c>
      <c r="I25" s="84">
        <f>IF($B24="","",IF($C25=$C22,INDEX('MAPA DE PREÇOS'!$M:$M,MATCH($B25,'MAPA DE PREÇOS'!$B:$B)-17),IF($C25=$C23,"Quant.","")))</f>
        <v>0</v>
      </c>
      <c r="J25" s="60">
        <f>IF(J24="Total Mensal","Total Acumulado",IF($B24="","",IF($C25=$C22,INDEX('MAPA DE PREÇOS'!$M:$M,MATCH($B25,'MAPA DE PREÇOS'!$B:$B)-19),IF($C25=$C23,"Valor Unit. (R$)",IF(AND($C25&lt;&gt;$C24,$J24&lt;&gt;""),"Total Mensal","")))))</f>
        <v>15.25</v>
      </c>
      <c r="K25" s="75">
        <f>IF(J25="","",IF(J25="Total Mensal","-",IF(J25="Total Acumulado",SUM(K$7:K24),I25*J25)))</f>
        <v>0</v>
      </c>
      <c r="L25" s="112">
        <f>IF(J25="","",IF(J25="Total Mensal","-",IF(J25="Total Acumulado",SUM(L$7:L24),K25/SUMIF(J:J,"Total Acumulado",K:K))))</f>
        <v>0</v>
      </c>
      <c r="M25" s="108"/>
      <c r="N25" s="112">
        <f>IF($J25="","",IF($J25="Total Mensal",SUM(O$7:O24)/VLOOKUP("Total Acumulado",$J:$K,2,FALSE),IF($J25="Total Acumulado",N24+L25+IF(L$7="% Item",-1,0),0%)))</f>
        <v>0</v>
      </c>
      <c r="O25" s="109">
        <f>IF($J25="","",IF($J25="Total Mensal",SUM(O$7:O24),IF($J25="Total Acumulado",SUM(O$7:O23)+M25,IFERROR(N25*$K25,0))))</f>
        <v>0</v>
      </c>
      <c r="P25" s="112">
        <f>IF($J25="","",IF($J25="Total Mensal",SUM(Q$7:Q24)/VLOOKUP("Total Acumulado",$J:$K,2,FALSE),IF($J25="Total Acumulado",P24+N25+IF(N$7="% Item",-1,0),0%)))</f>
        <v>0</v>
      </c>
      <c r="Q25" s="109">
        <f>IF($J25="","",IF($J25="Total Mensal",SUM(Q$7:Q24),IF($J25="Total Acumulado",SUM(Q$7:Q23)+O25,IFERROR(P25*$K25,0))))</f>
        <v>0</v>
      </c>
      <c r="R25" s="112">
        <f>IF($J25="","",IF($J25="Total Mensal",SUM(S$7:S24)/VLOOKUP("Total Acumulado",$J:$K,2,FALSE),IF($J25="Total Acumulado",R24+P25+IF(P$7="% Item",-1,0),0%)))</f>
        <v>0</v>
      </c>
      <c r="S25" s="109">
        <f>IF($J25="","",IF($J25="Total Mensal",SUM(S$7:S24),IF($J25="Total Acumulado",SUM(S$7:S23)+Q25,IFERROR(R25*$K25,0))))</f>
        <v>0</v>
      </c>
      <c r="T25" s="112">
        <f>IF($J25="","",IF($J25="Total Mensal",SUM(U$7:U24)/VLOOKUP("Total Acumulado",$J:$K,2,FALSE),IF($J25="Total Acumulado",T24+R25+IF(R$7="% Item",-1,0),0%)))</f>
        <v>0</v>
      </c>
      <c r="U25" s="109">
        <f>IF($J25="","",IF($J25="Total Mensal",SUM(U$7:U24),IF($J25="Total Acumulado",SUM(U$7:U23)+S25,IFERROR(T25*$K25,0))))</f>
        <v>0</v>
      </c>
      <c r="V25" s="112">
        <f>IF($J25="","",IF($J25="Total Mensal",SUM(W$7:W24)/VLOOKUP("Total Acumulado",$J:$K,2,FALSE),IF($J25="Total Acumulado",V24+T25+IF(T$7="% Item",-1,0),0%)))</f>
        <v>0</v>
      </c>
      <c r="W25" s="109">
        <f>IF($J25="","",IF($J25="Total Mensal",SUM(W$7:W24),IF($J25="Total Acumulado",SUM(W$7:W23)+U25,IFERROR(V25*$K25,0))))</f>
        <v>0</v>
      </c>
      <c r="X25" s="112">
        <f>IF($J25="","",IF($J25="Total Mensal",SUM(Y$7:Y24)/VLOOKUP("Total Acumulado",$J:$K,2,FALSE),IF($J25="Total Acumulado",X24+V25+IF(V$7="% Item",-1,0),0%)))</f>
        <v>0</v>
      </c>
      <c r="Y25" s="109">
        <f>IF($J25="","",IF($J25="Total Mensal",SUM(Y$7:Y24),IF($J25="Total Acumulado",SUM(Y$7:Y23)+W25,IFERROR(X25*$K25,0))))</f>
        <v>0</v>
      </c>
      <c r="Z25" s="112">
        <f>IF($J25="","",IF($J25="Total Mensal",SUM(AA$7:AA24)/VLOOKUP("Total Acumulado",$J:$K,2,FALSE),IF($J25="Total Acumulado",Z24+X25+IF(X$7="% Item",-1,0),0%)))</f>
        <v>0</v>
      </c>
      <c r="AA25" s="109">
        <f>IF($J25="","",IF($J25="Total Mensal",SUM(AA$7:AA24),IF($J25="Total Acumulado",SUM(AA$7:AA23)+Y25,IFERROR(Z25*$K25,0))))</f>
        <v>0</v>
      </c>
      <c r="AB25" s="112">
        <f>IF($J25="","",IF($J25="Total Mensal",SUM(AC$7:AC24)/VLOOKUP("Total Acumulado",$J:$K,2,FALSE),IF($J25="Total Acumulado",AB24+Z25+IF(Z$7="% Item",-1,0),0%)))</f>
        <v>0</v>
      </c>
      <c r="AC25" s="109">
        <f>IF($J25="","",IF($J25="Total Mensal",SUM(AC$7:AC24),IF($J25="Total Acumulado",SUM(AC$7:AC23)+AA25,IFERROR(AB25*$K25,0))))</f>
        <v>0</v>
      </c>
      <c r="AD25" s="112">
        <f>IF($J25="","",IF($J25="Total Mensal",SUM(AE$7:AE24)/VLOOKUP("Total Acumulado",$J:$K,2,FALSE),IF($J25="Total Acumulado",AD24+AB25+IF(AB$7="% Item",-1,0),0%)))</f>
        <v>0</v>
      </c>
      <c r="AE25" s="109">
        <f>IF($J25="","",IF($J25="Total Mensal",SUM(AE$7:AE24),IF($J25="Total Acumulado",SUM(AE$7:AE23)+AC25,IFERROR(AD25*$K25,0))))</f>
        <v>0</v>
      </c>
      <c r="AF25" s="112">
        <f>IF($J25="","",IF($J25="Total Mensal",SUM(AG$7:AG24)/VLOOKUP("Total Acumulado",$J:$K,2,FALSE),IF($J25="Total Acumulado",AF24+AD25+IF(AD$7="% Item",-1,0),0%)))</f>
        <v>0</v>
      </c>
      <c r="AG25" s="109">
        <f>IF($J25="","",IF($J25="Total Mensal",SUM(AG$7:AG24),IF($J25="Total Acumulado",SUM(AG$7:AG23)+AE25,IFERROR(AF25*$K25,0))))</f>
        <v>0</v>
      </c>
      <c r="AH25" s="112">
        <f>IF($J25="","",IF($J25="Total Mensal",SUM(AI$7:AI24)/VLOOKUP("Total Acumulado",$J:$K,2,FALSE),IF($J25="Total Acumulado",AH24+AF25+IF(AF$7="% Item",-1,0),0%)))</f>
        <v>0</v>
      </c>
      <c r="AI25" s="109">
        <f>IF($J25="","",IF($J25="Total Mensal",SUM(AI$7:AI24),IF($J25="Total Acumulado",SUM(AI$7:AI23)+AG25,IFERROR(AH25*$K25,0))))</f>
        <v>0</v>
      </c>
      <c r="AJ25" s="112">
        <f>IF($J25="","",IF($J25="Total Mensal",SUM(AK$7:AK24)/VLOOKUP("Total Acumulado",$J:$K,2,FALSE),IF($J25="Total Acumulado",AJ24+AH25+IF(AH$7="% Item",-1,0),0%)))</f>
        <v>0</v>
      </c>
      <c r="AK25" s="109">
        <f>IF($J25="","",IF($J25="Total Mensal",SUM(AK$7:AK24),IF($J25="Total Acumulado",SUM(AK$7:AK23)+AI25,IFERROR(AJ25*$K25,0))))</f>
        <v>0</v>
      </c>
    </row>
    <row r="26" spans="2:37" x14ac:dyDescent="0.25">
      <c r="B26" s="41">
        <f>IFERROR(IF(C25=C22,IF(B25+1&lt;='MAPA DE PREÇOS'!$H$8,B25+1,""),B25),"")</f>
        <v>19</v>
      </c>
      <c r="C26" s="41">
        <f>IFERROR(VLOOKUP(B26,'MAPA DE PREÇOS'!B:D,2,FALSE),"")</f>
        <v>1</v>
      </c>
      <c r="D26" s="41">
        <f>IFERROR(VLOOKUP(B26,'MAPA DE PREÇOS'!B:D,3,FALSE),"")</f>
        <v>19</v>
      </c>
      <c r="E26" s="82">
        <f t="shared" si="0"/>
        <v>19</v>
      </c>
      <c r="F26" s="82">
        <f>IF($B25="","",IF($C26=$C23,INDEX('MAPA DE PREÇOS'!$H:$H,MATCH($B26,'MAPA DE PREÇOS'!$B:$B)-19),IF($C26=$C24,"Código","")))</f>
        <v>0</v>
      </c>
      <c r="G26" s="83" t="str">
        <f>IF($B25="","",IF($C26=$C23,IF('BASE EDITAL'!$C$2="",INDEX('MAPA DE PREÇOS'!H:H,MATCH(EDITAL_A!B26,'MAPA DE PREÇOS'!B:B,0)+1),UPPER(INDEX('BASE EDITAL'!$C:$C,EDITAL_A!B26+1))),IF($C26=$C24,"Especificação do Objeto","")))</f>
        <v>Energia Elétrica - Industrial Tarifa Branca P</v>
      </c>
      <c r="H26" s="84" t="str">
        <f>IF($B25="","",IF($C26=$C23,INDEX('MAPA DE PREÇOS'!$M:$M,MATCH($B26,'MAPA DE PREÇOS'!$B:$B)-16),IF($C26=$C24,"Unidade","")))</f>
        <v>KWH</v>
      </c>
      <c r="I26" s="84">
        <f>IF($B25="","",IF($C26=$C23,INDEX('MAPA DE PREÇOS'!$M:$M,MATCH($B26,'MAPA DE PREÇOS'!$B:$B)-17),IF($C26=$C24,"Quant.","")))</f>
        <v>1</v>
      </c>
      <c r="J26" s="60">
        <f>IF(J25="Total Mensal","Total Acumulado",IF($B25="","",IF($C26=$C23,INDEX('MAPA DE PREÇOS'!$M:$M,MATCH($B26,'MAPA DE PREÇOS'!$B:$B)-19),IF($C26=$C24,"Valor Unit. (R$)",IF(AND($C26&lt;&gt;$C25,$J25&lt;&gt;""),"Total Mensal","")))))</f>
        <v>1.41</v>
      </c>
      <c r="K26" s="75">
        <f>IF(J26="","",IF(J26="Total Mensal","-",IF(J26="Total Acumulado",SUM(K$7:K25),I26*J26)))</f>
        <v>1.41</v>
      </c>
      <c r="L26" s="112">
        <f>IF(J26="","",IF(J26="Total Mensal","-",IF(J26="Total Acumulado",SUM(L$7:L25),K26/SUMIF(J:J,"Total Acumulado",K:K))))</f>
        <v>3.2883231086696567E-4</v>
      </c>
      <c r="M26" s="108"/>
      <c r="N26" s="112">
        <f>IF($J26="","",IF($J26="Total Mensal",SUM(O$7:O25)/VLOOKUP("Total Acumulado",$J:$K,2,FALSE),IF($J26="Total Acumulado",N25+L26+IF(L$7="% Item",-1,0),0%)))</f>
        <v>0</v>
      </c>
      <c r="O26" s="109">
        <f>IF($J26="","",IF($J26="Total Mensal",SUM(O$7:O25),IF($J26="Total Acumulado",SUM(O$7:O24)+M26,IFERROR(N26*$K26,0))))</f>
        <v>0</v>
      </c>
      <c r="P26" s="112">
        <f>IF($J26="","",IF($J26="Total Mensal",SUM(Q$7:Q25)/VLOOKUP("Total Acumulado",$J:$K,2,FALSE),IF($J26="Total Acumulado",P25+N26+IF(N$7="% Item",-1,0),0%)))</f>
        <v>0</v>
      </c>
      <c r="Q26" s="109">
        <f>IF($J26="","",IF($J26="Total Mensal",SUM(Q$7:Q25),IF($J26="Total Acumulado",SUM(Q$7:Q24)+O26,IFERROR(P26*$K26,0))))</f>
        <v>0</v>
      </c>
      <c r="R26" s="112">
        <f>IF($J26="","",IF($J26="Total Mensal",SUM(S$7:S25)/VLOOKUP("Total Acumulado",$J:$K,2,FALSE),IF($J26="Total Acumulado",R25+P26+IF(P$7="% Item",-1,0),0%)))</f>
        <v>0</v>
      </c>
      <c r="S26" s="109">
        <f>IF($J26="","",IF($J26="Total Mensal",SUM(S$7:S25),IF($J26="Total Acumulado",SUM(S$7:S24)+Q26,IFERROR(R26*$K26,0))))</f>
        <v>0</v>
      </c>
      <c r="T26" s="112">
        <f>IF($J26="","",IF($J26="Total Mensal",SUM(U$7:U25)/VLOOKUP("Total Acumulado",$J:$K,2,FALSE),IF($J26="Total Acumulado",T25+R26+IF(R$7="% Item",-1,0),0%)))</f>
        <v>0</v>
      </c>
      <c r="U26" s="109">
        <f>IF($J26="","",IF($J26="Total Mensal",SUM(U$7:U25),IF($J26="Total Acumulado",SUM(U$7:U24)+S26,IFERROR(T26*$K26,0))))</f>
        <v>0</v>
      </c>
      <c r="V26" s="112">
        <f>IF($J26="","",IF($J26="Total Mensal",SUM(W$7:W25)/VLOOKUP("Total Acumulado",$J:$K,2,FALSE),IF($J26="Total Acumulado",V25+T26+IF(T$7="% Item",-1,0),0%)))</f>
        <v>0</v>
      </c>
      <c r="W26" s="109">
        <f>IF($J26="","",IF($J26="Total Mensal",SUM(W$7:W25),IF($J26="Total Acumulado",SUM(W$7:W24)+U26,IFERROR(V26*$K26,0))))</f>
        <v>0</v>
      </c>
      <c r="X26" s="112">
        <f>IF($J26="","",IF($J26="Total Mensal",SUM(Y$7:Y25)/VLOOKUP("Total Acumulado",$J:$K,2,FALSE),IF($J26="Total Acumulado",X25+V26+IF(V$7="% Item",-1,0),0%)))</f>
        <v>0</v>
      </c>
      <c r="Y26" s="109">
        <f>IF($J26="","",IF($J26="Total Mensal",SUM(Y$7:Y25),IF($J26="Total Acumulado",SUM(Y$7:Y24)+W26,IFERROR(X26*$K26,0))))</f>
        <v>0</v>
      </c>
      <c r="Z26" s="112">
        <f>IF($J26="","",IF($J26="Total Mensal",SUM(AA$7:AA25)/VLOOKUP("Total Acumulado",$J:$K,2,FALSE),IF($J26="Total Acumulado",Z25+X26+IF(X$7="% Item",-1,0),0%)))</f>
        <v>0</v>
      </c>
      <c r="AA26" s="109">
        <f>IF($J26="","",IF($J26="Total Mensal",SUM(AA$7:AA25),IF($J26="Total Acumulado",SUM(AA$7:AA24)+Y26,IFERROR(Z26*$K26,0))))</f>
        <v>0</v>
      </c>
      <c r="AB26" s="112">
        <f>IF($J26="","",IF($J26="Total Mensal",SUM(AC$7:AC25)/VLOOKUP("Total Acumulado",$J:$K,2,FALSE),IF($J26="Total Acumulado",AB25+Z26+IF(Z$7="% Item",-1,0),0%)))</f>
        <v>0</v>
      </c>
      <c r="AC26" s="109">
        <f>IF($J26="","",IF($J26="Total Mensal",SUM(AC$7:AC25),IF($J26="Total Acumulado",SUM(AC$7:AC24)+AA26,IFERROR(AB26*$K26,0))))</f>
        <v>0</v>
      </c>
      <c r="AD26" s="112">
        <f>IF($J26="","",IF($J26="Total Mensal",SUM(AE$7:AE25)/VLOOKUP("Total Acumulado",$J:$K,2,FALSE),IF($J26="Total Acumulado",AD25+AB26+IF(AB$7="% Item",-1,0),0%)))</f>
        <v>0</v>
      </c>
      <c r="AE26" s="109">
        <f>IF($J26="","",IF($J26="Total Mensal",SUM(AE$7:AE25),IF($J26="Total Acumulado",SUM(AE$7:AE24)+AC26,IFERROR(AD26*$K26,0))))</f>
        <v>0</v>
      </c>
      <c r="AF26" s="112">
        <f>IF($J26="","",IF($J26="Total Mensal",SUM(AG$7:AG25)/VLOOKUP("Total Acumulado",$J:$K,2,FALSE),IF($J26="Total Acumulado",AF25+AD26+IF(AD$7="% Item",-1,0),0%)))</f>
        <v>0</v>
      </c>
      <c r="AG26" s="109">
        <f>IF($J26="","",IF($J26="Total Mensal",SUM(AG$7:AG25),IF($J26="Total Acumulado",SUM(AG$7:AG24)+AE26,IFERROR(AF26*$K26,0))))</f>
        <v>0</v>
      </c>
      <c r="AH26" s="112">
        <f>IF($J26="","",IF($J26="Total Mensal",SUM(AI$7:AI25)/VLOOKUP("Total Acumulado",$J:$K,2,FALSE),IF($J26="Total Acumulado",AH25+AF26+IF(AF$7="% Item",-1,0),0%)))</f>
        <v>0</v>
      </c>
      <c r="AI26" s="109">
        <f>IF($J26="","",IF($J26="Total Mensal",SUM(AI$7:AI25),IF($J26="Total Acumulado",SUM(AI$7:AI24)+AG26,IFERROR(AH26*$K26,0))))</f>
        <v>0</v>
      </c>
      <c r="AJ26" s="112">
        <f>IF($J26="","",IF($J26="Total Mensal",SUM(AK$7:AK25)/VLOOKUP("Total Acumulado",$J:$K,2,FALSE),IF($J26="Total Acumulado",AJ25+AH26+IF(AH$7="% Item",-1,0),0%)))</f>
        <v>0</v>
      </c>
      <c r="AK26" s="109">
        <f>IF($J26="","",IF($J26="Total Mensal",SUM(AK$7:AK25),IF($J26="Total Acumulado",SUM(AK$7:AK24)+AI26,IFERROR(AJ26*$K26,0))))</f>
        <v>0</v>
      </c>
    </row>
    <row r="27" spans="2:37" x14ac:dyDescent="0.25">
      <c r="B27" s="41">
        <f>IFERROR(IF(C26=C23,IF(B26+1&lt;='MAPA DE PREÇOS'!$H$8,B26+1,""),B26),"")</f>
        <v>20</v>
      </c>
      <c r="C27" s="41">
        <f>IFERROR(VLOOKUP(B27,'MAPA DE PREÇOS'!B:D,2,FALSE),"")</f>
        <v>1</v>
      </c>
      <c r="D27" s="41">
        <f>IFERROR(VLOOKUP(B27,'MAPA DE PREÇOS'!B:D,3,FALSE),"")</f>
        <v>20</v>
      </c>
      <c r="E27" s="82">
        <f t="shared" si="0"/>
        <v>20</v>
      </c>
      <c r="F27" s="82">
        <f>IF($B26="","",IF($C27=$C24,INDEX('MAPA DE PREÇOS'!$H:$H,MATCH($B27,'MAPA DE PREÇOS'!$B:$B)-19),IF($C27=$C25,"Código","")))</f>
        <v>0</v>
      </c>
      <c r="G27" s="83" t="str">
        <f>IF($B26="","",IF($C27=$C24,IF('BASE EDITAL'!$C$2="",INDEX('MAPA DE PREÇOS'!H:H,MATCH(EDITAL_A!B27,'MAPA DE PREÇOS'!B:B,0)+1),UPPER(INDEX('BASE EDITAL'!$C:$C,EDITAL_A!B27+1))),IF($C27=$C25,"Especificação do Objeto","")))</f>
        <v>Energia Elétrica - Industrial Tarifa Branca Int</v>
      </c>
      <c r="H27" s="84" t="str">
        <f>IF($B26="","",IF($C27=$C24,INDEX('MAPA DE PREÇOS'!$M:$M,MATCH($B27,'MAPA DE PREÇOS'!$B:$B)-16),IF($C27=$C25,"Unidade","")))</f>
        <v>KWH</v>
      </c>
      <c r="I27" s="84">
        <f>IF($B26="","",IF($C27=$C24,INDEX('MAPA DE PREÇOS'!$M:$M,MATCH($B27,'MAPA DE PREÇOS'!$B:$B)-17),IF($C27=$C25,"Quant.","")))</f>
        <v>1</v>
      </c>
      <c r="J27" s="60">
        <f>IF(J26="Total Mensal","Total Acumulado",IF($B26="","",IF($C27=$C24,INDEX('MAPA DE PREÇOS'!$M:$M,MATCH($B27,'MAPA DE PREÇOS'!$B:$B)-19),IF($C27=$C25,"Valor Unit. (R$)",IF(AND($C27&lt;&gt;$C26,$J26&lt;&gt;""),"Total Mensal","")))))</f>
        <v>0.9163</v>
      </c>
      <c r="K27" s="75">
        <f>IF(J27="","",IF(J27="Total Mensal","-",IF(J27="Total Acumulado",SUM(K$7:K26),I27*J27)))</f>
        <v>0.9163</v>
      </c>
      <c r="L27" s="112">
        <f>IF(J27="","",IF(J27="Total Mensal","-",IF(J27="Total Acumulado",SUM(L$7:L26),K27/SUMIF(J:J,"Total Acumulado",K:K))))</f>
        <v>2.1369435918255366E-4</v>
      </c>
      <c r="M27" s="108"/>
      <c r="N27" s="112">
        <f>IF($J27="","",IF($J27="Total Mensal",SUM(O$7:O26)/VLOOKUP("Total Acumulado",$J:$K,2,FALSE),IF($J27="Total Acumulado",N26+L27+IF(L$7="% Item",-1,0),0%)))</f>
        <v>0</v>
      </c>
      <c r="O27" s="109">
        <f>IF($J27="","",IF($J27="Total Mensal",SUM(O$7:O26),IF($J27="Total Acumulado",SUM(O$7:O25)+M27,IFERROR(N27*$K27,0))))</f>
        <v>0</v>
      </c>
      <c r="P27" s="112">
        <f>IF($J27="","",IF($J27="Total Mensal",SUM(Q$7:Q26)/VLOOKUP("Total Acumulado",$J:$K,2,FALSE),IF($J27="Total Acumulado",P26+N27+IF(N$7="% Item",-1,0),0%)))</f>
        <v>0</v>
      </c>
      <c r="Q27" s="109">
        <f>IF($J27="","",IF($J27="Total Mensal",SUM(Q$7:Q26),IF($J27="Total Acumulado",SUM(Q$7:Q25)+O27,IFERROR(P27*$K27,0))))</f>
        <v>0</v>
      </c>
      <c r="R27" s="112">
        <f>IF($J27="","",IF($J27="Total Mensal",SUM(S$7:S26)/VLOOKUP("Total Acumulado",$J:$K,2,FALSE),IF($J27="Total Acumulado",R26+P27+IF(P$7="% Item",-1,0),0%)))</f>
        <v>0</v>
      </c>
      <c r="S27" s="109">
        <f>IF($J27="","",IF($J27="Total Mensal",SUM(S$7:S26),IF($J27="Total Acumulado",SUM(S$7:S25)+Q27,IFERROR(R27*$K27,0))))</f>
        <v>0</v>
      </c>
      <c r="T27" s="112">
        <f>IF($J27="","",IF($J27="Total Mensal",SUM(U$7:U26)/VLOOKUP("Total Acumulado",$J:$K,2,FALSE),IF($J27="Total Acumulado",T26+R27+IF(R$7="% Item",-1,0),0%)))</f>
        <v>0</v>
      </c>
      <c r="U27" s="109">
        <f>IF($J27="","",IF($J27="Total Mensal",SUM(U$7:U26),IF($J27="Total Acumulado",SUM(U$7:U25)+S27,IFERROR(T27*$K27,0))))</f>
        <v>0</v>
      </c>
      <c r="V27" s="112">
        <f>IF($J27="","",IF($J27="Total Mensal",SUM(W$7:W26)/VLOOKUP("Total Acumulado",$J:$K,2,FALSE),IF($J27="Total Acumulado",V26+T27+IF(T$7="% Item",-1,0),0%)))</f>
        <v>0</v>
      </c>
      <c r="W27" s="109">
        <f>IF($J27="","",IF($J27="Total Mensal",SUM(W$7:W26),IF($J27="Total Acumulado",SUM(W$7:W25)+U27,IFERROR(V27*$K27,0))))</f>
        <v>0</v>
      </c>
      <c r="X27" s="112">
        <f>IF($J27="","",IF($J27="Total Mensal",SUM(Y$7:Y26)/VLOOKUP("Total Acumulado",$J:$K,2,FALSE),IF($J27="Total Acumulado",X26+V27+IF(V$7="% Item",-1,0),0%)))</f>
        <v>0</v>
      </c>
      <c r="Y27" s="109">
        <f>IF($J27="","",IF($J27="Total Mensal",SUM(Y$7:Y26),IF($J27="Total Acumulado",SUM(Y$7:Y25)+W27,IFERROR(X27*$K27,0))))</f>
        <v>0</v>
      </c>
      <c r="Z27" s="112">
        <f>IF($J27="","",IF($J27="Total Mensal",SUM(AA$7:AA26)/VLOOKUP("Total Acumulado",$J:$K,2,FALSE),IF($J27="Total Acumulado",Z26+X27+IF(X$7="% Item",-1,0),0%)))</f>
        <v>0</v>
      </c>
      <c r="AA27" s="109">
        <f>IF($J27="","",IF($J27="Total Mensal",SUM(AA$7:AA26),IF($J27="Total Acumulado",SUM(AA$7:AA25)+Y27,IFERROR(Z27*$K27,0))))</f>
        <v>0</v>
      </c>
      <c r="AB27" s="112">
        <f>IF($J27="","",IF($J27="Total Mensal",SUM(AC$7:AC26)/VLOOKUP("Total Acumulado",$J:$K,2,FALSE),IF($J27="Total Acumulado",AB26+Z27+IF(Z$7="% Item",-1,0),0%)))</f>
        <v>0</v>
      </c>
      <c r="AC27" s="109">
        <f>IF($J27="","",IF($J27="Total Mensal",SUM(AC$7:AC26),IF($J27="Total Acumulado",SUM(AC$7:AC25)+AA27,IFERROR(AB27*$K27,0))))</f>
        <v>0</v>
      </c>
      <c r="AD27" s="112">
        <f>IF($J27="","",IF($J27="Total Mensal",SUM(AE$7:AE26)/VLOOKUP("Total Acumulado",$J:$K,2,FALSE),IF($J27="Total Acumulado",AD26+AB27+IF(AB$7="% Item",-1,0),0%)))</f>
        <v>0</v>
      </c>
      <c r="AE27" s="109">
        <f>IF($J27="","",IF($J27="Total Mensal",SUM(AE$7:AE26),IF($J27="Total Acumulado",SUM(AE$7:AE25)+AC27,IFERROR(AD27*$K27,0))))</f>
        <v>0</v>
      </c>
      <c r="AF27" s="112">
        <f>IF($J27="","",IF($J27="Total Mensal",SUM(AG$7:AG26)/VLOOKUP("Total Acumulado",$J:$K,2,FALSE),IF($J27="Total Acumulado",AF26+AD27+IF(AD$7="% Item",-1,0),0%)))</f>
        <v>0</v>
      </c>
      <c r="AG27" s="109">
        <f>IF($J27="","",IF($J27="Total Mensal",SUM(AG$7:AG26),IF($J27="Total Acumulado",SUM(AG$7:AG25)+AE27,IFERROR(AF27*$K27,0))))</f>
        <v>0</v>
      </c>
      <c r="AH27" s="112">
        <f>IF($J27="","",IF($J27="Total Mensal",SUM(AI$7:AI26)/VLOOKUP("Total Acumulado",$J:$K,2,FALSE),IF($J27="Total Acumulado",AH26+AF27+IF(AF$7="% Item",-1,0),0%)))</f>
        <v>0</v>
      </c>
      <c r="AI27" s="109">
        <f>IF($J27="","",IF($J27="Total Mensal",SUM(AI$7:AI26),IF($J27="Total Acumulado",SUM(AI$7:AI25)+AG27,IFERROR(AH27*$K27,0))))</f>
        <v>0</v>
      </c>
      <c r="AJ27" s="112">
        <f>IF($J27="","",IF($J27="Total Mensal",SUM(AK$7:AK26)/VLOOKUP("Total Acumulado",$J:$K,2,FALSE),IF($J27="Total Acumulado",AJ26+AH27+IF(AH$7="% Item",-1,0),0%)))</f>
        <v>0</v>
      </c>
      <c r="AK27" s="109">
        <f>IF($J27="","",IF($J27="Total Mensal",SUM(AK$7:AK26),IF($J27="Total Acumulado",SUM(AK$7:AK25)+AI27,IFERROR(AJ27*$K27,0))))</f>
        <v>0</v>
      </c>
    </row>
    <row r="28" spans="2:37" x14ac:dyDescent="0.25">
      <c r="B28" s="41">
        <f>IFERROR(IF(C27=C24,IF(B27+1&lt;='MAPA DE PREÇOS'!$H$8,B27+1,""),B27),"")</f>
        <v>21</v>
      </c>
      <c r="C28" s="41">
        <f>IFERROR(VLOOKUP(B28,'MAPA DE PREÇOS'!B:D,2,FALSE),"")</f>
        <v>1</v>
      </c>
      <c r="D28" s="41">
        <f>IFERROR(VLOOKUP(B28,'MAPA DE PREÇOS'!B:D,3,FALSE),"")</f>
        <v>21</v>
      </c>
      <c r="E28" s="82">
        <f t="shared" si="0"/>
        <v>21</v>
      </c>
      <c r="F28" s="82">
        <f>IF($B27="","",IF($C28=$C25,INDEX('MAPA DE PREÇOS'!$H:$H,MATCH($B28,'MAPA DE PREÇOS'!$B:$B)-19),IF($C28=$C26,"Código","")))</f>
        <v>0</v>
      </c>
      <c r="G28" s="83" t="str">
        <f>IF($B27="","",IF($C28=$C25,IF('BASE EDITAL'!$C$2="",INDEX('MAPA DE PREÇOS'!H:H,MATCH(EDITAL_A!B28,'MAPA DE PREÇOS'!B:B,0)+1),UPPER(INDEX('BASE EDITAL'!$C:$C,EDITAL_A!B28+1))),IF($C28=$C26,"Especificação do Objeto","")))</f>
        <v>Energia Elétrica - Industrial Tarifa Branca FP</v>
      </c>
      <c r="H28" s="84" t="str">
        <f>IF($B27="","",IF($C28=$C25,INDEX('MAPA DE PREÇOS'!$M:$M,MATCH($B28,'MAPA DE PREÇOS'!$B:$B)-16),IF($C28=$C26,"Unidade","")))</f>
        <v>KWH</v>
      </c>
      <c r="I28" s="84">
        <f>IF($B27="","",IF($C28=$C25,INDEX('MAPA DE PREÇOS'!$M:$M,MATCH($B28,'MAPA DE PREÇOS'!$B:$B)-17),IF($C28=$C26,"Quant.","")))</f>
        <v>1</v>
      </c>
      <c r="J28" s="60">
        <f>IF(J27="Total Mensal","Total Acumulado",IF($B27="","",IF($C28=$C25,INDEX('MAPA DE PREÇOS'!$M:$M,MATCH($B28,'MAPA DE PREÇOS'!$B:$B)-19),IF($C28=$C26,"Valor Unit. (R$)",IF(AND($C28&lt;&gt;$C27,$J27&lt;&gt;""),"Total Mensal","")))))</f>
        <v>0.57350000000000001</v>
      </c>
      <c r="K28" s="75">
        <f>IF(J28="","",IF(J28="Total Mensal","-",IF(J28="Total Acumulado",SUM(K$7:K27),I28*J28)))</f>
        <v>0.57350000000000001</v>
      </c>
      <c r="L28" s="112">
        <f>IF(J28="","",IF(J28="Total Mensal","-",IF(J28="Total Acumulado",SUM(L$7:L27),K28/SUMIF(J:J,"Total Acumulado",K:K))))</f>
        <v>1.3374846119305306E-4</v>
      </c>
      <c r="M28" s="108"/>
      <c r="N28" s="112">
        <f>IF($J28="","",IF($J28="Total Mensal",SUM(O$7:O27)/VLOOKUP("Total Acumulado",$J:$K,2,FALSE),IF($J28="Total Acumulado",N27+L28+IF(L$7="% Item",-1,0),0%)))</f>
        <v>0</v>
      </c>
      <c r="O28" s="109">
        <f>IF($J28="","",IF($J28="Total Mensal",SUM(O$7:O27),IF($J28="Total Acumulado",SUM(O$7:O26)+M28,IFERROR(N28*$K28,0))))</f>
        <v>0</v>
      </c>
      <c r="P28" s="112">
        <f>IF($J28="","",IF($J28="Total Mensal",SUM(Q$7:Q27)/VLOOKUP("Total Acumulado",$J:$K,2,FALSE),IF($J28="Total Acumulado",P27+N28+IF(N$7="% Item",-1,0),0%)))</f>
        <v>0</v>
      </c>
      <c r="Q28" s="109">
        <f>IF($J28="","",IF($J28="Total Mensal",SUM(Q$7:Q27),IF($J28="Total Acumulado",SUM(Q$7:Q26)+O28,IFERROR(P28*$K28,0))))</f>
        <v>0</v>
      </c>
      <c r="R28" s="112">
        <f>IF($J28="","",IF($J28="Total Mensal",SUM(S$7:S27)/VLOOKUP("Total Acumulado",$J:$K,2,FALSE),IF($J28="Total Acumulado",R27+P28+IF(P$7="% Item",-1,0),0%)))</f>
        <v>0</v>
      </c>
      <c r="S28" s="109">
        <f>IF($J28="","",IF($J28="Total Mensal",SUM(S$7:S27),IF($J28="Total Acumulado",SUM(S$7:S26)+Q28,IFERROR(R28*$K28,0))))</f>
        <v>0</v>
      </c>
      <c r="T28" s="112">
        <f>IF($J28="","",IF($J28="Total Mensal",SUM(U$7:U27)/VLOOKUP("Total Acumulado",$J:$K,2,FALSE),IF($J28="Total Acumulado",T27+R28+IF(R$7="% Item",-1,0),0%)))</f>
        <v>0</v>
      </c>
      <c r="U28" s="109">
        <f>IF($J28="","",IF($J28="Total Mensal",SUM(U$7:U27),IF($J28="Total Acumulado",SUM(U$7:U26)+S28,IFERROR(T28*$K28,0))))</f>
        <v>0</v>
      </c>
      <c r="V28" s="112">
        <f>IF($J28="","",IF($J28="Total Mensal",SUM(W$7:W27)/VLOOKUP("Total Acumulado",$J:$K,2,FALSE),IF($J28="Total Acumulado",V27+T28+IF(T$7="% Item",-1,0),0%)))</f>
        <v>0</v>
      </c>
      <c r="W28" s="109">
        <f>IF($J28="","",IF($J28="Total Mensal",SUM(W$7:W27),IF($J28="Total Acumulado",SUM(W$7:W26)+U28,IFERROR(V28*$K28,0))))</f>
        <v>0</v>
      </c>
      <c r="X28" s="112">
        <f>IF($J28="","",IF($J28="Total Mensal",SUM(Y$7:Y27)/VLOOKUP("Total Acumulado",$J:$K,2,FALSE),IF($J28="Total Acumulado",X27+V28+IF(V$7="% Item",-1,0),0%)))</f>
        <v>0</v>
      </c>
      <c r="Y28" s="109">
        <f>IF($J28="","",IF($J28="Total Mensal",SUM(Y$7:Y27),IF($J28="Total Acumulado",SUM(Y$7:Y26)+W28,IFERROR(X28*$K28,0))))</f>
        <v>0</v>
      </c>
      <c r="Z28" s="112">
        <f>IF($J28="","",IF($J28="Total Mensal",SUM(AA$7:AA27)/VLOOKUP("Total Acumulado",$J:$K,2,FALSE),IF($J28="Total Acumulado",Z27+X28+IF(X$7="% Item",-1,0),0%)))</f>
        <v>0</v>
      </c>
      <c r="AA28" s="109">
        <f>IF($J28="","",IF($J28="Total Mensal",SUM(AA$7:AA27),IF($J28="Total Acumulado",SUM(AA$7:AA26)+Y28,IFERROR(Z28*$K28,0))))</f>
        <v>0</v>
      </c>
      <c r="AB28" s="112">
        <f>IF($J28="","",IF($J28="Total Mensal",SUM(AC$7:AC27)/VLOOKUP("Total Acumulado",$J:$K,2,FALSE),IF($J28="Total Acumulado",AB27+Z28+IF(Z$7="% Item",-1,0),0%)))</f>
        <v>0</v>
      </c>
      <c r="AC28" s="109">
        <f>IF($J28="","",IF($J28="Total Mensal",SUM(AC$7:AC27),IF($J28="Total Acumulado",SUM(AC$7:AC26)+AA28,IFERROR(AB28*$K28,0))))</f>
        <v>0</v>
      </c>
      <c r="AD28" s="112">
        <f>IF($J28="","",IF($J28="Total Mensal",SUM(AE$7:AE27)/VLOOKUP("Total Acumulado",$J:$K,2,FALSE),IF($J28="Total Acumulado",AD27+AB28+IF(AB$7="% Item",-1,0),0%)))</f>
        <v>0</v>
      </c>
      <c r="AE28" s="109">
        <f>IF($J28="","",IF($J28="Total Mensal",SUM(AE$7:AE27),IF($J28="Total Acumulado",SUM(AE$7:AE26)+AC28,IFERROR(AD28*$K28,0))))</f>
        <v>0</v>
      </c>
      <c r="AF28" s="112">
        <f>IF($J28="","",IF($J28="Total Mensal",SUM(AG$7:AG27)/VLOOKUP("Total Acumulado",$J:$K,2,FALSE),IF($J28="Total Acumulado",AF27+AD28+IF(AD$7="% Item",-1,0),0%)))</f>
        <v>0</v>
      </c>
      <c r="AG28" s="109">
        <f>IF($J28="","",IF($J28="Total Mensal",SUM(AG$7:AG27),IF($J28="Total Acumulado",SUM(AG$7:AG26)+AE28,IFERROR(AF28*$K28,0))))</f>
        <v>0</v>
      </c>
      <c r="AH28" s="112">
        <f>IF($J28="","",IF($J28="Total Mensal",SUM(AI$7:AI27)/VLOOKUP("Total Acumulado",$J:$K,2,FALSE),IF($J28="Total Acumulado",AH27+AF28+IF(AF$7="% Item",-1,0),0%)))</f>
        <v>0</v>
      </c>
      <c r="AI28" s="109">
        <f>IF($J28="","",IF($J28="Total Mensal",SUM(AI$7:AI27),IF($J28="Total Acumulado",SUM(AI$7:AI26)+AG28,IFERROR(AH28*$K28,0))))</f>
        <v>0</v>
      </c>
      <c r="AJ28" s="112">
        <f>IF($J28="","",IF($J28="Total Mensal",SUM(AK$7:AK27)/VLOOKUP("Total Acumulado",$J:$K,2,FALSE),IF($J28="Total Acumulado",AJ27+AH28+IF(AH$7="% Item",-1,0),0%)))</f>
        <v>0</v>
      </c>
      <c r="AK28" s="109">
        <f>IF($J28="","",IF($J28="Total Mensal",SUM(AK$7:AK27),IF($J28="Total Acumulado",SUM(AK$7:AK26)+AI28,IFERROR(AJ28*$K28,0))))</f>
        <v>0</v>
      </c>
    </row>
    <row r="29" spans="2:37" x14ac:dyDescent="0.25">
      <c r="B29" s="41">
        <f>IFERROR(IF(C28=C25,IF(B28+1&lt;='MAPA DE PREÇOS'!$H$8,B28+1,""),B28),"")</f>
        <v>22</v>
      </c>
      <c r="C29" s="41">
        <f>IFERROR(VLOOKUP(B29,'MAPA DE PREÇOS'!B:D,2,FALSE),"")</f>
        <v>1</v>
      </c>
      <c r="D29" s="41">
        <f>IFERROR(VLOOKUP(B29,'MAPA DE PREÇOS'!B:D,3,FALSE),"")</f>
        <v>22</v>
      </c>
      <c r="E29" s="82">
        <f t="shared" si="0"/>
        <v>22</v>
      </c>
      <c r="F29" s="82">
        <f>IF($B28="","",IF($C29=$C26,INDEX('MAPA DE PREÇOS'!$H:$H,MATCH($B29,'MAPA DE PREÇOS'!$B:$B)-19),IF($C29=$C27,"Código","")))</f>
        <v>0</v>
      </c>
      <c r="G29" s="83" t="str">
        <f>IF($B28="","",IF($C29=$C26,IF('BASE EDITAL'!$C$2="",INDEX('MAPA DE PREÇOS'!H:H,MATCH(EDITAL_A!B29,'MAPA DE PREÇOS'!B:B,0)+1),UPPER(INDEX('BASE EDITAL'!$C:$C,EDITAL_A!B29+1))),IF($C29=$C27,"Especificação do Objeto","")))</f>
        <v>Detergente concentrado</v>
      </c>
      <c r="H29" s="84" t="str">
        <f>IF($B28="","",IF($C29=$C26,INDEX('MAPA DE PREÇOS'!$M:$M,MATCH($B29,'MAPA DE PREÇOS'!$B:$B)-16),IF($C29=$C27,"Unidade","")))</f>
        <v>L</v>
      </c>
      <c r="I29" s="84">
        <f>IF($B28="","",IF($C29=$C26,INDEX('MAPA DE PREÇOS'!$M:$M,MATCH($B29,'MAPA DE PREÇOS'!$B:$B)-17),IF($C29=$C27,"Quant.","")))</f>
        <v>1</v>
      </c>
      <c r="J29" s="60">
        <f>IF(J28="Total Mensal","Total Acumulado",IF($B28="","",IF($C29=$C26,INDEX('MAPA DE PREÇOS'!$M:$M,MATCH($B29,'MAPA DE PREÇOS'!$B:$B)-19),IF($C29=$C27,"Valor Unit. (R$)",IF(AND($C29&lt;&gt;$C28,$J28&lt;&gt;""),"Total Mensal","")))))</f>
        <v>1.94</v>
      </c>
      <c r="K29" s="75">
        <f>IF(J29="","",IF(J29="Total Mensal","-",IF(J29="Total Acumulado",SUM(K$7:K28),I29*J29)))</f>
        <v>1.94</v>
      </c>
      <c r="L29" s="112">
        <f>IF(J29="","",IF(J29="Total Mensal","-",IF(J29="Total Acumulado",SUM(L$7:L28),K29/SUMIF(J:J,"Total Acumulado",K:K))))</f>
        <v>4.524359454481655E-4</v>
      </c>
      <c r="M29" s="108"/>
      <c r="N29" s="112">
        <f>IF($J29="","",IF($J29="Total Mensal",SUM(O$7:O28)/VLOOKUP("Total Acumulado",$J:$K,2,FALSE),IF($J29="Total Acumulado",N28+L29+IF(L$7="% Item",-1,0),0%)))</f>
        <v>0</v>
      </c>
      <c r="O29" s="109">
        <f>IF($J29="","",IF($J29="Total Mensal",SUM(O$7:O28),IF($J29="Total Acumulado",SUM(O$7:O27)+M29,IFERROR(N29*$K29,0))))</f>
        <v>0</v>
      </c>
      <c r="P29" s="112">
        <f>IF($J29="","",IF($J29="Total Mensal",SUM(Q$7:Q28)/VLOOKUP("Total Acumulado",$J:$K,2,FALSE),IF($J29="Total Acumulado",P28+N29+IF(N$7="% Item",-1,0),0%)))</f>
        <v>0</v>
      </c>
      <c r="Q29" s="109">
        <f>IF($J29="","",IF($J29="Total Mensal",SUM(Q$7:Q28),IF($J29="Total Acumulado",SUM(Q$7:Q27)+O29,IFERROR(P29*$K29,0))))</f>
        <v>0</v>
      </c>
      <c r="R29" s="112">
        <f>IF($J29="","",IF($J29="Total Mensal",SUM(S$7:S28)/VLOOKUP("Total Acumulado",$J:$K,2,FALSE),IF($J29="Total Acumulado",R28+P29+IF(P$7="% Item",-1,0),0%)))</f>
        <v>0</v>
      </c>
      <c r="S29" s="109">
        <f>IF($J29="","",IF($J29="Total Mensal",SUM(S$7:S28),IF($J29="Total Acumulado",SUM(S$7:S27)+Q29,IFERROR(R29*$K29,0))))</f>
        <v>0</v>
      </c>
      <c r="T29" s="112">
        <f>IF($J29="","",IF($J29="Total Mensal",SUM(U$7:U28)/VLOOKUP("Total Acumulado",$J:$K,2,FALSE),IF($J29="Total Acumulado",T28+R29+IF(R$7="% Item",-1,0),0%)))</f>
        <v>0</v>
      </c>
      <c r="U29" s="109">
        <f>IF($J29="","",IF($J29="Total Mensal",SUM(U$7:U28),IF($J29="Total Acumulado",SUM(U$7:U27)+S29,IFERROR(T29*$K29,0))))</f>
        <v>0</v>
      </c>
      <c r="V29" s="112">
        <f>IF($J29="","",IF($J29="Total Mensal",SUM(W$7:W28)/VLOOKUP("Total Acumulado",$J:$K,2,FALSE),IF($J29="Total Acumulado",V28+T29+IF(T$7="% Item",-1,0),0%)))</f>
        <v>0</v>
      </c>
      <c r="W29" s="109">
        <f>IF($J29="","",IF($J29="Total Mensal",SUM(W$7:W28),IF($J29="Total Acumulado",SUM(W$7:W27)+U29,IFERROR(V29*$K29,0))))</f>
        <v>0</v>
      </c>
      <c r="X29" s="112">
        <f>IF($J29="","",IF($J29="Total Mensal",SUM(Y$7:Y28)/VLOOKUP("Total Acumulado",$J:$K,2,FALSE),IF($J29="Total Acumulado",X28+V29+IF(V$7="% Item",-1,0),0%)))</f>
        <v>0</v>
      </c>
      <c r="Y29" s="109">
        <f>IF($J29="","",IF($J29="Total Mensal",SUM(Y$7:Y28),IF($J29="Total Acumulado",SUM(Y$7:Y27)+W29,IFERROR(X29*$K29,0))))</f>
        <v>0</v>
      </c>
      <c r="Z29" s="112">
        <f>IF($J29="","",IF($J29="Total Mensal",SUM(AA$7:AA28)/VLOOKUP("Total Acumulado",$J:$K,2,FALSE),IF($J29="Total Acumulado",Z28+X29+IF(X$7="% Item",-1,0),0%)))</f>
        <v>0</v>
      </c>
      <c r="AA29" s="109">
        <f>IF($J29="","",IF($J29="Total Mensal",SUM(AA$7:AA28),IF($J29="Total Acumulado",SUM(AA$7:AA27)+Y29,IFERROR(Z29*$K29,0))))</f>
        <v>0</v>
      </c>
      <c r="AB29" s="112">
        <f>IF($J29="","",IF($J29="Total Mensal",SUM(AC$7:AC28)/VLOOKUP("Total Acumulado",$J:$K,2,FALSE),IF($J29="Total Acumulado",AB28+Z29+IF(Z$7="% Item",-1,0),0%)))</f>
        <v>0</v>
      </c>
      <c r="AC29" s="109">
        <f>IF($J29="","",IF($J29="Total Mensal",SUM(AC$7:AC28),IF($J29="Total Acumulado",SUM(AC$7:AC27)+AA29,IFERROR(AB29*$K29,0))))</f>
        <v>0</v>
      </c>
      <c r="AD29" s="112">
        <f>IF($J29="","",IF($J29="Total Mensal",SUM(AE$7:AE28)/VLOOKUP("Total Acumulado",$J:$K,2,FALSE),IF($J29="Total Acumulado",AD28+AB29+IF(AB$7="% Item",-1,0),0%)))</f>
        <v>0</v>
      </c>
      <c r="AE29" s="109">
        <f>IF($J29="","",IF($J29="Total Mensal",SUM(AE$7:AE28),IF($J29="Total Acumulado",SUM(AE$7:AE27)+AC29,IFERROR(AD29*$K29,0))))</f>
        <v>0</v>
      </c>
      <c r="AF29" s="112">
        <f>IF($J29="","",IF($J29="Total Mensal",SUM(AG$7:AG28)/VLOOKUP("Total Acumulado",$J:$K,2,FALSE),IF($J29="Total Acumulado",AF28+AD29+IF(AD$7="% Item",-1,0),0%)))</f>
        <v>0</v>
      </c>
      <c r="AG29" s="109">
        <f>IF($J29="","",IF($J29="Total Mensal",SUM(AG$7:AG28),IF($J29="Total Acumulado",SUM(AG$7:AG27)+AE29,IFERROR(AF29*$K29,0))))</f>
        <v>0</v>
      </c>
      <c r="AH29" s="112">
        <f>IF($J29="","",IF($J29="Total Mensal",SUM(AI$7:AI28)/VLOOKUP("Total Acumulado",$J:$K,2,FALSE),IF($J29="Total Acumulado",AH28+AF29+IF(AF$7="% Item",-1,0),0%)))</f>
        <v>0</v>
      </c>
      <c r="AI29" s="109">
        <f>IF($J29="","",IF($J29="Total Mensal",SUM(AI$7:AI28),IF($J29="Total Acumulado",SUM(AI$7:AI27)+AG29,IFERROR(AH29*$K29,0))))</f>
        <v>0</v>
      </c>
      <c r="AJ29" s="112">
        <f>IF($J29="","",IF($J29="Total Mensal",SUM(AK$7:AK28)/VLOOKUP("Total Acumulado",$J:$K,2,FALSE),IF($J29="Total Acumulado",AJ28+AH29+IF(AH$7="% Item",-1,0),0%)))</f>
        <v>0</v>
      </c>
      <c r="AK29" s="109">
        <f>IF($J29="","",IF($J29="Total Mensal",SUM(AK$7:AK28),IF($J29="Total Acumulado",SUM(AK$7:AK27)+AI29,IFERROR(AJ29*$K29,0))))</f>
        <v>0</v>
      </c>
    </row>
    <row r="30" spans="2:37" x14ac:dyDescent="0.25">
      <c r="B30" s="41">
        <f>IFERROR(IF(C29=C26,IF(B29+1&lt;='MAPA DE PREÇOS'!$H$8,B29+1,""),B29),"")</f>
        <v>23</v>
      </c>
      <c r="C30" s="41">
        <f>IFERROR(VLOOKUP(B30,'MAPA DE PREÇOS'!B:D,2,FALSE),"")</f>
        <v>1</v>
      </c>
      <c r="D30" s="41">
        <f>IFERROR(VLOOKUP(B30,'MAPA DE PREÇOS'!B:D,3,FALSE),"")</f>
        <v>23</v>
      </c>
      <c r="E30" s="82">
        <f t="shared" si="0"/>
        <v>23</v>
      </c>
      <c r="F30" s="82">
        <f>IF($B29="","",IF($C30=$C27,INDEX('MAPA DE PREÇOS'!$H:$H,MATCH($B30,'MAPA DE PREÇOS'!$B:$B)-19),IF($C30=$C28,"Código","")))</f>
        <v>0</v>
      </c>
      <c r="G30" s="83" t="str">
        <f>IF($B29="","",IF($C30=$C27,IF('BASE EDITAL'!$C$2="",INDEX('MAPA DE PREÇOS'!H:H,MATCH(EDITAL_A!B30,'MAPA DE PREÇOS'!B:B,0)+1),UPPER(INDEX('BASE EDITAL'!$C:$C,EDITAL_A!B30+1))),IF($C30=$C28,"Especificação do Objeto","")))</f>
        <v>Desinfetante</v>
      </c>
      <c r="H30" s="84" t="str">
        <f>IF($B29="","",IF($C30=$C27,INDEX('MAPA DE PREÇOS'!$M:$M,MATCH($B30,'MAPA DE PREÇOS'!$B:$B)-16),IF($C30=$C28,"Unidade","")))</f>
        <v>L</v>
      </c>
      <c r="I30" s="84">
        <f>IF($B29="","",IF($C30=$C27,INDEX('MAPA DE PREÇOS'!$M:$M,MATCH($B30,'MAPA DE PREÇOS'!$B:$B)-17),IF($C30=$C28,"Quant.","")))</f>
        <v>1</v>
      </c>
      <c r="J30" s="60">
        <f>IF(J29="Total Mensal","Total Acumulado",IF($B29="","",IF($C30=$C27,INDEX('MAPA DE PREÇOS'!$M:$M,MATCH($B30,'MAPA DE PREÇOS'!$B:$B)-19),IF($C30=$C28,"Valor Unit. (R$)",IF(AND($C30&lt;&gt;$C29,$J29&lt;&gt;""),"Total Mensal","")))))</f>
        <v>5.48</v>
      </c>
      <c r="K30" s="75">
        <f>IF(J30="","",IF(J30="Total Mensal","-",IF(J30="Total Acumulado",SUM(K$7:K29),I30*J30)))</f>
        <v>5.48</v>
      </c>
      <c r="L30" s="112">
        <f>IF(J30="","",IF(J30="Total Mensal","-",IF(J30="Total Acumulado",SUM(L$7:L29),K30/SUMIF(J:J,"Total Acumulado",K:K))))</f>
        <v>1.2780149386886327E-3</v>
      </c>
      <c r="M30" s="108"/>
      <c r="N30" s="112">
        <f>IF($J30="","",IF($J30="Total Mensal",SUM(O$7:O29)/VLOOKUP("Total Acumulado",$J:$K,2,FALSE),IF($J30="Total Acumulado",N29+L30+IF(L$7="% Item",-1,0),0%)))</f>
        <v>0</v>
      </c>
      <c r="O30" s="109">
        <f>IF($J30="","",IF($J30="Total Mensal",SUM(O$7:O29),IF($J30="Total Acumulado",SUM(O$7:O28)+M30,IFERROR(N30*$K30,0))))</f>
        <v>0</v>
      </c>
      <c r="P30" s="112">
        <f>IF($J30="","",IF($J30="Total Mensal",SUM(Q$7:Q29)/VLOOKUP("Total Acumulado",$J:$K,2,FALSE),IF($J30="Total Acumulado",P29+N30+IF(N$7="% Item",-1,0),0%)))</f>
        <v>0</v>
      </c>
      <c r="Q30" s="109">
        <f>IF($J30="","",IF($J30="Total Mensal",SUM(Q$7:Q29),IF($J30="Total Acumulado",SUM(Q$7:Q28)+O30,IFERROR(P30*$K30,0))))</f>
        <v>0</v>
      </c>
      <c r="R30" s="112">
        <f>IF($J30="","",IF($J30="Total Mensal",SUM(S$7:S29)/VLOOKUP("Total Acumulado",$J:$K,2,FALSE),IF($J30="Total Acumulado",R29+P30+IF(P$7="% Item",-1,0),0%)))</f>
        <v>0</v>
      </c>
      <c r="S30" s="109">
        <f>IF($J30="","",IF($J30="Total Mensal",SUM(S$7:S29),IF($J30="Total Acumulado",SUM(S$7:S28)+Q30,IFERROR(R30*$K30,0))))</f>
        <v>0</v>
      </c>
      <c r="T30" s="112">
        <f>IF($J30="","",IF($J30="Total Mensal",SUM(U$7:U29)/VLOOKUP("Total Acumulado",$J:$K,2,FALSE),IF($J30="Total Acumulado",T29+R30+IF(R$7="% Item",-1,0),0%)))</f>
        <v>0</v>
      </c>
      <c r="U30" s="109">
        <f>IF($J30="","",IF($J30="Total Mensal",SUM(U$7:U29),IF($J30="Total Acumulado",SUM(U$7:U28)+S30,IFERROR(T30*$K30,0))))</f>
        <v>0</v>
      </c>
      <c r="V30" s="112">
        <f>IF($J30="","",IF($J30="Total Mensal",SUM(W$7:W29)/VLOOKUP("Total Acumulado",$J:$K,2,FALSE),IF($J30="Total Acumulado",V29+T30+IF(T$7="% Item",-1,0),0%)))</f>
        <v>0</v>
      </c>
      <c r="W30" s="109">
        <f>IF($J30="","",IF($J30="Total Mensal",SUM(W$7:W29),IF($J30="Total Acumulado",SUM(W$7:W28)+U30,IFERROR(V30*$K30,0))))</f>
        <v>0</v>
      </c>
      <c r="X30" s="112">
        <f>IF($J30="","",IF($J30="Total Mensal",SUM(Y$7:Y29)/VLOOKUP("Total Acumulado",$J:$K,2,FALSE),IF($J30="Total Acumulado",X29+V30+IF(V$7="% Item",-1,0),0%)))</f>
        <v>0</v>
      </c>
      <c r="Y30" s="109">
        <f>IF($J30="","",IF($J30="Total Mensal",SUM(Y$7:Y29),IF($J30="Total Acumulado",SUM(Y$7:Y28)+W30,IFERROR(X30*$K30,0))))</f>
        <v>0</v>
      </c>
      <c r="Z30" s="112">
        <f>IF($J30="","",IF($J30="Total Mensal",SUM(AA$7:AA29)/VLOOKUP("Total Acumulado",$J:$K,2,FALSE),IF($J30="Total Acumulado",Z29+X30+IF(X$7="% Item",-1,0),0%)))</f>
        <v>0</v>
      </c>
      <c r="AA30" s="109">
        <f>IF($J30="","",IF($J30="Total Mensal",SUM(AA$7:AA29),IF($J30="Total Acumulado",SUM(AA$7:AA28)+Y30,IFERROR(Z30*$K30,0))))</f>
        <v>0</v>
      </c>
      <c r="AB30" s="112">
        <f>IF($J30="","",IF($J30="Total Mensal",SUM(AC$7:AC29)/VLOOKUP("Total Acumulado",$J:$K,2,FALSE),IF($J30="Total Acumulado",AB29+Z30+IF(Z$7="% Item",-1,0),0%)))</f>
        <v>0</v>
      </c>
      <c r="AC30" s="109">
        <f>IF($J30="","",IF($J30="Total Mensal",SUM(AC$7:AC29),IF($J30="Total Acumulado",SUM(AC$7:AC28)+AA30,IFERROR(AB30*$K30,0))))</f>
        <v>0</v>
      </c>
      <c r="AD30" s="112">
        <f>IF($J30="","",IF($J30="Total Mensal",SUM(AE$7:AE29)/VLOOKUP("Total Acumulado",$J:$K,2,FALSE),IF($J30="Total Acumulado",AD29+AB30+IF(AB$7="% Item",-1,0),0%)))</f>
        <v>0</v>
      </c>
      <c r="AE30" s="109">
        <f>IF($J30="","",IF($J30="Total Mensal",SUM(AE$7:AE29),IF($J30="Total Acumulado",SUM(AE$7:AE28)+AC30,IFERROR(AD30*$K30,0))))</f>
        <v>0</v>
      </c>
      <c r="AF30" s="112">
        <f>IF($J30="","",IF($J30="Total Mensal",SUM(AG$7:AG29)/VLOOKUP("Total Acumulado",$J:$K,2,FALSE),IF($J30="Total Acumulado",AF29+AD30+IF(AD$7="% Item",-1,0),0%)))</f>
        <v>0</v>
      </c>
      <c r="AG30" s="109">
        <f>IF($J30="","",IF($J30="Total Mensal",SUM(AG$7:AG29),IF($J30="Total Acumulado",SUM(AG$7:AG28)+AE30,IFERROR(AF30*$K30,0))))</f>
        <v>0</v>
      </c>
      <c r="AH30" s="112">
        <f>IF($J30="","",IF($J30="Total Mensal",SUM(AI$7:AI29)/VLOOKUP("Total Acumulado",$J:$K,2,FALSE),IF($J30="Total Acumulado",AH29+AF30+IF(AF$7="% Item",-1,0),0%)))</f>
        <v>0</v>
      </c>
      <c r="AI30" s="109">
        <f>IF($J30="","",IF($J30="Total Mensal",SUM(AI$7:AI29),IF($J30="Total Acumulado",SUM(AI$7:AI28)+AG30,IFERROR(AH30*$K30,0))))</f>
        <v>0</v>
      </c>
      <c r="AJ30" s="112">
        <f>IF($J30="","",IF($J30="Total Mensal",SUM(AK$7:AK29)/VLOOKUP("Total Acumulado",$J:$K,2,FALSE),IF($J30="Total Acumulado",AJ29+AH30+IF(AH$7="% Item",-1,0),0%)))</f>
        <v>0</v>
      </c>
      <c r="AK30" s="109">
        <f>IF($J30="","",IF($J30="Total Mensal",SUM(AK$7:AK29),IF($J30="Total Acumulado",SUM(AK$7:AK28)+AI30,IFERROR(AJ30*$K30,0))))</f>
        <v>0</v>
      </c>
    </row>
    <row r="31" spans="2:37" x14ac:dyDescent="0.25">
      <c r="B31" s="41">
        <f>IFERROR(IF(C30=C27,IF(B30+1&lt;='MAPA DE PREÇOS'!$H$8,B30+1,""),B30),"")</f>
        <v>24</v>
      </c>
      <c r="C31" s="41">
        <f>IFERROR(VLOOKUP(B31,'MAPA DE PREÇOS'!B:D,2,FALSE),"")</f>
        <v>1</v>
      </c>
      <c r="D31" s="41">
        <f>IFERROR(VLOOKUP(B31,'MAPA DE PREÇOS'!B:D,3,FALSE),"")</f>
        <v>24</v>
      </c>
      <c r="E31" s="82">
        <f t="shared" si="0"/>
        <v>24</v>
      </c>
      <c r="F31" s="82">
        <f>IF($B30="","",IF($C31=$C28,INDEX('MAPA DE PREÇOS'!$H:$H,MATCH($B31,'MAPA DE PREÇOS'!$B:$B)-19),IF($C31=$C29,"Código","")))</f>
        <v>0</v>
      </c>
      <c r="G31" s="83" t="str">
        <f>IF($B30="","",IF($C31=$C28,IF('BASE EDITAL'!$C$2="",INDEX('MAPA DE PREÇOS'!H:H,MATCH(EDITAL_A!B31,'MAPA DE PREÇOS'!B:B,0)+1),UPPER(INDEX('BASE EDITAL'!$C:$C,EDITAL_A!B31+1))),IF($C31=$C29,"Especificação do Objeto","")))</f>
        <v>Computador portátil (notebook)</v>
      </c>
      <c r="H31" s="84">
        <f>IF($B30="","",IF($C31=$C28,INDEX('MAPA DE PREÇOS'!$M:$M,MATCH($B31,'MAPA DE PREÇOS'!$B:$B)-16),IF($C31=$C29,"Unidade","")))</f>
        <v>0</v>
      </c>
      <c r="I31" s="84">
        <f>IF($B30="","",IF($C31=$C28,INDEX('MAPA DE PREÇOS'!$M:$M,MATCH($B31,'MAPA DE PREÇOS'!$B:$B)-17),IF($C31=$C29,"Quant.","")))</f>
        <v>0</v>
      </c>
      <c r="J31" s="60">
        <f>IF(J30="Total Mensal","Total Acumulado",IF($B30="","",IF($C31=$C28,INDEX('MAPA DE PREÇOS'!$M:$M,MATCH($B31,'MAPA DE PREÇOS'!$B:$B)-19),IF($C31=$C29,"Valor Unit. (R$)",IF(AND($C31&lt;&gt;$C30,$J30&lt;&gt;""),"Total Mensal","")))))</f>
        <v>2682.93</v>
      </c>
      <c r="K31" s="75">
        <f>IF(J31="","",IF(J31="Total Mensal","-",IF(J31="Total Acumulado",SUM(K$7:K30),I31*J31)))</f>
        <v>0</v>
      </c>
      <c r="L31" s="112">
        <f>IF(J31="","",IF(J31="Total Mensal","-",IF(J31="Total Acumulado",SUM(L$7:L30),K31/SUMIF(J:J,"Total Acumulado",K:K))))</f>
        <v>0</v>
      </c>
      <c r="M31" s="108"/>
      <c r="N31" s="112">
        <f>IF($J31="","",IF($J31="Total Mensal",SUM(O$7:O30)/VLOOKUP("Total Acumulado",$J:$K,2,FALSE),IF($J31="Total Acumulado",N30+L31+IF(L$7="% Item",-1,0),0%)))</f>
        <v>0</v>
      </c>
      <c r="O31" s="109">
        <f>IF($J31="","",IF($J31="Total Mensal",SUM(O$7:O30),IF($J31="Total Acumulado",SUM(O$7:O29)+M31,IFERROR(N31*$K31,0))))</f>
        <v>0</v>
      </c>
      <c r="P31" s="112">
        <f>IF($J31="","",IF($J31="Total Mensal",SUM(Q$7:Q30)/VLOOKUP("Total Acumulado",$J:$K,2,FALSE),IF($J31="Total Acumulado",P30+N31+IF(N$7="% Item",-1,0),0%)))</f>
        <v>0</v>
      </c>
      <c r="Q31" s="109">
        <f>IF($J31="","",IF($J31="Total Mensal",SUM(Q$7:Q30),IF($J31="Total Acumulado",SUM(Q$7:Q29)+O31,IFERROR(P31*$K31,0))))</f>
        <v>0</v>
      </c>
      <c r="R31" s="112">
        <f>IF($J31="","",IF($J31="Total Mensal",SUM(S$7:S30)/VLOOKUP("Total Acumulado",$J:$K,2,FALSE),IF($J31="Total Acumulado",R30+P31+IF(P$7="% Item",-1,0),0%)))</f>
        <v>0</v>
      </c>
      <c r="S31" s="109">
        <f>IF($J31="","",IF($J31="Total Mensal",SUM(S$7:S30),IF($J31="Total Acumulado",SUM(S$7:S29)+Q31,IFERROR(R31*$K31,0))))</f>
        <v>0</v>
      </c>
      <c r="T31" s="112">
        <f>IF($J31="","",IF($J31="Total Mensal",SUM(U$7:U30)/VLOOKUP("Total Acumulado",$J:$K,2,FALSE),IF($J31="Total Acumulado",T30+R31+IF(R$7="% Item",-1,0),0%)))</f>
        <v>0</v>
      </c>
      <c r="U31" s="109">
        <f>IF($J31="","",IF($J31="Total Mensal",SUM(U$7:U30),IF($J31="Total Acumulado",SUM(U$7:U29)+S31,IFERROR(T31*$K31,0))))</f>
        <v>0</v>
      </c>
      <c r="V31" s="112">
        <f>IF($J31="","",IF($J31="Total Mensal",SUM(W$7:W30)/VLOOKUP("Total Acumulado",$J:$K,2,FALSE),IF($J31="Total Acumulado",V30+T31+IF(T$7="% Item",-1,0),0%)))</f>
        <v>0</v>
      </c>
      <c r="W31" s="109">
        <f>IF($J31="","",IF($J31="Total Mensal",SUM(W$7:W30),IF($J31="Total Acumulado",SUM(W$7:W29)+U31,IFERROR(V31*$K31,0))))</f>
        <v>0</v>
      </c>
      <c r="X31" s="112">
        <f>IF($J31="","",IF($J31="Total Mensal",SUM(Y$7:Y30)/VLOOKUP("Total Acumulado",$J:$K,2,FALSE),IF($J31="Total Acumulado",X30+V31+IF(V$7="% Item",-1,0),0%)))</f>
        <v>0</v>
      </c>
      <c r="Y31" s="109">
        <f>IF($J31="","",IF($J31="Total Mensal",SUM(Y$7:Y30),IF($J31="Total Acumulado",SUM(Y$7:Y29)+W31,IFERROR(X31*$K31,0))))</f>
        <v>0</v>
      </c>
      <c r="Z31" s="112">
        <f>IF($J31="","",IF($J31="Total Mensal",SUM(AA$7:AA30)/VLOOKUP("Total Acumulado",$J:$K,2,FALSE),IF($J31="Total Acumulado",Z30+X31+IF(X$7="% Item",-1,0),0%)))</f>
        <v>0</v>
      </c>
      <c r="AA31" s="109">
        <f>IF($J31="","",IF($J31="Total Mensal",SUM(AA$7:AA30),IF($J31="Total Acumulado",SUM(AA$7:AA29)+Y31,IFERROR(Z31*$K31,0))))</f>
        <v>0</v>
      </c>
      <c r="AB31" s="112">
        <f>IF($J31="","",IF($J31="Total Mensal",SUM(AC$7:AC30)/VLOOKUP("Total Acumulado",$J:$K,2,FALSE),IF($J31="Total Acumulado",AB30+Z31+IF(Z$7="% Item",-1,0),0%)))</f>
        <v>0</v>
      </c>
      <c r="AC31" s="109">
        <f>IF($J31="","",IF($J31="Total Mensal",SUM(AC$7:AC30),IF($J31="Total Acumulado",SUM(AC$7:AC29)+AA31,IFERROR(AB31*$K31,0))))</f>
        <v>0</v>
      </c>
      <c r="AD31" s="112">
        <f>IF($J31="","",IF($J31="Total Mensal",SUM(AE$7:AE30)/VLOOKUP("Total Acumulado",$J:$K,2,FALSE),IF($J31="Total Acumulado",AD30+AB31+IF(AB$7="% Item",-1,0),0%)))</f>
        <v>0</v>
      </c>
      <c r="AE31" s="109">
        <f>IF($J31="","",IF($J31="Total Mensal",SUM(AE$7:AE30),IF($J31="Total Acumulado",SUM(AE$7:AE29)+AC31,IFERROR(AD31*$K31,0))))</f>
        <v>0</v>
      </c>
      <c r="AF31" s="112">
        <f>IF($J31="","",IF($J31="Total Mensal",SUM(AG$7:AG30)/VLOOKUP("Total Acumulado",$J:$K,2,FALSE),IF($J31="Total Acumulado",AF30+AD31+IF(AD$7="% Item",-1,0),0%)))</f>
        <v>0</v>
      </c>
      <c r="AG31" s="109">
        <f>IF($J31="","",IF($J31="Total Mensal",SUM(AG$7:AG30),IF($J31="Total Acumulado",SUM(AG$7:AG29)+AE31,IFERROR(AF31*$K31,0))))</f>
        <v>0</v>
      </c>
      <c r="AH31" s="112">
        <f>IF($J31="","",IF($J31="Total Mensal",SUM(AI$7:AI30)/VLOOKUP("Total Acumulado",$J:$K,2,FALSE),IF($J31="Total Acumulado",AH30+AF31+IF(AF$7="% Item",-1,0),0%)))</f>
        <v>0</v>
      </c>
      <c r="AI31" s="109">
        <f>IF($J31="","",IF($J31="Total Mensal",SUM(AI$7:AI30),IF($J31="Total Acumulado",SUM(AI$7:AI29)+AG31,IFERROR(AH31*$K31,0))))</f>
        <v>0</v>
      </c>
      <c r="AJ31" s="112">
        <f>IF($J31="","",IF($J31="Total Mensal",SUM(AK$7:AK30)/VLOOKUP("Total Acumulado",$J:$K,2,FALSE),IF($J31="Total Acumulado",AJ30+AH31+IF(AH$7="% Item",-1,0),0%)))</f>
        <v>0</v>
      </c>
      <c r="AK31" s="109">
        <f>IF($J31="","",IF($J31="Total Mensal",SUM(AK$7:AK30),IF($J31="Total Acumulado",SUM(AK$7:AK29)+AI31,IFERROR(AJ31*$K31,0))))</f>
        <v>0</v>
      </c>
    </row>
    <row r="32" spans="2:37" x14ac:dyDescent="0.25">
      <c r="B32" s="41">
        <f>IFERROR(IF(C31=C28,IF(B31+1&lt;='MAPA DE PREÇOS'!$H$8,B31+1,""),B31),"")</f>
        <v>25</v>
      </c>
      <c r="C32" s="41">
        <f>IFERROR(VLOOKUP(B32,'MAPA DE PREÇOS'!B:D,2,FALSE),"")</f>
        <v>1</v>
      </c>
      <c r="D32" s="41">
        <f>IFERROR(VLOOKUP(B32,'MAPA DE PREÇOS'!B:D,3,FALSE),"")</f>
        <v>25</v>
      </c>
      <c r="E32" s="82">
        <f t="shared" si="0"/>
        <v>25</v>
      </c>
      <c r="F32" s="82">
        <f>IF($B31="","",IF($C32=$C29,INDEX('MAPA DE PREÇOS'!$H:$H,MATCH($B32,'MAPA DE PREÇOS'!$B:$B)-19),IF($C32=$C30,"Código","")))</f>
        <v>0</v>
      </c>
      <c r="G32" s="83" t="str">
        <f>IF($B31="","",IF($C32=$C29,IF('BASE EDITAL'!$C$2="",INDEX('MAPA DE PREÇOS'!H:H,MATCH(EDITAL_A!B32,'MAPA DE PREÇOS'!B:B,0)+1),UPPER(INDEX('BASE EDITAL'!$C:$C,EDITAL_A!B32+1))),IF($C32=$C30,"Especificação do Objeto","")))</f>
        <v>Contabilidade (ME - Todos)</v>
      </c>
      <c r="H32" s="84" t="str">
        <f>IF($B31="","",IF($C32=$C29,INDEX('MAPA DE PREÇOS'!$M:$M,MATCH($B32,'MAPA DE PREÇOS'!$B:$B)-16),IF($C32=$C30,"Unidade","")))</f>
        <v>MES</v>
      </c>
      <c r="I32" s="84">
        <f>IF($B31="","",IF($C32=$C29,INDEX('MAPA DE PREÇOS'!$M:$M,MATCH($B32,'MAPA DE PREÇOS'!$B:$B)-17),IF($C32=$C30,"Quant.","")))</f>
        <v>1</v>
      </c>
      <c r="J32" s="60">
        <f>IF(J31="Total Mensal","Total Acumulado",IF($B31="","",IF($C32=$C29,INDEX('MAPA DE PREÇOS'!$M:$M,MATCH($B32,'MAPA DE PREÇOS'!$B:$B)-19),IF($C32=$C30,"Valor Unit. (R$)",IF(AND($C32&lt;&gt;$C31,$J31&lt;&gt;""),"Total Mensal","")))))</f>
        <v>1462.08</v>
      </c>
      <c r="K32" s="75">
        <f>IF(J32="","",IF(J32="Total Mensal","-",IF(J32="Total Acumulado",SUM(K$7:K31),I32*J32)))</f>
        <v>1462.08</v>
      </c>
      <c r="L32" s="112">
        <f>IF(J32="","",IF(J32="Total Mensal","-",IF(J32="Total Acumulado",SUM(L$7:L31),K32/SUMIF(J:J,"Total Acumulado",K:K))))</f>
        <v>0.34097811707260506</v>
      </c>
      <c r="M32" s="108"/>
      <c r="N32" s="112">
        <f>IF($J32="","",IF($J32="Total Mensal",SUM(O$7:O31)/VLOOKUP("Total Acumulado",$J:$K,2,FALSE),IF($J32="Total Acumulado",N31+L32+IF(L$7="% Item",-1,0),0%)))</f>
        <v>0</v>
      </c>
      <c r="O32" s="109">
        <f>IF($J32="","",IF($J32="Total Mensal",SUM(O$7:O31),IF($J32="Total Acumulado",SUM(O$7:O30)+M32,IFERROR(N32*$K32,0))))</f>
        <v>0</v>
      </c>
      <c r="P32" s="112">
        <f>IF($J32="","",IF($J32="Total Mensal",SUM(Q$7:Q31)/VLOOKUP("Total Acumulado",$J:$K,2,FALSE),IF($J32="Total Acumulado",P31+N32+IF(N$7="% Item",-1,0),0%)))</f>
        <v>0</v>
      </c>
      <c r="Q32" s="109">
        <f>IF($J32="","",IF($J32="Total Mensal",SUM(Q$7:Q31),IF($J32="Total Acumulado",SUM(Q$7:Q30)+O32,IFERROR(P32*$K32,0))))</f>
        <v>0</v>
      </c>
      <c r="R32" s="112">
        <f>IF($J32="","",IF($J32="Total Mensal",SUM(S$7:S31)/VLOOKUP("Total Acumulado",$J:$K,2,FALSE),IF($J32="Total Acumulado",R31+P32+IF(P$7="% Item",-1,0),0%)))</f>
        <v>0</v>
      </c>
      <c r="S32" s="109">
        <f>IF($J32="","",IF($J32="Total Mensal",SUM(S$7:S31),IF($J32="Total Acumulado",SUM(S$7:S30)+Q32,IFERROR(R32*$K32,0))))</f>
        <v>0</v>
      </c>
      <c r="T32" s="112">
        <f>IF($J32="","",IF($J32="Total Mensal",SUM(U$7:U31)/VLOOKUP("Total Acumulado",$J:$K,2,FALSE),IF($J32="Total Acumulado",T31+R32+IF(R$7="% Item",-1,0),0%)))</f>
        <v>0</v>
      </c>
      <c r="U32" s="109">
        <f>IF($J32="","",IF($J32="Total Mensal",SUM(U$7:U31),IF($J32="Total Acumulado",SUM(U$7:U30)+S32,IFERROR(T32*$K32,0))))</f>
        <v>0</v>
      </c>
      <c r="V32" s="112">
        <f>IF($J32="","",IF($J32="Total Mensal",SUM(W$7:W31)/VLOOKUP("Total Acumulado",$J:$K,2,FALSE),IF($J32="Total Acumulado",V31+T32+IF(T$7="% Item",-1,0),0%)))</f>
        <v>0</v>
      </c>
      <c r="W32" s="109">
        <f>IF($J32="","",IF($J32="Total Mensal",SUM(W$7:W31),IF($J32="Total Acumulado",SUM(W$7:W30)+U32,IFERROR(V32*$K32,0))))</f>
        <v>0</v>
      </c>
      <c r="X32" s="112">
        <f>IF($J32="","",IF($J32="Total Mensal",SUM(Y$7:Y31)/VLOOKUP("Total Acumulado",$J:$K,2,FALSE),IF($J32="Total Acumulado",X31+V32+IF(V$7="% Item",-1,0),0%)))</f>
        <v>0</v>
      </c>
      <c r="Y32" s="109">
        <f>IF($J32="","",IF($J32="Total Mensal",SUM(Y$7:Y31),IF($J32="Total Acumulado",SUM(Y$7:Y30)+W32,IFERROR(X32*$K32,0))))</f>
        <v>0</v>
      </c>
      <c r="Z32" s="112">
        <f>IF($J32="","",IF($J32="Total Mensal",SUM(AA$7:AA31)/VLOOKUP("Total Acumulado",$J:$K,2,FALSE),IF($J32="Total Acumulado",Z31+X32+IF(X$7="% Item",-1,0),0%)))</f>
        <v>0</v>
      </c>
      <c r="AA32" s="109">
        <f>IF($J32="","",IF($J32="Total Mensal",SUM(AA$7:AA31),IF($J32="Total Acumulado",SUM(AA$7:AA30)+Y32,IFERROR(Z32*$K32,0))))</f>
        <v>0</v>
      </c>
      <c r="AB32" s="112">
        <f>IF($J32="","",IF($J32="Total Mensal",SUM(AC$7:AC31)/VLOOKUP("Total Acumulado",$J:$K,2,FALSE),IF($J32="Total Acumulado",AB31+Z32+IF(Z$7="% Item",-1,0),0%)))</f>
        <v>0</v>
      </c>
      <c r="AC32" s="109">
        <f>IF($J32="","",IF($J32="Total Mensal",SUM(AC$7:AC31),IF($J32="Total Acumulado",SUM(AC$7:AC30)+AA32,IFERROR(AB32*$K32,0))))</f>
        <v>0</v>
      </c>
      <c r="AD32" s="112">
        <f>IF($J32="","",IF($J32="Total Mensal",SUM(AE$7:AE31)/VLOOKUP("Total Acumulado",$J:$K,2,FALSE),IF($J32="Total Acumulado",AD31+AB32+IF(AB$7="% Item",-1,0),0%)))</f>
        <v>0</v>
      </c>
      <c r="AE32" s="109">
        <f>IF($J32="","",IF($J32="Total Mensal",SUM(AE$7:AE31),IF($J32="Total Acumulado",SUM(AE$7:AE30)+AC32,IFERROR(AD32*$K32,0))))</f>
        <v>0</v>
      </c>
      <c r="AF32" s="112">
        <f>IF($J32="","",IF($J32="Total Mensal",SUM(AG$7:AG31)/VLOOKUP("Total Acumulado",$J:$K,2,FALSE),IF($J32="Total Acumulado",AF31+AD32+IF(AD$7="% Item",-1,0),0%)))</f>
        <v>0</v>
      </c>
      <c r="AG32" s="109">
        <f>IF($J32="","",IF($J32="Total Mensal",SUM(AG$7:AG31),IF($J32="Total Acumulado",SUM(AG$7:AG30)+AE32,IFERROR(AF32*$K32,0))))</f>
        <v>0</v>
      </c>
      <c r="AH32" s="112">
        <f>IF($J32="","",IF($J32="Total Mensal",SUM(AI$7:AI31)/VLOOKUP("Total Acumulado",$J:$K,2,FALSE),IF($J32="Total Acumulado",AH31+AF32+IF(AF$7="% Item",-1,0),0%)))</f>
        <v>0</v>
      </c>
      <c r="AI32" s="109">
        <f>IF($J32="","",IF($J32="Total Mensal",SUM(AI$7:AI31),IF($J32="Total Acumulado",SUM(AI$7:AI30)+AG32,IFERROR(AH32*$K32,0))))</f>
        <v>0</v>
      </c>
      <c r="AJ32" s="112">
        <f>IF($J32="","",IF($J32="Total Mensal",SUM(AK$7:AK31)/VLOOKUP("Total Acumulado",$J:$K,2,FALSE),IF($J32="Total Acumulado",AJ31+AH32+IF(AH$7="% Item",-1,0),0%)))</f>
        <v>0</v>
      </c>
      <c r="AK32" s="109">
        <f>IF($J32="","",IF($J32="Total Mensal",SUM(AK$7:AK31),IF($J32="Total Acumulado",SUM(AK$7:AK30)+AI32,IFERROR(AJ32*$K32,0))))</f>
        <v>0</v>
      </c>
    </row>
    <row r="33" spans="2:37" x14ac:dyDescent="0.25">
      <c r="B33" s="41">
        <f>IFERROR(IF(C32=C29,IF(B32+1&lt;='MAPA DE PREÇOS'!$H$8,B32+1,""),B32),"")</f>
        <v>26</v>
      </c>
      <c r="C33" s="41">
        <f>IFERROR(VLOOKUP(B33,'MAPA DE PREÇOS'!B:D,2,FALSE),"")</f>
        <v>1</v>
      </c>
      <c r="D33" s="41">
        <f>IFERROR(VLOOKUP(B33,'MAPA DE PREÇOS'!B:D,3,FALSE),"")</f>
        <v>26</v>
      </c>
      <c r="E33" s="82">
        <f t="shared" si="0"/>
        <v>26</v>
      </c>
      <c r="F33" s="82">
        <f>IF($B32="","",IF($C33=$C30,INDEX('MAPA DE PREÇOS'!$H:$H,MATCH($B33,'MAPA DE PREÇOS'!$B:$B)-19),IF($C33=$C31,"Código","")))</f>
        <v>0</v>
      </c>
      <c r="G33" s="83" t="str">
        <f>IF($B32="","",IF($C33=$C30,IF('BASE EDITAL'!$C$2="",INDEX('MAPA DE PREÇOS'!H:H,MATCH(EDITAL_A!B33,'MAPA DE PREÇOS'!B:B,0)+1),UPPER(INDEX('BASE EDITAL'!$C:$C,EDITAL_A!B33+1))),IF($C33=$C31,"Especificação do Objeto","")))</f>
        <v>Tafiva B4a TSUD - Iluminação Pública</v>
      </c>
      <c r="H33" s="84" t="str">
        <f>IF($B32="","",IF($C33=$C30,INDEX('MAPA DE PREÇOS'!$M:$M,MATCH($B33,'MAPA DE PREÇOS'!$B:$B)-16),IF($C33=$C31,"Unidade","")))</f>
        <v>KWH</v>
      </c>
      <c r="I33" s="84">
        <f>IF($B32="","",IF($C33=$C30,INDEX('MAPA DE PREÇOS'!$M:$M,MATCH($B33,'MAPA DE PREÇOS'!$B:$B)-17),IF($C33=$C31,"Quant.","")))</f>
        <v>1</v>
      </c>
      <c r="J33" s="60">
        <f>IF(J32="Total Mensal","Total Acumulado",IF($B32="","",IF($C33=$C30,INDEX('MAPA DE PREÇOS'!$M:$M,MATCH($B33,'MAPA DE PREÇOS'!$B:$B)-19),IF($C33=$C31,"Valor Unit. (R$)",IF(AND($C33&lt;&gt;$C32,$J32&lt;&gt;""),"Total Mensal","")))))</f>
        <v>231.56</v>
      </c>
      <c r="K33" s="75">
        <f>IF(J33="","",IF(J33="Total Mensal","-",IF(J33="Total Acumulado",SUM(K$7:K32),I33*J33)))</f>
        <v>231.56</v>
      </c>
      <c r="L33" s="112">
        <f>IF(J33="","",IF(J33="Total Mensal","-",IF(J33="Total Acumulado",SUM(L$7:L32),K33/SUMIF(J:J,"Total Acumulado",K:K))))</f>
        <v>5.4003127591740835E-2</v>
      </c>
      <c r="M33" s="108"/>
      <c r="N33" s="112">
        <f>IF($J33="","",IF($J33="Total Mensal",SUM(O$7:O32)/VLOOKUP("Total Acumulado",$J:$K,2,FALSE),IF($J33="Total Acumulado",N32+L33+IF(L$7="% Item",-1,0),0%)))</f>
        <v>0</v>
      </c>
      <c r="O33" s="109">
        <f>IF($J33="","",IF($J33="Total Mensal",SUM(O$7:O32),IF($J33="Total Acumulado",SUM(O$7:O31)+M33,IFERROR(N33*$K33,0))))</f>
        <v>0</v>
      </c>
      <c r="P33" s="112">
        <f>IF($J33="","",IF($J33="Total Mensal",SUM(Q$7:Q32)/VLOOKUP("Total Acumulado",$J:$K,2,FALSE),IF($J33="Total Acumulado",P32+N33+IF(N$7="% Item",-1,0),0%)))</f>
        <v>0</v>
      </c>
      <c r="Q33" s="109">
        <f>IF($J33="","",IF($J33="Total Mensal",SUM(Q$7:Q32),IF($J33="Total Acumulado",SUM(Q$7:Q31)+O33,IFERROR(P33*$K33,0))))</f>
        <v>0</v>
      </c>
      <c r="R33" s="112">
        <f>IF($J33="","",IF($J33="Total Mensal",SUM(S$7:S32)/VLOOKUP("Total Acumulado",$J:$K,2,FALSE),IF($J33="Total Acumulado",R32+P33+IF(P$7="% Item",-1,0),0%)))</f>
        <v>0</v>
      </c>
      <c r="S33" s="109">
        <f>IF($J33="","",IF($J33="Total Mensal",SUM(S$7:S32),IF($J33="Total Acumulado",SUM(S$7:S31)+Q33,IFERROR(R33*$K33,0))))</f>
        <v>0</v>
      </c>
      <c r="T33" s="112">
        <f>IF($J33="","",IF($J33="Total Mensal",SUM(U$7:U32)/VLOOKUP("Total Acumulado",$J:$K,2,FALSE),IF($J33="Total Acumulado",T32+R33+IF(R$7="% Item",-1,0),0%)))</f>
        <v>0</v>
      </c>
      <c r="U33" s="109">
        <f>IF($J33="","",IF($J33="Total Mensal",SUM(U$7:U32),IF($J33="Total Acumulado",SUM(U$7:U31)+S33,IFERROR(T33*$K33,0))))</f>
        <v>0</v>
      </c>
      <c r="V33" s="112">
        <f>IF($J33="","",IF($J33="Total Mensal",SUM(W$7:W32)/VLOOKUP("Total Acumulado",$J:$K,2,FALSE),IF($J33="Total Acumulado",V32+T33+IF(T$7="% Item",-1,0),0%)))</f>
        <v>0</v>
      </c>
      <c r="W33" s="109">
        <f>IF($J33="","",IF($J33="Total Mensal",SUM(W$7:W32),IF($J33="Total Acumulado",SUM(W$7:W31)+U33,IFERROR(V33*$K33,0))))</f>
        <v>0</v>
      </c>
      <c r="X33" s="112">
        <f>IF($J33="","",IF($J33="Total Mensal",SUM(Y$7:Y32)/VLOOKUP("Total Acumulado",$J:$K,2,FALSE),IF($J33="Total Acumulado",X32+V33+IF(V$7="% Item",-1,0),0%)))</f>
        <v>0</v>
      </c>
      <c r="Y33" s="109">
        <f>IF($J33="","",IF($J33="Total Mensal",SUM(Y$7:Y32),IF($J33="Total Acumulado",SUM(Y$7:Y31)+W33,IFERROR(X33*$K33,0))))</f>
        <v>0</v>
      </c>
      <c r="Z33" s="112">
        <f>IF($J33="","",IF($J33="Total Mensal",SUM(AA$7:AA32)/VLOOKUP("Total Acumulado",$J:$K,2,FALSE),IF($J33="Total Acumulado",Z32+X33+IF(X$7="% Item",-1,0),0%)))</f>
        <v>0</v>
      </c>
      <c r="AA33" s="109">
        <f>IF($J33="","",IF($J33="Total Mensal",SUM(AA$7:AA32),IF($J33="Total Acumulado",SUM(AA$7:AA31)+Y33,IFERROR(Z33*$K33,0))))</f>
        <v>0</v>
      </c>
      <c r="AB33" s="112">
        <f>IF($J33="","",IF($J33="Total Mensal",SUM(AC$7:AC32)/VLOOKUP("Total Acumulado",$J:$K,2,FALSE),IF($J33="Total Acumulado",AB32+Z33+IF(Z$7="% Item",-1,0),0%)))</f>
        <v>0</v>
      </c>
      <c r="AC33" s="109">
        <f>IF($J33="","",IF($J33="Total Mensal",SUM(AC$7:AC32),IF($J33="Total Acumulado",SUM(AC$7:AC31)+AA33,IFERROR(AB33*$K33,0))))</f>
        <v>0</v>
      </c>
      <c r="AD33" s="112">
        <f>IF($J33="","",IF($J33="Total Mensal",SUM(AE$7:AE32)/VLOOKUP("Total Acumulado",$J:$K,2,FALSE),IF($J33="Total Acumulado",AD32+AB33+IF(AB$7="% Item",-1,0),0%)))</f>
        <v>0</v>
      </c>
      <c r="AE33" s="109">
        <f>IF($J33="","",IF($J33="Total Mensal",SUM(AE$7:AE32),IF($J33="Total Acumulado",SUM(AE$7:AE31)+AC33,IFERROR(AD33*$K33,0))))</f>
        <v>0</v>
      </c>
      <c r="AF33" s="112">
        <f>IF($J33="","",IF($J33="Total Mensal",SUM(AG$7:AG32)/VLOOKUP("Total Acumulado",$J:$K,2,FALSE),IF($J33="Total Acumulado",AF32+AD33+IF(AD$7="% Item",-1,0),0%)))</f>
        <v>0</v>
      </c>
      <c r="AG33" s="109">
        <f>IF($J33="","",IF($J33="Total Mensal",SUM(AG$7:AG32),IF($J33="Total Acumulado",SUM(AG$7:AG31)+AE33,IFERROR(AF33*$K33,0))))</f>
        <v>0</v>
      </c>
      <c r="AH33" s="112">
        <f>IF($J33="","",IF($J33="Total Mensal",SUM(AI$7:AI32)/VLOOKUP("Total Acumulado",$J:$K,2,FALSE),IF($J33="Total Acumulado",AH32+AF33+IF(AF$7="% Item",-1,0),0%)))</f>
        <v>0</v>
      </c>
      <c r="AI33" s="109">
        <f>IF($J33="","",IF($J33="Total Mensal",SUM(AI$7:AI32),IF($J33="Total Acumulado",SUM(AI$7:AI31)+AG33,IFERROR(AH33*$K33,0))))</f>
        <v>0</v>
      </c>
      <c r="AJ33" s="112">
        <f>IF($J33="","",IF($J33="Total Mensal",SUM(AK$7:AK32)/VLOOKUP("Total Acumulado",$J:$K,2,FALSE),IF($J33="Total Acumulado",AJ32+AH33+IF(AH$7="% Item",-1,0),0%)))</f>
        <v>0</v>
      </c>
      <c r="AK33" s="109">
        <f>IF($J33="","",IF($J33="Total Mensal",SUM(AK$7:AK32),IF($J33="Total Acumulado",SUM(AK$7:AK31)+AI33,IFERROR(AJ33*$K33,0))))</f>
        <v>0</v>
      </c>
    </row>
    <row r="34" spans="2:37" x14ac:dyDescent="0.25">
      <c r="B34" s="41">
        <f>IFERROR(IF(C33=C30,IF(B33+1&lt;='MAPA DE PREÇOS'!$H$8,B33+1,""),B33),"")</f>
        <v>27</v>
      </c>
      <c r="C34" s="41">
        <f>IFERROR(VLOOKUP(B34,'MAPA DE PREÇOS'!B:D,2,FALSE),"")</f>
        <v>1</v>
      </c>
      <c r="D34" s="41">
        <f>IFERROR(VLOOKUP(B34,'MAPA DE PREÇOS'!B:D,3,FALSE),"")</f>
        <v>27</v>
      </c>
      <c r="E34" s="82">
        <f t="shared" si="0"/>
        <v>27</v>
      </c>
      <c r="F34" s="82">
        <f>IF($B33="","",IF($C34=$C31,INDEX('MAPA DE PREÇOS'!$H:$H,MATCH($B34,'MAPA DE PREÇOS'!$B:$B)-19),IF($C34=$C32,"Código","")))</f>
        <v>0</v>
      </c>
      <c r="G34" s="83" t="str">
        <f>IF($B33="","",IF($C34=$C31,IF('BASE EDITAL'!$C$2="",INDEX('MAPA DE PREÇOS'!H:H,MATCH(EDITAL_A!B34,'MAPA DE PREÇOS'!B:B,0)+1),UPPER(INDEX('BASE EDITAL'!$C:$C,EDITAL_A!B34+1))),IF($C34=$C32,"Especificação do Objeto","")))</f>
        <v>Tarifa B4a TE - Iluminação Pública</v>
      </c>
      <c r="H34" s="84" t="str">
        <f>IF($B33="","",IF($C34=$C31,INDEX('MAPA DE PREÇOS'!$M:$M,MATCH($B34,'MAPA DE PREÇOS'!$B:$B)-16),IF($C34=$C32,"Unidade","")))</f>
        <v>KWH</v>
      </c>
      <c r="I34" s="84">
        <f>IF($B33="","",IF($C34=$C31,INDEX('MAPA DE PREÇOS'!$M:$M,MATCH($B34,'MAPA DE PREÇOS'!$B:$B)-17),IF($C34=$C32,"Quant.","")))</f>
        <v>1</v>
      </c>
      <c r="J34" s="60">
        <f>IF(J33="Total Mensal","Total Acumulado",IF($B33="","",IF($C34=$C31,INDEX('MAPA DE PREÇOS'!$M:$M,MATCH($B34,'MAPA DE PREÇOS'!$B:$B)-19),IF($C34=$C32,"Valor Unit. (R$)",IF(AND($C34&lt;&gt;$C33,$J33&lt;&gt;""),"Total Mensal","")))))</f>
        <v>139.16999999999999</v>
      </c>
      <c r="K34" s="75">
        <f>IF(J34="","",IF(J34="Total Mensal","-",IF(J34="Total Acumulado",SUM(K$7:K33),I34*J34)))</f>
        <v>139.16999999999999</v>
      </c>
      <c r="L34" s="112">
        <f>IF(J34="","",IF(J34="Total Mensal","-",IF(J34="Total Acumulado",SUM(L$7:L33),K34/SUMIF(J:J,"Total Acumulado",K:K))))</f>
        <v>3.2456448725784119E-2</v>
      </c>
      <c r="M34" s="108"/>
      <c r="N34" s="112">
        <f>IF($J34="","",IF($J34="Total Mensal",SUM(O$7:O33)/VLOOKUP("Total Acumulado",$J:$K,2,FALSE),IF($J34="Total Acumulado",N33+L34+IF(L$7="% Item",-1,0),0%)))</f>
        <v>0</v>
      </c>
      <c r="O34" s="109">
        <f>IF($J34="","",IF($J34="Total Mensal",SUM(O$7:O33),IF($J34="Total Acumulado",SUM(O$7:O32)+M34,IFERROR(N34*$K34,0))))</f>
        <v>0</v>
      </c>
      <c r="P34" s="112">
        <f>IF($J34="","",IF($J34="Total Mensal",SUM(Q$7:Q33)/VLOOKUP("Total Acumulado",$J:$K,2,FALSE),IF($J34="Total Acumulado",P33+N34+IF(N$7="% Item",-1,0),0%)))</f>
        <v>0</v>
      </c>
      <c r="Q34" s="109">
        <f>IF($J34="","",IF($J34="Total Mensal",SUM(Q$7:Q33),IF($J34="Total Acumulado",SUM(Q$7:Q32)+O34,IFERROR(P34*$K34,0))))</f>
        <v>0</v>
      </c>
      <c r="R34" s="112">
        <f>IF($J34="","",IF($J34="Total Mensal",SUM(S$7:S33)/VLOOKUP("Total Acumulado",$J:$K,2,FALSE),IF($J34="Total Acumulado",R33+P34+IF(P$7="% Item",-1,0),0%)))</f>
        <v>0</v>
      </c>
      <c r="S34" s="109">
        <f>IF($J34="","",IF($J34="Total Mensal",SUM(S$7:S33),IF($J34="Total Acumulado",SUM(S$7:S32)+Q34,IFERROR(R34*$K34,0))))</f>
        <v>0</v>
      </c>
      <c r="T34" s="112">
        <f>IF($J34="","",IF($J34="Total Mensal",SUM(U$7:U33)/VLOOKUP("Total Acumulado",$J:$K,2,FALSE),IF($J34="Total Acumulado",T33+R34+IF(R$7="% Item",-1,0),0%)))</f>
        <v>0</v>
      </c>
      <c r="U34" s="109">
        <f>IF($J34="","",IF($J34="Total Mensal",SUM(U$7:U33),IF($J34="Total Acumulado",SUM(U$7:U32)+S34,IFERROR(T34*$K34,0))))</f>
        <v>0</v>
      </c>
      <c r="V34" s="112">
        <f>IF($J34="","",IF($J34="Total Mensal",SUM(W$7:W33)/VLOOKUP("Total Acumulado",$J:$K,2,FALSE),IF($J34="Total Acumulado",V33+T34+IF(T$7="% Item",-1,0),0%)))</f>
        <v>0</v>
      </c>
      <c r="W34" s="109">
        <f>IF($J34="","",IF($J34="Total Mensal",SUM(W$7:W33),IF($J34="Total Acumulado",SUM(W$7:W32)+U34,IFERROR(V34*$K34,0))))</f>
        <v>0</v>
      </c>
      <c r="X34" s="112">
        <f>IF($J34="","",IF($J34="Total Mensal",SUM(Y$7:Y33)/VLOOKUP("Total Acumulado",$J:$K,2,FALSE),IF($J34="Total Acumulado",X33+V34+IF(V$7="% Item",-1,0),0%)))</f>
        <v>0</v>
      </c>
      <c r="Y34" s="109">
        <f>IF($J34="","",IF($J34="Total Mensal",SUM(Y$7:Y33),IF($J34="Total Acumulado",SUM(Y$7:Y32)+W34,IFERROR(X34*$K34,0))))</f>
        <v>0</v>
      </c>
      <c r="Z34" s="112">
        <f>IF($J34="","",IF($J34="Total Mensal",SUM(AA$7:AA33)/VLOOKUP("Total Acumulado",$J:$K,2,FALSE),IF($J34="Total Acumulado",Z33+X34+IF(X$7="% Item",-1,0),0%)))</f>
        <v>0</v>
      </c>
      <c r="AA34" s="109">
        <f>IF($J34="","",IF($J34="Total Mensal",SUM(AA$7:AA33),IF($J34="Total Acumulado",SUM(AA$7:AA32)+Y34,IFERROR(Z34*$K34,0))))</f>
        <v>0</v>
      </c>
      <c r="AB34" s="112">
        <f>IF($J34="","",IF($J34="Total Mensal",SUM(AC$7:AC33)/VLOOKUP("Total Acumulado",$J:$K,2,FALSE),IF($J34="Total Acumulado",AB33+Z34+IF(Z$7="% Item",-1,0),0%)))</f>
        <v>0</v>
      </c>
      <c r="AC34" s="109">
        <f>IF($J34="","",IF($J34="Total Mensal",SUM(AC$7:AC33),IF($J34="Total Acumulado",SUM(AC$7:AC32)+AA34,IFERROR(AB34*$K34,0))))</f>
        <v>0</v>
      </c>
      <c r="AD34" s="112">
        <f>IF($J34="","",IF($J34="Total Mensal",SUM(AE$7:AE33)/VLOOKUP("Total Acumulado",$J:$K,2,FALSE),IF($J34="Total Acumulado",AD33+AB34+IF(AB$7="% Item",-1,0),0%)))</f>
        <v>0</v>
      </c>
      <c r="AE34" s="109">
        <f>IF($J34="","",IF($J34="Total Mensal",SUM(AE$7:AE33),IF($J34="Total Acumulado",SUM(AE$7:AE32)+AC34,IFERROR(AD34*$K34,0))))</f>
        <v>0</v>
      </c>
      <c r="AF34" s="112">
        <f>IF($J34="","",IF($J34="Total Mensal",SUM(AG$7:AG33)/VLOOKUP("Total Acumulado",$J:$K,2,FALSE),IF($J34="Total Acumulado",AF33+AD34+IF(AD$7="% Item",-1,0),0%)))</f>
        <v>0</v>
      </c>
      <c r="AG34" s="109">
        <f>IF($J34="","",IF($J34="Total Mensal",SUM(AG$7:AG33),IF($J34="Total Acumulado",SUM(AG$7:AG32)+AE34,IFERROR(AF34*$K34,0))))</f>
        <v>0</v>
      </c>
      <c r="AH34" s="112">
        <f>IF($J34="","",IF($J34="Total Mensal",SUM(AI$7:AI33)/VLOOKUP("Total Acumulado",$J:$K,2,FALSE),IF($J34="Total Acumulado",AH33+AF34+IF(AF$7="% Item",-1,0),0%)))</f>
        <v>0</v>
      </c>
      <c r="AI34" s="109">
        <f>IF($J34="","",IF($J34="Total Mensal",SUM(AI$7:AI33),IF($J34="Total Acumulado",SUM(AI$7:AI32)+AG34,IFERROR(AH34*$K34,0))))</f>
        <v>0</v>
      </c>
      <c r="AJ34" s="112">
        <f>IF($J34="","",IF($J34="Total Mensal",SUM(AK$7:AK33)/VLOOKUP("Total Acumulado",$J:$K,2,FALSE),IF($J34="Total Acumulado",AJ33+AH34+IF(AH$7="% Item",-1,0),0%)))</f>
        <v>0</v>
      </c>
      <c r="AK34" s="109">
        <f>IF($J34="","",IF($J34="Total Mensal",SUM(AK$7:AK33),IF($J34="Total Acumulado",SUM(AK$7:AK32)+AI34,IFERROR(AJ34*$K34,0))))</f>
        <v>0</v>
      </c>
    </row>
    <row r="35" spans="2:37" x14ac:dyDescent="0.25">
      <c r="B35" s="41">
        <f>IFERROR(IF(C34=C31,IF(B34+1&lt;='MAPA DE PREÇOS'!$H$8,B34+1,""),B34),"")</f>
        <v>28</v>
      </c>
      <c r="C35" s="41">
        <f>IFERROR(VLOOKUP(B35,'MAPA DE PREÇOS'!B:D,2,FALSE),"")</f>
        <v>1</v>
      </c>
      <c r="D35" s="41">
        <f>IFERROR(VLOOKUP(B35,'MAPA DE PREÇOS'!B:D,3,FALSE),"")</f>
        <v>28</v>
      </c>
      <c r="E35" s="82">
        <f t="shared" si="0"/>
        <v>28</v>
      </c>
      <c r="F35" s="82">
        <f>IF($B34="","",IF($C35=$C32,INDEX('MAPA DE PREÇOS'!$H:$H,MATCH($B35,'MAPA DE PREÇOS'!$B:$B)-19),IF($C35=$C33,"Código","")))</f>
        <v>0</v>
      </c>
      <c r="G35" s="83" t="str">
        <f>IF($B34="","",IF($C35=$C32,IF('BASE EDITAL'!$C$2="",INDEX('MAPA DE PREÇOS'!H:H,MATCH(EDITAL_A!B35,'MAPA DE PREÇOS'!B:B,0)+1),UPPER(INDEX('BASE EDITAL'!$C:$C,EDITAL_A!B35+1))),IF($C35=$C33,"Especificação do Objeto","")))</f>
        <v>Assessoria ambiental (licenciamento e acompanhamento)</v>
      </c>
      <c r="H35" s="84" t="str">
        <f>IF($B34="","",IF($C35=$C32,INDEX('MAPA DE PREÇOS'!$M:$M,MATCH($B35,'MAPA DE PREÇOS'!$B:$B)-16),IF($C35=$C33,"Unidade","")))</f>
        <v>MES</v>
      </c>
      <c r="I35" s="84">
        <f>IF($B34="","",IF($C35=$C32,INDEX('MAPA DE PREÇOS'!$M:$M,MATCH($B35,'MAPA DE PREÇOS'!$B:$B)-17),IF($C35=$C33,"Quant.","")))</f>
        <v>1</v>
      </c>
      <c r="J35" s="60">
        <f>IF(J34="Total Mensal","Total Acumulado",IF($B34="","",IF($C35=$C32,INDEX('MAPA DE PREÇOS'!$M:$M,MATCH($B35,'MAPA DE PREÇOS'!$B:$B)-19),IF($C35=$C33,"Valor Unit. (R$)",IF(AND($C35&lt;&gt;$C34,$J34&lt;&gt;""),"Total Mensal","")))))</f>
        <v>2431.67</v>
      </c>
      <c r="K35" s="75">
        <f>IF(J35="","",IF(J35="Total Mensal","-",IF(J35="Total Acumulado",SUM(K$7:K34),I35*J35)))</f>
        <v>2431.67</v>
      </c>
      <c r="L35" s="112">
        <f>IF(J35="","",IF(J35="Total Mensal","-",IF(J35="Total Acumulado",SUM(L$7:L34),K35/SUMIF(J:J,"Total Acumulado",K:K))))</f>
        <v>0.56710047189069113</v>
      </c>
      <c r="M35" s="108"/>
      <c r="N35" s="112">
        <f>IF($J35="","",IF($J35="Total Mensal",SUM(O$7:O34)/VLOOKUP("Total Acumulado",$J:$K,2,FALSE),IF($J35="Total Acumulado",N34+L35+IF(L$7="% Item",-1,0),0%)))</f>
        <v>0</v>
      </c>
      <c r="O35" s="109">
        <f>IF($J35="","",IF($J35="Total Mensal",SUM(O$7:O34),IF($J35="Total Acumulado",SUM(O$7:O33)+M35,IFERROR(N35*$K35,0))))</f>
        <v>0</v>
      </c>
      <c r="P35" s="112">
        <f>IF($J35="","",IF($J35="Total Mensal",SUM(Q$7:Q34)/VLOOKUP("Total Acumulado",$J:$K,2,FALSE),IF($J35="Total Acumulado",P34+N35+IF(N$7="% Item",-1,0),0%)))</f>
        <v>0</v>
      </c>
      <c r="Q35" s="109">
        <f>IF($J35="","",IF($J35="Total Mensal",SUM(Q$7:Q34),IF($J35="Total Acumulado",SUM(Q$7:Q33)+O35,IFERROR(P35*$K35,0))))</f>
        <v>0</v>
      </c>
      <c r="R35" s="112">
        <f>IF($J35="","",IF($J35="Total Mensal",SUM(S$7:S34)/VLOOKUP("Total Acumulado",$J:$K,2,FALSE),IF($J35="Total Acumulado",R34+P35+IF(P$7="% Item",-1,0),0%)))</f>
        <v>0</v>
      </c>
      <c r="S35" s="109">
        <f>IF($J35="","",IF($J35="Total Mensal",SUM(S$7:S34),IF($J35="Total Acumulado",SUM(S$7:S33)+Q35,IFERROR(R35*$K35,0))))</f>
        <v>0</v>
      </c>
      <c r="T35" s="112">
        <f>IF($J35="","",IF($J35="Total Mensal",SUM(U$7:U34)/VLOOKUP("Total Acumulado",$J:$K,2,FALSE),IF($J35="Total Acumulado",T34+R35+IF(R$7="% Item",-1,0),0%)))</f>
        <v>0</v>
      </c>
      <c r="U35" s="109">
        <f>IF($J35="","",IF($J35="Total Mensal",SUM(U$7:U34),IF($J35="Total Acumulado",SUM(U$7:U33)+S35,IFERROR(T35*$K35,0))))</f>
        <v>0</v>
      </c>
      <c r="V35" s="112">
        <f>IF($J35="","",IF($J35="Total Mensal",SUM(W$7:W34)/VLOOKUP("Total Acumulado",$J:$K,2,FALSE),IF($J35="Total Acumulado",V34+T35+IF(T$7="% Item",-1,0),0%)))</f>
        <v>0</v>
      </c>
      <c r="W35" s="109">
        <f>IF($J35="","",IF($J35="Total Mensal",SUM(W$7:W34),IF($J35="Total Acumulado",SUM(W$7:W33)+U35,IFERROR(V35*$K35,0))))</f>
        <v>0</v>
      </c>
      <c r="X35" s="112">
        <f>IF($J35="","",IF($J35="Total Mensal",SUM(Y$7:Y34)/VLOOKUP("Total Acumulado",$J:$K,2,FALSE),IF($J35="Total Acumulado",X34+V35+IF(V$7="% Item",-1,0),0%)))</f>
        <v>0</v>
      </c>
      <c r="Y35" s="109">
        <f>IF($J35="","",IF($J35="Total Mensal",SUM(Y$7:Y34),IF($J35="Total Acumulado",SUM(Y$7:Y33)+W35,IFERROR(X35*$K35,0))))</f>
        <v>0</v>
      </c>
      <c r="Z35" s="112">
        <f>IF($J35="","",IF($J35="Total Mensal",SUM(AA$7:AA34)/VLOOKUP("Total Acumulado",$J:$K,2,FALSE),IF($J35="Total Acumulado",Z34+X35+IF(X$7="% Item",-1,0),0%)))</f>
        <v>0</v>
      </c>
      <c r="AA35" s="109">
        <f>IF($J35="","",IF($J35="Total Mensal",SUM(AA$7:AA34),IF($J35="Total Acumulado",SUM(AA$7:AA33)+Y35,IFERROR(Z35*$K35,0))))</f>
        <v>0</v>
      </c>
      <c r="AB35" s="112">
        <f>IF($J35="","",IF($J35="Total Mensal",SUM(AC$7:AC34)/VLOOKUP("Total Acumulado",$J:$K,2,FALSE),IF($J35="Total Acumulado",AB34+Z35+IF(Z$7="% Item",-1,0),0%)))</f>
        <v>0</v>
      </c>
      <c r="AC35" s="109">
        <f>IF($J35="","",IF($J35="Total Mensal",SUM(AC$7:AC34),IF($J35="Total Acumulado",SUM(AC$7:AC33)+AA35,IFERROR(AB35*$K35,0))))</f>
        <v>0</v>
      </c>
      <c r="AD35" s="112">
        <f>IF($J35="","",IF($J35="Total Mensal",SUM(AE$7:AE34)/VLOOKUP("Total Acumulado",$J:$K,2,FALSE),IF($J35="Total Acumulado",AD34+AB35+IF(AB$7="% Item",-1,0),0%)))</f>
        <v>0</v>
      </c>
      <c r="AE35" s="109">
        <f>IF($J35="","",IF($J35="Total Mensal",SUM(AE$7:AE34),IF($J35="Total Acumulado",SUM(AE$7:AE33)+AC35,IFERROR(AD35*$K35,0))))</f>
        <v>0</v>
      </c>
      <c r="AF35" s="112">
        <f>IF($J35="","",IF($J35="Total Mensal",SUM(AG$7:AG34)/VLOOKUP("Total Acumulado",$J:$K,2,FALSE),IF($J35="Total Acumulado",AF34+AD35+IF(AD$7="% Item",-1,0),0%)))</f>
        <v>0</v>
      </c>
      <c r="AG35" s="109">
        <f>IF($J35="","",IF($J35="Total Mensal",SUM(AG$7:AG34),IF($J35="Total Acumulado",SUM(AG$7:AG33)+AE35,IFERROR(AF35*$K35,0))))</f>
        <v>0</v>
      </c>
      <c r="AH35" s="112">
        <f>IF($J35="","",IF($J35="Total Mensal",SUM(AI$7:AI34)/VLOOKUP("Total Acumulado",$J:$K,2,FALSE),IF($J35="Total Acumulado",AH34+AF35+IF(AF$7="% Item",-1,0),0%)))</f>
        <v>0</v>
      </c>
      <c r="AI35" s="109">
        <f>IF($J35="","",IF($J35="Total Mensal",SUM(AI$7:AI34),IF($J35="Total Acumulado",SUM(AI$7:AI33)+AG35,IFERROR(AH35*$K35,0))))</f>
        <v>0</v>
      </c>
      <c r="AJ35" s="112">
        <f>IF($J35="","",IF($J35="Total Mensal",SUM(AK$7:AK34)/VLOOKUP("Total Acumulado",$J:$K,2,FALSE),IF($J35="Total Acumulado",AJ34+AH35+IF(AH$7="% Item",-1,0),0%)))</f>
        <v>0</v>
      </c>
      <c r="AK35" s="109">
        <f>IF($J35="","",IF($J35="Total Mensal",SUM(AK$7:AK34),IF($J35="Total Acumulado",SUM(AK$7:AK33)+AI35,IFERROR(AJ35*$K35,0))))</f>
        <v>0</v>
      </c>
    </row>
    <row r="36" spans="2:37" x14ac:dyDescent="0.25">
      <c r="B36" s="41">
        <f>IFERROR(IF(C35=C32,IF(B35+1&lt;='MAPA DE PREÇOS'!$H$8,B35+1,""),B35),"")</f>
        <v>29</v>
      </c>
      <c r="C36" s="41">
        <f>IFERROR(VLOOKUP(B36,'MAPA DE PREÇOS'!B:D,2,FALSE),"")</f>
        <v>1</v>
      </c>
      <c r="D36" s="41">
        <f>IFERROR(VLOOKUP(B36,'MAPA DE PREÇOS'!B:D,3,FALSE),"")</f>
        <v>29</v>
      </c>
      <c r="E36" s="82">
        <f t="shared" si="0"/>
        <v>29</v>
      </c>
      <c r="F36" s="82">
        <f>IF($B35="","",IF($C36=$C33,INDEX('MAPA DE PREÇOS'!$H:$H,MATCH($B36,'MAPA DE PREÇOS'!$B:$B)-19),IF($C36=$C34,"Código","")))</f>
        <v>0</v>
      </c>
      <c r="G36" s="83" t="str">
        <f>IF($B35="","",IF($C36=$C33,IF('BASE EDITAL'!$C$2="",INDEX('MAPA DE PREÇOS'!H:H,MATCH(EDITAL_A!B36,'MAPA DE PREÇOS'!B:B,0)+1),UPPER(INDEX('BASE EDITAL'!$C:$C,EDITAL_A!B36+1))),IF($C36=$C34,"Especificação do Objeto","")))</f>
        <v>Detetização / controle de pragas</v>
      </c>
      <c r="H36" s="84" t="str">
        <f>IF($B35="","",IF($C36=$C33,INDEX('MAPA DE PREÇOS'!$M:$M,MATCH($B36,'MAPA DE PREÇOS'!$B:$B)-16),IF($C36=$C34,"Unidade","")))</f>
        <v>M2</v>
      </c>
      <c r="I36" s="84">
        <f>IF($B35="","",IF($C36=$C33,INDEX('MAPA DE PREÇOS'!$M:$M,MATCH($B36,'MAPA DE PREÇOS'!$B:$B)-17),IF($C36=$C34,"Quant.","")))</f>
        <v>1</v>
      </c>
      <c r="J36" s="60">
        <f>IF(J35="Total Mensal","Total Acumulado",IF($B35="","",IF($C36=$C33,INDEX('MAPA DE PREÇOS'!$M:$M,MATCH($B36,'MAPA DE PREÇOS'!$B:$B)-19),IF($C36=$C34,"Valor Unit. (R$)",IF(AND($C36&lt;&gt;$C35,$J35&lt;&gt;""),"Total Mensal","")))))</f>
        <v>1.3</v>
      </c>
      <c r="K36" s="75">
        <f>IF(J36="","",IF(J36="Total Mensal","-",IF(J36="Total Acumulado",SUM(K$7:K35),I36*J36)))</f>
        <v>1.3</v>
      </c>
      <c r="L36" s="112">
        <f>IF(J36="","",IF(J36="Total Mensal","-",IF(J36="Total Acumulado",SUM(L$7:L35),K36/SUMIF(J:J,"Total Acumulado",K:K))))</f>
        <v>3.0317872633124496E-4</v>
      </c>
      <c r="M36" s="108"/>
      <c r="N36" s="112">
        <f>IF($J36="","",IF($J36="Total Mensal",SUM(O$7:O35)/VLOOKUP("Total Acumulado",$J:$K,2,FALSE),IF($J36="Total Acumulado",N35+L36+IF(L$7="% Item",-1,0),0%)))</f>
        <v>0</v>
      </c>
      <c r="O36" s="109">
        <f>IF($J36="","",IF($J36="Total Mensal",SUM(O$7:O35),IF($J36="Total Acumulado",SUM(O$7:O34)+M36,IFERROR(N36*$K36,0))))</f>
        <v>0</v>
      </c>
      <c r="P36" s="112">
        <f>IF($J36="","",IF($J36="Total Mensal",SUM(Q$7:Q35)/VLOOKUP("Total Acumulado",$J:$K,2,FALSE),IF($J36="Total Acumulado",P35+N36+IF(N$7="% Item",-1,0),0%)))</f>
        <v>0</v>
      </c>
      <c r="Q36" s="109">
        <f>IF($J36="","",IF($J36="Total Mensal",SUM(Q$7:Q35),IF($J36="Total Acumulado",SUM(Q$7:Q34)+O36,IFERROR(P36*$K36,0))))</f>
        <v>0</v>
      </c>
      <c r="R36" s="112">
        <f>IF($J36="","",IF($J36="Total Mensal",SUM(S$7:S35)/VLOOKUP("Total Acumulado",$J:$K,2,FALSE),IF($J36="Total Acumulado",R35+P36+IF(P$7="% Item",-1,0),0%)))</f>
        <v>0</v>
      </c>
      <c r="S36" s="109">
        <f>IF($J36="","",IF($J36="Total Mensal",SUM(S$7:S35),IF($J36="Total Acumulado",SUM(S$7:S34)+Q36,IFERROR(R36*$K36,0))))</f>
        <v>0</v>
      </c>
      <c r="T36" s="112">
        <f>IF($J36="","",IF($J36="Total Mensal",SUM(U$7:U35)/VLOOKUP("Total Acumulado",$J:$K,2,FALSE),IF($J36="Total Acumulado",T35+R36+IF(R$7="% Item",-1,0),0%)))</f>
        <v>0</v>
      </c>
      <c r="U36" s="109">
        <f>IF($J36="","",IF($J36="Total Mensal",SUM(U$7:U35),IF($J36="Total Acumulado",SUM(U$7:U34)+S36,IFERROR(T36*$K36,0))))</f>
        <v>0</v>
      </c>
      <c r="V36" s="112">
        <f>IF($J36="","",IF($J36="Total Mensal",SUM(W$7:W35)/VLOOKUP("Total Acumulado",$J:$K,2,FALSE),IF($J36="Total Acumulado",V35+T36+IF(T$7="% Item",-1,0),0%)))</f>
        <v>0</v>
      </c>
      <c r="W36" s="109">
        <f>IF($J36="","",IF($J36="Total Mensal",SUM(W$7:W35),IF($J36="Total Acumulado",SUM(W$7:W34)+U36,IFERROR(V36*$K36,0))))</f>
        <v>0</v>
      </c>
      <c r="X36" s="112">
        <f>IF($J36="","",IF($J36="Total Mensal",SUM(Y$7:Y35)/VLOOKUP("Total Acumulado",$J:$K,2,FALSE),IF($J36="Total Acumulado",X35+V36+IF(V$7="% Item",-1,0),0%)))</f>
        <v>0</v>
      </c>
      <c r="Y36" s="109">
        <f>IF($J36="","",IF($J36="Total Mensal",SUM(Y$7:Y35),IF($J36="Total Acumulado",SUM(Y$7:Y34)+W36,IFERROR(X36*$K36,0))))</f>
        <v>0</v>
      </c>
      <c r="Z36" s="112">
        <f>IF($J36="","",IF($J36="Total Mensal",SUM(AA$7:AA35)/VLOOKUP("Total Acumulado",$J:$K,2,FALSE),IF($J36="Total Acumulado",Z35+X36+IF(X$7="% Item",-1,0),0%)))</f>
        <v>0</v>
      </c>
      <c r="AA36" s="109">
        <f>IF($J36="","",IF($J36="Total Mensal",SUM(AA$7:AA35),IF($J36="Total Acumulado",SUM(AA$7:AA34)+Y36,IFERROR(Z36*$K36,0))))</f>
        <v>0</v>
      </c>
      <c r="AB36" s="112">
        <f>IF($J36="","",IF($J36="Total Mensal",SUM(AC$7:AC35)/VLOOKUP("Total Acumulado",$J:$K,2,FALSE),IF($J36="Total Acumulado",AB35+Z36+IF(Z$7="% Item",-1,0),0%)))</f>
        <v>0</v>
      </c>
      <c r="AC36" s="109">
        <f>IF($J36="","",IF($J36="Total Mensal",SUM(AC$7:AC35),IF($J36="Total Acumulado",SUM(AC$7:AC34)+AA36,IFERROR(AB36*$K36,0))))</f>
        <v>0</v>
      </c>
      <c r="AD36" s="112">
        <f>IF($J36="","",IF($J36="Total Mensal",SUM(AE$7:AE35)/VLOOKUP("Total Acumulado",$J:$K,2,FALSE),IF($J36="Total Acumulado",AD35+AB36+IF(AB$7="% Item",-1,0),0%)))</f>
        <v>0</v>
      </c>
      <c r="AE36" s="109">
        <f>IF($J36="","",IF($J36="Total Mensal",SUM(AE$7:AE35),IF($J36="Total Acumulado",SUM(AE$7:AE34)+AC36,IFERROR(AD36*$K36,0))))</f>
        <v>0</v>
      </c>
      <c r="AF36" s="112">
        <f>IF($J36="","",IF($J36="Total Mensal",SUM(AG$7:AG35)/VLOOKUP("Total Acumulado",$J:$K,2,FALSE),IF($J36="Total Acumulado",AF35+AD36+IF(AD$7="% Item",-1,0),0%)))</f>
        <v>0</v>
      </c>
      <c r="AG36" s="109">
        <f>IF($J36="","",IF($J36="Total Mensal",SUM(AG$7:AG35),IF($J36="Total Acumulado",SUM(AG$7:AG34)+AE36,IFERROR(AF36*$K36,0))))</f>
        <v>0</v>
      </c>
      <c r="AH36" s="112">
        <f>IF($J36="","",IF($J36="Total Mensal",SUM(AI$7:AI35)/VLOOKUP("Total Acumulado",$J:$K,2,FALSE),IF($J36="Total Acumulado",AH35+AF36+IF(AF$7="% Item",-1,0),0%)))</f>
        <v>0</v>
      </c>
      <c r="AI36" s="109">
        <f>IF($J36="","",IF($J36="Total Mensal",SUM(AI$7:AI35),IF($J36="Total Acumulado",SUM(AI$7:AI34)+AG36,IFERROR(AH36*$K36,0))))</f>
        <v>0</v>
      </c>
      <c r="AJ36" s="112">
        <f>IF($J36="","",IF($J36="Total Mensal",SUM(AK$7:AK35)/VLOOKUP("Total Acumulado",$J:$K,2,FALSE),IF($J36="Total Acumulado",AJ35+AH36+IF(AH$7="% Item",-1,0),0%)))</f>
        <v>0</v>
      </c>
      <c r="AK36" s="109">
        <f>IF($J36="","",IF($J36="Total Mensal",SUM(AK$7:AK35),IF($J36="Total Acumulado",SUM(AK$7:AK34)+AI36,IFERROR(AJ36*$K36,0))))</f>
        <v>0</v>
      </c>
    </row>
    <row r="37" spans="2:37" x14ac:dyDescent="0.25">
      <c r="B37" s="41">
        <f>IFERROR(IF(C36=C33,IF(B36+1&lt;='MAPA DE PREÇOS'!$H$8,B36+1,""),B36),"")</f>
        <v>30</v>
      </c>
      <c r="C37" s="41">
        <f>IFERROR(VLOOKUP(B37,'MAPA DE PREÇOS'!B:D,2,FALSE),"")</f>
        <v>1</v>
      </c>
      <c r="D37" s="41">
        <f>IFERROR(VLOOKUP(B37,'MAPA DE PREÇOS'!B:D,3,FALSE),"")</f>
        <v>30</v>
      </c>
      <c r="E37" s="82">
        <f t="shared" si="0"/>
        <v>30</v>
      </c>
      <c r="F37" s="82">
        <f>IF($B36="","",IF($C37=$C34,INDEX('MAPA DE PREÇOS'!$H:$H,MATCH($B37,'MAPA DE PREÇOS'!$B:$B)-19),IF($C37=$C35,"Código","")))</f>
        <v>0</v>
      </c>
      <c r="G37" s="83" t="str">
        <f>IF($B36="","",IF($C37=$C34,IF('BASE EDITAL'!$C$2="",INDEX('MAPA DE PREÇOS'!H:H,MATCH(EDITAL_A!B37,'MAPA DE PREÇOS'!B:B,0)+1),UPPER(INDEX('BASE EDITAL'!$C:$C,EDITAL_A!B37+1))),IF($C37=$C35,"Especificação do Objeto","")))</f>
        <v>Tarifa d´água + esgoto DMAE</v>
      </c>
      <c r="H37" s="84" t="str">
        <f>IF($B36="","",IF($C37=$C34,INDEX('MAPA DE PREÇOS'!$M:$M,MATCH($B37,'MAPA DE PREÇOS'!$B:$B)-16),IF($C37=$C35,"Unidade","")))</f>
        <v>M³</v>
      </c>
      <c r="I37" s="84">
        <f>IF($B36="","",IF($C37=$C34,INDEX('MAPA DE PREÇOS'!$M:$M,MATCH($B37,'MAPA DE PREÇOS'!$B:$B)-17),IF($C37=$C35,"Quant.","")))</f>
        <v>1</v>
      </c>
      <c r="J37" s="60">
        <f>IF(J36="Total Mensal","Total Acumulado",IF($B36="","",IF($C37=$C34,INDEX('MAPA DE PREÇOS'!$M:$M,MATCH($B37,'MAPA DE PREÇOS'!$B:$B)-19),IF($C37=$C35,"Valor Unit. (R$)",IF(AND($C37&lt;&gt;$C36,$J36&lt;&gt;""),"Total Mensal","")))))</f>
        <v>11.8</v>
      </c>
      <c r="K37" s="75">
        <f>IF(J37="","",IF(J37="Total Mensal","-",IF(J37="Total Acumulado",SUM(K$7:K36),I37*J37)))</f>
        <v>11.8</v>
      </c>
      <c r="L37" s="112">
        <f>IF(J37="","",IF(J37="Total Mensal","-",IF(J37="Total Acumulado",SUM(L$7:L36),K37/SUMIF(J:J,"Total Acumulado",K:K))))</f>
        <v>2.7519299774682237E-3</v>
      </c>
      <c r="M37" s="108"/>
      <c r="N37" s="112">
        <f>IF($J37="","",IF($J37="Total Mensal",SUM(O$7:O36)/VLOOKUP("Total Acumulado",$J:$K,2,FALSE),IF($J37="Total Acumulado",N36+L37+IF(L$7="% Item",-1,0),0%)))</f>
        <v>0</v>
      </c>
      <c r="O37" s="109">
        <f>IF($J37="","",IF($J37="Total Mensal",SUM(O$7:O36),IF($J37="Total Acumulado",SUM(O$7:O35)+M37,IFERROR(N37*$K37,0))))</f>
        <v>0</v>
      </c>
      <c r="P37" s="112">
        <f>IF($J37="","",IF($J37="Total Mensal",SUM(Q$7:Q36)/VLOOKUP("Total Acumulado",$J:$K,2,FALSE),IF($J37="Total Acumulado",P36+N37+IF(N$7="% Item",-1,0),0%)))</f>
        <v>0</v>
      </c>
      <c r="Q37" s="109">
        <f>IF($J37="","",IF($J37="Total Mensal",SUM(Q$7:Q36),IF($J37="Total Acumulado",SUM(Q$7:Q35)+O37,IFERROR(P37*$K37,0))))</f>
        <v>0</v>
      </c>
      <c r="R37" s="112">
        <f>IF($J37="","",IF($J37="Total Mensal",SUM(S$7:S36)/VLOOKUP("Total Acumulado",$J:$K,2,FALSE),IF($J37="Total Acumulado",R36+P37+IF(P$7="% Item",-1,0),0%)))</f>
        <v>0</v>
      </c>
      <c r="S37" s="109">
        <f>IF($J37="","",IF($J37="Total Mensal",SUM(S$7:S36),IF($J37="Total Acumulado",SUM(S$7:S35)+Q37,IFERROR(R37*$K37,0))))</f>
        <v>0</v>
      </c>
      <c r="T37" s="112">
        <f>IF($J37="","",IF($J37="Total Mensal",SUM(U$7:U36)/VLOOKUP("Total Acumulado",$J:$K,2,FALSE),IF($J37="Total Acumulado",T36+R37+IF(R$7="% Item",-1,0),0%)))</f>
        <v>0</v>
      </c>
      <c r="U37" s="109">
        <f>IF($J37="","",IF($J37="Total Mensal",SUM(U$7:U36),IF($J37="Total Acumulado",SUM(U$7:U35)+S37,IFERROR(T37*$K37,0))))</f>
        <v>0</v>
      </c>
      <c r="V37" s="112">
        <f>IF($J37="","",IF($J37="Total Mensal",SUM(W$7:W36)/VLOOKUP("Total Acumulado",$J:$K,2,FALSE),IF($J37="Total Acumulado",V36+T37+IF(T$7="% Item",-1,0),0%)))</f>
        <v>0</v>
      </c>
      <c r="W37" s="109">
        <f>IF($J37="","",IF($J37="Total Mensal",SUM(W$7:W36),IF($J37="Total Acumulado",SUM(W$7:W35)+U37,IFERROR(V37*$K37,0))))</f>
        <v>0</v>
      </c>
      <c r="X37" s="112">
        <f>IF($J37="","",IF($J37="Total Mensal",SUM(Y$7:Y36)/VLOOKUP("Total Acumulado",$J:$K,2,FALSE),IF($J37="Total Acumulado",X36+V37+IF(V$7="% Item",-1,0),0%)))</f>
        <v>0</v>
      </c>
      <c r="Y37" s="109">
        <f>IF($J37="","",IF($J37="Total Mensal",SUM(Y$7:Y36),IF($J37="Total Acumulado",SUM(Y$7:Y35)+W37,IFERROR(X37*$K37,0))))</f>
        <v>0</v>
      </c>
      <c r="Z37" s="112">
        <f>IF($J37="","",IF($J37="Total Mensal",SUM(AA$7:AA36)/VLOOKUP("Total Acumulado",$J:$K,2,FALSE),IF($J37="Total Acumulado",Z36+X37+IF(X$7="% Item",-1,0),0%)))</f>
        <v>0</v>
      </c>
      <c r="AA37" s="109">
        <f>IF($J37="","",IF($J37="Total Mensal",SUM(AA$7:AA36),IF($J37="Total Acumulado",SUM(AA$7:AA35)+Y37,IFERROR(Z37*$K37,0))))</f>
        <v>0</v>
      </c>
      <c r="AB37" s="112">
        <f>IF($J37="","",IF($J37="Total Mensal",SUM(AC$7:AC36)/VLOOKUP("Total Acumulado",$J:$K,2,FALSE),IF($J37="Total Acumulado",AB36+Z37+IF(Z$7="% Item",-1,0),0%)))</f>
        <v>0</v>
      </c>
      <c r="AC37" s="109">
        <f>IF($J37="","",IF($J37="Total Mensal",SUM(AC$7:AC36),IF($J37="Total Acumulado",SUM(AC$7:AC35)+AA37,IFERROR(AB37*$K37,0))))</f>
        <v>0</v>
      </c>
      <c r="AD37" s="112">
        <f>IF($J37="","",IF($J37="Total Mensal",SUM(AE$7:AE36)/VLOOKUP("Total Acumulado",$J:$K,2,FALSE),IF($J37="Total Acumulado",AD36+AB37+IF(AB$7="% Item",-1,0),0%)))</f>
        <v>0</v>
      </c>
      <c r="AE37" s="109">
        <f>IF($J37="","",IF($J37="Total Mensal",SUM(AE$7:AE36),IF($J37="Total Acumulado",SUM(AE$7:AE35)+AC37,IFERROR(AD37*$K37,0))))</f>
        <v>0</v>
      </c>
      <c r="AF37" s="112">
        <f>IF($J37="","",IF($J37="Total Mensal",SUM(AG$7:AG36)/VLOOKUP("Total Acumulado",$J:$K,2,FALSE),IF($J37="Total Acumulado",AF36+AD37+IF(AD$7="% Item",-1,0),0%)))</f>
        <v>0</v>
      </c>
      <c r="AG37" s="109">
        <f>IF($J37="","",IF($J37="Total Mensal",SUM(AG$7:AG36),IF($J37="Total Acumulado",SUM(AG$7:AG35)+AE37,IFERROR(AF37*$K37,0))))</f>
        <v>0</v>
      </c>
      <c r="AH37" s="112">
        <f>IF($J37="","",IF($J37="Total Mensal",SUM(AI$7:AI36)/VLOOKUP("Total Acumulado",$J:$K,2,FALSE),IF($J37="Total Acumulado",AH36+AF37+IF(AF$7="% Item",-1,0),0%)))</f>
        <v>0</v>
      </c>
      <c r="AI37" s="109">
        <f>IF($J37="","",IF($J37="Total Mensal",SUM(AI$7:AI36),IF($J37="Total Acumulado",SUM(AI$7:AI35)+AG37,IFERROR(AH37*$K37,0))))</f>
        <v>0</v>
      </c>
      <c r="AJ37" s="112">
        <f>IF($J37="","",IF($J37="Total Mensal",SUM(AK$7:AK36)/VLOOKUP("Total Acumulado",$J:$K,2,FALSE),IF($J37="Total Acumulado",AJ36+AH37+IF(AH$7="% Item",-1,0),0%)))</f>
        <v>0</v>
      </c>
      <c r="AK37" s="109">
        <f>IF($J37="","",IF($J37="Total Mensal",SUM(AK$7:AK36),IF($J37="Total Acumulado",SUM(AK$7:AK35)+AI37,IFERROR(AJ37*$K37,0))))</f>
        <v>0</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PREÇOS'!H:H,MATCH(EDITAL_A!B38,'MAPA DE PREÇOS'!B:B,0)+1),UPPER(INDEX('BASE EDITAL'!$C:$C,EDITAL_A!B38+1))),IF($C38=$C36,"Especificação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Total Mensal</v>
      </c>
      <c r="K38" s="75" t="str">
        <f>IF(J38="","",IF(J38="Total Mensal","-",IF(J38="Total Acumulado",SUM(K$7:K37),I38*J38)))</f>
        <v>-</v>
      </c>
      <c r="L38" s="112" t="str">
        <f>IF(J38="","",IF(J38="Total Mensal","-",IF(J38="Total Acumulado",SUM(L$7:L37),K38/SUMIF(J:J,"Total Acumulado",K:K))))</f>
        <v>-</v>
      </c>
      <c r="M38" s="108"/>
      <c r="N38" s="112">
        <f>IF($J38="","",IF($J38="Total Mensal",SUM(O$7:O37)/VLOOKUP("Total Acumulado",$J:$K,2,FALSE),IF($J38="Total Acumulado",N37+L38+IF(L$7="% Item",-1,0),0%)))</f>
        <v>0</v>
      </c>
      <c r="O38" s="109">
        <f>IF($J38="","",IF($J38="Total Mensal",SUM(O$7:O37),IF($J38="Total Acumulado",SUM(O$7:O36)+M38,IFERROR(N38*$K38,0))))</f>
        <v>0</v>
      </c>
      <c r="P38" s="112">
        <f>IF($J38="","",IF($J38="Total Mensal",SUM(Q$7:Q37)/VLOOKUP("Total Acumulado",$J:$K,2,FALSE),IF($J38="Total Acumulado",P37+N38+IF(N$7="% Item",-1,0),0%)))</f>
        <v>0</v>
      </c>
      <c r="Q38" s="109">
        <f>IF($J38="","",IF($J38="Total Mensal",SUM(Q$7:Q37),IF($J38="Total Acumulado",SUM(Q$7:Q36)+O38,IFERROR(P38*$K38,0))))</f>
        <v>0</v>
      </c>
      <c r="R38" s="112">
        <f>IF($J38="","",IF($J38="Total Mensal",SUM(S$7:S37)/VLOOKUP("Total Acumulado",$J:$K,2,FALSE),IF($J38="Total Acumulado",R37+P38+IF(P$7="% Item",-1,0),0%)))</f>
        <v>0</v>
      </c>
      <c r="S38" s="109">
        <f>IF($J38="","",IF($J38="Total Mensal",SUM(S$7:S37),IF($J38="Total Acumulado",SUM(S$7:S36)+Q38,IFERROR(R38*$K38,0))))</f>
        <v>0</v>
      </c>
      <c r="T38" s="112">
        <f>IF($J38="","",IF($J38="Total Mensal",SUM(U$7:U37)/VLOOKUP("Total Acumulado",$J:$K,2,FALSE),IF($J38="Total Acumulado",T37+R38+IF(R$7="% Item",-1,0),0%)))</f>
        <v>0</v>
      </c>
      <c r="U38" s="109">
        <f>IF($J38="","",IF($J38="Total Mensal",SUM(U$7:U37),IF($J38="Total Acumulado",SUM(U$7:U36)+S38,IFERROR(T38*$K38,0))))</f>
        <v>0</v>
      </c>
      <c r="V38" s="112">
        <f>IF($J38="","",IF($J38="Total Mensal",SUM(W$7:W37)/VLOOKUP("Total Acumulado",$J:$K,2,FALSE),IF($J38="Total Acumulado",V37+T38+IF(T$7="% Item",-1,0),0%)))</f>
        <v>0</v>
      </c>
      <c r="W38" s="109">
        <f>IF($J38="","",IF($J38="Total Mensal",SUM(W$7:W37),IF($J38="Total Acumulado",SUM(W$7:W36)+U38,IFERROR(V38*$K38,0))))</f>
        <v>0</v>
      </c>
      <c r="X38" s="112">
        <f>IF($J38="","",IF($J38="Total Mensal",SUM(Y$7:Y37)/VLOOKUP("Total Acumulado",$J:$K,2,FALSE),IF($J38="Total Acumulado",X37+V38+IF(V$7="% Item",-1,0),0%)))</f>
        <v>0</v>
      </c>
      <c r="Y38" s="109">
        <f>IF($J38="","",IF($J38="Total Mensal",SUM(Y$7:Y37),IF($J38="Total Acumulado",SUM(Y$7:Y36)+W38,IFERROR(X38*$K38,0))))</f>
        <v>0</v>
      </c>
      <c r="Z38" s="112">
        <f>IF($J38="","",IF($J38="Total Mensal",SUM(AA$7:AA37)/VLOOKUP("Total Acumulado",$J:$K,2,FALSE),IF($J38="Total Acumulado",Z37+X38+IF(X$7="% Item",-1,0),0%)))</f>
        <v>0</v>
      </c>
      <c r="AA38" s="109">
        <f>IF($J38="","",IF($J38="Total Mensal",SUM(AA$7:AA37),IF($J38="Total Acumulado",SUM(AA$7:AA36)+Y38,IFERROR(Z38*$K38,0))))</f>
        <v>0</v>
      </c>
      <c r="AB38" s="112">
        <f>IF($J38="","",IF($J38="Total Mensal",SUM(AC$7:AC37)/VLOOKUP("Total Acumulado",$J:$K,2,FALSE),IF($J38="Total Acumulado",AB37+Z38+IF(Z$7="% Item",-1,0),0%)))</f>
        <v>0</v>
      </c>
      <c r="AC38" s="109">
        <f>IF($J38="","",IF($J38="Total Mensal",SUM(AC$7:AC37),IF($J38="Total Acumulado",SUM(AC$7:AC36)+AA38,IFERROR(AB38*$K38,0))))</f>
        <v>0</v>
      </c>
      <c r="AD38" s="112">
        <f>IF($J38="","",IF($J38="Total Mensal",SUM(AE$7:AE37)/VLOOKUP("Total Acumulado",$J:$K,2,FALSE),IF($J38="Total Acumulado",AD37+AB38+IF(AB$7="% Item",-1,0),0%)))</f>
        <v>0</v>
      </c>
      <c r="AE38" s="109">
        <f>IF($J38="","",IF($J38="Total Mensal",SUM(AE$7:AE37),IF($J38="Total Acumulado",SUM(AE$7:AE36)+AC38,IFERROR(AD38*$K38,0))))</f>
        <v>0</v>
      </c>
      <c r="AF38" s="112">
        <f>IF($J38="","",IF($J38="Total Mensal",SUM(AG$7:AG37)/VLOOKUP("Total Acumulado",$J:$K,2,FALSE),IF($J38="Total Acumulado",AF37+AD38+IF(AD$7="% Item",-1,0),0%)))</f>
        <v>0</v>
      </c>
      <c r="AG38" s="109">
        <f>IF($J38="","",IF($J38="Total Mensal",SUM(AG$7:AG37),IF($J38="Total Acumulado",SUM(AG$7:AG36)+AE38,IFERROR(AF38*$K38,0))))</f>
        <v>0</v>
      </c>
      <c r="AH38" s="112">
        <f>IF($J38="","",IF($J38="Total Mensal",SUM(AI$7:AI37)/VLOOKUP("Total Acumulado",$J:$K,2,FALSE),IF($J38="Total Acumulado",AH37+AF38+IF(AF$7="% Item",-1,0),0%)))</f>
        <v>0</v>
      </c>
      <c r="AI38" s="109">
        <f>IF($J38="","",IF($J38="Total Mensal",SUM(AI$7:AI37),IF($J38="Total Acumulado",SUM(AI$7:AI36)+AG38,IFERROR(AH38*$K38,0))))</f>
        <v>0</v>
      </c>
      <c r="AJ38" s="112">
        <f>IF($J38="","",IF($J38="Total Mensal",SUM(AK$7:AK37)/VLOOKUP("Total Acumulado",$J:$K,2,FALSE),IF($J38="Total Acumulado",AJ37+AH38+IF(AH$7="% Item",-1,0),0%)))</f>
        <v>0</v>
      </c>
      <c r="AK38" s="109">
        <f>IF($J38="","",IF($J38="Total Mensal",SUM(AK$7:AK37),IF($J38="Total Acumulado",SUM(AK$7:AK36)+AI38,IFERROR(AJ38*$K38,0))))</f>
        <v>0</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PREÇOS'!H:H,MATCH(EDITAL_A!B39,'MAPA DE PREÇOS'!B:B,0)+1),UPPER(INDEX('BASE EDITAL'!$C:$C,EDITAL_A!B39+1))),IF($C39=$C37,"Especificação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Total Acumulado</v>
      </c>
      <c r="K39" s="75">
        <f>IF(J39="","",IF(J39="Total Mensal","-",IF(J39="Total Acumulado",SUM(K$7:K38),I39*J39)))</f>
        <v>4287.8998000000001</v>
      </c>
      <c r="L39" s="112">
        <f>IF(J39="","",IF(J39="Total Mensal","-",IF(J39="Total Acumulado",SUM(L$7:L38),K39/SUMIF(J:J,"Total Acumulado",K:K))))</f>
        <v>1</v>
      </c>
      <c r="M39" s="108"/>
      <c r="N39" s="112">
        <f>IF($J39="","",IF($J39="Total Mensal",SUM(O$7:O38)/VLOOKUP("Total Acumulado",$J:$K,2,FALSE),IF($J39="Total Acumulado",N38+L39+IF(L$7="% Item",-1,0),0%)))</f>
        <v>0</v>
      </c>
      <c r="O39" s="109">
        <f>IF($J39="","",IF($J39="Total Mensal",SUM(O$7:O38),IF($J39="Total Acumulado",SUM(O$7:O37)+M39,IFERROR(N39*$K39,0))))</f>
        <v>0</v>
      </c>
      <c r="P39" s="112">
        <f>IF($J39="","",IF($J39="Total Mensal",SUM(Q$7:Q38)/VLOOKUP("Total Acumulado",$J:$K,2,FALSE),IF($J39="Total Acumulado",P38+N39+IF(N$7="% Item",-1,0),0%)))</f>
        <v>0</v>
      </c>
      <c r="Q39" s="109">
        <f>IF($J39="","",IF($J39="Total Mensal",SUM(Q$7:Q38),IF($J39="Total Acumulado",SUM(Q$7:Q37)+O39,IFERROR(P39*$K39,0))))</f>
        <v>0</v>
      </c>
      <c r="R39" s="112">
        <f>IF($J39="","",IF($J39="Total Mensal",SUM(S$7:S38)/VLOOKUP("Total Acumulado",$J:$K,2,FALSE),IF($J39="Total Acumulado",R38+P39+IF(P$7="% Item",-1,0),0%)))</f>
        <v>0</v>
      </c>
      <c r="S39" s="109">
        <f>IF($J39="","",IF($J39="Total Mensal",SUM(S$7:S38),IF($J39="Total Acumulado",SUM(S$7:S37)+Q39,IFERROR(R39*$K39,0))))</f>
        <v>0</v>
      </c>
      <c r="T39" s="112">
        <f>IF($J39="","",IF($J39="Total Mensal",SUM(U$7:U38)/VLOOKUP("Total Acumulado",$J:$K,2,FALSE),IF($J39="Total Acumulado",T38+R39+IF(R$7="% Item",-1,0),0%)))</f>
        <v>0</v>
      </c>
      <c r="U39" s="109">
        <f>IF($J39="","",IF($J39="Total Mensal",SUM(U$7:U38),IF($J39="Total Acumulado",SUM(U$7:U37)+S39,IFERROR(T39*$K39,0))))</f>
        <v>0</v>
      </c>
      <c r="V39" s="112">
        <f>IF($J39="","",IF($J39="Total Mensal",SUM(W$7:W38)/VLOOKUP("Total Acumulado",$J:$K,2,FALSE),IF($J39="Total Acumulado",V38+T39+IF(T$7="% Item",-1,0),0%)))</f>
        <v>0</v>
      </c>
      <c r="W39" s="109">
        <f>IF($J39="","",IF($J39="Total Mensal",SUM(W$7:W38),IF($J39="Total Acumulado",SUM(W$7:W37)+U39,IFERROR(V39*$K39,0))))</f>
        <v>0</v>
      </c>
      <c r="X39" s="112">
        <f>IF($J39="","",IF($J39="Total Mensal",SUM(Y$7:Y38)/VLOOKUP("Total Acumulado",$J:$K,2,FALSE),IF($J39="Total Acumulado",X38+V39+IF(V$7="% Item",-1,0),0%)))</f>
        <v>0</v>
      </c>
      <c r="Y39" s="109">
        <f>IF($J39="","",IF($J39="Total Mensal",SUM(Y$7:Y38),IF($J39="Total Acumulado",SUM(Y$7:Y37)+W39,IFERROR(X39*$K39,0))))</f>
        <v>0</v>
      </c>
      <c r="Z39" s="112">
        <f>IF($J39="","",IF($J39="Total Mensal",SUM(AA$7:AA38)/VLOOKUP("Total Acumulado",$J:$K,2,FALSE),IF($J39="Total Acumulado",Z38+X39+IF(X$7="% Item",-1,0),0%)))</f>
        <v>0</v>
      </c>
      <c r="AA39" s="109">
        <f>IF($J39="","",IF($J39="Total Mensal",SUM(AA$7:AA38),IF($J39="Total Acumulado",SUM(AA$7:AA37)+Y39,IFERROR(Z39*$K39,0))))</f>
        <v>0</v>
      </c>
      <c r="AB39" s="112">
        <f>IF($J39="","",IF($J39="Total Mensal",SUM(AC$7:AC38)/VLOOKUP("Total Acumulado",$J:$K,2,FALSE),IF($J39="Total Acumulado",AB38+Z39+IF(Z$7="% Item",-1,0),0%)))</f>
        <v>0</v>
      </c>
      <c r="AC39" s="109">
        <f>IF($J39="","",IF($J39="Total Mensal",SUM(AC$7:AC38),IF($J39="Total Acumulado",SUM(AC$7:AC37)+AA39,IFERROR(AB39*$K39,0))))</f>
        <v>0</v>
      </c>
      <c r="AD39" s="112">
        <f>IF($J39="","",IF($J39="Total Mensal",SUM(AE$7:AE38)/VLOOKUP("Total Acumulado",$J:$K,2,FALSE),IF($J39="Total Acumulado",AD38+AB39+IF(AB$7="% Item",-1,0),0%)))</f>
        <v>0</v>
      </c>
      <c r="AE39" s="109">
        <f>IF($J39="","",IF($J39="Total Mensal",SUM(AE$7:AE38),IF($J39="Total Acumulado",SUM(AE$7:AE37)+AC39,IFERROR(AD39*$K39,0))))</f>
        <v>0</v>
      </c>
      <c r="AF39" s="112">
        <f>IF($J39="","",IF($J39="Total Mensal",SUM(AG$7:AG38)/VLOOKUP("Total Acumulado",$J:$K,2,FALSE),IF($J39="Total Acumulado",AF38+AD39+IF(AD$7="% Item",-1,0),0%)))</f>
        <v>0</v>
      </c>
      <c r="AG39" s="109">
        <f>IF($J39="","",IF($J39="Total Mensal",SUM(AG$7:AG38),IF($J39="Total Acumulado",SUM(AG$7:AG37)+AE39,IFERROR(AF39*$K39,0))))</f>
        <v>0</v>
      </c>
      <c r="AH39" s="112">
        <f>IF($J39="","",IF($J39="Total Mensal",SUM(AI$7:AI38)/VLOOKUP("Total Acumulado",$J:$K,2,FALSE),IF($J39="Total Acumulado",AH38+AF39+IF(AF$7="% Item",-1,0),0%)))</f>
        <v>0</v>
      </c>
      <c r="AI39" s="109">
        <f>IF($J39="","",IF($J39="Total Mensal",SUM(AI$7:AI38),IF($J39="Total Acumulado",SUM(AI$7:AI37)+AG39,IFERROR(AH39*$K39,0))))</f>
        <v>0</v>
      </c>
      <c r="AJ39" s="112">
        <f>IF($J39="","",IF($J39="Total Mensal",SUM(AK$7:AK38)/VLOOKUP("Total Acumulado",$J:$K,2,FALSE),IF($J39="Total Acumulado",AJ38+AH39+IF(AH$7="% Item",-1,0),0%)))</f>
        <v>0</v>
      </c>
      <c r="AK39" s="109">
        <f>IF($J39="","",IF($J39="Total Mensal",SUM(AK$7:AK38),IF($J39="Total Acumulado",SUM(AK$7:AK37)+AI39,IFERROR(AJ39*$K39,0))))</f>
        <v>0</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PREÇOS'!H:H,MATCH(EDITAL_A!B40,'MAPA DE PREÇOS'!B:B,0)+1),UPPER(INDEX('BASE EDITAL'!$C:$C,EDITAL_A!B40+1))),IF($C40=$C38,"Especificação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PREÇOS'!H:H,MATCH(EDITAL_A!B41,'MAPA DE PREÇOS'!B:B,0)+1),UPPER(INDEX('BASE EDITAL'!$C:$C,EDITAL_A!B41+1))),IF($C41=$C39,"Especificação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PREÇOS'!H:H,MATCH(EDITAL_A!B42,'MAPA DE PREÇOS'!B:B,0)+1),UPPER(INDEX('BASE EDITAL'!$C:$C,EDITAL_A!B42+1))),IF($C42=$C40,"Especificação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PREÇOS'!H:H,MATCH(EDITAL_A!B43,'MAPA DE PREÇOS'!B:B,0)+1),UPPER(INDEX('BASE EDITAL'!$C:$C,EDITAL_A!B43+1))),IF($C43=$C41,"Especificação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PREÇOS'!H:H,MATCH(EDITAL_A!B44,'MAPA DE PREÇOS'!B:B,0)+1),UPPER(INDEX('BASE EDITAL'!$C:$C,EDITAL_A!B44+1))),IF($C44=$C42,"Especificação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PREÇOS'!H:H,MATCH(EDITAL_A!B45,'MAPA DE PREÇOS'!B:B,0)+1),UPPER(INDEX('BASE EDITAL'!$C:$C,EDITAL_A!B45+1))),IF($C45=$C43,"Especificação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PREÇOS'!H:H,MATCH(EDITAL_A!B46,'MAPA DE PREÇOS'!B:B,0)+1),UPPER(INDEX('BASE EDITAL'!$C:$C,EDITAL_A!B46+1))),IF($C46=$C44,"Especificação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PREÇOS'!H:H,MATCH(EDITAL_A!B47,'MAPA DE PREÇOS'!B:B,0)+1),UPPER(INDEX('BASE EDITAL'!$C:$C,EDITAL_A!B47+1))),IF($C47=$C45,"Especificação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PREÇOS'!H:H,MATCH(EDITAL_A!B48,'MAPA DE PREÇOS'!B:B,0)+1),UPPER(INDEX('BASE EDITAL'!$C:$C,EDITAL_A!B48+1))),IF($C48=$C46,"Especificação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PREÇOS'!H:H,MATCH(EDITAL_A!B49,'MAPA DE PREÇOS'!B:B,0)+1),UPPER(INDEX('BASE EDITAL'!$C:$C,EDITAL_A!B49+1))),IF($C49=$C47,"Especificação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PREÇOS'!H:H,MATCH(EDITAL_A!B50,'MAPA DE PREÇOS'!B:B,0)+1),UPPER(INDEX('BASE EDITAL'!$C:$C,EDITAL_A!B50+1))),IF($C50=$C48,"Especificação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PREÇOS'!H:H,MATCH(EDITAL_A!B51,'MAPA DE PREÇOS'!B:B,0)+1),UPPER(INDEX('BASE EDITAL'!$C:$C,EDITAL_A!B51+1))),IF($C51=$C49,"Especificação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PREÇOS'!H:H,MATCH(EDITAL_A!B52,'MAPA DE PREÇOS'!B:B,0)+1),UPPER(INDEX('BASE EDITAL'!$C:$C,EDITAL_A!B52+1))),IF($C52=$C50,"Especificação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PREÇOS'!H:H,MATCH(EDITAL_A!B53,'MAPA DE PREÇOS'!B:B,0)+1),UPPER(INDEX('BASE EDITAL'!$C:$C,EDITAL_A!B53+1))),IF($C53=$C51,"Especificação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PREÇOS'!H:H,MATCH(EDITAL_A!B54,'MAPA DE PREÇOS'!B:B,0)+1),UPPER(INDEX('BASE EDITAL'!$C:$C,EDITAL_A!B54+1))),IF($C54=$C52,"Especificação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PREÇOS'!H:H,MATCH(EDITAL_A!B55,'MAPA DE PREÇOS'!B:B,0)+1),UPPER(INDEX('BASE EDITAL'!$C:$C,EDITAL_A!B55+1))),IF($C55=$C53,"Especificação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PREÇOS'!H:H,MATCH(EDITAL_A!B56,'MAPA DE PREÇOS'!B:B,0)+1),UPPER(INDEX('BASE EDITAL'!$C:$C,EDITAL_A!B56+1))),IF($C56=$C54,"Especificação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PREÇOS'!H:H,MATCH(EDITAL_A!B57,'MAPA DE PREÇOS'!B:B,0)+1),UPPER(INDEX('BASE EDITAL'!$C:$C,EDITAL_A!B57+1))),IF($C57=$C55,"Especificação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PREÇOS'!H:H,MATCH(EDITAL_A!B58,'MAPA DE PREÇOS'!B:B,0)+1),UPPER(INDEX('BASE EDITAL'!$C:$C,EDITAL_A!B58+1))),IF($C58=$C56,"Especificação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PREÇOS'!H:H,MATCH(EDITAL_A!B59,'MAPA DE PREÇOS'!B:B,0)+1),UPPER(INDEX('BASE EDITAL'!$C:$C,EDITAL_A!B59+1))),IF($C59=$C57,"Especificação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PREÇOS'!H:H,MATCH(EDITAL_A!B60,'MAPA DE PREÇOS'!B:B,0)+1),UPPER(INDEX('BASE EDITAL'!$C:$C,EDITAL_A!B60+1))),IF($C60=$C58,"Especificação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PREÇOS'!H:H,MATCH(EDITAL_A!B61,'MAPA DE PREÇOS'!B:B,0)+1),UPPER(INDEX('BASE EDITAL'!$C:$C,EDITAL_A!B61+1))),IF($C61=$C59,"Especificação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PREÇOS'!H:H,MATCH(EDITAL_A!B62,'MAPA DE PREÇOS'!B:B,0)+1),UPPER(INDEX('BASE EDITAL'!$C:$C,EDITAL_A!B62+1))),IF($C62=$C60,"Especificação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PREÇOS'!H:H,MATCH(EDITAL_A!B63,'MAPA DE PREÇOS'!B:B,0)+1),UPPER(INDEX('BASE EDITAL'!$C:$C,EDITAL_A!B63+1))),IF($C63=$C61,"Especificação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PREÇOS'!H:H,MATCH(EDITAL_A!B64,'MAPA DE PREÇOS'!B:B,0)+1),UPPER(INDEX('BASE EDITAL'!$C:$C,EDITAL_A!B64+1))),IF($C64=$C62,"Especificação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PREÇOS'!H:H,MATCH(EDITAL_A!B65,'MAPA DE PREÇOS'!B:B,0)+1),UPPER(INDEX('BASE EDITAL'!$C:$C,EDITAL_A!B65+1))),IF($C65=$C63,"Especificação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PREÇOS'!H:H,MATCH(EDITAL_A!B66,'MAPA DE PREÇOS'!B:B,0)+1),UPPER(INDEX('BASE EDITAL'!$C:$C,EDITAL_A!B66+1))),IF($C66=$C64,"Especificação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PREÇOS'!H:H,MATCH(EDITAL_A!B67,'MAPA DE PREÇOS'!B:B,0)+1),UPPER(INDEX('BASE EDITAL'!$C:$C,EDITAL_A!B67+1))),IF($C67=$C65,"Especificação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808" t="s">
        <v>305</v>
      </c>
      <c r="F2" s="809"/>
      <c r="G2" s="809"/>
      <c r="H2" s="809"/>
      <c r="I2" s="809"/>
      <c r="J2" s="809"/>
      <c r="K2" s="809"/>
      <c r="L2" s="809"/>
      <c r="M2" s="809"/>
      <c r="N2" s="809"/>
      <c r="O2" s="809"/>
      <c r="P2" s="810"/>
    </row>
    <row r="3" spans="1:21" ht="21" x14ac:dyDescent="0.35">
      <c r="A3" s="138"/>
      <c r="E3" s="811" t="str">
        <f>IFERROR('MAPA DE PREÇOS'!H5:J5,"")</f>
        <v/>
      </c>
      <c r="F3" s="812"/>
      <c r="G3" s="812"/>
      <c r="H3" s="812"/>
      <c r="I3" s="812"/>
      <c r="J3" s="812"/>
      <c r="K3" s="812"/>
      <c r="L3" s="812"/>
      <c r="M3" s="812"/>
      <c r="N3" s="812"/>
      <c r="O3" s="812"/>
      <c r="P3" s="813"/>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3" t="s">
        <v>307</v>
      </c>
      <c r="S5" s="153" t="s">
        <v>306</v>
      </c>
      <c r="T5" s="153" t="s">
        <v>29</v>
      </c>
      <c r="U5" s="153" t="s">
        <v>309</v>
      </c>
    </row>
    <row r="6" spans="1:21" x14ac:dyDescent="0.25">
      <c r="B6" s="41">
        <v>1</v>
      </c>
      <c r="C6" s="42">
        <f>IFERROR(INDEX('MAPA DE PREÇOS'!M:M,MATCH(B6,'MAPA DE PREÇOS'!B:B,0)+19)/(SUMPRODUCT(EDITAL_A!I:I,EDITAL_A!J:J)),"")</f>
        <v>0</v>
      </c>
      <c r="D6" s="42" t="str">
        <f>IFERROR(IF(C6=C5,IF(D5="","",D5+0.000000001),C6),"")</f>
        <v/>
      </c>
      <c r="E6" s="41">
        <f t="shared" ref="E6:E37" si="0">IFERROR(INDEX(B:B,MATCH(LARGE(D:D,ROW()-5),D:D,0)),"")</f>
        <v>28</v>
      </c>
      <c r="F6" s="41">
        <f>IFERROR(VLOOKUP($E6,'MAPA DE PREÇOS'!$B:$D,2,FALSE),"")</f>
        <v>1</v>
      </c>
      <c r="G6" s="41">
        <f>IFERROR(VLOOKUP($E6,'MAPA DE PREÇOS'!$B:$D,3,FALSE),"")</f>
        <v>28</v>
      </c>
      <c r="H6" s="41">
        <f t="array" ref="H6">IFERROR(IF(E6="","",INDEX('MAPA DE PREÇOS'!H:H,0+MATCH(ABC!E6,'MAPA DE PREÇOS'!B:B,0))),"")</f>
        <v>0</v>
      </c>
      <c r="I6" t="str">
        <f>IF(E6="","",INDEX('MAPA DE PREÇOS'!H:H,MATCH(ABC!E6,'MAPA DE PREÇOS'!B:B,0)+1))</f>
        <v>Assessoria ambiental (licenciamento e acompanhamento)</v>
      </c>
      <c r="J6" s="41" t="str">
        <f>IFERROR(IF(E6="","",INDEX('MAPA DE PREÇOS'!M:M,3+MATCH(ABC!E6,'MAPA DE PREÇOS'!B:B,0))),"")</f>
        <v>MES</v>
      </c>
      <c r="K6" s="52">
        <f t="array" ref="K6">IFERROR(IF(E6="","",INDEX('MAPA DE PREÇOS'!M:M,2+MATCH(ABC!E6,'MAPA DE PREÇOS'!B:B,0))),"")</f>
        <v>1</v>
      </c>
      <c r="L6" s="53">
        <f t="array" ref="L6">IFERROR(IF(AND(E5&lt;&gt;"",E6=""),"TOTAL ESTIMADO",INDEX('MAPA DE PREÇOS'!M:M,0+MATCH(ABC!E6,'MAPA DE PREÇOS'!B:B,0))),"")</f>
        <v>2431.67</v>
      </c>
      <c r="M6" s="54">
        <f>IFERROR(IF(AND(E5&lt;&gt;"",E6=""),SUM($M$5:M5),INDEX('MAPA DE PREÇOS'!M:M,19+MATCH(ABC!E6,'MAPA DE PREÇOS'!B:B,0))),"")</f>
        <v>2431.67</v>
      </c>
      <c r="N6" s="90">
        <f t="shared" ref="N6:N37" si="1">IFERROR(VLOOKUP(E6,$B:$C,2),"")</f>
        <v>0.56710047189069113</v>
      </c>
      <c r="O6" s="90">
        <f>N6</f>
        <v>0.56710047189069113</v>
      </c>
      <c r="P6" s="54" t="str">
        <f>IF(O6="","",IF(OR(N6&gt;=$S$6,O6&lt;=$S$6),"A",IF(O6&lt;=SUM($S$6:$S$7),"B","C")))</f>
        <v>A</v>
      </c>
      <c r="R6" s="157" t="s">
        <v>310</v>
      </c>
      <c r="S6" s="158">
        <v>0.8</v>
      </c>
      <c r="T6" s="157">
        <f>COUNTIF($P$6:$P$107,$R6)</f>
        <v>1</v>
      </c>
      <c r="U6" s="159">
        <f>SUMIFS($M$6:$M$107,$P$6:$P$107,$R6)</f>
        <v>2431.67</v>
      </c>
    </row>
    <row r="7" spans="1:21" x14ac:dyDescent="0.25">
      <c r="B7" s="41">
        <v>2</v>
      </c>
      <c r="C7" s="42">
        <f>IFERROR(INDEX('MAPA DE PREÇOS'!M:M,MATCH(B7,'MAPA DE PREÇOS'!B:B,0)+19)/(SUMPRODUCT(EDITAL_A!I:I,EDITAL_A!J:J)),"")</f>
        <v>0</v>
      </c>
      <c r="D7" s="42" t="str">
        <f t="shared" ref="D7:D70" si="2">IFERROR(IF(C7=C6,IF(D6="","",D6+0.000000001),C7),"")</f>
        <v/>
      </c>
      <c r="E7" s="41">
        <f t="shared" si="0"/>
        <v>25</v>
      </c>
      <c r="F7" s="41">
        <f>IFERROR(VLOOKUP($E7,'MAPA DE PREÇOS'!$B:$D,2,FALSE),"")</f>
        <v>1</v>
      </c>
      <c r="G7" s="41">
        <f>IFERROR(VLOOKUP($E7,'MAPA DE PREÇOS'!$B:$D,3,FALSE),"")</f>
        <v>25</v>
      </c>
      <c r="H7" s="41">
        <f t="array" ref="H7">IFERROR(IF(E7="","",INDEX('MAPA DE PREÇOS'!H:H,0+MATCH(ABC!E7,'MAPA DE PREÇOS'!B:B,0))),"")</f>
        <v>0</v>
      </c>
      <c r="I7" t="str">
        <f>IF(E7="","",INDEX('MAPA DE PREÇOS'!H:H,MATCH(ABC!E7,'MAPA DE PREÇOS'!B:B,0)+1))</f>
        <v>Contabilidade (ME - Todos)</v>
      </c>
      <c r="J7" s="41" t="str">
        <f>IFERROR(IF(E7="","",INDEX('MAPA DE PREÇOS'!M:M,3+MATCH(ABC!E7,'MAPA DE PREÇOS'!B:B,0))),"")</f>
        <v>MES</v>
      </c>
      <c r="K7" s="52">
        <f t="array" ref="K7">IFERROR(IF(E7="","",INDEX('MAPA DE PREÇOS'!M:M,2+MATCH(ABC!E7,'MAPA DE PREÇOS'!B:B,0))),"")</f>
        <v>1</v>
      </c>
      <c r="L7" s="53">
        <f t="array" ref="L7">IFERROR(IF(AND(E6&lt;&gt;"",E7=""),"TOTAL ESTIMADO",INDEX('MAPA DE PREÇOS'!M:M,0+MATCH(ABC!E7,'MAPA DE PREÇOS'!B:B,0))),"")</f>
        <v>1462.08</v>
      </c>
      <c r="M7" s="54">
        <f>IFERROR(IF(AND(E6&lt;&gt;"",E7=""),SUM($M$5:M6),INDEX('MAPA DE PREÇOS'!M:M,19+MATCH(ABC!E7,'MAPA DE PREÇOS'!B:B,0))),"")</f>
        <v>1462.08</v>
      </c>
      <c r="N7" s="90">
        <f t="shared" si="1"/>
        <v>0.34097811707260506</v>
      </c>
      <c r="O7" s="90">
        <f>IFERROR(N7+O6,"")</f>
        <v>0.90807858896329618</v>
      </c>
      <c r="P7" s="54" t="str">
        <f t="shared" ref="P7:P70" si="3">IF(O7="","",IF(OR(N7&gt;=$S$6,O7&lt;=$S$6),"A",IF(O7&lt;=SUM($S$6:$S$7),"B","C")))</f>
        <v>B</v>
      </c>
      <c r="R7" s="160" t="s">
        <v>311</v>
      </c>
      <c r="S7" s="161">
        <v>0.15</v>
      </c>
      <c r="T7" s="160">
        <f>COUNTIF($P$6:$P$107,$R7)</f>
        <v>1</v>
      </c>
      <c r="U7" s="162">
        <f>SUMIFS($M$6:$M$107,$P$6:$P$107,$R7)</f>
        <v>1462.08</v>
      </c>
    </row>
    <row r="8" spans="1:21" x14ac:dyDescent="0.25">
      <c r="B8" s="41">
        <v>3</v>
      </c>
      <c r="C8" s="42">
        <f>IFERROR(INDEX('MAPA DE PREÇOS'!M:M,MATCH(B8,'MAPA DE PREÇOS'!B:B,0)+19)/(SUMPRODUCT(EDITAL_A!I:I,EDITAL_A!J:J)),"")</f>
        <v>0</v>
      </c>
      <c r="D8" s="42" t="str">
        <f t="shared" si="2"/>
        <v/>
      </c>
      <c r="E8" s="41">
        <f t="shared" si="0"/>
        <v>26</v>
      </c>
      <c r="F8" s="41">
        <f>IFERROR(VLOOKUP($E8,'MAPA DE PREÇOS'!$B:$D,2,FALSE),"")</f>
        <v>1</v>
      </c>
      <c r="G8" s="41">
        <f>IFERROR(VLOOKUP($E8,'MAPA DE PREÇOS'!$B:$D,3,FALSE),"")</f>
        <v>26</v>
      </c>
      <c r="H8" s="41">
        <f t="array" ref="H8">IFERROR(IF(E8="","",INDEX('MAPA DE PREÇOS'!H:H,0+MATCH(ABC!E8,'MAPA DE PREÇOS'!B:B,0))),"")</f>
        <v>0</v>
      </c>
      <c r="I8" t="str">
        <f>IF(E8="","",INDEX('MAPA DE PREÇOS'!H:H,MATCH(ABC!E8,'MAPA DE PREÇOS'!B:B,0)+1))</f>
        <v>Tafiva B4a TSUD - Iluminação Pública</v>
      </c>
      <c r="J8" s="41" t="str">
        <f>IFERROR(IF(E8="","",INDEX('MAPA DE PREÇOS'!M:M,3+MATCH(ABC!E8,'MAPA DE PREÇOS'!B:B,0))),"")</f>
        <v>KWH</v>
      </c>
      <c r="K8" s="52">
        <f t="array" ref="K8">IFERROR(IF(E8="","",INDEX('MAPA DE PREÇOS'!M:M,2+MATCH(ABC!E8,'MAPA DE PREÇOS'!B:B,0))),"")</f>
        <v>1</v>
      </c>
      <c r="L8" s="53">
        <f t="array" ref="L8">IFERROR(IF(AND(E7&lt;&gt;"",E8=""),"TOTAL ESTIMADO",INDEX('MAPA DE PREÇOS'!M:M,0+MATCH(ABC!E8,'MAPA DE PREÇOS'!B:B,0))),"")</f>
        <v>231.56</v>
      </c>
      <c r="M8" s="54">
        <f>IFERROR(IF(AND(E7&lt;&gt;"",E8=""),SUM($M$5:M7),INDEX('MAPA DE PREÇOS'!M:M,19+MATCH(ABC!E8,'MAPA DE PREÇOS'!B:B,0))),"")</f>
        <v>231.56</v>
      </c>
      <c r="N8" s="90">
        <f t="shared" si="1"/>
        <v>5.4003127591740835E-2</v>
      </c>
      <c r="O8" s="90">
        <f t="shared" ref="O8:O71" si="4">IFERROR(N8+O7,"")</f>
        <v>0.96208171655503705</v>
      </c>
      <c r="P8" s="54" t="str">
        <f t="shared" si="3"/>
        <v>C</v>
      </c>
      <c r="R8" s="154" t="s">
        <v>312</v>
      </c>
      <c r="S8" s="155">
        <v>0.05</v>
      </c>
      <c r="T8" s="154">
        <f>COUNTIF($P$6:$P$107,$R8)</f>
        <v>10</v>
      </c>
      <c r="U8" s="156">
        <f>SUMIFS($M$6:$M$107,$P$6:$P$107,$R8)</f>
        <v>394.15000000000009</v>
      </c>
    </row>
    <row r="9" spans="1:21" x14ac:dyDescent="0.25">
      <c r="B9" s="41">
        <v>4</v>
      </c>
      <c r="C9" s="42">
        <f>IFERROR(INDEX('MAPA DE PREÇOS'!M:M,MATCH(B9,'MAPA DE PREÇOS'!B:B,0)+19)/(SUMPRODUCT(EDITAL_A!I:I,EDITAL_A!J:J)),"")</f>
        <v>0</v>
      </c>
      <c r="D9" s="42" t="str">
        <f t="shared" si="2"/>
        <v/>
      </c>
      <c r="E9" s="41">
        <f t="shared" si="0"/>
        <v>27</v>
      </c>
      <c r="F9" s="41">
        <f>IFERROR(VLOOKUP($E9,'MAPA DE PREÇOS'!$B:$D,2,FALSE),"")</f>
        <v>1</v>
      </c>
      <c r="G9" s="41">
        <f>IFERROR(VLOOKUP($E9,'MAPA DE PREÇOS'!$B:$D,3,FALSE),"")</f>
        <v>27</v>
      </c>
      <c r="H9" s="41">
        <f t="array" ref="H9">IFERROR(IF(E9="","",INDEX('MAPA DE PREÇOS'!H:H,0+MATCH(ABC!E9,'MAPA DE PREÇOS'!B:B,0))),"")</f>
        <v>0</v>
      </c>
      <c r="I9" t="str">
        <f>IF(E9="","",INDEX('MAPA DE PREÇOS'!H:H,MATCH(ABC!E9,'MAPA DE PREÇOS'!B:B,0)+1))</f>
        <v>Tarifa B4a TE - Iluminação Pública</v>
      </c>
      <c r="J9" s="41" t="str">
        <f>IFERROR(IF(E9="","",INDEX('MAPA DE PREÇOS'!M:M,3+MATCH(ABC!E9,'MAPA DE PREÇOS'!B:B,0))),"")</f>
        <v>KWH</v>
      </c>
      <c r="K9" s="52">
        <f t="array" ref="K9">IFERROR(IF(E9="","",INDEX('MAPA DE PREÇOS'!M:M,2+MATCH(ABC!E9,'MAPA DE PREÇOS'!B:B,0))),"")</f>
        <v>1</v>
      </c>
      <c r="L9" s="53">
        <f t="array" ref="L9">IFERROR(IF(AND(E8&lt;&gt;"",E9=""),"TOTAL ESTIMADO",INDEX('MAPA DE PREÇOS'!M:M,0+MATCH(ABC!E9,'MAPA DE PREÇOS'!B:B,0))),"")</f>
        <v>139.16999999999999</v>
      </c>
      <c r="M9" s="54">
        <f>IFERROR(IF(AND(E8&lt;&gt;"",E9=""),SUM($M$5:M8),INDEX('MAPA DE PREÇOS'!M:M,19+MATCH(ABC!E9,'MAPA DE PREÇOS'!B:B,0))),"")</f>
        <v>139.16999999999999</v>
      </c>
      <c r="N9" s="90">
        <f t="shared" si="1"/>
        <v>3.2456448725784119E-2</v>
      </c>
      <c r="O9" s="90">
        <f t="shared" si="4"/>
        <v>0.99453816528082117</v>
      </c>
      <c r="P9" s="54" t="str">
        <f t="shared" si="3"/>
        <v>C</v>
      </c>
    </row>
    <row r="10" spans="1:21" x14ac:dyDescent="0.25">
      <c r="B10" s="41">
        <v>5</v>
      </c>
      <c r="C10" s="42">
        <f>IFERROR(INDEX('MAPA DE PREÇOS'!M:M,MATCH(B10,'MAPA DE PREÇOS'!B:B,0)+19)/(SUMPRODUCT(EDITAL_A!I:I,EDITAL_A!J:J)),"")</f>
        <v>0</v>
      </c>
      <c r="D10" s="42" t="str">
        <f t="shared" si="2"/>
        <v/>
      </c>
      <c r="E10" s="41">
        <f t="shared" si="0"/>
        <v>30</v>
      </c>
      <c r="F10" s="41">
        <f>IFERROR(VLOOKUP($E10,'MAPA DE PREÇOS'!$B:$D,2,FALSE),"")</f>
        <v>1</v>
      </c>
      <c r="G10" s="41">
        <f>IFERROR(VLOOKUP($E10,'MAPA DE PREÇOS'!$B:$D,3,FALSE),"")</f>
        <v>30</v>
      </c>
      <c r="H10" s="41">
        <f t="array" ref="H10">IFERROR(IF(E10="","",INDEX('MAPA DE PREÇOS'!H:H,0+MATCH(ABC!E10,'MAPA DE PREÇOS'!B:B,0))),"")</f>
        <v>0</v>
      </c>
      <c r="I10" t="str">
        <f>IF(E10="","",INDEX('MAPA DE PREÇOS'!H:H,MATCH(ABC!E10,'MAPA DE PREÇOS'!B:B,0)+1))</f>
        <v>Tarifa d´água + esgoto DMAE</v>
      </c>
      <c r="J10" s="41" t="str">
        <f>IFERROR(IF(E10="","",INDEX('MAPA DE PREÇOS'!M:M,3+MATCH(ABC!E10,'MAPA DE PREÇOS'!B:B,0))),"")</f>
        <v>M³</v>
      </c>
      <c r="K10" s="52">
        <f t="array" ref="K10">IFERROR(IF(E10="","",INDEX('MAPA DE PREÇOS'!M:M,2+MATCH(ABC!E10,'MAPA DE PREÇOS'!B:B,0))),"")</f>
        <v>1</v>
      </c>
      <c r="L10" s="53">
        <f t="array" ref="L10">IFERROR(IF(AND(E9&lt;&gt;"",E10=""),"TOTAL ESTIMADO",INDEX('MAPA DE PREÇOS'!M:M,0+MATCH(ABC!E10,'MAPA DE PREÇOS'!B:B,0))),"")</f>
        <v>11.8</v>
      </c>
      <c r="M10" s="54">
        <f>IFERROR(IF(AND(E9&lt;&gt;"",E10=""),SUM($M$5:M9),INDEX('MAPA DE PREÇOS'!M:M,19+MATCH(ABC!E10,'MAPA DE PREÇOS'!B:B,0))),"")</f>
        <v>11.8</v>
      </c>
      <c r="N10" s="90">
        <f t="shared" si="1"/>
        <v>2.7519299774682237E-3</v>
      </c>
      <c r="O10" s="90">
        <f t="shared" si="4"/>
        <v>0.99729009525828938</v>
      </c>
      <c r="P10" s="54" t="str">
        <f t="shared" si="3"/>
        <v>C</v>
      </c>
    </row>
    <row r="11" spans="1:21" x14ac:dyDescent="0.25">
      <c r="B11" s="41">
        <v>6</v>
      </c>
      <c r="C11" s="42">
        <f>IFERROR(INDEX('MAPA DE PREÇOS'!M:M,MATCH(B11,'MAPA DE PREÇOS'!B:B,0)+19)/(SUMPRODUCT(EDITAL_A!I:I,EDITAL_A!J:J)),"")</f>
        <v>0</v>
      </c>
      <c r="D11" s="42" t="str">
        <f t="shared" si="2"/>
        <v/>
      </c>
      <c r="E11" s="41">
        <f t="shared" si="0"/>
        <v>23</v>
      </c>
      <c r="F11" s="41">
        <f>IFERROR(VLOOKUP($E11,'MAPA DE PREÇOS'!$B:$D,2,FALSE),"")</f>
        <v>1</v>
      </c>
      <c r="G11" s="41">
        <f>IFERROR(VLOOKUP($E11,'MAPA DE PREÇOS'!$B:$D,3,FALSE),"")</f>
        <v>23</v>
      </c>
      <c r="H11" s="41">
        <f t="array" ref="H11">IFERROR(IF(E11="","",INDEX('MAPA DE PREÇOS'!H:H,0+MATCH(ABC!E11,'MAPA DE PREÇOS'!B:B,0))),"")</f>
        <v>0</v>
      </c>
      <c r="I11" t="str">
        <f>IF(E11="","",INDEX('MAPA DE PREÇOS'!H:H,MATCH(ABC!E11,'MAPA DE PREÇOS'!B:B,0)+1))</f>
        <v>Desinfetante</v>
      </c>
      <c r="J11" s="41" t="str">
        <f>IFERROR(IF(E11="","",INDEX('MAPA DE PREÇOS'!M:M,3+MATCH(ABC!E11,'MAPA DE PREÇOS'!B:B,0))),"")</f>
        <v>L</v>
      </c>
      <c r="K11" s="52">
        <f t="array" ref="K11">IFERROR(IF(E11="","",INDEX('MAPA DE PREÇOS'!M:M,2+MATCH(ABC!E11,'MAPA DE PREÇOS'!B:B,0))),"")</f>
        <v>1</v>
      </c>
      <c r="L11" s="53">
        <f t="array" ref="L11">IFERROR(IF(AND(E10&lt;&gt;"",E11=""),"TOTAL ESTIMADO",INDEX('MAPA DE PREÇOS'!M:M,0+MATCH(ABC!E11,'MAPA DE PREÇOS'!B:B,0))),"")</f>
        <v>5.48</v>
      </c>
      <c r="M11" s="54">
        <f>IFERROR(IF(AND(E10&lt;&gt;"",E11=""),SUM($M$5:M10),INDEX('MAPA DE PREÇOS'!M:M,19+MATCH(ABC!E11,'MAPA DE PREÇOS'!B:B,0))),"")</f>
        <v>5.48</v>
      </c>
      <c r="N11" s="90">
        <f t="shared" si="1"/>
        <v>1.2780149386886327E-3</v>
      </c>
      <c r="O11" s="90">
        <f t="shared" si="4"/>
        <v>0.998568110196978</v>
      </c>
      <c r="P11" s="54" t="str">
        <f t="shared" si="3"/>
        <v>C</v>
      </c>
    </row>
    <row r="12" spans="1:21" x14ac:dyDescent="0.25">
      <c r="B12" s="41">
        <v>7</v>
      </c>
      <c r="C12" s="42">
        <f>IFERROR(INDEX('MAPA DE PREÇOS'!M:M,MATCH(B12,'MAPA DE PREÇOS'!B:B,0)+19)/(SUMPRODUCT(EDITAL_A!I:I,EDITAL_A!J:J)),"")</f>
        <v>0</v>
      </c>
      <c r="D12" s="42" t="str">
        <f t="shared" si="2"/>
        <v/>
      </c>
      <c r="E12" s="41">
        <f t="shared" si="0"/>
        <v>22</v>
      </c>
      <c r="F12" s="41">
        <f>IFERROR(VLOOKUP($E12,'MAPA DE PREÇOS'!$B:$D,2,FALSE),"")</f>
        <v>1</v>
      </c>
      <c r="G12" s="41">
        <f>IFERROR(VLOOKUP($E12,'MAPA DE PREÇOS'!$B:$D,3,FALSE),"")</f>
        <v>22</v>
      </c>
      <c r="H12" s="41">
        <f t="array" ref="H12">IFERROR(IF(E12="","",INDEX('MAPA DE PREÇOS'!H:H,0+MATCH(ABC!E12,'MAPA DE PREÇOS'!B:B,0))),"")</f>
        <v>0</v>
      </c>
      <c r="I12" t="str">
        <f>IF(E12="","",INDEX('MAPA DE PREÇOS'!H:H,MATCH(ABC!E12,'MAPA DE PREÇOS'!B:B,0)+1))</f>
        <v>Detergente concentrado</v>
      </c>
      <c r="J12" s="41" t="str">
        <f>IFERROR(IF(E12="","",INDEX('MAPA DE PREÇOS'!M:M,3+MATCH(ABC!E12,'MAPA DE PREÇOS'!B:B,0))),"")</f>
        <v>L</v>
      </c>
      <c r="K12" s="52">
        <f t="array" ref="K12">IFERROR(IF(E12="","",INDEX('MAPA DE PREÇOS'!M:M,2+MATCH(ABC!E12,'MAPA DE PREÇOS'!B:B,0))),"")</f>
        <v>1</v>
      </c>
      <c r="L12" s="53">
        <f t="array" ref="L12">IFERROR(IF(AND(E11&lt;&gt;"",E12=""),"TOTAL ESTIMADO",INDEX('MAPA DE PREÇOS'!M:M,0+MATCH(ABC!E12,'MAPA DE PREÇOS'!B:B,0))),"")</f>
        <v>1.94</v>
      </c>
      <c r="M12" s="54">
        <f>IFERROR(IF(AND(E11&lt;&gt;"",E12=""),SUM($M$5:M11),INDEX('MAPA DE PREÇOS'!M:M,19+MATCH(ABC!E12,'MAPA DE PREÇOS'!B:B,0))),"")</f>
        <v>1.94</v>
      </c>
      <c r="N12" s="90">
        <f t="shared" si="1"/>
        <v>4.524359454481655E-4</v>
      </c>
      <c r="O12" s="90">
        <f t="shared" si="4"/>
        <v>0.99902054614242619</v>
      </c>
      <c r="P12" s="54" t="str">
        <f t="shared" si="3"/>
        <v>C</v>
      </c>
    </row>
    <row r="13" spans="1:21" x14ac:dyDescent="0.25">
      <c r="B13" s="41">
        <v>8</v>
      </c>
      <c r="C13" s="42">
        <f>IFERROR(INDEX('MAPA DE PREÇOS'!M:M,MATCH(B13,'MAPA DE PREÇOS'!B:B,0)+19)/(SUMPRODUCT(EDITAL_A!I:I,EDITAL_A!J:J)),"")</f>
        <v>0</v>
      </c>
      <c r="D13" s="42" t="str">
        <f t="shared" si="2"/>
        <v/>
      </c>
      <c r="E13" s="41">
        <f t="shared" si="0"/>
        <v>19</v>
      </c>
      <c r="F13" s="41">
        <f>IFERROR(VLOOKUP($E13,'MAPA DE PREÇOS'!$B:$D,2,FALSE),"")</f>
        <v>1</v>
      </c>
      <c r="G13" s="41">
        <f>IFERROR(VLOOKUP($E13,'MAPA DE PREÇOS'!$B:$D,3,FALSE),"")</f>
        <v>19</v>
      </c>
      <c r="H13" s="41">
        <f t="array" ref="H13">IFERROR(IF(E13="","",INDEX('MAPA DE PREÇOS'!H:H,0+MATCH(ABC!E13,'MAPA DE PREÇOS'!B:B,0))),"")</f>
        <v>0</v>
      </c>
      <c r="I13" t="str">
        <f>IF(E13="","",INDEX('MAPA DE PREÇOS'!H:H,MATCH(ABC!E13,'MAPA DE PREÇOS'!B:B,0)+1))</f>
        <v>Energia Elétrica - Industrial Tarifa Branca P</v>
      </c>
      <c r="J13" s="41" t="str">
        <f>IFERROR(IF(E13="","",INDEX('MAPA DE PREÇOS'!M:M,3+MATCH(ABC!E13,'MAPA DE PREÇOS'!B:B,0))),"")</f>
        <v>KWH</v>
      </c>
      <c r="K13" s="52">
        <f t="array" ref="K13">IFERROR(IF(E13="","",INDEX('MAPA DE PREÇOS'!M:M,2+MATCH(ABC!E13,'MAPA DE PREÇOS'!B:B,0))),"")</f>
        <v>1</v>
      </c>
      <c r="L13" s="53">
        <f t="array" ref="L13">IFERROR(IF(AND(E12&lt;&gt;"",E13=""),"TOTAL ESTIMADO",INDEX('MAPA DE PREÇOS'!M:M,0+MATCH(ABC!E13,'MAPA DE PREÇOS'!B:B,0))),"")</f>
        <v>1.41</v>
      </c>
      <c r="M13" s="54">
        <f>IFERROR(IF(AND(E12&lt;&gt;"",E13=""),SUM($M$5:M12),INDEX('MAPA DE PREÇOS'!M:M,19+MATCH(ABC!E13,'MAPA DE PREÇOS'!B:B,0))),"")</f>
        <v>1.41</v>
      </c>
      <c r="N13" s="90">
        <f t="shared" si="1"/>
        <v>3.2883231086696567E-4</v>
      </c>
      <c r="O13" s="90">
        <f t="shared" si="4"/>
        <v>0.99934937845329319</v>
      </c>
      <c r="P13" s="54" t="str">
        <f t="shared" si="3"/>
        <v>C</v>
      </c>
    </row>
    <row r="14" spans="1:21" x14ac:dyDescent="0.25">
      <c r="B14" s="41">
        <v>9</v>
      </c>
      <c r="C14" s="42">
        <f>IFERROR(INDEX('MAPA DE PREÇOS'!M:M,MATCH(B14,'MAPA DE PREÇOS'!B:B,0)+19)/(SUMPRODUCT(EDITAL_A!I:I,EDITAL_A!J:J)),"")</f>
        <v>0</v>
      </c>
      <c r="D14" s="42" t="str">
        <f t="shared" si="2"/>
        <v/>
      </c>
      <c r="E14" s="41">
        <f t="shared" si="0"/>
        <v>29</v>
      </c>
      <c r="F14" s="41">
        <f>IFERROR(VLOOKUP($E14,'MAPA DE PREÇOS'!$B:$D,2,FALSE),"")</f>
        <v>1</v>
      </c>
      <c r="G14" s="41">
        <f>IFERROR(VLOOKUP($E14,'MAPA DE PREÇOS'!$B:$D,3,FALSE),"")</f>
        <v>29</v>
      </c>
      <c r="H14" s="41">
        <f t="array" ref="H14">IFERROR(IF(E14="","",INDEX('MAPA DE PREÇOS'!H:H,0+MATCH(ABC!E14,'MAPA DE PREÇOS'!B:B,0))),"")</f>
        <v>0</v>
      </c>
      <c r="I14" t="str">
        <f>IF(E14="","",INDEX('MAPA DE PREÇOS'!H:H,MATCH(ABC!E14,'MAPA DE PREÇOS'!B:B,0)+1))</f>
        <v>Detetização / controle de pragas</v>
      </c>
      <c r="J14" s="41" t="str">
        <f>IFERROR(IF(E14="","",INDEX('MAPA DE PREÇOS'!M:M,3+MATCH(ABC!E14,'MAPA DE PREÇOS'!B:B,0))),"")</f>
        <v>M2</v>
      </c>
      <c r="K14" s="52">
        <f t="array" ref="K14">IFERROR(IF(E14="","",INDEX('MAPA DE PREÇOS'!M:M,2+MATCH(ABC!E14,'MAPA DE PREÇOS'!B:B,0))),"")</f>
        <v>1</v>
      </c>
      <c r="L14" s="53">
        <f t="array" ref="L14">IFERROR(IF(AND(E13&lt;&gt;"",E14=""),"TOTAL ESTIMADO",INDEX('MAPA DE PREÇOS'!M:M,0+MATCH(ABC!E14,'MAPA DE PREÇOS'!B:B,0))),"")</f>
        <v>1.3</v>
      </c>
      <c r="M14" s="54">
        <f>IFERROR(IF(AND(E13&lt;&gt;"",E14=""),SUM($M$5:M13),INDEX('MAPA DE PREÇOS'!M:M,19+MATCH(ABC!E14,'MAPA DE PREÇOS'!B:B,0))),"")</f>
        <v>1.3</v>
      </c>
      <c r="N14" s="90">
        <f t="shared" si="1"/>
        <v>3.0317872633124496E-4</v>
      </c>
      <c r="O14" s="90">
        <f t="shared" si="4"/>
        <v>0.99965255717962442</v>
      </c>
      <c r="P14" s="54" t="str">
        <f t="shared" si="3"/>
        <v>C</v>
      </c>
    </row>
    <row r="15" spans="1:21" x14ac:dyDescent="0.25">
      <c r="B15" s="41">
        <v>10</v>
      </c>
      <c r="C15" s="42">
        <f>IFERROR(INDEX('MAPA DE PREÇOS'!M:M,MATCH(B15,'MAPA DE PREÇOS'!B:B,0)+19)/(SUMPRODUCT(EDITAL_A!I:I,EDITAL_A!J:J)),"")</f>
        <v>0</v>
      </c>
      <c r="D15" s="42" t="str">
        <f t="shared" si="2"/>
        <v/>
      </c>
      <c r="E15" s="41">
        <f t="shared" si="0"/>
        <v>20</v>
      </c>
      <c r="F15" s="41">
        <f>IFERROR(VLOOKUP($E15,'MAPA DE PREÇOS'!$B:$D,2,FALSE),"")</f>
        <v>1</v>
      </c>
      <c r="G15" s="41">
        <f>IFERROR(VLOOKUP($E15,'MAPA DE PREÇOS'!$B:$D,3,FALSE),"")</f>
        <v>20</v>
      </c>
      <c r="H15" s="41">
        <f t="array" ref="H15">IFERROR(IF(E15="","",INDEX('MAPA DE PREÇOS'!H:H,0+MATCH(ABC!E15,'MAPA DE PREÇOS'!B:B,0))),"")</f>
        <v>0</v>
      </c>
      <c r="I15" t="str">
        <f>IF(E15="","",INDEX('MAPA DE PREÇOS'!H:H,MATCH(ABC!E15,'MAPA DE PREÇOS'!B:B,0)+1))</f>
        <v>Energia Elétrica - Industrial Tarifa Branca Int</v>
      </c>
      <c r="J15" s="41" t="str">
        <f>IFERROR(IF(E15="","",INDEX('MAPA DE PREÇOS'!M:M,3+MATCH(ABC!E15,'MAPA DE PREÇOS'!B:B,0))),"")</f>
        <v>KWH</v>
      </c>
      <c r="K15" s="52">
        <f t="array" ref="K15">IFERROR(IF(E15="","",INDEX('MAPA DE PREÇOS'!M:M,2+MATCH(ABC!E15,'MAPA DE PREÇOS'!B:B,0))),"")</f>
        <v>1</v>
      </c>
      <c r="L15" s="53">
        <f t="array" ref="L15">IFERROR(IF(AND(E14&lt;&gt;"",E15=""),"TOTAL ESTIMADO",INDEX('MAPA DE PREÇOS'!M:M,0+MATCH(ABC!E15,'MAPA DE PREÇOS'!B:B,0))),"")</f>
        <v>0.9163</v>
      </c>
      <c r="M15" s="54">
        <f>IFERROR(IF(AND(E14&lt;&gt;"",E15=""),SUM($M$5:M14),INDEX('MAPA DE PREÇOS'!M:M,19+MATCH(ABC!E15,'MAPA DE PREÇOS'!B:B,0))),"")</f>
        <v>0.92</v>
      </c>
      <c r="N15" s="90">
        <f t="shared" si="1"/>
        <v>2.1455725248057335E-4</v>
      </c>
      <c r="O15" s="90">
        <f t="shared" si="4"/>
        <v>0.99986711443210496</v>
      </c>
      <c r="P15" s="54" t="str">
        <f t="shared" si="3"/>
        <v>C</v>
      </c>
    </row>
    <row r="16" spans="1:21" x14ac:dyDescent="0.25">
      <c r="B16" s="41">
        <v>11</v>
      </c>
      <c r="C16" s="42">
        <f>IFERROR(INDEX('MAPA DE PREÇOS'!M:M,MATCH(B16,'MAPA DE PREÇOS'!B:B,0)+19)/(SUMPRODUCT(EDITAL_A!I:I,EDITAL_A!J:J)),"")</f>
        <v>0</v>
      </c>
      <c r="D16" s="42" t="str">
        <f t="shared" si="2"/>
        <v/>
      </c>
      <c r="E16" s="41">
        <f t="shared" si="0"/>
        <v>21</v>
      </c>
      <c r="F16" s="41">
        <f>IFERROR(VLOOKUP($E16,'MAPA DE PREÇOS'!$B:$D,2,FALSE),"")</f>
        <v>1</v>
      </c>
      <c r="G16" s="41">
        <f>IFERROR(VLOOKUP($E16,'MAPA DE PREÇOS'!$B:$D,3,FALSE),"")</f>
        <v>21</v>
      </c>
      <c r="H16" s="41">
        <f t="array" ref="H16">IFERROR(IF(E16="","",INDEX('MAPA DE PREÇOS'!H:H,0+MATCH(ABC!E16,'MAPA DE PREÇOS'!B:B,0))),"")</f>
        <v>0</v>
      </c>
      <c r="I16" t="str">
        <f>IF(E16="","",INDEX('MAPA DE PREÇOS'!H:H,MATCH(ABC!E16,'MAPA DE PREÇOS'!B:B,0)+1))</f>
        <v>Energia Elétrica - Industrial Tarifa Branca FP</v>
      </c>
      <c r="J16" s="41" t="str">
        <f>IFERROR(IF(E16="","",INDEX('MAPA DE PREÇOS'!M:M,3+MATCH(ABC!E16,'MAPA DE PREÇOS'!B:B,0))),"")</f>
        <v>KWH</v>
      </c>
      <c r="K16" s="52">
        <f t="array" ref="K16">IFERROR(IF(E16="","",INDEX('MAPA DE PREÇOS'!M:M,2+MATCH(ABC!E16,'MAPA DE PREÇOS'!B:B,0))),"")</f>
        <v>1</v>
      </c>
      <c r="L16" s="53">
        <f t="array" ref="L16">IFERROR(IF(AND(E15&lt;&gt;"",E16=""),"TOTAL ESTIMADO",INDEX('MAPA DE PREÇOS'!M:M,0+MATCH(ABC!E16,'MAPA DE PREÇOS'!B:B,0))),"")</f>
        <v>0.57350000000000001</v>
      </c>
      <c r="M16" s="54">
        <f>IFERROR(IF(AND(E15&lt;&gt;"",E16=""),SUM($M$5:M15),INDEX('MAPA DE PREÇOS'!M:M,19+MATCH(ABC!E16,'MAPA DE PREÇOS'!B:B,0))),"")</f>
        <v>0.56999999999999995</v>
      </c>
      <c r="N16" s="90">
        <f t="shared" si="1"/>
        <v>1.329322107760074E-4</v>
      </c>
      <c r="O16" s="90">
        <f t="shared" si="4"/>
        <v>1.0000000466428809</v>
      </c>
      <c r="P16" s="54" t="str">
        <f t="shared" si="3"/>
        <v>C</v>
      </c>
    </row>
    <row r="17" spans="2:16" x14ac:dyDescent="0.25">
      <c r="B17" s="41">
        <v>12</v>
      </c>
      <c r="C17" s="42">
        <f>IFERROR(INDEX('MAPA DE PREÇOS'!M:M,MATCH(B17,'MAPA DE PREÇOS'!B:B,0)+19)/(SUMPRODUCT(EDITAL_A!I:I,EDITAL_A!J:J)),"")</f>
        <v>0</v>
      </c>
      <c r="D17" s="42" t="str">
        <f t="shared" si="2"/>
        <v/>
      </c>
      <c r="E17" s="41">
        <f t="shared" si="0"/>
        <v>24</v>
      </c>
      <c r="F17" s="41">
        <f>IFERROR(VLOOKUP($E17,'MAPA DE PREÇOS'!$B:$D,2,FALSE),"")</f>
        <v>1</v>
      </c>
      <c r="G17" s="41">
        <f>IFERROR(VLOOKUP($E17,'MAPA DE PREÇOS'!$B:$D,3,FALSE),"")</f>
        <v>24</v>
      </c>
      <c r="H17" s="41">
        <f t="array" ref="H17">IFERROR(IF(E17="","",INDEX('MAPA DE PREÇOS'!H:H,0+MATCH(ABC!E17,'MAPA DE PREÇOS'!B:B,0))),"")</f>
        <v>0</v>
      </c>
      <c r="I17" t="str">
        <f>IF(E17="","",INDEX('MAPA DE PREÇOS'!H:H,MATCH(ABC!E17,'MAPA DE PREÇOS'!B:B,0)+1))</f>
        <v>Computador portátil (notebook)</v>
      </c>
      <c r="J17" s="41">
        <f>IFERROR(IF(E17="","",INDEX('MAPA DE PREÇOS'!M:M,3+MATCH(ABC!E17,'MAPA DE PREÇOS'!B:B,0))),"")</f>
        <v>0</v>
      </c>
      <c r="K17" s="52">
        <f t="array" ref="K17">IFERROR(IF(E17="","",INDEX('MAPA DE PREÇOS'!M:M,2+MATCH(ABC!E17,'MAPA DE PREÇOS'!B:B,0))),"")</f>
        <v>0</v>
      </c>
      <c r="L17" s="53">
        <f t="array" ref="L17">IFERROR(IF(AND(E16&lt;&gt;"",E17=""),"TOTAL ESTIMADO",INDEX('MAPA DE PREÇOS'!M:M,0+MATCH(ABC!E17,'MAPA DE PREÇOS'!B:B,0))),"")</f>
        <v>2682.93</v>
      </c>
      <c r="M17" s="54">
        <f>IFERROR(IF(AND(E16&lt;&gt;"",E17=""),SUM($M$5:M16),INDEX('MAPA DE PREÇOS'!M:M,19+MATCH(ABC!E17,'MAPA DE PREÇOS'!B:B,0))),"")</f>
        <v>0</v>
      </c>
      <c r="N17" s="90">
        <f t="shared" si="1"/>
        <v>0</v>
      </c>
      <c r="O17" s="90">
        <f t="shared" si="4"/>
        <v>1.0000000466428809</v>
      </c>
      <c r="P17" s="54" t="str">
        <f t="shared" si="3"/>
        <v>C</v>
      </c>
    </row>
    <row r="18" spans="2:16" x14ac:dyDescent="0.25">
      <c r="B18" s="41">
        <v>13</v>
      </c>
      <c r="C18" s="42">
        <f>IFERROR(INDEX('MAPA DE PREÇOS'!M:M,MATCH(B18,'MAPA DE PREÇOS'!B:B,0)+19)/(SUMPRODUCT(EDITAL_A!I:I,EDITAL_A!J:J)),"")</f>
        <v>0</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TOTAL ESTIMADO</v>
      </c>
      <c r="M18" s="54">
        <f>IFERROR(IF(AND(E17&lt;&gt;"",E18=""),SUM($M$5:M17),INDEX('MAPA DE PREÇOS'!M:M,19+MATCH(ABC!E18,'MAPA DE PREÇOS'!B:B,0))),"")</f>
        <v>4287.8999999999996</v>
      </c>
      <c r="N18" s="90" t="str">
        <f t="shared" si="1"/>
        <v/>
      </c>
      <c r="O18" s="90" t="str">
        <f t="shared" si="4"/>
        <v/>
      </c>
      <c r="P18" s="54" t="str">
        <f t="shared" si="3"/>
        <v/>
      </c>
    </row>
    <row r="19" spans="2:16" x14ac:dyDescent="0.25">
      <c r="B19" s="41">
        <v>14</v>
      </c>
      <c r="C19" s="42">
        <f>IFERROR(INDEX('MAPA DE PREÇOS'!M:M,MATCH(B19,'MAPA DE PREÇOS'!B:B,0)+19)/(SUMPRODUCT(EDITAL_A!I:I,EDITAL_A!J:J)),"")</f>
        <v>0</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f>IFERROR(INDEX('MAPA DE PREÇOS'!M:M,MATCH(B20,'MAPA DE PREÇOS'!B:B,0)+19)/(SUMPRODUCT(EDITAL_A!I:I,EDITAL_A!J:J)),"")</f>
        <v>0</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f>IFERROR(INDEX('MAPA DE PREÇOS'!M:M,MATCH(B21,'MAPA DE PREÇOS'!B:B,0)+19)/(SUMPRODUCT(EDITAL_A!I:I,EDITAL_A!J:J)),"")</f>
        <v>0</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f>IFERROR(INDEX('MAPA DE PREÇOS'!M:M,MATCH(B22,'MAPA DE PREÇOS'!B:B,0)+19)/(SUMPRODUCT(EDITAL_A!I:I,EDITAL_A!J:J)),"")</f>
        <v>0</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f>IFERROR(INDEX('MAPA DE PREÇOS'!M:M,MATCH(B23,'MAPA DE PREÇOS'!B:B,0)+19)/(SUMPRODUCT(EDITAL_A!I:I,EDITAL_A!J:J)),"")</f>
        <v>0</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f>IFERROR(INDEX('MAPA DE PREÇOS'!M:M,MATCH(B24,'MAPA DE PREÇOS'!B:B,0)+19)/(SUMPRODUCT(EDITAL_A!I:I,EDITAL_A!J:J)),"")</f>
        <v>3.2883231086696567E-4</v>
      </c>
      <c r="D24" s="42">
        <f t="shared" si="2"/>
        <v>3.2883231086696567E-4</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f>IFERROR(INDEX('MAPA DE PREÇOS'!M:M,MATCH(B25,'MAPA DE PREÇOS'!B:B,0)+19)/(SUMPRODUCT(EDITAL_A!I:I,EDITAL_A!J:J)),"")</f>
        <v>2.1455725248057335E-4</v>
      </c>
      <c r="D25" s="42">
        <f t="shared" si="2"/>
        <v>2.1455725248057335E-4</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f>IFERROR(INDEX('MAPA DE PREÇOS'!M:M,MATCH(B26,'MAPA DE PREÇOS'!B:B,0)+19)/(SUMPRODUCT(EDITAL_A!I:I,EDITAL_A!J:J)),"")</f>
        <v>1.329322107760074E-4</v>
      </c>
      <c r="D26" s="42">
        <f t="shared" si="2"/>
        <v>1.329322107760074E-4</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f>IFERROR(INDEX('MAPA DE PREÇOS'!M:M,MATCH(B27,'MAPA DE PREÇOS'!B:B,0)+19)/(SUMPRODUCT(EDITAL_A!I:I,EDITAL_A!J:J)),"")</f>
        <v>4.524359454481655E-4</v>
      </c>
      <c r="D27" s="42">
        <f t="shared" si="2"/>
        <v>4.524359454481655E-4</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f>IFERROR(INDEX('MAPA DE PREÇOS'!M:M,MATCH(B28,'MAPA DE PREÇOS'!B:B,0)+19)/(SUMPRODUCT(EDITAL_A!I:I,EDITAL_A!J:J)),"")</f>
        <v>1.2780149386886327E-3</v>
      </c>
      <c r="D28" s="42">
        <f t="shared" si="2"/>
        <v>1.2780149386886327E-3</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f>IFERROR(INDEX('MAPA DE PREÇOS'!M:M,MATCH(B29,'MAPA DE PREÇOS'!B:B,0)+19)/(SUMPRODUCT(EDITAL_A!I:I,EDITAL_A!J:J)),"")</f>
        <v>0</v>
      </c>
      <c r="D29" s="42">
        <f t="shared" si="2"/>
        <v>0</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f>IFERROR(INDEX('MAPA DE PREÇOS'!M:M,MATCH(B30,'MAPA DE PREÇOS'!B:B,0)+19)/(SUMPRODUCT(EDITAL_A!I:I,EDITAL_A!J:J)),"")</f>
        <v>0.34097811707260506</v>
      </c>
      <c r="D30" s="42">
        <f t="shared" si="2"/>
        <v>0.34097811707260506</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f>IFERROR(INDEX('MAPA DE PREÇOS'!M:M,MATCH(B31,'MAPA DE PREÇOS'!B:B,0)+19)/(SUMPRODUCT(EDITAL_A!I:I,EDITAL_A!J:J)),"")</f>
        <v>5.4003127591740835E-2</v>
      </c>
      <c r="D31" s="42">
        <f t="shared" si="2"/>
        <v>5.4003127591740835E-2</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f>IFERROR(INDEX('MAPA DE PREÇOS'!M:M,MATCH(B32,'MAPA DE PREÇOS'!B:B,0)+19)/(SUMPRODUCT(EDITAL_A!I:I,EDITAL_A!J:J)),"")</f>
        <v>3.2456448725784119E-2</v>
      </c>
      <c r="D32" s="42">
        <f t="shared" si="2"/>
        <v>3.2456448725784119E-2</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f>IFERROR(INDEX('MAPA DE PREÇOS'!M:M,MATCH(B33,'MAPA DE PREÇOS'!B:B,0)+19)/(SUMPRODUCT(EDITAL_A!I:I,EDITAL_A!J:J)),"")</f>
        <v>0.56710047189069113</v>
      </c>
      <c r="D33" s="42">
        <f t="shared" si="2"/>
        <v>0.56710047189069113</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f>IFERROR(INDEX('MAPA DE PREÇOS'!M:M,MATCH(B34,'MAPA DE PREÇOS'!B:B,0)+19)/(SUMPRODUCT(EDITAL_A!I:I,EDITAL_A!J:J)),"")</f>
        <v>3.0317872633124496E-4</v>
      </c>
      <c r="D34" s="42">
        <f t="shared" si="2"/>
        <v>3.0317872633124496E-4</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f>IFERROR(INDEX('MAPA DE PREÇOS'!M:M,MATCH(B35,'MAPA DE PREÇOS'!B:B,0)+19)/(SUMPRODUCT(EDITAL_A!I:I,EDITAL_A!J:J)),"")</f>
        <v>2.7519299774682237E-3</v>
      </c>
      <c r="D35" s="42">
        <f t="shared" si="2"/>
        <v>2.7519299774682237E-3</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PREÇOS'!B:B,0)+19)/(SUMPRODUCT(EDITAL_A!I:I,EDITAL_A!J:J)),"")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PREÇOS'!B:B,0)+19)/(SUMPRODUCT(EDITAL_A!I:I,EDITAL_A!J:J)),"")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PREÇOS'!B:B,0)+19)/(SUMPRODUCT(EDITAL_A!I:I,EDITAL_A!J:J)),"")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PREÇOS'!B:B,0)+19)/(SUMPRODUCT(EDITAL_A!I:I,EDITAL_A!J:J)),"")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PREÇOS'!B:B,0)+19)/(SUMPRODUCT(EDITAL_A!I:I,EDITAL_A!J:J)),"")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PREÇOS'!B:B,0)+19)/(SUMPRODUCT(EDITAL_A!I:I,EDITAL_A!J:J)),"")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PREÇOS'!B:B,0)+19)/(SUMPRODUCT(EDITAL_A!I:I,EDITAL_A!J:J)),"")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PREÇOS'!B:B,0)+19)/(SUMPRODUCT(EDITAL_A!I:I,EDITAL_A!J:J)),"")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PREÇOS'!B:B,0)+19)/(SUMPRODUCT(EDITAL_A!I:I,EDITAL_A!J:J)),"")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PREÇOS'!B:B,0)+19)/(SUMPRODUCT(EDITAL_A!I:I,EDITAL_A!J:J)),"")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PREÇOS'!B:B,0)+19)/(SUMPRODUCT(EDITAL_A!I:I,EDITAL_A!J:J)),"")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PREÇOS'!B:B,0)+19)/(SUMPRODUCT(EDITAL_A!I:I,EDITAL_A!J:J)),"")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PREÇOS'!B:B,0)+19)/(SUMPRODUCT(EDITAL_A!I:I,EDITAL_A!J:J)),"")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PREÇOS'!B:B,0)+19)/(SUMPRODUCT(EDITAL_A!I:I,EDITAL_A!J:J)),"")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PREÇOS'!B:B,0)+19)/(SUMPRODUCT(EDITAL_A!I:I,EDITAL_A!J:J)),"")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PREÇOS'!B:B,0)+19)/(SUMPRODUCT(EDITAL_A!I:I,EDITAL_A!J:J)),"")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PREÇOS'!B:B,0)+19)/(SUMPRODUCT(EDITAL_A!I:I,EDITAL_A!J:J)),"")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PREÇOS'!B:B,0)+19)/(SUMPRODUCT(EDITAL_A!I:I,EDITAL_A!J:J)),"")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PREÇOS'!B:B,0)+19)/(SUMPRODUCT(EDITAL_A!I:I,EDITAL_A!J:J)),"")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PREÇOS'!B:B,0)+19)/(SUMPRODUCT(EDITAL_A!I:I,EDITAL_A!J:J)),"")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PREÇOS'!B:B,0)+19)/(SUMPRODUCT(EDITAL_A!I:I,EDITAL_A!J:J)),"")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PREÇOS'!B:B,0)+19)/(SUMPRODUCT(EDITAL_A!I:I,EDITAL_A!J:J)),"")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PREÇOS'!B:B,0)+19)/(SUMPRODUCT(EDITAL_A!I:I,EDITAL_A!J:J)),"")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PREÇOS'!B:B,0)+19)/(SUMPRODUCT(EDITAL_A!I:I,EDITAL_A!J:J)),"")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PREÇOS'!B:B,0)+19)/(SUMPRODUCT(EDITAL_A!I:I,EDITAL_A!J:J)),"")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PREÇOS'!B:B,0)+19)/(SUMPRODUCT(EDITAL_A!I:I,EDITAL_A!J:J)),"")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PREÇOS'!B:B,0)+19)/(SUMPRODUCT(EDITAL_A!I:I,EDITAL_A!J:J)),"")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PREÇOS'!B:B,0)+19)/(SUMPRODUCT(EDITAL_A!I:I,EDITAL_A!J:J)),"")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PREÇOS'!B:B,0)+19)/(SUMPRODUCT(EDITAL_A!I:I,EDITAL_A!J:J)),"")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PREÇOS'!B:B,0)+19)/(SUMPRODUCT(EDITAL_A!I:I,EDITAL_A!J:J)),"")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PREÇOS'!B:B,0)+19)/(SUMPRODUCT(EDITAL_A!I:I,EDITAL_A!J:J)),"")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PREÇOS'!B:B,0)+19)/(SUMPRODUCT(EDITAL_A!I:I,EDITAL_A!J:J)),"")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PREÇOS'!B:B,0)+19)/(SUMPRODUCT(EDITAL_A!I:I,EDITAL_A!J:J)),"")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PREÇOS'!B:B,0)+19)/(SUMPRODUCT(EDITAL_A!I:I,EDITAL_A!J:J)),"")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PREÇOS'!B:B,0)+19)/(SUMPRODUCT(EDITAL_A!I:I,EDITAL_A!J:J)),"")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PREÇOS'!B:B,0)+19)/(SUMPRODUCT(EDITAL_A!I:I,EDITAL_A!J:J)),"")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PREÇOS'!B:B,0)+19)/(SUMPRODUCT(EDITAL_A!I:I,EDITAL_A!J:J)),"")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PREÇOS'!B:B,0)+19)/(SUMPRODUCT(EDITAL_A!I:I,EDITAL_A!J:J)),"")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PREÇOS'!B:B,0)+19)/(SUMPRODUCT(EDITAL_A!I:I,EDITAL_A!J:J)),"")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PREÇOS'!B:B,0)+19)/(SUMPRODUCT(EDITAL_A!I:I,EDITAL_A!J:J)),"")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PREÇOS'!B:B,0)+19)/(SUMPRODUCT(EDITAL_A!I:I,EDITAL_A!J:J)),"")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PREÇOS'!B:B,0)+19)/(SUMPRODUCT(EDITAL_A!I:I,EDITAL_A!J:J)),"")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PREÇOS'!B:B,0)+19)/(SUMPRODUCT(EDITAL_A!I:I,EDITAL_A!J:J)),"")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PREÇOS'!B:B,0)+19)/(SUMPRODUCT(EDITAL_A!I:I,EDITAL_A!J:J)),"")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PREÇOS'!B:B,0)+19)/(SUMPRODUCT(EDITAL_A!I:I,EDITAL_A!J:J)),"")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PREÇOS'!B:B,0)+19)/(SUMPRODUCT(EDITAL_A!I:I,EDITAL_A!J:J)),"")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PREÇOS'!B:B,0)+19)/(SUMPRODUCT(EDITAL_A!I:I,EDITAL_A!J:J)),"")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PREÇOS'!B:B,0)+19)/(SUMPRODUCT(EDITAL_A!I:I,EDITAL_A!J:J)),"")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PREÇOS'!B:B,0)+19)/(SUMPRODUCT(EDITAL_A!I:I,EDITAL_A!J:J)),"")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PREÇOS'!B:B,0)+19)/(SUMPRODUCT(EDITAL_A!I:I,EDITAL_A!J:J)),"")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PREÇOS'!B:B,0)+19)/(SUMPRODUCT(EDITAL_A!I:I,EDITAL_A!J:J)),"")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PREÇOS'!B:B,0)+19)/(SUMPRODUCT(EDITAL_A!I:I,EDITAL_A!J:J)),"")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PREÇOS'!B:B,0)+19)/(SUMPRODUCT(EDITAL_A!I:I,EDITAL_A!J:J)),"")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PREÇOS'!B:B,0)+19)/(SUMPRODUCT(EDITAL_A!I:I,EDITAL_A!J:J)),"")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PREÇOS'!B:B,0)+19)/(SUMPRODUCT(EDITAL_A!I:I,EDITAL_A!J:J)),"")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PREÇOS'!B:B,0)+19)/(SUMPRODUCT(EDITAL_A!I:I,EDITAL_A!J:J)),"")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PREÇOS'!B:B,0)+19)/(SUMPRODUCT(EDITAL_A!I:I,EDITAL_A!J:J)),"")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PREÇOS'!B:B,0)+19)/(SUMPRODUCT(EDITAL_A!I:I,EDITAL_A!J:J)),"")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PREÇOS'!B:B,0)+19)/(SUMPRODUCT(EDITAL_A!I:I,EDITAL_A!J:J)),"")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PREÇOS'!B:B,0)+19)/(SUMPRODUCT(EDITAL_A!I:I,EDITAL_A!J:J)),"")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PREÇOS'!B:B,0)+19)/(SUMPRODUCT(EDITAL_A!I:I,EDITAL_A!J:J)),"")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PREÇOS'!B:B,0)+19)/(SUMPRODUCT(EDITAL_A!I:I,EDITAL_A!J:J)),"")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PREÇOS'!B:B,0)+19)/(SUMPRODUCT(EDITAL_A!I:I,EDITAL_A!J:J)),"")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PREÇOS'!B:B,0)+19)/(SUMPRODUCT(EDITAL_A!I:I,EDITAL_A!J:J)),"")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PREÇOS'!B:B,0)+19)/(SUMPRODUCT(EDITAL_A!I:I,EDITAL_A!J:J)),"")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PREÇOS'!B:B,0)+19)/(SUMPRODUCT(EDITAL_A!I:I,EDITAL_A!J:J)),"")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PREÇOS'!B:B,0)+19)/(SUMPRODUCT(EDITAL_A!I:I,EDITAL_A!J:J)),"")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PREÇOS'!B:B,0)+19)/(SUMPRODUCT(EDITAL_A!I:I,EDITAL_A!J:J)),"")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PREÇOS'!B:B,0)+19)/(SUMPRODUCT(EDITAL_A!I:I,EDITAL_A!J:J)),"")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PREÇOS'!B:B,0)+19)/(SUMPRODUCT(EDITAL_A!I:I,EDITAL_A!J:J)),"")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824" t="s">
        <v>35</v>
      </c>
      <c r="C2" s="825"/>
      <c r="D2" s="826"/>
    </row>
    <row r="3" spans="2:4" ht="78" customHeight="1" x14ac:dyDescent="0.2">
      <c r="B3" s="843" t="s">
        <v>384</v>
      </c>
      <c r="C3" s="844"/>
      <c r="D3" s="845"/>
    </row>
    <row r="4" spans="2:4" s="32" customFormat="1" ht="32.1" customHeight="1" x14ac:dyDescent="0.25">
      <c r="B4" s="823" t="s">
        <v>385</v>
      </c>
      <c r="C4" s="823"/>
      <c r="D4" s="823"/>
    </row>
    <row r="5" spans="2:4" ht="61.5" customHeight="1" x14ac:dyDescent="0.2">
      <c r="B5" s="840" t="s">
        <v>386</v>
      </c>
      <c r="C5" s="841"/>
      <c r="D5" s="842"/>
    </row>
    <row r="6" spans="2:4" s="33" customFormat="1" ht="32.1" customHeight="1" x14ac:dyDescent="0.25">
      <c r="B6" s="823" t="s">
        <v>387</v>
      </c>
      <c r="C6" s="823"/>
      <c r="D6" s="823"/>
    </row>
    <row r="7" spans="2:4" ht="61.5" customHeight="1" x14ac:dyDescent="0.2">
      <c r="B7" s="840" t="s">
        <v>388</v>
      </c>
      <c r="C7" s="841"/>
      <c r="D7" s="842"/>
    </row>
    <row r="8" spans="2:4" ht="21.6" customHeight="1" x14ac:dyDescent="0.2">
      <c r="B8" s="827" t="s">
        <v>389</v>
      </c>
      <c r="C8" s="828"/>
      <c r="D8" s="829"/>
    </row>
    <row r="9" spans="2:4" ht="14.25" x14ac:dyDescent="0.2">
      <c r="B9" s="830"/>
      <c r="C9" s="831"/>
      <c r="D9" s="832"/>
    </row>
    <row r="10" spans="2:4" ht="14.25" x14ac:dyDescent="0.2">
      <c r="B10" s="830"/>
      <c r="C10" s="831"/>
      <c r="D10" s="832"/>
    </row>
    <row r="11" spans="2:4" ht="14.25" x14ac:dyDescent="0.2">
      <c r="B11" s="830"/>
      <c r="C11" s="831"/>
      <c r="D11" s="832"/>
    </row>
    <row r="12" spans="2:4" ht="14.25" x14ac:dyDescent="0.2">
      <c r="B12" s="830"/>
      <c r="C12" s="831"/>
      <c r="D12" s="832"/>
    </row>
    <row r="13" spans="2:4" ht="61.5" customHeight="1" x14ac:dyDescent="0.2">
      <c r="B13" s="830"/>
      <c r="C13" s="831"/>
      <c r="D13" s="832"/>
    </row>
    <row r="14" spans="2:4" ht="61.5" customHeight="1" x14ac:dyDescent="0.2">
      <c r="B14" s="830"/>
      <c r="C14" s="831"/>
      <c r="D14" s="832"/>
    </row>
    <row r="15" spans="2:4" ht="61.5" customHeight="1" x14ac:dyDescent="0.2">
      <c r="B15" s="830"/>
      <c r="C15" s="831"/>
      <c r="D15" s="832"/>
    </row>
    <row r="16" spans="2:4" ht="61.5" customHeight="1" x14ac:dyDescent="0.2">
      <c r="B16" s="830"/>
      <c r="C16" s="831"/>
      <c r="D16" s="832"/>
    </row>
    <row r="17" spans="2:4" ht="61.5" customHeight="1" x14ac:dyDescent="0.2">
      <c r="B17" s="830"/>
      <c r="C17" s="831"/>
      <c r="D17" s="832"/>
    </row>
    <row r="18" spans="2:4" ht="61.5" customHeight="1" x14ac:dyDescent="0.2">
      <c r="B18" s="830"/>
      <c r="C18" s="831"/>
      <c r="D18" s="832"/>
    </row>
    <row r="19" spans="2:4" ht="15" customHeight="1" x14ac:dyDescent="0.2">
      <c r="B19" s="830"/>
      <c r="C19" s="831"/>
      <c r="D19" s="832"/>
    </row>
    <row r="20" spans="2:4" ht="15" customHeight="1" x14ac:dyDescent="0.2">
      <c r="B20" s="830"/>
      <c r="C20" s="831"/>
      <c r="D20" s="832"/>
    </row>
    <row r="21" spans="2:4" ht="15" customHeight="1" x14ac:dyDescent="0.2">
      <c r="B21" s="830"/>
      <c r="C21" s="831"/>
      <c r="D21" s="832"/>
    </row>
    <row r="22" spans="2:4" ht="15" customHeight="1" x14ac:dyDescent="0.2">
      <c r="B22" s="830"/>
      <c r="C22" s="831"/>
      <c r="D22" s="832"/>
    </row>
    <row r="23" spans="2:4" ht="15" customHeight="1" x14ac:dyDescent="0.2">
      <c r="B23" s="830"/>
      <c r="C23" s="831"/>
      <c r="D23" s="832"/>
    </row>
    <row r="24" spans="2:4" ht="15" customHeight="1" x14ac:dyDescent="0.2">
      <c r="B24" s="830"/>
      <c r="C24" s="831"/>
      <c r="D24" s="832"/>
    </row>
    <row r="25" spans="2:4" ht="15" customHeight="1" x14ac:dyDescent="0.2">
      <c r="B25" s="830"/>
      <c r="C25" s="831"/>
      <c r="D25" s="832"/>
    </row>
    <row r="26" spans="2:4" ht="15" customHeight="1" x14ac:dyDescent="0.2">
      <c r="B26" s="830"/>
      <c r="C26" s="831"/>
      <c r="D26" s="832"/>
    </row>
    <row r="27" spans="2:4" ht="15" customHeight="1" x14ac:dyDescent="0.2">
      <c r="B27" s="830"/>
      <c r="C27" s="831"/>
      <c r="D27" s="832"/>
    </row>
    <row r="28" spans="2:4" ht="15" customHeight="1" x14ac:dyDescent="0.2">
      <c r="B28" s="830"/>
      <c r="C28" s="831"/>
      <c r="D28" s="832"/>
    </row>
    <row r="29" spans="2:4" ht="15" customHeight="1" x14ac:dyDescent="0.2">
      <c r="B29" s="830"/>
      <c r="C29" s="831"/>
      <c r="D29" s="832"/>
    </row>
    <row r="30" spans="2:4" ht="15" customHeight="1" x14ac:dyDescent="0.2">
      <c r="B30" s="830"/>
      <c r="C30" s="831"/>
      <c r="D30" s="832"/>
    </row>
    <row r="31" spans="2:4" ht="15" customHeight="1" x14ac:dyDescent="0.2">
      <c r="B31" s="830"/>
      <c r="C31" s="831"/>
      <c r="D31" s="832"/>
    </row>
    <row r="32" spans="2:4" ht="15" customHeight="1" x14ac:dyDescent="0.2">
      <c r="B32" s="830"/>
      <c r="C32" s="831"/>
      <c r="D32" s="832"/>
    </row>
    <row r="33" spans="2:4" ht="15" customHeight="1" x14ac:dyDescent="0.2">
      <c r="B33" s="830"/>
      <c r="C33" s="831"/>
      <c r="D33" s="832"/>
    </row>
    <row r="34" spans="2:4" ht="15" customHeight="1" x14ac:dyDescent="0.2">
      <c r="B34" s="830"/>
      <c r="C34" s="831"/>
      <c r="D34" s="832"/>
    </row>
    <row r="35" spans="2:4" ht="15" customHeight="1" x14ac:dyDescent="0.2">
      <c r="B35" s="830"/>
      <c r="C35" s="831"/>
      <c r="D35" s="832"/>
    </row>
    <row r="36" spans="2:4" ht="15" customHeight="1" x14ac:dyDescent="0.2">
      <c r="B36" s="830"/>
      <c r="C36" s="831"/>
      <c r="D36" s="832"/>
    </row>
    <row r="37" spans="2:4" ht="15" customHeight="1" x14ac:dyDescent="0.2">
      <c r="B37" s="830"/>
      <c r="C37" s="831"/>
      <c r="D37" s="832"/>
    </row>
    <row r="38" spans="2:4" s="34" customFormat="1" ht="32.450000000000003" customHeight="1" x14ac:dyDescent="0.2">
      <c r="B38" s="833"/>
      <c r="C38" s="834"/>
      <c r="D38" s="835"/>
    </row>
    <row r="39" spans="2:4" s="32" customFormat="1" ht="32.1" customHeight="1" x14ac:dyDescent="0.25">
      <c r="B39" s="836" t="s">
        <v>390</v>
      </c>
      <c r="C39" s="837"/>
      <c r="D39" s="838"/>
    </row>
    <row r="40" spans="2:4" s="165" customFormat="1" ht="64.900000000000006" customHeight="1" x14ac:dyDescent="0.25">
      <c r="B40" s="839" t="s">
        <v>391</v>
      </c>
      <c r="C40" s="839"/>
      <c r="D40" s="839"/>
    </row>
    <row r="41" spans="2:4" s="165" customFormat="1" ht="64.900000000000006" customHeight="1" x14ac:dyDescent="0.25">
      <c r="B41" s="839"/>
      <c r="C41" s="839"/>
      <c r="D41" s="839"/>
    </row>
    <row r="42" spans="2:4" s="165" customFormat="1" ht="64.900000000000006" customHeight="1" x14ac:dyDescent="0.25">
      <c r="B42" s="839"/>
      <c r="C42" s="839"/>
      <c r="D42" s="839"/>
    </row>
    <row r="43" spans="2:4" s="165" customFormat="1" ht="64.900000000000006" customHeight="1" x14ac:dyDescent="0.25">
      <c r="B43" s="839"/>
      <c r="C43" s="839"/>
      <c r="D43" s="839"/>
    </row>
    <row r="44" spans="2:4" s="165" customFormat="1" ht="64.900000000000006" customHeight="1" x14ac:dyDescent="0.25">
      <c r="B44" s="839"/>
      <c r="C44" s="839"/>
      <c r="D44" s="839"/>
    </row>
    <row r="45" spans="2:4" s="165" customFormat="1" ht="112.15" customHeight="1" x14ac:dyDescent="0.25">
      <c r="B45" s="839"/>
      <c r="C45" s="839"/>
      <c r="D45" s="839"/>
    </row>
    <row r="46" spans="2:4" s="33" customFormat="1" ht="32.1" customHeight="1" x14ac:dyDescent="0.25">
      <c r="B46" s="824" t="s">
        <v>392</v>
      </c>
      <c r="C46" s="825"/>
      <c r="D46" s="826"/>
    </row>
    <row r="47" spans="2:4" ht="140.44999999999999" customHeight="1" x14ac:dyDescent="0.2">
      <c r="B47" s="814" t="s">
        <v>393</v>
      </c>
      <c r="C47" s="815"/>
      <c r="D47" s="816"/>
    </row>
    <row r="48" spans="2:4" s="33" customFormat="1" ht="32.1" customHeight="1" x14ac:dyDescent="0.25">
      <c r="B48" s="823" t="s">
        <v>394</v>
      </c>
      <c r="C48" s="823"/>
      <c r="D48" s="823"/>
    </row>
    <row r="49" spans="2:4" ht="14.25" x14ac:dyDescent="0.2">
      <c r="B49" s="814" t="s">
        <v>395</v>
      </c>
      <c r="C49" s="815"/>
      <c r="D49" s="816"/>
    </row>
    <row r="50" spans="2:4" ht="14.25" x14ac:dyDescent="0.2">
      <c r="B50" s="817"/>
      <c r="C50" s="818"/>
      <c r="D50" s="819"/>
    </row>
    <row r="51" spans="2:4" ht="14.25" x14ac:dyDescent="0.2">
      <c r="B51" s="817"/>
      <c r="C51" s="818"/>
      <c r="D51" s="819"/>
    </row>
    <row r="52" spans="2:4" ht="14.25" x14ac:dyDescent="0.2">
      <c r="B52" s="817"/>
      <c r="C52" s="818"/>
      <c r="D52" s="819"/>
    </row>
    <row r="53" spans="2:4" ht="14.25" x14ac:dyDescent="0.2">
      <c r="B53" s="817"/>
      <c r="C53" s="818"/>
      <c r="D53" s="819"/>
    </row>
    <row r="54" spans="2:4" ht="14.25" x14ac:dyDescent="0.2">
      <c r="B54" s="817"/>
      <c r="C54" s="818"/>
      <c r="D54" s="819"/>
    </row>
    <row r="55" spans="2:4" ht="14.25" x14ac:dyDescent="0.2">
      <c r="B55" s="817"/>
      <c r="C55" s="818"/>
      <c r="D55" s="819"/>
    </row>
    <row r="56" spans="2:4" ht="14.25" x14ac:dyDescent="0.2">
      <c r="B56" s="817"/>
      <c r="C56" s="818"/>
      <c r="D56" s="819"/>
    </row>
    <row r="57" spans="2:4" ht="14.25" x14ac:dyDescent="0.2">
      <c r="B57" s="820"/>
      <c r="C57" s="821"/>
      <c r="D57" s="822"/>
    </row>
    <row r="58" spans="2:4" s="33" customFormat="1" ht="32.1" customHeight="1" x14ac:dyDescent="0.25">
      <c r="B58" s="823" t="s">
        <v>396</v>
      </c>
      <c r="C58" s="823"/>
      <c r="D58" s="823"/>
    </row>
    <row r="59" spans="2:4" ht="14.25" x14ac:dyDescent="0.2">
      <c r="B59" s="814" t="s">
        <v>36</v>
      </c>
      <c r="C59" s="815"/>
      <c r="D59" s="816"/>
    </row>
    <row r="60" spans="2:4" ht="14.25" x14ac:dyDescent="0.2">
      <c r="B60" s="817"/>
      <c r="C60" s="818"/>
      <c r="D60" s="819"/>
    </row>
    <row r="61" spans="2:4" ht="14.25" x14ac:dyDescent="0.2">
      <c r="B61" s="817"/>
      <c r="C61" s="818"/>
      <c r="D61" s="819"/>
    </row>
    <row r="62" spans="2:4" ht="14.25" x14ac:dyDescent="0.2">
      <c r="B62" s="817"/>
      <c r="C62" s="818"/>
      <c r="D62" s="819"/>
    </row>
    <row r="63" spans="2:4" ht="14.25" x14ac:dyDescent="0.2">
      <c r="B63" s="817"/>
      <c r="C63" s="818"/>
      <c r="D63" s="819"/>
    </row>
    <row r="64" spans="2:4" ht="14.25" x14ac:dyDescent="0.2">
      <c r="B64" s="817"/>
      <c r="C64" s="818"/>
      <c r="D64" s="819"/>
    </row>
    <row r="65" spans="2:4" ht="14.25" x14ac:dyDescent="0.2">
      <c r="B65" s="820"/>
      <c r="C65" s="821"/>
      <c r="D65" s="822"/>
    </row>
    <row r="66" spans="2:4" s="33" customFormat="1" ht="32.1" customHeight="1" x14ac:dyDescent="0.25">
      <c r="B66" s="823" t="s">
        <v>397</v>
      </c>
      <c r="C66" s="823"/>
      <c r="D66" s="823"/>
    </row>
    <row r="67" spans="2:4" ht="14.25" x14ac:dyDescent="0.2">
      <c r="B67" s="814" t="s">
        <v>37</v>
      </c>
      <c r="C67" s="815"/>
      <c r="D67" s="816"/>
    </row>
    <row r="68" spans="2:4" ht="14.25" x14ac:dyDescent="0.2">
      <c r="B68" s="817"/>
      <c r="C68" s="818"/>
      <c r="D68" s="819"/>
    </row>
    <row r="69" spans="2:4" ht="14.25" x14ac:dyDescent="0.2">
      <c r="B69" s="817"/>
      <c r="C69" s="818"/>
      <c r="D69" s="819"/>
    </row>
    <row r="70" spans="2:4" ht="14.25" x14ac:dyDescent="0.2">
      <c r="B70" s="820"/>
      <c r="C70" s="821"/>
      <c r="D70" s="822"/>
    </row>
    <row r="71" spans="2:4" s="33" customFormat="1" ht="32.1" customHeight="1" x14ac:dyDescent="0.25">
      <c r="B71" s="823" t="s">
        <v>398</v>
      </c>
      <c r="C71" s="823"/>
      <c r="D71" s="823"/>
    </row>
    <row r="72" spans="2:4" ht="14.25" x14ac:dyDescent="0.2">
      <c r="B72" s="814" t="s">
        <v>34</v>
      </c>
      <c r="C72" s="815"/>
      <c r="D72" s="816"/>
    </row>
    <row r="73" spans="2:4" ht="14.25" x14ac:dyDescent="0.2">
      <c r="B73" s="817"/>
      <c r="C73" s="818"/>
      <c r="D73" s="819"/>
    </row>
    <row r="74" spans="2:4" ht="14.25" x14ac:dyDescent="0.2">
      <c r="B74" s="817"/>
      <c r="C74" s="818"/>
      <c r="D74" s="819"/>
    </row>
    <row r="75" spans="2:4" ht="14.25" x14ac:dyDescent="0.2">
      <c r="B75" s="820"/>
      <c r="C75" s="821"/>
      <c r="D75" s="822"/>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2"/>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7"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846" t="s">
        <v>326</v>
      </c>
      <c r="F2" s="846"/>
      <c r="G2" s="846"/>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846" t="s">
        <v>327</v>
      </c>
      <c r="F3" s="766"/>
      <c r="G3" s="166"/>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846" t="s">
        <v>321</v>
      </c>
      <c r="F4" s="766"/>
      <c r="G4" s="166"/>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846" t="s">
        <v>320</v>
      </c>
      <c r="F5" s="766"/>
      <c r="G5" s="167"/>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846" t="s">
        <v>322</v>
      </c>
      <c r="F6" s="766"/>
      <c r="G6" s="167"/>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846" t="s">
        <v>352</v>
      </c>
      <c r="F7" s="766"/>
      <c r="G7" s="167"/>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846" t="s">
        <v>351</v>
      </c>
      <c r="F8" s="766"/>
      <c r="G8" s="167"/>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846" t="s">
        <v>431</v>
      </c>
      <c r="F9" s="766"/>
      <c r="G9" s="167"/>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846" t="s">
        <v>301</v>
      </c>
      <c r="F10" s="766"/>
      <c r="G10" s="181"/>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846" t="s">
        <v>323</v>
      </c>
      <c r="F11" s="766"/>
      <c r="G11" s="181"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5"/>
      <c r="H12" s="79"/>
      <c r="I12" s="79"/>
      <c r="J12" s="80"/>
      <c r="K12" s="80"/>
      <c r="L12" s="80"/>
      <c r="M12" s="76"/>
      <c r="N12" s="76"/>
    </row>
    <row r="13" spans="1:163" s="19" customFormat="1" ht="26.25" x14ac:dyDescent="0.4">
      <c r="B13" s="41"/>
      <c r="C13" s="41"/>
      <c r="D13" s="41"/>
      <c r="E13" s="791" t="s">
        <v>305</v>
      </c>
      <c r="F13" s="792"/>
      <c r="G13" s="792"/>
      <c r="H13" s="792"/>
      <c r="I13" s="792"/>
      <c r="J13" s="792"/>
      <c r="K13" s="847"/>
      <c r="L13" s="847"/>
      <c r="M13" s="792"/>
      <c r="N13" s="793"/>
    </row>
    <row r="14" spans="1:163" s="19" customFormat="1" ht="21" x14ac:dyDescent="0.35">
      <c r="B14" s="41"/>
      <c r="C14" s="41"/>
      <c r="D14" s="41"/>
      <c r="E14" s="794">
        <f>G3</f>
        <v>0</v>
      </c>
      <c r="F14" s="795"/>
      <c r="G14" s="795"/>
      <c r="H14" s="795"/>
      <c r="I14" s="795"/>
      <c r="J14" s="795"/>
      <c r="K14" s="795"/>
      <c r="L14" s="795"/>
      <c r="M14" s="795"/>
      <c r="N14" s="796"/>
    </row>
    <row r="15" spans="1:163" s="19" customFormat="1" hidden="1" x14ac:dyDescent="0.25">
      <c r="B15" s="41"/>
      <c r="C15" s="41"/>
      <c r="D15" s="41"/>
      <c r="E15" s="81"/>
      <c r="F15" s="82"/>
      <c r="G15" s="146"/>
      <c r="H15" s="84"/>
      <c r="I15" s="84"/>
      <c r="J15" s="60"/>
      <c r="K15" s="60"/>
      <c r="L15" s="60"/>
      <c r="M15" s="75"/>
      <c r="N15" s="85"/>
    </row>
    <row r="16" spans="1:163" s="19" customFormat="1" x14ac:dyDescent="0.25">
      <c r="B16" s="41"/>
      <c r="C16" s="41"/>
      <c r="D16" s="41"/>
      <c r="E16" s="797"/>
      <c r="F16" s="798"/>
      <c r="G16" s="798"/>
      <c r="H16" s="798"/>
      <c r="I16" s="798"/>
      <c r="J16" s="798"/>
      <c r="K16" s="798"/>
      <c r="L16" s="798"/>
      <c r="M16" s="798"/>
      <c r="N16" s="799"/>
    </row>
    <row r="17" spans="2:16" s="19" customFormat="1" x14ac:dyDescent="0.25">
      <c r="B17" s="41"/>
      <c r="C17" s="41"/>
      <c r="D17" s="41"/>
      <c r="E17" s="83"/>
      <c r="F17" s="82"/>
      <c r="G17" s="146"/>
      <c r="H17" s="84"/>
      <c r="I17" s="84"/>
      <c r="J17" s="60"/>
      <c r="K17" s="60"/>
      <c r="L17" s="60"/>
      <c r="M17" s="75"/>
      <c r="N17" s="75"/>
    </row>
    <row r="18" spans="2:16" s="19" customFormat="1" ht="30" x14ac:dyDescent="0.25">
      <c r="B18" s="41"/>
      <c r="C18" s="41"/>
      <c r="D18" s="41"/>
      <c r="E18" s="175" t="s">
        <v>25</v>
      </c>
      <c r="F18" s="175" t="s">
        <v>355</v>
      </c>
      <c r="G18" s="176" t="s">
        <v>356</v>
      </c>
      <c r="H18" s="177" t="s">
        <v>28</v>
      </c>
      <c r="I18" s="177" t="s">
        <v>29</v>
      </c>
      <c r="J18" s="173" t="s">
        <v>30</v>
      </c>
      <c r="K18" s="179" t="s">
        <v>429</v>
      </c>
      <c r="L18" s="178" t="s">
        <v>430</v>
      </c>
      <c r="M18" s="174" t="s">
        <v>357</v>
      </c>
      <c r="N18" s="174" t="s">
        <v>427</v>
      </c>
    </row>
    <row r="19" spans="2:16" s="19" customFormat="1" x14ac:dyDescent="0.25">
      <c r="B19" s="41"/>
      <c r="C19" s="41"/>
      <c r="D19" s="41"/>
      <c r="E19" s="168"/>
      <c r="F19" s="168"/>
      <c r="G19" s="169"/>
      <c r="H19" s="170"/>
      <c r="I19" s="170"/>
      <c r="J19" s="171"/>
      <c r="K19" s="180"/>
      <c r="L19" s="171">
        <f>J19*(1-K19)</f>
        <v>0</v>
      </c>
      <c r="M19" s="171">
        <f>L19*I19</f>
        <v>0</v>
      </c>
      <c r="N19" s="172"/>
      <c r="P19" s="137"/>
    </row>
    <row r="20" spans="2:16" s="19" customFormat="1" x14ac:dyDescent="0.25">
      <c r="B20" s="41"/>
      <c r="C20" s="41"/>
      <c r="D20" s="41"/>
      <c r="E20" s="168"/>
      <c r="F20" s="168"/>
      <c r="G20" s="169"/>
      <c r="H20" s="170"/>
      <c r="I20" s="170"/>
      <c r="J20" s="171"/>
      <c r="K20" s="180"/>
      <c r="L20" s="171">
        <f t="shared" ref="L20:L22" si="0">J20*(1-K20)</f>
        <v>0</v>
      </c>
      <c r="M20" s="171">
        <f t="shared" ref="M20:M22" si="1">L20*I20</f>
        <v>0</v>
      </c>
      <c r="N20" s="172"/>
    </row>
    <row r="21" spans="2:16" s="19" customFormat="1" x14ac:dyDescent="0.25">
      <c r="B21" s="41"/>
      <c r="C21" s="41"/>
      <c r="D21" s="41"/>
      <c r="E21" s="168"/>
      <c r="F21" s="168"/>
      <c r="G21" s="169"/>
      <c r="H21" s="170"/>
      <c r="I21" s="170"/>
      <c r="J21" s="171"/>
      <c r="K21" s="180"/>
      <c r="L21" s="171">
        <f t="shared" si="0"/>
        <v>0</v>
      </c>
      <c r="M21" s="171">
        <f t="shared" si="1"/>
        <v>0</v>
      </c>
      <c r="N21" s="172"/>
    </row>
    <row r="22" spans="2:16" s="19" customFormat="1" x14ac:dyDescent="0.25">
      <c r="B22" s="41"/>
      <c r="C22" s="41"/>
      <c r="D22" s="41"/>
      <c r="E22" s="168"/>
      <c r="F22" s="168"/>
      <c r="G22" s="169"/>
      <c r="H22" s="170"/>
      <c r="I22" s="170"/>
      <c r="J22" s="171"/>
      <c r="K22" s="180"/>
      <c r="L22" s="171">
        <f t="shared" si="0"/>
        <v>0</v>
      </c>
      <c r="M22" s="171">
        <f t="shared" si="1"/>
        <v>0</v>
      </c>
      <c r="N22" s="172"/>
    </row>
    <row r="23" spans="2:16" s="19" customFormat="1" x14ac:dyDescent="0.25">
      <c r="B23" s="41"/>
      <c r="C23" s="41"/>
      <c r="D23" s="41"/>
      <c r="E23" s="82"/>
      <c r="F23" s="82"/>
      <c r="G23" s="146"/>
      <c r="H23" s="84"/>
      <c r="I23" s="84"/>
      <c r="J23" s="58"/>
      <c r="K23" s="58"/>
      <c r="L23" s="173" t="s">
        <v>428</v>
      </c>
      <c r="M23" s="174">
        <f>SUM(M19:M22)</f>
        <v>0</v>
      </c>
      <c r="N23" s="75"/>
    </row>
    <row r="24" spans="2:16" s="19" customFormat="1" x14ac:dyDescent="0.25">
      <c r="B24" s="41"/>
      <c r="C24" s="41"/>
      <c r="D24" s="41"/>
      <c r="E24" s="82"/>
      <c r="F24" s="82"/>
      <c r="G24" s="146"/>
      <c r="H24" s="84"/>
      <c r="I24" s="84"/>
      <c r="J24" s="60"/>
      <c r="K24" s="60"/>
      <c r="L24" s="60"/>
      <c r="M24" s="75"/>
      <c r="N24" s="75"/>
    </row>
    <row r="25" spans="2:16" s="19" customFormat="1" x14ac:dyDescent="0.25">
      <c r="B25" s="41"/>
      <c r="C25" s="41"/>
      <c r="D25" s="41"/>
      <c r="E25" s="82"/>
      <c r="F25" s="82"/>
      <c r="G25" s="146"/>
      <c r="H25" s="84"/>
      <c r="I25" s="84"/>
      <c r="J25" s="60"/>
      <c r="K25" s="60"/>
      <c r="L25" s="60"/>
      <c r="M25" s="75"/>
      <c r="N25" s="75"/>
    </row>
    <row r="26" spans="2:16" s="19" customFormat="1" x14ac:dyDescent="0.25">
      <c r="B26" s="41"/>
      <c r="C26" s="41"/>
      <c r="D26" s="41"/>
      <c r="E26" s="82"/>
      <c r="F26" s="82"/>
      <c r="G26" s="146"/>
      <c r="H26" s="84"/>
      <c r="I26" s="84"/>
      <c r="J26" s="60"/>
      <c r="K26" s="60"/>
      <c r="L26" s="60"/>
      <c r="M26" s="75"/>
      <c r="N26" s="75"/>
    </row>
    <row r="27" spans="2:16" s="19" customFormat="1" x14ac:dyDescent="0.25">
      <c r="B27" s="41"/>
      <c r="C27" s="41"/>
      <c r="D27" s="41"/>
      <c r="E27" s="82"/>
      <c r="F27" s="82"/>
      <c r="G27" s="146"/>
      <c r="H27" s="84"/>
      <c r="I27" s="84"/>
      <c r="J27" s="60"/>
      <c r="K27" s="60"/>
      <c r="L27" s="60"/>
      <c r="M27" s="75"/>
      <c r="N27" s="75"/>
    </row>
    <row r="28" spans="2:16" s="19" customFormat="1" x14ac:dyDescent="0.25">
      <c r="B28" s="41"/>
      <c r="C28" s="41"/>
      <c r="D28" s="41"/>
      <c r="E28" s="82"/>
      <c r="F28" s="82"/>
      <c r="G28" s="146"/>
      <c r="H28" s="84"/>
      <c r="I28" s="84"/>
      <c r="J28" s="60"/>
      <c r="K28" s="60"/>
      <c r="L28" s="60"/>
      <c r="M28" s="75"/>
      <c r="N28" s="75"/>
    </row>
    <row r="29" spans="2:16" s="19" customFormat="1" x14ac:dyDescent="0.25">
      <c r="B29" s="41"/>
      <c r="C29" s="41"/>
      <c r="D29" s="41"/>
      <c r="E29" s="82"/>
      <c r="F29" s="82"/>
      <c r="G29" s="146"/>
      <c r="H29" s="84"/>
      <c r="I29" s="84"/>
      <c r="J29" s="60"/>
      <c r="K29" s="60"/>
      <c r="L29" s="60"/>
      <c r="M29" s="75"/>
      <c r="N29" s="75"/>
    </row>
    <row r="30" spans="2:16" s="19" customFormat="1" x14ac:dyDescent="0.25">
      <c r="B30" s="41"/>
      <c r="C30" s="41"/>
      <c r="D30" s="41"/>
      <c r="E30" s="82"/>
      <c r="F30" s="82"/>
      <c r="G30" s="146"/>
      <c r="H30" s="84"/>
      <c r="I30" s="84"/>
      <c r="J30" s="60"/>
      <c r="K30" s="60"/>
      <c r="L30" s="60"/>
      <c r="M30" s="75"/>
      <c r="N30" s="75"/>
    </row>
    <row r="31" spans="2:16" s="19" customFormat="1" x14ac:dyDescent="0.25">
      <c r="B31" s="41"/>
      <c r="C31" s="41"/>
      <c r="D31" s="41"/>
      <c r="E31" s="82"/>
      <c r="F31" s="82"/>
      <c r="G31" s="146"/>
      <c r="H31" s="84"/>
      <c r="I31" s="84"/>
      <c r="J31" s="60"/>
      <c r="K31" s="60"/>
      <c r="L31" s="60"/>
      <c r="M31" s="75"/>
      <c r="N31" s="75"/>
    </row>
    <row r="32" spans="2:16" s="19" customFormat="1" x14ac:dyDescent="0.25">
      <c r="B32" s="41"/>
      <c r="C32" s="41"/>
      <c r="D32" s="41"/>
      <c r="E32" s="82"/>
      <c r="F32" s="82"/>
      <c r="G32" s="146"/>
      <c r="H32" s="84"/>
      <c r="I32" s="84"/>
      <c r="J32" s="60"/>
      <c r="K32" s="60"/>
      <c r="L32" s="60"/>
      <c r="M32" s="75"/>
      <c r="N32" s="75"/>
    </row>
    <row r="33" spans="2:14" s="19" customFormat="1" x14ac:dyDescent="0.25">
      <c r="B33" s="41"/>
      <c r="C33" s="41"/>
      <c r="D33" s="41"/>
      <c r="E33" s="82"/>
      <c r="F33" s="82"/>
      <c r="G33" s="146"/>
      <c r="H33" s="84"/>
      <c r="I33" s="84"/>
      <c r="J33" s="60"/>
      <c r="K33" s="60"/>
      <c r="L33" s="60"/>
      <c r="M33" s="75"/>
      <c r="N33" s="75"/>
    </row>
    <row r="34" spans="2:14" s="19" customFormat="1" x14ac:dyDescent="0.25">
      <c r="B34" s="41"/>
      <c r="C34" s="41"/>
      <c r="D34" s="41"/>
      <c r="E34" s="82"/>
      <c r="F34" s="82"/>
      <c r="G34" s="146"/>
      <c r="H34" s="84"/>
      <c r="I34" s="84"/>
      <c r="J34" s="60"/>
      <c r="K34" s="60"/>
      <c r="L34" s="60"/>
      <c r="M34" s="75"/>
      <c r="N34" s="75"/>
    </row>
    <row r="35" spans="2:14" s="19" customFormat="1" x14ac:dyDescent="0.25">
      <c r="B35" s="41"/>
      <c r="C35" s="41"/>
      <c r="D35" s="41"/>
      <c r="E35" s="82"/>
      <c r="F35" s="82"/>
      <c r="G35" s="146"/>
      <c r="H35" s="84"/>
      <c r="I35" s="84"/>
      <c r="J35" s="60"/>
      <c r="K35" s="60"/>
      <c r="L35" s="60"/>
      <c r="M35" s="75"/>
      <c r="N35" s="75"/>
    </row>
    <row r="36" spans="2:14" s="19" customFormat="1" x14ac:dyDescent="0.25">
      <c r="B36" s="41"/>
      <c r="C36" s="41"/>
      <c r="D36" s="41"/>
      <c r="E36" s="82"/>
      <c r="F36" s="82"/>
      <c r="G36" s="146"/>
      <c r="H36" s="84"/>
      <c r="I36" s="84"/>
      <c r="J36" s="60"/>
      <c r="K36" s="60"/>
      <c r="L36" s="60"/>
      <c r="M36" s="75"/>
      <c r="N36" s="75"/>
    </row>
    <row r="37" spans="2:14" s="19" customFormat="1" x14ac:dyDescent="0.25">
      <c r="B37" s="41"/>
      <c r="C37" s="41"/>
      <c r="D37" s="41"/>
      <c r="E37" s="82"/>
      <c r="F37" s="82"/>
      <c r="G37" s="146"/>
      <c r="H37" s="84"/>
      <c r="I37" s="84"/>
      <c r="J37" s="60"/>
      <c r="K37" s="60"/>
      <c r="L37" s="60"/>
      <c r="M37" s="75"/>
      <c r="N37" s="75"/>
    </row>
    <row r="38" spans="2:14" s="19" customFormat="1" x14ac:dyDescent="0.25">
      <c r="B38" s="41"/>
      <c r="C38" s="41"/>
      <c r="D38" s="41"/>
      <c r="E38" s="82"/>
      <c r="F38" s="82"/>
      <c r="G38" s="146"/>
      <c r="H38" s="84"/>
      <c r="I38" s="84"/>
      <c r="J38" s="60"/>
      <c r="K38" s="60"/>
      <c r="L38" s="60"/>
      <c r="M38" s="75"/>
      <c r="N38" s="75"/>
    </row>
    <row r="39" spans="2:14" s="19" customFormat="1" x14ac:dyDescent="0.25">
      <c r="B39" s="41"/>
      <c r="C39" s="41"/>
      <c r="D39" s="41"/>
      <c r="E39" s="82"/>
      <c r="F39" s="82"/>
      <c r="G39" s="146"/>
      <c r="H39" s="84"/>
      <c r="I39" s="84"/>
      <c r="J39" s="60"/>
      <c r="K39" s="60"/>
      <c r="L39" s="60"/>
      <c r="M39" s="75"/>
      <c r="N39" s="75"/>
    </row>
    <row r="40" spans="2:14" s="19" customFormat="1" x14ac:dyDescent="0.25">
      <c r="B40" s="41"/>
      <c r="C40" s="41"/>
      <c r="D40" s="41"/>
      <c r="E40" s="82"/>
      <c r="F40" s="82"/>
      <c r="G40" s="146"/>
      <c r="H40" s="84"/>
      <c r="I40" s="84"/>
      <c r="J40" s="60"/>
      <c r="K40" s="60"/>
      <c r="L40" s="60"/>
      <c r="M40" s="75"/>
      <c r="N40" s="75"/>
    </row>
    <row r="41" spans="2:14" s="19" customFormat="1" x14ac:dyDescent="0.25">
      <c r="B41" s="41"/>
      <c r="C41" s="41"/>
      <c r="D41" s="41"/>
      <c r="E41" s="82"/>
      <c r="F41" s="82"/>
      <c r="G41" s="146"/>
      <c r="H41" s="84"/>
      <c r="I41" s="84"/>
      <c r="J41" s="60"/>
      <c r="K41" s="60"/>
      <c r="L41" s="60"/>
      <c r="M41" s="75"/>
      <c r="N41" s="75"/>
    </row>
    <row r="42" spans="2:14" s="19" customFormat="1" x14ac:dyDescent="0.25">
      <c r="B42" s="41"/>
      <c r="C42" s="41"/>
      <c r="D42" s="41"/>
      <c r="E42" s="82"/>
      <c r="F42" s="82"/>
      <c r="G42" s="146"/>
      <c r="H42" s="84"/>
      <c r="I42" s="84"/>
      <c r="J42" s="60"/>
      <c r="K42" s="60"/>
      <c r="L42" s="60"/>
      <c r="M42" s="75"/>
      <c r="N42" s="75"/>
    </row>
    <row r="43" spans="2:14" s="19" customFormat="1" x14ac:dyDescent="0.25">
      <c r="B43" s="41"/>
      <c r="C43" s="41"/>
      <c r="D43" s="41"/>
      <c r="E43" s="82"/>
      <c r="F43" s="82"/>
      <c r="G43" s="146"/>
      <c r="H43" s="84"/>
      <c r="I43" s="84"/>
      <c r="J43" s="60"/>
      <c r="K43" s="60"/>
      <c r="L43" s="60"/>
      <c r="M43" s="75"/>
      <c r="N43" s="75"/>
    </row>
    <row r="44" spans="2:14" s="19" customFormat="1" x14ac:dyDescent="0.25">
      <c r="B44" s="41"/>
      <c r="C44" s="41"/>
      <c r="D44" s="41"/>
      <c r="E44" s="82"/>
      <c r="F44" s="82"/>
      <c r="G44" s="146"/>
      <c r="H44" s="84"/>
      <c r="I44" s="84"/>
      <c r="J44" s="60"/>
      <c r="K44" s="60"/>
      <c r="L44" s="60"/>
      <c r="M44" s="75"/>
      <c r="N44" s="75"/>
    </row>
    <row r="45" spans="2:14" s="19" customFormat="1" x14ac:dyDescent="0.25">
      <c r="B45" s="41"/>
      <c r="C45" s="41"/>
      <c r="D45" s="41"/>
      <c r="E45" s="82"/>
      <c r="F45" s="82"/>
      <c r="G45" s="146"/>
      <c r="H45" s="84"/>
      <c r="I45" s="84"/>
      <c r="J45" s="60"/>
      <c r="K45" s="60"/>
      <c r="L45" s="60"/>
      <c r="M45" s="75"/>
      <c r="N45" s="75"/>
    </row>
    <row r="46" spans="2:14" s="19" customFormat="1" x14ac:dyDescent="0.25">
      <c r="B46" s="41"/>
      <c r="C46" s="41"/>
      <c r="D46" s="41"/>
      <c r="E46" s="82"/>
      <c r="F46" s="82"/>
      <c r="G46" s="146"/>
      <c r="H46" s="84"/>
      <c r="I46" s="84"/>
      <c r="J46" s="60"/>
      <c r="K46" s="60"/>
      <c r="L46" s="60"/>
      <c r="M46" s="75"/>
      <c r="N46" s="75"/>
    </row>
    <row r="47" spans="2:14" s="19" customFormat="1" x14ac:dyDescent="0.25">
      <c r="B47" s="41"/>
      <c r="C47" s="41"/>
      <c r="D47" s="41"/>
      <c r="E47" s="82"/>
      <c r="F47" s="82"/>
      <c r="G47" s="146"/>
      <c r="H47" s="84"/>
      <c r="I47" s="84"/>
      <c r="J47" s="60"/>
      <c r="K47" s="60"/>
      <c r="L47" s="60"/>
      <c r="M47" s="75"/>
      <c r="N47" s="75"/>
    </row>
    <row r="48" spans="2:14" s="19" customFormat="1" x14ac:dyDescent="0.25">
      <c r="B48" s="41"/>
      <c r="C48" s="41"/>
      <c r="D48" s="41"/>
      <c r="E48" s="82"/>
      <c r="F48" s="82"/>
      <c r="G48" s="146"/>
      <c r="H48" s="84"/>
      <c r="I48" s="84"/>
      <c r="J48" s="60"/>
      <c r="K48" s="60"/>
      <c r="L48" s="60"/>
      <c r="M48" s="75"/>
      <c r="N48" s="75"/>
    </row>
    <row r="49" spans="2:14" s="19" customFormat="1" x14ac:dyDescent="0.25">
      <c r="B49" s="41"/>
      <c r="C49" s="41"/>
      <c r="D49" s="41"/>
      <c r="E49" s="82"/>
      <c r="F49" s="82"/>
      <c r="G49" s="146"/>
      <c r="H49" s="84"/>
      <c r="I49" s="84"/>
      <c r="J49" s="60"/>
      <c r="K49" s="60"/>
      <c r="L49" s="60"/>
      <c r="M49" s="75"/>
      <c r="N49" s="75"/>
    </row>
    <row r="50" spans="2:14" s="19" customFormat="1" x14ac:dyDescent="0.25">
      <c r="B50" s="41"/>
      <c r="C50" s="41"/>
      <c r="D50" s="41"/>
      <c r="E50" s="82"/>
      <c r="F50" s="82"/>
      <c r="G50" s="146"/>
      <c r="H50" s="84"/>
      <c r="I50" s="84"/>
      <c r="J50" s="60"/>
      <c r="K50" s="60"/>
      <c r="L50" s="60"/>
      <c r="M50" s="75"/>
      <c r="N50" s="75"/>
    </row>
    <row r="51" spans="2:14" s="19" customFormat="1" x14ac:dyDescent="0.25">
      <c r="B51" s="41"/>
      <c r="C51" s="41"/>
      <c r="D51" s="41"/>
      <c r="E51" s="82"/>
      <c r="F51" s="82"/>
      <c r="G51" s="146"/>
      <c r="H51" s="84"/>
      <c r="I51" s="84"/>
      <c r="J51" s="60"/>
      <c r="K51" s="60"/>
      <c r="L51" s="60"/>
      <c r="M51" s="75"/>
      <c r="N51" s="75"/>
    </row>
    <row r="52" spans="2:14" s="19" customFormat="1" x14ac:dyDescent="0.25">
      <c r="B52" s="41"/>
      <c r="C52" s="41"/>
      <c r="D52" s="41"/>
      <c r="E52" s="82"/>
      <c r="F52" s="82"/>
      <c r="G52" s="146"/>
      <c r="H52" s="84"/>
      <c r="I52" s="84"/>
      <c r="J52" s="60"/>
      <c r="K52" s="60"/>
      <c r="L52" s="60"/>
      <c r="M52" s="75"/>
      <c r="N52" s="75"/>
    </row>
    <row r="53" spans="2:14" s="19" customFormat="1" x14ac:dyDescent="0.25">
      <c r="B53" s="41"/>
      <c r="C53" s="41"/>
      <c r="D53" s="41"/>
      <c r="E53" s="82"/>
      <c r="F53" s="82"/>
      <c r="G53" s="146"/>
      <c r="H53" s="84"/>
      <c r="I53" s="84"/>
      <c r="J53" s="60"/>
      <c r="K53" s="60"/>
      <c r="L53" s="60"/>
      <c r="M53" s="75"/>
      <c r="N53" s="75"/>
    </row>
    <row r="54" spans="2:14" s="19" customFormat="1" x14ac:dyDescent="0.25">
      <c r="B54" s="41"/>
      <c r="C54" s="41"/>
      <c r="D54" s="41"/>
      <c r="E54" s="82"/>
      <c r="F54" s="82"/>
      <c r="G54" s="146"/>
      <c r="H54" s="84"/>
      <c r="I54" s="84"/>
      <c r="J54" s="60"/>
      <c r="K54" s="60"/>
      <c r="L54" s="60"/>
      <c r="M54" s="75"/>
      <c r="N54" s="75"/>
    </row>
    <row r="55" spans="2:14" s="19" customFormat="1" x14ac:dyDescent="0.25">
      <c r="B55" s="41"/>
      <c r="C55" s="41"/>
      <c r="D55" s="41"/>
      <c r="E55" s="82"/>
      <c r="F55" s="82"/>
      <c r="G55" s="146"/>
      <c r="H55" s="84"/>
      <c r="I55" s="84"/>
      <c r="J55" s="60"/>
      <c r="K55" s="60"/>
      <c r="L55" s="60"/>
      <c r="M55" s="75"/>
      <c r="N55" s="75"/>
    </row>
    <row r="56" spans="2:14" s="19" customFormat="1" x14ac:dyDescent="0.25">
      <c r="B56" s="41"/>
      <c r="C56" s="41"/>
      <c r="D56" s="41"/>
      <c r="E56" s="82"/>
      <c r="F56" s="82"/>
      <c r="G56" s="146"/>
      <c r="H56" s="84"/>
      <c r="I56" s="84"/>
      <c r="J56" s="60"/>
      <c r="K56" s="60"/>
      <c r="L56" s="60"/>
      <c r="M56" s="75"/>
      <c r="N56" s="75"/>
    </row>
    <row r="57" spans="2:14" s="19" customFormat="1" x14ac:dyDescent="0.25">
      <c r="B57" s="41"/>
      <c r="C57" s="41"/>
      <c r="D57" s="41"/>
      <c r="E57" s="82"/>
      <c r="F57" s="82"/>
      <c r="G57" s="146"/>
      <c r="H57" s="84"/>
      <c r="I57" s="84"/>
      <c r="J57" s="60"/>
      <c r="K57" s="60"/>
      <c r="L57" s="60"/>
      <c r="M57" s="75"/>
      <c r="N57" s="75"/>
    </row>
    <row r="58" spans="2:14" s="19" customFormat="1" x14ac:dyDescent="0.25">
      <c r="B58" s="41"/>
      <c r="C58" s="41"/>
      <c r="D58" s="41"/>
      <c r="E58" s="82"/>
      <c r="F58" s="82"/>
      <c r="G58" s="146"/>
      <c r="H58" s="84"/>
      <c r="I58" s="84"/>
      <c r="J58" s="60"/>
      <c r="K58" s="60"/>
      <c r="L58" s="60"/>
      <c r="M58" s="75"/>
      <c r="N58" s="75"/>
    </row>
    <row r="59" spans="2:14" s="19" customFormat="1" x14ac:dyDescent="0.25">
      <c r="B59" s="41"/>
      <c r="C59" s="41"/>
      <c r="D59" s="41"/>
      <c r="E59" s="82"/>
      <c r="F59" s="82"/>
      <c r="G59" s="146"/>
      <c r="H59" s="84"/>
      <c r="I59" s="84"/>
      <c r="J59" s="60"/>
      <c r="K59" s="60"/>
      <c r="L59" s="60"/>
      <c r="M59" s="75"/>
      <c r="N59" s="75"/>
    </row>
    <row r="60" spans="2:14" s="19" customFormat="1" x14ac:dyDescent="0.25">
      <c r="B60" s="41"/>
      <c r="C60" s="41"/>
      <c r="D60" s="41"/>
      <c r="E60" s="82"/>
      <c r="F60" s="82"/>
      <c r="G60" s="146"/>
      <c r="H60" s="84"/>
      <c r="I60" s="84"/>
      <c r="J60" s="60"/>
      <c r="K60" s="60"/>
      <c r="L60" s="60"/>
      <c r="M60" s="75"/>
      <c r="N60" s="75"/>
    </row>
    <row r="61" spans="2:14" s="19" customFormat="1" x14ac:dyDescent="0.25">
      <c r="B61" s="41"/>
      <c r="C61" s="41"/>
      <c r="D61" s="41"/>
      <c r="E61" s="82"/>
      <c r="F61" s="82"/>
      <c r="G61" s="146"/>
      <c r="H61" s="84"/>
      <c r="I61" s="84"/>
      <c r="J61" s="60"/>
      <c r="K61" s="60"/>
      <c r="L61" s="60"/>
      <c r="M61" s="75"/>
      <c r="N61" s="75"/>
    </row>
    <row r="62" spans="2:14" s="19" customFormat="1" x14ac:dyDescent="0.25">
      <c r="B62" s="41"/>
      <c r="C62" s="41"/>
      <c r="D62" s="41"/>
      <c r="E62" s="82"/>
      <c r="F62" s="82"/>
      <c r="G62" s="146"/>
      <c r="H62" s="84"/>
      <c r="I62" s="84"/>
      <c r="J62" s="60"/>
      <c r="K62" s="60"/>
      <c r="L62" s="60"/>
      <c r="M62" s="75"/>
      <c r="N62" s="75"/>
    </row>
    <row r="63" spans="2:14" s="19" customFormat="1" x14ac:dyDescent="0.25">
      <c r="B63" s="41"/>
      <c r="C63" s="41"/>
      <c r="D63" s="41"/>
      <c r="E63" s="82"/>
      <c r="F63" s="82"/>
      <c r="G63" s="146"/>
      <c r="H63" s="84"/>
      <c r="I63" s="84"/>
      <c r="J63" s="60"/>
      <c r="K63" s="60"/>
      <c r="L63" s="60"/>
      <c r="M63" s="75"/>
      <c r="N63" s="75"/>
    </row>
    <row r="64" spans="2:14" s="19" customFormat="1" x14ac:dyDescent="0.25">
      <c r="B64" s="41"/>
      <c r="C64" s="41"/>
      <c r="D64" s="41"/>
      <c r="E64" s="82"/>
      <c r="F64" s="82"/>
      <c r="G64" s="146"/>
      <c r="H64" s="84"/>
      <c r="I64" s="84"/>
      <c r="J64" s="60"/>
      <c r="K64" s="60"/>
      <c r="L64" s="60"/>
      <c r="M64" s="75"/>
      <c r="N64" s="75"/>
    </row>
    <row r="65" spans="2:14" s="19" customFormat="1" x14ac:dyDescent="0.25">
      <c r="B65" s="41"/>
      <c r="C65" s="41"/>
      <c r="D65" s="41"/>
      <c r="E65" s="82"/>
      <c r="F65" s="82"/>
      <c r="G65" s="146"/>
      <c r="H65" s="84"/>
      <c r="I65" s="84"/>
      <c r="J65" s="60"/>
      <c r="K65" s="60"/>
      <c r="L65" s="60"/>
      <c r="M65" s="75"/>
      <c r="N65" s="75"/>
    </row>
    <row r="66" spans="2:14" s="19" customFormat="1" x14ac:dyDescent="0.25">
      <c r="B66" s="41"/>
      <c r="C66" s="41"/>
      <c r="D66" s="41"/>
      <c r="E66" s="82"/>
      <c r="F66" s="82"/>
      <c r="G66" s="146"/>
      <c r="H66" s="84"/>
      <c r="I66" s="84"/>
      <c r="J66" s="60"/>
      <c r="K66" s="60"/>
      <c r="L66" s="60"/>
      <c r="M66" s="75"/>
      <c r="N66" s="75"/>
    </row>
    <row r="67" spans="2:14" s="19" customFormat="1" x14ac:dyDescent="0.25">
      <c r="B67" s="41"/>
      <c r="C67" s="41"/>
      <c r="D67" s="41"/>
      <c r="E67" s="82"/>
      <c r="F67" s="82"/>
      <c r="G67" s="146"/>
      <c r="H67" s="84"/>
      <c r="I67" s="84"/>
      <c r="J67" s="60"/>
      <c r="K67" s="60"/>
      <c r="L67" s="60"/>
      <c r="M67" s="75"/>
      <c r="N67" s="75"/>
    </row>
    <row r="68" spans="2:14" s="19" customFormat="1" x14ac:dyDescent="0.25">
      <c r="B68" s="41"/>
      <c r="C68" s="41"/>
      <c r="D68" s="41"/>
      <c r="E68" s="82"/>
      <c r="F68" s="82"/>
      <c r="G68" s="146"/>
      <c r="H68" s="84"/>
      <c r="I68" s="84"/>
      <c r="J68" s="60"/>
      <c r="K68" s="60"/>
      <c r="L68" s="60"/>
      <c r="M68" s="75"/>
      <c r="N68" s="75"/>
    </row>
    <row r="69" spans="2:14" s="19" customFormat="1" x14ac:dyDescent="0.25">
      <c r="B69" s="41"/>
      <c r="C69" s="41"/>
      <c r="D69" s="41"/>
      <c r="E69" s="82"/>
      <c r="F69" s="82"/>
      <c r="G69" s="146"/>
      <c r="H69" s="84"/>
      <c r="I69" s="84"/>
      <c r="J69" s="60"/>
      <c r="K69" s="60"/>
      <c r="L69" s="60"/>
      <c r="M69" s="75"/>
      <c r="N69" s="75"/>
    </row>
    <row r="70" spans="2:14" s="19" customFormat="1" x14ac:dyDescent="0.25">
      <c r="B70" s="41"/>
      <c r="C70" s="41"/>
      <c r="D70" s="41"/>
      <c r="E70" s="82"/>
      <c r="F70" s="82"/>
      <c r="G70" s="146"/>
      <c r="H70" s="84"/>
      <c r="I70" s="84"/>
      <c r="J70" s="60"/>
      <c r="K70" s="60"/>
      <c r="L70" s="60"/>
      <c r="M70" s="75"/>
      <c r="N70" s="75"/>
    </row>
    <row r="71" spans="2:14" s="19" customFormat="1" x14ac:dyDescent="0.25">
      <c r="B71" s="41"/>
      <c r="C71" s="41"/>
      <c r="D71" s="41"/>
      <c r="E71" s="82"/>
      <c r="F71" s="82"/>
      <c r="G71" s="146"/>
      <c r="H71" s="84"/>
      <c r="I71" s="84"/>
      <c r="J71" s="60"/>
      <c r="K71" s="60"/>
      <c r="L71" s="60"/>
      <c r="M71" s="75"/>
      <c r="N71" s="75"/>
    </row>
    <row r="72" spans="2:14" s="19" customFormat="1" x14ac:dyDescent="0.25">
      <c r="B72" s="41"/>
      <c r="C72" s="41"/>
      <c r="D72" s="41"/>
      <c r="E72" s="82"/>
      <c r="F72" s="82"/>
      <c r="G72" s="146"/>
      <c r="H72" s="84"/>
      <c r="I72" s="84"/>
      <c r="J72" s="60"/>
      <c r="K72" s="60"/>
      <c r="L72" s="60"/>
      <c r="M72" s="75"/>
      <c r="N72" s="75"/>
    </row>
    <row r="73" spans="2:14" s="19" customFormat="1" x14ac:dyDescent="0.25">
      <c r="B73" s="41"/>
      <c r="C73" s="41"/>
      <c r="D73" s="41"/>
      <c r="E73" s="82"/>
      <c r="F73" s="82"/>
      <c r="G73" s="146"/>
      <c r="H73" s="84"/>
      <c r="I73" s="84"/>
      <c r="J73" s="60"/>
      <c r="K73" s="60"/>
      <c r="L73" s="60"/>
      <c r="M73" s="75"/>
      <c r="N73" s="75"/>
    </row>
    <row r="74" spans="2:14" s="19" customFormat="1" x14ac:dyDescent="0.25">
      <c r="B74" s="41"/>
      <c r="C74" s="41"/>
      <c r="D74" s="41"/>
      <c r="E74" s="82"/>
      <c r="F74" s="82"/>
      <c r="G74" s="146"/>
      <c r="H74" s="84"/>
      <c r="I74" s="84"/>
      <c r="J74" s="60"/>
      <c r="K74" s="60"/>
      <c r="L74" s="60"/>
      <c r="M74" s="75"/>
      <c r="N74" s="75"/>
    </row>
    <row r="75" spans="2:14" s="19" customFormat="1" x14ac:dyDescent="0.25">
      <c r="B75" s="41"/>
      <c r="C75" s="41"/>
      <c r="D75" s="41"/>
      <c r="E75" s="82"/>
      <c r="F75" s="82"/>
      <c r="G75" s="146"/>
      <c r="H75" s="84"/>
      <c r="I75" s="84"/>
      <c r="J75" s="60"/>
      <c r="K75" s="60"/>
      <c r="L75" s="60"/>
      <c r="M75" s="75"/>
      <c r="N75" s="75"/>
    </row>
    <row r="76" spans="2:14" s="19" customFormat="1" x14ac:dyDescent="0.25">
      <c r="B76" s="41"/>
      <c r="C76" s="41"/>
      <c r="D76" s="41"/>
      <c r="E76" s="82"/>
      <c r="F76" s="82"/>
      <c r="G76" s="146"/>
      <c r="H76" s="84"/>
      <c r="I76" s="84"/>
      <c r="J76" s="60"/>
      <c r="K76" s="60"/>
      <c r="L76" s="60"/>
      <c r="M76" s="75"/>
      <c r="N76" s="75"/>
    </row>
    <row r="77" spans="2:14" s="19" customFormat="1" x14ac:dyDescent="0.25">
      <c r="B77" s="41"/>
      <c r="C77" s="41"/>
      <c r="D77" s="41"/>
      <c r="E77" s="82"/>
      <c r="F77" s="82"/>
      <c r="G77" s="146"/>
      <c r="H77" s="84"/>
      <c r="I77" s="84"/>
      <c r="J77" s="60"/>
      <c r="K77" s="60"/>
      <c r="L77" s="60"/>
      <c r="M77" s="75"/>
      <c r="N77" s="75"/>
    </row>
    <row r="78" spans="2:14" s="19" customFormat="1" x14ac:dyDescent="0.25">
      <c r="B78" s="41"/>
      <c r="C78" s="41"/>
      <c r="D78" s="41"/>
      <c r="E78" s="82"/>
      <c r="F78" s="82"/>
      <c r="G78" s="146"/>
      <c r="H78" s="84"/>
      <c r="I78" s="84"/>
      <c r="J78" s="60"/>
      <c r="K78" s="60"/>
      <c r="L78" s="60"/>
      <c r="M78" s="75"/>
      <c r="N78" s="75"/>
    </row>
    <row r="79" spans="2:14" s="19" customFormat="1" x14ac:dyDescent="0.25">
      <c r="B79" s="41"/>
      <c r="C79" s="41"/>
      <c r="D79" s="41"/>
      <c r="E79" s="82"/>
      <c r="F79" s="82"/>
      <c r="G79" s="146"/>
      <c r="H79" s="84"/>
      <c r="I79" s="84"/>
      <c r="J79" s="60"/>
      <c r="K79" s="60"/>
      <c r="L79" s="60"/>
      <c r="M79" s="75"/>
      <c r="N79" s="75"/>
    </row>
    <row r="80" spans="2:14" s="19" customFormat="1" x14ac:dyDescent="0.25">
      <c r="B80" s="41"/>
      <c r="C80" s="41"/>
      <c r="D80" s="41"/>
      <c r="E80" s="82"/>
      <c r="F80" s="82"/>
      <c r="G80" s="146"/>
      <c r="H80" s="84"/>
      <c r="I80" s="84"/>
      <c r="J80" s="60"/>
      <c r="K80" s="60"/>
      <c r="L80" s="60"/>
      <c r="M80" s="75"/>
      <c r="N80" s="75"/>
    </row>
    <row r="81" spans="2:14" s="19" customFormat="1" x14ac:dyDescent="0.25">
      <c r="B81" s="41"/>
      <c r="C81" s="41"/>
      <c r="D81" s="41"/>
      <c r="E81" s="82"/>
      <c r="F81" s="82"/>
      <c r="G81" s="146"/>
      <c r="H81" s="84"/>
      <c r="I81" s="84"/>
      <c r="J81" s="60"/>
      <c r="K81" s="60"/>
      <c r="L81" s="60"/>
      <c r="M81" s="75"/>
      <c r="N81" s="75"/>
    </row>
    <row r="82" spans="2:14" s="19" customFormat="1" x14ac:dyDescent="0.25">
      <c r="B82" s="41"/>
      <c r="C82" s="41"/>
      <c r="D82" s="41"/>
      <c r="E82" s="82"/>
      <c r="F82" s="82"/>
      <c r="G82" s="146"/>
      <c r="H82" s="84"/>
      <c r="I82" s="84"/>
      <c r="J82" s="60"/>
      <c r="K82" s="60"/>
      <c r="L82" s="60"/>
      <c r="M82" s="75"/>
      <c r="N82" s="75"/>
    </row>
    <row r="83" spans="2:14" s="19" customFormat="1" x14ac:dyDescent="0.25">
      <c r="B83" s="41"/>
      <c r="C83" s="41"/>
      <c r="D83" s="41"/>
      <c r="E83" s="82"/>
      <c r="F83" s="82"/>
      <c r="G83" s="146"/>
      <c r="H83" s="84"/>
      <c r="I83" s="84"/>
      <c r="J83" s="60"/>
      <c r="K83" s="60"/>
      <c r="L83" s="60"/>
      <c r="M83" s="75"/>
      <c r="N83" s="75"/>
    </row>
    <row r="84" spans="2:14" s="19" customFormat="1" x14ac:dyDescent="0.25">
      <c r="B84" s="41"/>
      <c r="C84" s="41"/>
      <c r="D84" s="41"/>
      <c r="E84" s="82"/>
      <c r="F84" s="82"/>
      <c r="G84" s="146"/>
      <c r="H84" s="84"/>
      <c r="I84" s="84"/>
      <c r="J84" s="60"/>
      <c r="K84" s="60"/>
      <c r="L84" s="60"/>
      <c r="M84" s="75"/>
      <c r="N84" s="75"/>
    </row>
    <row r="85" spans="2:14" s="19" customFormat="1" x14ac:dyDescent="0.25">
      <c r="B85" s="41"/>
      <c r="C85" s="41"/>
      <c r="D85" s="41"/>
      <c r="E85" s="82"/>
      <c r="F85" s="82"/>
      <c r="G85" s="146"/>
      <c r="H85" s="84"/>
      <c r="I85" s="84"/>
      <c r="J85" s="60"/>
      <c r="K85" s="60"/>
      <c r="L85" s="60"/>
      <c r="M85" s="75"/>
      <c r="N85" s="75"/>
    </row>
    <row r="86" spans="2:14" s="19" customFormat="1" x14ac:dyDescent="0.25">
      <c r="B86" s="41"/>
      <c r="C86" s="41"/>
      <c r="D86" s="41"/>
      <c r="E86" s="82"/>
      <c r="F86" s="82"/>
      <c r="G86" s="146"/>
      <c r="H86" s="84"/>
      <c r="I86" s="84"/>
      <c r="J86" s="60"/>
      <c r="K86" s="60"/>
      <c r="L86" s="60"/>
      <c r="M86" s="75"/>
      <c r="N86" s="75"/>
    </row>
    <row r="87" spans="2:14" s="19" customFormat="1" x14ac:dyDescent="0.25">
      <c r="B87" s="41"/>
      <c r="C87" s="41"/>
      <c r="D87" s="41"/>
      <c r="E87" s="82"/>
      <c r="F87" s="82"/>
      <c r="G87" s="146"/>
      <c r="H87" s="84"/>
      <c r="I87" s="84"/>
      <c r="J87" s="60"/>
      <c r="K87" s="60"/>
      <c r="L87" s="60"/>
      <c r="M87" s="75"/>
      <c r="N87" s="75"/>
    </row>
    <row r="88" spans="2:14" s="19" customFormat="1" x14ac:dyDescent="0.25">
      <c r="B88" s="41"/>
      <c r="C88" s="41"/>
      <c r="D88" s="41"/>
      <c r="E88" s="82"/>
      <c r="F88" s="82"/>
      <c r="G88" s="146"/>
      <c r="H88" s="84"/>
      <c r="I88" s="84"/>
      <c r="J88" s="60"/>
      <c r="K88" s="60"/>
      <c r="L88" s="60"/>
      <c r="M88" s="75"/>
      <c r="N88" s="75"/>
    </row>
    <row r="89" spans="2:14" s="19" customFormat="1" x14ac:dyDescent="0.25">
      <c r="B89" s="41"/>
      <c r="C89" s="41"/>
      <c r="D89" s="41"/>
      <c r="E89" s="82"/>
      <c r="F89" s="82"/>
      <c r="G89" s="146"/>
      <c r="H89" s="84"/>
      <c r="I89" s="84"/>
      <c r="J89" s="60"/>
      <c r="K89" s="60"/>
      <c r="L89" s="60"/>
      <c r="M89" s="75"/>
      <c r="N89" s="75"/>
    </row>
    <row r="90" spans="2:14" s="19" customFormat="1" x14ac:dyDescent="0.25">
      <c r="B90" s="41"/>
      <c r="C90" s="41"/>
      <c r="D90" s="41"/>
      <c r="E90" s="82"/>
      <c r="F90" s="82"/>
      <c r="G90" s="146"/>
      <c r="H90" s="84"/>
      <c r="I90" s="84"/>
      <c r="J90" s="60"/>
      <c r="K90" s="60"/>
      <c r="L90" s="60"/>
      <c r="M90" s="75"/>
      <c r="N90" s="75"/>
    </row>
    <row r="91" spans="2:14" s="19" customFormat="1" x14ac:dyDescent="0.25">
      <c r="B91" s="41"/>
      <c r="C91" s="41"/>
      <c r="D91" s="41"/>
      <c r="E91" s="82"/>
      <c r="F91" s="82"/>
      <c r="G91" s="146"/>
      <c r="H91" s="84"/>
      <c r="I91" s="84"/>
      <c r="J91" s="60"/>
      <c r="K91" s="60"/>
      <c r="L91" s="60"/>
      <c r="M91" s="75"/>
      <c r="N91" s="75"/>
    </row>
    <row r="92" spans="2:14" s="19" customFormat="1" x14ac:dyDescent="0.25">
      <c r="B92" s="41"/>
      <c r="C92" s="41"/>
      <c r="D92" s="41"/>
      <c r="E92" s="82"/>
      <c r="F92" s="82"/>
      <c r="G92" s="146"/>
      <c r="H92" s="84"/>
      <c r="I92" s="84"/>
      <c r="J92" s="60"/>
      <c r="K92" s="60"/>
      <c r="L92" s="60"/>
      <c r="M92" s="75"/>
      <c r="N92" s="75"/>
    </row>
    <row r="93" spans="2:14" s="19" customFormat="1" x14ac:dyDescent="0.25">
      <c r="B93" s="41"/>
      <c r="C93" s="41"/>
      <c r="D93" s="41"/>
      <c r="E93" s="82"/>
      <c r="F93" s="82"/>
      <c r="G93" s="146"/>
      <c r="H93" s="84"/>
      <c r="I93" s="84"/>
      <c r="J93" s="60"/>
      <c r="K93" s="60"/>
      <c r="L93" s="60"/>
      <c r="M93" s="75"/>
      <c r="N93" s="75"/>
    </row>
    <row r="94" spans="2:14" s="19" customFormat="1" x14ac:dyDescent="0.25">
      <c r="B94" s="41"/>
      <c r="C94" s="41"/>
      <c r="D94" s="41"/>
      <c r="E94" s="82"/>
      <c r="F94" s="82"/>
      <c r="G94" s="146"/>
      <c r="H94" s="84"/>
      <c r="I94" s="84"/>
      <c r="J94" s="60"/>
      <c r="K94" s="60"/>
      <c r="L94" s="60"/>
      <c r="M94" s="75"/>
      <c r="N94" s="75"/>
    </row>
    <row r="95" spans="2:14" s="19" customFormat="1" x14ac:dyDescent="0.25">
      <c r="B95" s="41"/>
      <c r="C95" s="41"/>
      <c r="D95" s="41"/>
      <c r="E95" s="82"/>
      <c r="F95" s="82"/>
      <c r="G95" s="146"/>
      <c r="H95" s="84"/>
      <c r="I95" s="84"/>
      <c r="J95" s="60"/>
      <c r="K95" s="60"/>
      <c r="L95" s="60"/>
      <c r="M95" s="75"/>
      <c r="N95" s="75"/>
    </row>
    <row r="96" spans="2:14" s="19" customFormat="1" x14ac:dyDescent="0.25">
      <c r="B96" s="41"/>
      <c r="C96" s="41"/>
      <c r="D96" s="41"/>
      <c r="E96" s="82"/>
      <c r="F96" s="82"/>
      <c r="G96" s="146"/>
      <c r="H96" s="84"/>
      <c r="I96" s="84"/>
      <c r="J96" s="60"/>
      <c r="K96" s="60"/>
      <c r="L96" s="60"/>
      <c r="M96" s="75"/>
      <c r="N96" s="75"/>
    </row>
    <row r="97" spans="2:14" s="19" customFormat="1" x14ac:dyDescent="0.25">
      <c r="B97" s="41"/>
      <c r="C97" s="41"/>
      <c r="D97" s="41"/>
      <c r="E97" s="82"/>
      <c r="F97" s="82"/>
      <c r="G97" s="146"/>
      <c r="H97" s="84"/>
      <c r="I97" s="84"/>
      <c r="J97" s="60"/>
      <c r="K97" s="60"/>
      <c r="L97" s="60"/>
      <c r="M97" s="75"/>
      <c r="N97" s="75"/>
    </row>
    <row r="98" spans="2:14" s="19" customFormat="1" x14ac:dyDescent="0.25">
      <c r="B98" s="41"/>
      <c r="C98" s="41"/>
      <c r="D98" s="41"/>
      <c r="E98" s="82"/>
      <c r="F98" s="82"/>
      <c r="G98" s="146"/>
      <c r="H98" s="84"/>
      <c r="I98" s="84"/>
      <c r="J98" s="60"/>
      <c r="K98" s="60"/>
      <c r="L98" s="60"/>
      <c r="M98" s="75"/>
      <c r="N98" s="75"/>
    </row>
    <row r="99" spans="2:14" s="19" customFormat="1" x14ac:dyDescent="0.25">
      <c r="B99" s="41"/>
      <c r="C99" s="41"/>
      <c r="D99" s="41"/>
      <c r="E99" s="82"/>
      <c r="F99" s="82"/>
      <c r="G99" s="146"/>
      <c r="H99" s="84"/>
      <c r="I99" s="84"/>
      <c r="J99" s="60"/>
      <c r="K99" s="60"/>
      <c r="L99" s="60"/>
      <c r="M99" s="75"/>
      <c r="N99" s="75"/>
    </row>
    <row r="100" spans="2:14" s="19" customFormat="1" x14ac:dyDescent="0.25">
      <c r="B100" s="41"/>
      <c r="C100" s="41"/>
      <c r="D100" s="41"/>
      <c r="E100" s="82"/>
      <c r="F100" s="82"/>
      <c r="G100" s="146"/>
      <c r="H100" s="84"/>
      <c r="I100" s="84"/>
      <c r="J100" s="60"/>
      <c r="K100" s="60"/>
      <c r="L100" s="60"/>
      <c r="M100" s="75"/>
      <c r="N100" s="75"/>
    </row>
    <row r="101" spans="2:14" s="19" customFormat="1" x14ac:dyDescent="0.25">
      <c r="B101" s="41"/>
      <c r="C101" s="41"/>
      <c r="D101" s="41"/>
      <c r="E101" s="82"/>
      <c r="F101" s="82"/>
      <c r="G101" s="146"/>
      <c r="H101" s="84"/>
      <c r="I101" s="84"/>
      <c r="J101" s="60"/>
      <c r="K101" s="60"/>
      <c r="L101" s="60"/>
      <c r="M101" s="75"/>
      <c r="N101" s="75"/>
    </row>
    <row r="102" spans="2:14" s="19" customFormat="1" x14ac:dyDescent="0.25">
      <c r="B102" s="41"/>
      <c r="C102" s="41"/>
      <c r="D102" s="41"/>
      <c r="E102" s="82"/>
      <c r="F102" s="82"/>
      <c r="G102" s="146"/>
      <c r="H102" s="84"/>
      <c r="I102" s="84"/>
      <c r="J102" s="60"/>
      <c r="K102" s="60"/>
      <c r="L102" s="60"/>
      <c r="M102" s="75"/>
      <c r="N102" s="75"/>
    </row>
    <row r="103" spans="2:14" s="19" customFormat="1" x14ac:dyDescent="0.25">
      <c r="B103" s="41"/>
      <c r="C103" s="41"/>
      <c r="D103" s="41"/>
      <c r="E103" s="82"/>
      <c r="F103" s="82"/>
      <c r="G103" s="146"/>
      <c r="H103" s="84"/>
      <c r="I103" s="84"/>
      <c r="J103" s="60"/>
      <c r="K103" s="60"/>
      <c r="L103" s="60"/>
      <c r="M103" s="75"/>
      <c r="N103" s="75"/>
    </row>
    <row r="104" spans="2:14" s="19" customFormat="1" x14ac:dyDescent="0.25">
      <c r="B104" s="41"/>
      <c r="C104" s="41"/>
      <c r="D104" s="41"/>
      <c r="E104" s="82"/>
      <c r="F104" s="82"/>
      <c r="G104" s="146"/>
      <c r="H104" s="84"/>
      <c r="I104" s="84"/>
      <c r="J104" s="60"/>
      <c r="K104" s="60"/>
      <c r="L104" s="60"/>
      <c r="M104" s="75"/>
      <c r="N104" s="75"/>
    </row>
    <row r="105" spans="2:14" s="19" customFormat="1" x14ac:dyDescent="0.25">
      <c r="B105" s="41"/>
      <c r="C105" s="41"/>
      <c r="D105" s="41"/>
      <c r="E105" s="82"/>
      <c r="F105" s="82"/>
      <c r="G105" s="146"/>
      <c r="H105" s="84"/>
      <c r="I105" s="84"/>
      <c r="J105" s="60"/>
      <c r="K105" s="60"/>
      <c r="L105" s="60"/>
      <c r="M105" s="75"/>
      <c r="N105" s="75"/>
    </row>
    <row r="106" spans="2:14" s="19" customFormat="1" x14ac:dyDescent="0.25">
      <c r="B106" s="41"/>
      <c r="C106" s="41"/>
      <c r="D106" s="41"/>
      <c r="E106" s="82"/>
      <c r="F106" s="82"/>
      <c r="G106" s="146"/>
      <c r="H106" s="84"/>
      <c r="I106" s="84"/>
      <c r="J106" s="60"/>
      <c r="K106" s="60"/>
      <c r="L106" s="60"/>
      <c r="M106" s="75"/>
      <c r="N106" s="75"/>
    </row>
    <row r="107" spans="2:14" s="19" customFormat="1" x14ac:dyDescent="0.25">
      <c r="B107" s="41"/>
      <c r="C107" s="41"/>
      <c r="D107" s="41"/>
      <c r="E107" s="82"/>
      <c r="F107" s="82"/>
      <c r="G107" s="146"/>
      <c r="H107" s="84"/>
      <c r="I107" s="84"/>
      <c r="J107" s="60"/>
      <c r="K107" s="60"/>
      <c r="L107" s="60"/>
      <c r="M107" s="75"/>
      <c r="N107" s="75"/>
    </row>
    <row r="108" spans="2:14" s="19" customFormat="1" x14ac:dyDescent="0.25">
      <c r="B108" s="41"/>
      <c r="C108" s="41"/>
      <c r="D108" s="41"/>
      <c r="E108" s="82"/>
      <c r="F108" s="82"/>
      <c r="G108" s="146"/>
      <c r="H108" s="84"/>
      <c r="I108" s="84"/>
      <c r="J108" s="60"/>
      <c r="K108" s="60"/>
      <c r="L108" s="60"/>
      <c r="M108" s="75"/>
      <c r="N108" s="75"/>
    </row>
    <row r="109" spans="2:14" s="19" customFormat="1" x14ac:dyDescent="0.25">
      <c r="B109" s="41"/>
      <c r="C109" s="41"/>
      <c r="D109" s="41"/>
      <c r="E109" s="82"/>
      <c r="F109" s="82"/>
      <c r="G109" s="146"/>
      <c r="H109" s="84"/>
      <c r="I109" s="84"/>
      <c r="J109" s="60"/>
      <c r="K109" s="60"/>
      <c r="L109" s="60"/>
      <c r="M109" s="75"/>
      <c r="N109" s="75"/>
    </row>
    <row r="110" spans="2:14" s="19" customFormat="1" x14ac:dyDescent="0.25">
      <c r="B110" s="41"/>
      <c r="C110" s="41"/>
      <c r="D110" s="41"/>
      <c r="E110" s="82"/>
      <c r="F110" s="82"/>
      <c r="G110" s="146"/>
      <c r="H110" s="84"/>
      <c r="I110" s="84"/>
      <c r="J110" s="60"/>
      <c r="K110" s="60"/>
      <c r="L110" s="60"/>
      <c r="M110" s="75"/>
      <c r="N110" s="75"/>
    </row>
    <row r="111" spans="2:14" s="19" customFormat="1" x14ac:dyDescent="0.25">
      <c r="B111" s="41"/>
      <c r="C111" s="41"/>
      <c r="D111" s="41"/>
      <c r="E111" s="82"/>
      <c r="F111" s="82"/>
      <c r="G111" s="146"/>
      <c r="H111" s="84"/>
      <c r="I111" s="84"/>
      <c r="J111" s="60"/>
      <c r="K111" s="60"/>
      <c r="L111" s="60"/>
      <c r="M111" s="75"/>
      <c r="N111" s="75"/>
    </row>
    <row r="112" spans="2:14" s="19" customFormat="1" x14ac:dyDescent="0.25">
      <c r="B112" s="41"/>
      <c r="C112" s="41"/>
      <c r="D112" s="41"/>
      <c r="E112" s="82"/>
      <c r="F112" s="82"/>
      <c r="G112" s="146"/>
      <c r="H112" s="84"/>
      <c r="I112" s="84"/>
      <c r="J112" s="60"/>
      <c r="K112" s="60"/>
      <c r="L112" s="60"/>
      <c r="M112" s="75"/>
      <c r="N112" s="75"/>
    </row>
    <row r="113" spans="2:14" s="19" customFormat="1" x14ac:dyDescent="0.25">
      <c r="B113" s="41"/>
      <c r="C113" s="41"/>
      <c r="D113" s="41"/>
      <c r="E113" s="82"/>
      <c r="F113" s="82"/>
      <c r="G113" s="146"/>
      <c r="H113" s="84"/>
      <c r="I113" s="84"/>
      <c r="J113" s="60"/>
      <c r="K113" s="60"/>
      <c r="L113" s="60"/>
      <c r="M113" s="75"/>
      <c r="N113" s="75"/>
    </row>
    <row r="114" spans="2:14" s="19" customFormat="1" x14ac:dyDescent="0.25">
      <c r="B114" s="41"/>
      <c r="C114" s="41"/>
      <c r="D114" s="41"/>
      <c r="E114" s="82"/>
      <c r="F114" s="82"/>
      <c r="G114" s="146"/>
      <c r="H114" s="84"/>
      <c r="I114" s="84"/>
      <c r="J114" s="60"/>
      <c r="K114" s="60"/>
      <c r="L114" s="60"/>
      <c r="M114" s="75"/>
      <c r="N114" s="75"/>
    </row>
    <row r="115" spans="2:14" s="19" customFormat="1" x14ac:dyDescent="0.25">
      <c r="B115" s="41"/>
      <c r="C115" s="41"/>
      <c r="D115" s="41"/>
      <c r="E115" s="82"/>
      <c r="F115" s="82"/>
      <c r="G115" s="146"/>
      <c r="H115" s="84"/>
      <c r="I115" s="84"/>
      <c r="J115" s="60"/>
      <c r="K115" s="60"/>
      <c r="L115" s="60"/>
      <c r="M115" s="75"/>
      <c r="N115" s="75"/>
    </row>
    <row r="116" spans="2:14" s="19" customFormat="1" x14ac:dyDescent="0.25">
      <c r="B116" s="41"/>
      <c r="C116" s="41"/>
      <c r="D116" s="41"/>
      <c r="E116" s="82"/>
      <c r="F116" s="82"/>
      <c r="G116" s="146"/>
      <c r="H116" s="84"/>
      <c r="I116" s="84"/>
      <c r="J116" s="60"/>
      <c r="K116" s="60"/>
      <c r="L116" s="60"/>
      <c r="M116" s="75"/>
      <c r="N116" s="75"/>
    </row>
    <row r="117" spans="2:14" s="19" customFormat="1" x14ac:dyDescent="0.25">
      <c r="B117" s="41"/>
      <c r="C117" s="41"/>
      <c r="D117" s="41"/>
      <c r="E117" s="82"/>
      <c r="F117" s="82"/>
      <c r="G117" s="146"/>
      <c r="H117" s="84"/>
      <c r="I117" s="84"/>
      <c r="J117" s="60"/>
      <c r="K117" s="60"/>
      <c r="L117" s="60"/>
      <c r="M117" s="75"/>
      <c r="N117" s="75"/>
    </row>
    <row r="118" spans="2:14" s="19" customFormat="1" x14ac:dyDescent="0.25">
      <c r="B118" s="41"/>
      <c r="C118" s="41"/>
      <c r="D118" s="41"/>
      <c r="E118" s="82"/>
      <c r="F118" s="82"/>
      <c r="G118" s="146"/>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54" zoomScaleNormal="100" workbookViewId="0">
      <selection activeCell="B377" sqref="B377"/>
    </sheetView>
  </sheetViews>
  <sheetFormatPr defaultColWidth="10.28515625" defaultRowHeight="12.75" customHeight="1" x14ac:dyDescent="0.25"/>
  <cols>
    <col min="1" max="1" width="16.5703125" style="152" customWidth="1"/>
    <col min="2" max="2" width="17.85546875" style="151"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8" t="s">
        <v>13</v>
      </c>
      <c r="B1" s="149" t="s">
        <v>32</v>
      </c>
      <c r="D1" s="8"/>
      <c r="E1" s="10" t="s">
        <v>45</v>
      </c>
      <c r="G1" s="15"/>
      <c r="I1" s="12"/>
      <c r="J1" s="18"/>
      <c r="L1" s="15"/>
    </row>
    <row r="2" spans="1:12" ht="12.75" customHeight="1" x14ac:dyDescent="0.25">
      <c r="A2" s="150">
        <v>34335</v>
      </c>
      <c r="B2" s="151">
        <v>141.31</v>
      </c>
      <c r="D2" s="20" t="s">
        <v>12</v>
      </c>
      <c r="E2" s="11">
        <v>2</v>
      </c>
      <c r="G2" s="14" t="s">
        <v>19</v>
      </c>
      <c r="I2" s="12" t="s">
        <v>46</v>
      </c>
      <c r="J2" s="16" t="s">
        <v>47</v>
      </c>
      <c r="L2" s="14" t="s">
        <v>399</v>
      </c>
    </row>
    <row r="3" spans="1:12" ht="12.75" customHeight="1" x14ac:dyDescent="0.25">
      <c r="A3" s="150">
        <v>34366</v>
      </c>
      <c r="B3" s="151">
        <v>198.22</v>
      </c>
      <c r="D3" s="20" t="s">
        <v>349</v>
      </c>
      <c r="E3" s="11">
        <v>1</v>
      </c>
      <c r="G3" s="14" t="s">
        <v>20</v>
      </c>
      <c r="I3" s="13" t="s">
        <v>48</v>
      </c>
      <c r="J3" s="17" t="s">
        <v>49</v>
      </c>
      <c r="L3" s="14" t="s">
        <v>400</v>
      </c>
    </row>
    <row r="4" spans="1:12" ht="12.75" customHeight="1" x14ac:dyDescent="0.25">
      <c r="A4" s="150">
        <v>34394</v>
      </c>
      <c r="B4" s="151">
        <v>282.95999999999998</v>
      </c>
      <c r="D4" s="20" t="s">
        <v>302</v>
      </c>
      <c r="E4" s="11">
        <v>1</v>
      </c>
      <c r="G4" s="14" t="s">
        <v>21</v>
      </c>
      <c r="I4" s="13" t="s">
        <v>50</v>
      </c>
      <c r="J4" s="17" t="s">
        <v>51</v>
      </c>
      <c r="L4" s="14" t="s">
        <v>401</v>
      </c>
    </row>
    <row r="5" spans="1:12" ht="12.75" customHeight="1" x14ac:dyDescent="0.25">
      <c r="A5" s="150">
        <v>34425</v>
      </c>
      <c r="B5" s="151">
        <v>403.73</v>
      </c>
      <c r="D5" s="20" t="s">
        <v>377</v>
      </c>
      <c r="E5" s="11">
        <v>1</v>
      </c>
      <c r="G5" s="14" t="s">
        <v>22</v>
      </c>
      <c r="I5" s="13" t="s">
        <v>52</v>
      </c>
      <c r="J5" s="17" t="s">
        <v>53</v>
      </c>
      <c r="L5" s="14" t="s">
        <v>402</v>
      </c>
    </row>
    <row r="6" spans="1:12" ht="12.75" customHeight="1" x14ac:dyDescent="0.25">
      <c r="A6" s="150">
        <v>34455</v>
      </c>
      <c r="B6" s="151">
        <v>581.49</v>
      </c>
      <c r="D6" s="20" t="s">
        <v>378</v>
      </c>
      <c r="E6" s="11">
        <v>1</v>
      </c>
      <c r="G6" s="14" t="s">
        <v>24</v>
      </c>
      <c r="I6" s="13" t="s">
        <v>54</v>
      </c>
      <c r="J6" s="17" t="s">
        <v>55</v>
      </c>
      <c r="L6" s="14" t="s">
        <v>403</v>
      </c>
    </row>
    <row r="7" spans="1:12" ht="12.75" customHeight="1" x14ac:dyDescent="0.25">
      <c r="A7" s="150">
        <v>34486</v>
      </c>
      <c r="B7" s="151">
        <v>857.29</v>
      </c>
      <c r="D7" s="9" t="s">
        <v>348</v>
      </c>
      <c r="E7" s="11">
        <v>1</v>
      </c>
      <c r="G7" s="14" t="s">
        <v>23</v>
      </c>
      <c r="I7" s="13" t="s">
        <v>56</v>
      </c>
      <c r="J7" s="17" t="s">
        <v>57</v>
      </c>
      <c r="L7" s="14" t="s">
        <v>404</v>
      </c>
    </row>
    <row r="8" spans="1:12" ht="12.75" customHeight="1" x14ac:dyDescent="0.25">
      <c r="A8" s="150">
        <v>34516</v>
      </c>
      <c r="B8" s="151">
        <v>915.93</v>
      </c>
      <c r="D8" s="9"/>
      <c r="E8" s="11"/>
      <c r="G8" s="91" t="s">
        <v>382</v>
      </c>
      <c r="I8" s="13" t="s">
        <v>58</v>
      </c>
      <c r="J8" s="17" t="s">
        <v>59</v>
      </c>
      <c r="L8" s="14" t="s">
        <v>405</v>
      </c>
    </row>
    <row r="9" spans="1:12" ht="12.75" customHeight="1" x14ac:dyDescent="0.25">
      <c r="A9" s="150">
        <v>34547</v>
      </c>
      <c r="B9" s="151">
        <v>932.97</v>
      </c>
      <c r="D9" s="20"/>
      <c r="E9" s="11"/>
      <c r="G9" s="14"/>
      <c r="I9" s="13" t="s">
        <v>60</v>
      </c>
      <c r="J9" s="17" t="s">
        <v>61</v>
      </c>
      <c r="L9" s="14" t="s">
        <v>406</v>
      </c>
    </row>
    <row r="10" spans="1:12" ht="12.75" customHeight="1" x14ac:dyDescent="0.25">
      <c r="A10" s="150">
        <v>34578</v>
      </c>
      <c r="B10" s="151">
        <v>947.24</v>
      </c>
      <c r="D10" s="20"/>
      <c r="E10" s="11"/>
      <c r="G10" s="14"/>
      <c r="I10" s="13" t="s">
        <v>62</v>
      </c>
      <c r="J10" s="17" t="s">
        <v>63</v>
      </c>
      <c r="L10" s="14" t="s">
        <v>407</v>
      </c>
    </row>
    <row r="11" spans="1:12" ht="12.75" customHeight="1" x14ac:dyDescent="0.25">
      <c r="A11" s="150">
        <v>34608</v>
      </c>
      <c r="B11" s="151">
        <v>972.06</v>
      </c>
      <c r="D11" s="20"/>
      <c r="E11" s="11"/>
      <c r="G11" s="14"/>
      <c r="I11" s="13" t="s">
        <v>64</v>
      </c>
      <c r="J11" s="17" t="s">
        <v>65</v>
      </c>
      <c r="L11" s="14" t="s">
        <v>408</v>
      </c>
    </row>
    <row r="12" spans="1:12" ht="12.75" customHeight="1" x14ac:dyDescent="0.25">
      <c r="A12" s="150">
        <v>34639</v>
      </c>
      <c r="B12" s="151">
        <v>999.37</v>
      </c>
      <c r="D12" s="9"/>
      <c r="E12" s="11"/>
      <c r="G12" s="14"/>
      <c r="I12" s="13" t="s">
        <v>66</v>
      </c>
      <c r="J12" s="17" t="s">
        <v>67</v>
      </c>
      <c r="L12" s="14" t="s">
        <v>409</v>
      </c>
    </row>
    <row r="13" spans="1:12" ht="12.75" customHeight="1" x14ac:dyDescent="0.25">
      <c r="A13" s="150">
        <v>34669</v>
      </c>
      <c r="B13" s="151">
        <v>1016.46</v>
      </c>
      <c r="D13" s="20"/>
      <c r="E13" s="11"/>
      <c r="G13" s="14"/>
      <c r="I13" s="13" t="s">
        <v>68</v>
      </c>
      <c r="J13" s="17" t="s">
        <v>69</v>
      </c>
      <c r="L13" s="14" t="s">
        <v>410</v>
      </c>
    </row>
    <row r="14" spans="1:12" ht="12.75" customHeight="1" x14ac:dyDescent="0.25">
      <c r="A14" s="150">
        <v>34700</v>
      </c>
      <c r="B14" s="151">
        <v>1033.74</v>
      </c>
      <c r="D14" s="20"/>
      <c r="E14" s="11"/>
      <c r="I14" s="13" t="s">
        <v>70</v>
      </c>
      <c r="J14" s="17" t="s">
        <v>71</v>
      </c>
      <c r="L14" s="14" t="s">
        <v>411</v>
      </c>
    </row>
    <row r="15" spans="1:12" ht="12.75" customHeight="1" x14ac:dyDescent="0.25">
      <c r="A15" s="150">
        <v>34731</v>
      </c>
      <c r="B15" s="151">
        <v>1044.28</v>
      </c>
      <c r="D15" s="9"/>
      <c r="E15" s="11"/>
      <c r="I15" s="13" t="s">
        <v>72</v>
      </c>
      <c r="J15" s="17" t="s">
        <v>73</v>
      </c>
      <c r="L15" s="14" t="s">
        <v>412</v>
      </c>
    </row>
    <row r="16" spans="1:12" ht="12.75" customHeight="1" x14ac:dyDescent="0.25">
      <c r="A16" s="150">
        <v>34759</v>
      </c>
      <c r="B16" s="151">
        <v>1060.47</v>
      </c>
      <c r="D16" s="20"/>
      <c r="E16" s="11"/>
      <c r="I16" s="13" t="s">
        <v>74</v>
      </c>
      <c r="J16" s="17" t="s">
        <v>75</v>
      </c>
      <c r="L16" s="14" t="s">
        <v>413</v>
      </c>
    </row>
    <row r="17" spans="1:12" ht="12.75" customHeight="1" x14ac:dyDescent="0.25">
      <c r="A17" s="150">
        <v>34790</v>
      </c>
      <c r="B17" s="151">
        <v>1086.24</v>
      </c>
      <c r="D17" s="20"/>
      <c r="E17" s="11"/>
      <c r="I17" s="13" t="s">
        <v>76</v>
      </c>
      <c r="J17" s="17" t="s">
        <v>77</v>
      </c>
      <c r="L17" s="14" t="s">
        <v>414</v>
      </c>
    </row>
    <row r="18" spans="1:12" ht="12.75" customHeight="1" x14ac:dyDescent="0.25">
      <c r="A18" s="150">
        <v>34820</v>
      </c>
      <c r="B18" s="151">
        <v>1115.24</v>
      </c>
      <c r="D18" s="20"/>
      <c r="E18" s="11"/>
      <c r="I18" s="13" t="s">
        <v>78</v>
      </c>
      <c r="J18" s="17" t="s">
        <v>79</v>
      </c>
      <c r="L18" s="14" t="s">
        <v>415</v>
      </c>
    </row>
    <row r="19" spans="1:12" ht="12.75" customHeight="1" x14ac:dyDescent="0.25">
      <c r="A19" s="150">
        <v>34851</v>
      </c>
      <c r="B19" s="151">
        <v>1140.44</v>
      </c>
      <c r="I19" s="13" t="s">
        <v>80</v>
      </c>
      <c r="J19" s="17" t="s">
        <v>81</v>
      </c>
      <c r="L19" s="14" t="s">
        <v>416</v>
      </c>
    </row>
    <row r="20" spans="1:12" ht="12.75" customHeight="1" x14ac:dyDescent="0.25">
      <c r="A20" s="150">
        <v>34881</v>
      </c>
      <c r="B20" s="151">
        <v>1167.3499999999999</v>
      </c>
      <c r="I20" s="13" t="s">
        <v>82</v>
      </c>
      <c r="J20" s="17" t="s">
        <v>83</v>
      </c>
      <c r="L20" s="14" t="s">
        <v>417</v>
      </c>
    </row>
    <row r="21" spans="1:12" ht="12.75" customHeight="1" x14ac:dyDescent="0.25">
      <c r="A21" s="150">
        <v>34912</v>
      </c>
      <c r="B21" s="151">
        <v>1178.9100000000001</v>
      </c>
      <c r="I21" s="13" t="s">
        <v>84</v>
      </c>
      <c r="J21" s="17" t="s">
        <v>85</v>
      </c>
      <c r="L21" s="14" t="s">
        <v>418</v>
      </c>
    </row>
    <row r="22" spans="1:12" ht="12.75" customHeight="1" x14ac:dyDescent="0.25">
      <c r="A22" s="150">
        <v>34943</v>
      </c>
      <c r="B22" s="151">
        <v>1190.58</v>
      </c>
      <c r="I22" s="13" t="s">
        <v>86</v>
      </c>
      <c r="J22" s="17" t="s">
        <v>87</v>
      </c>
      <c r="L22" s="14" t="s">
        <v>426</v>
      </c>
    </row>
    <row r="23" spans="1:12" ht="12.75" customHeight="1" x14ac:dyDescent="0.25">
      <c r="A23" s="150">
        <v>34973</v>
      </c>
      <c r="B23" s="151">
        <v>1207.3699999999999</v>
      </c>
      <c r="I23" s="13" t="s">
        <v>88</v>
      </c>
      <c r="J23" s="17" t="s">
        <v>89</v>
      </c>
      <c r="L23" s="14" t="s">
        <v>425</v>
      </c>
    </row>
    <row r="24" spans="1:12" ht="12.75" customHeight="1" x14ac:dyDescent="0.25">
      <c r="A24" s="150">
        <v>35004</v>
      </c>
      <c r="B24" s="151">
        <v>1225.1199999999999</v>
      </c>
      <c r="I24" s="13" t="s">
        <v>90</v>
      </c>
      <c r="J24" s="17" t="s">
        <v>91</v>
      </c>
      <c r="L24" s="14" t="s">
        <v>419</v>
      </c>
    </row>
    <row r="25" spans="1:12" ht="12.75" customHeight="1" x14ac:dyDescent="0.25">
      <c r="A25" s="150">
        <v>35034</v>
      </c>
      <c r="B25" s="151">
        <v>1244.23</v>
      </c>
      <c r="I25" s="13" t="s">
        <v>92</v>
      </c>
      <c r="J25" s="17" t="s">
        <v>93</v>
      </c>
      <c r="L25" s="14" t="s">
        <v>420</v>
      </c>
    </row>
    <row r="26" spans="1:12" ht="12.75" customHeight="1" x14ac:dyDescent="0.25">
      <c r="A26" s="150">
        <v>35065</v>
      </c>
      <c r="B26" s="151">
        <v>1260.9000000000001</v>
      </c>
      <c r="I26" s="13" t="s">
        <v>94</v>
      </c>
      <c r="J26" s="17" t="s">
        <v>95</v>
      </c>
      <c r="L26" s="14" t="s">
        <v>421</v>
      </c>
    </row>
    <row r="27" spans="1:12" ht="12.75" customHeight="1" x14ac:dyDescent="0.25">
      <c r="A27" s="150">
        <v>35096</v>
      </c>
      <c r="B27" s="151">
        <v>1273.8900000000001</v>
      </c>
      <c r="I27" s="13" t="s">
        <v>96</v>
      </c>
      <c r="J27" s="17" t="s">
        <v>97</v>
      </c>
      <c r="L27" s="14" t="s">
        <v>422</v>
      </c>
    </row>
    <row r="28" spans="1:12" ht="15" x14ac:dyDescent="0.25">
      <c r="A28" s="150">
        <v>35125</v>
      </c>
      <c r="B28" s="151">
        <v>1278.3499999999999</v>
      </c>
      <c r="I28" s="13" t="s">
        <v>98</v>
      </c>
      <c r="J28" s="17" t="s">
        <v>99</v>
      </c>
      <c r="L28" s="14" t="s">
        <v>423</v>
      </c>
    </row>
    <row r="29" spans="1:12" ht="15" x14ac:dyDescent="0.25">
      <c r="A29" s="150">
        <v>35156</v>
      </c>
      <c r="B29" s="151">
        <v>1294.46</v>
      </c>
      <c r="I29" s="13" t="s">
        <v>100</v>
      </c>
      <c r="J29" s="17" t="s">
        <v>101</v>
      </c>
      <c r="L29" s="14" t="s">
        <v>424</v>
      </c>
    </row>
    <row r="30" spans="1:12" ht="15" x14ac:dyDescent="0.25">
      <c r="A30" s="150">
        <v>35186</v>
      </c>
      <c r="B30" s="151">
        <v>1310.25</v>
      </c>
      <c r="I30" s="13" t="s">
        <v>102</v>
      </c>
      <c r="J30" s="17" t="s">
        <v>103</v>
      </c>
      <c r="L30" s="14"/>
    </row>
    <row r="31" spans="1:12" ht="15" x14ac:dyDescent="0.25">
      <c r="A31" s="150">
        <v>35217</v>
      </c>
      <c r="B31" s="151">
        <v>1325.84</v>
      </c>
      <c r="I31" s="13" t="s">
        <v>104</v>
      </c>
      <c r="J31" s="17" t="s">
        <v>105</v>
      </c>
      <c r="L31" s="14"/>
    </row>
    <row r="32" spans="1:12" ht="15" x14ac:dyDescent="0.25">
      <c r="A32" s="150">
        <v>35247</v>
      </c>
      <c r="B32" s="151">
        <v>1340.56</v>
      </c>
      <c r="I32" s="13" t="s">
        <v>106</v>
      </c>
      <c r="J32" s="17" t="s">
        <v>107</v>
      </c>
      <c r="L32" s="14"/>
    </row>
    <row r="33" spans="1:12" ht="15" x14ac:dyDescent="0.25">
      <c r="A33" s="150">
        <v>35278</v>
      </c>
      <c r="B33" s="151">
        <v>1346.46</v>
      </c>
      <c r="I33" s="13" t="s">
        <v>108</v>
      </c>
      <c r="J33" s="17" t="s">
        <v>109</v>
      </c>
      <c r="L33" s="14"/>
    </row>
    <row r="34" spans="1:12" ht="15" x14ac:dyDescent="0.25">
      <c r="A34" s="150">
        <v>35309</v>
      </c>
      <c r="B34" s="151">
        <v>1348.48</v>
      </c>
      <c r="I34" s="13" t="s">
        <v>110</v>
      </c>
      <c r="J34" s="17" t="s">
        <v>111</v>
      </c>
      <c r="L34" s="14"/>
    </row>
    <row r="35" spans="1:12" ht="15" x14ac:dyDescent="0.25">
      <c r="A35" s="150">
        <v>35339</v>
      </c>
      <c r="B35" s="151">
        <v>1352.53</v>
      </c>
      <c r="I35" s="13" t="s">
        <v>112</v>
      </c>
      <c r="J35" s="17" t="s">
        <v>113</v>
      </c>
    </row>
    <row r="36" spans="1:12" ht="15" x14ac:dyDescent="0.25">
      <c r="A36" s="150">
        <v>35370</v>
      </c>
      <c r="B36" s="151">
        <v>1356.86</v>
      </c>
      <c r="I36" s="13" t="s">
        <v>114</v>
      </c>
      <c r="J36" s="17" t="s">
        <v>115</v>
      </c>
    </row>
    <row r="37" spans="1:12" ht="15" x14ac:dyDescent="0.25">
      <c r="A37" s="150">
        <v>35400</v>
      </c>
      <c r="B37" s="151">
        <v>1363.24</v>
      </c>
      <c r="I37" s="13" t="s">
        <v>116</v>
      </c>
      <c r="J37" s="17" t="s">
        <v>117</v>
      </c>
    </row>
    <row r="38" spans="1:12" ht="15" x14ac:dyDescent="0.25">
      <c r="A38" s="150">
        <v>35431</v>
      </c>
      <c r="B38" s="151">
        <v>1379.33</v>
      </c>
      <c r="I38" s="13" t="s">
        <v>118</v>
      </c>
      <c r="J38" s="17" t="s">
        <v>119</v>
      </c>
    </row>
    <row r="39" spans="1:12" ht="15" x14ac:dyDescent="0.25">
      <c r="A39" s="150">
        <v>35462</v>
      </c>
      <c r="B39" s="151">
        <v>1386.23</v>
      </c>
      <c r="I39" s="13" t="s">
        <v>120</v>
      </c>
      <c r="J39" s="17" t="s">
        <v>121</v>
      </c>
    </row>
    <row r="40" spans="1:12" ht="15" x14ac:dyDescent="0.25">
      <c r="A40" s="150">
        <v>35490</v>
      </c>
      <c r="B40" s="151">
        <v>1393.3</v>
      </c>
      <c r="I40" s="13" t="s">
        <v>122</v>
      </c>
      <c r="J40" s="17" t="s">
        <v>123</v>
      </c>
    </row>
    <row r="41" spans="1:12" ht="15" x14ac:dyDescent="0.25">
      <c r="A41" s="150">
        <v>35521</v>
      </c>
      <c r="B41" s="151">
        <v>1405.56</v>
      </c>
      <c r="I41" s="13" t="s">
        <v>124</v>
      </c>
      <c r="J41" s="17" t="s">
        <v>125</v>
      </c>
    </row>
    <row r="42" spans="1:12" ht="15" x14ac:dyDescent="0.25">
      <c r="A42" s="150">
        <v>35551</v>
      </c>
      <c r="B42" s="151">
        <v>1411.32</v>
      </c>
      <c r="I42" s="13" t="s">
        <v>126</v>
      </c>
      <c r="J42" s="17" t="s">
        <v>127</v>
      </c>
    </row>
    <row r="43" spans="1:12" ht="15" x14ac:dyDescent="0.25">
      <c r="A43" s="150">
        <v>35582</v>
      </c>
      <c r="B43" s="151">
        <v>1418.94</v>
      </c>
      <c r="I43" s="13" t="s">
        <v>128</v>
      </c>
      <c r="J43" s="17" t="s">
        <v>129</v>
      </c>
    </row>
    <row r="44" spans="1:12" ht="15" x14ac:dyDescent="0.25">
      <c r="A44" s="150">
        <v>35643</v>
      </c>
      <c r="B44" s="151">
        <v>1421.78</v>
      </c>
      <c r="I44" s="13" t="s">
        <v>130</v>
      </c>
      <c r="J44" s="17" t="s">
        <v>131</v>
      </c>
    </row>
    <row r="45" spans="1:12" ht="15" x14ac:dyDescent="0.25">
      <c r="A45" s="150">
        <v>35612</v>
      </c>
      <c r="B45" s="151">
        <v>1422.06</v>
      </c>
      <c r="I45" s="13" t="s">
        <v>132</v>
      </c>
      <c r="J45" s="17" t="s">
        <v>133</v>
      </c>
    </row>
    <row r="46" spans="1:12" ht="15" x14ac:dyDescent="0.25">
      <c r="A46" s="150">
        <v>35674</v>
      </c>
      <c r="B46" s="151">
        <v>1422.63</v>
      </c>
      <c r="I46" s="13" t="s">
        <v>134</v>
      </c>
      <c r="J46" s="17" t="s">
        <v>135</v>
      </c>
    </row>
    <row r="47" spans="1:12" ht="15" x14ac:dyDescent="0.25">
      <c r="A47" s="150">
        <v>35704</v>
      </c>
      <c r="B47" s="151">
        <v>1425.9</v>
      </c>
      <c r="I47" s="13" t="s">
        <v>136</v>
      </c>
      <c r="J47" s="17" t="s">
        <v>137</v>
      </c>
    </row>
    <row r="48" spans="1:12" ht="15" x14ac:dyDescent="0.25">
      <c r="A48" s="150">
        <v>35735</v>
      </c>
      <c r="B48" s="151">
        <v>1428.32</v>
      </c>
      <c r="I48" s="13" t="s">
        <v>138</v>
      </c>
      <c r="J48" s="17" t="s">
        <v>139</v>
      </c>
    </row>
    <row r="49" spans="1:10" ht="15" x14ac:dyDescent="0.25">
      <c r="A49" s="150">
        <v>35765</v>
      </c>
      <c r="B49" s="151">
        <v>1434.46</v>
      </c>
      <c r="I49" s="13" t="s">
        <v>140</v>
      </c>
      <c r="J49" s="17" t="s">
        <v>141</v>
      </c>
    </row>
    <row r="50" spans="1:10" ht="15" x14ac:dyDescent="0.25">
      <c r="A50" s="150">
        <v>35796</v>
      </c>
      <c r="B50" s="151">
        <v>1444.64</v>
      </c>
      <c r="I50" s="13" t="s">
        <v>142</v>
      </c>
      <c r="J50" s="17" t="s">
        <v>143</v>
      </c>
    </row>
    <row r="51" spans="1:10" ht="15" x14ac:dyDescent="0.25">
      <c r="A51" s="150">
        <v>35827</v>
      </c>
      <c r="B51" s="151">
        <v>1451.29</v>
      </c>
      <c r="I51" s="13" t="s">
        <v>144</v>
      </c>
      <c r="J51" s="17" t="s">
        <v>145</v>
      </c>
    </row>
    <row r="52" spans="1:10" ht="15" x14ac:dyDescent="0.25">
      <c r="A52" s="150">
        <v>36100</v>
      </c>
      <c r="B52" s="151">
        <v>1453.4</v>
      </c>
      <c r="I52" s="13" t="s">
        <v>146</v>
      </c>
      <c r="J52" s="17" t="s">
        <v>147</v>
      </c>
    </row>
    <row r="53" spans="1:10" ht="15" x14ac:dyDescent="0.25">
      <c r="A53" s="150">
        <v>36039</v>
      </c>
      <c r="B53" s="151">
        <v>1454.86</v>
      </c>
      <c r="I53" s="13" t="s">
        <v>148</v>
      </c>
      <c r="J53" s="17" t="s">
        <v>149</v>
      </c>
    </row>
    <row r="54" spans="1:10" ht="15" x14ac:dyDescent="0.25">
      <c r="A54" s="150">
        <v>36069</v>
      </c>
      <c r="B54" s="151">
        <v>1455.15</v>
      </c>
      <c r="I54" s="13" t="s">
        <v>150</v>
      </c>
      <c r="J54" s="17" t="s">
        <v>151</v>
      </c>
    </row>
    <row r="55" spans="1:10" ht="15" x14ac:dyDescent="0.25">
      <c r="A55" s="150">
        <v>35855</v>
      </c>
      <c r="B55" s="151">
        <v>1456.22</v>
      </c>
      <c r="I55" s="13" t="s">
        <v>152</v>
      </c>
      <c r="J55" s="17" t="s">
        <v>153</v>
      </c>
    </row>
    <row r="56" spans="1:10" ht="15" x14ac:dyDescent="0.25">
      <c r="A56" s="150">
        <v>36008</v>
      </c>
      <c r="B56" s="151">
        <v>1458.07</v>
      </c>
      <c r="I56" s="13" t="s">
        <v>154</v>
      </c>
      <c r="J56" s="17" t="s">
        <v>155</v>
      </c>
    </row>
    <row r="57" spans="1:10" ht="15" x14ac:dyDescent="0.25">
      <c r="A57" s="150">
        <v>36130</v>
      </c>
      <c r="B57" s="151">
        <v>1458.2</v>
      </c>
      <c r="I57" s="13" t="s">
        <v>156</v>
      </c>
      <c r="J57" s="17" t="s">
        <v>157</v>
      </c>
    </row>
    <row r="58" spans="1:10" ht="15" x14ac:dyDescent="0.25">
      <c r="A58" s="150">
        <v>35886</v>
      </c>
      <c r="B58" s="151">
        <v>1459.71</v>
      </c>
      <c r="I58" s="13" t="s">
        <v>158</v>
      </c>
      <c r="J58" s="17" t="s">
        <v>159</v>
      </c>
    </row>
    <row r="59" spans="1:10" ht="15" x14ac:dyDescent="0.25">
      <c r="A59" s="150">
        <v>35977</v>
      </c>
      <c r="B59" s="151">
        <v>1465.54</v>
      </c>
      <c r="I59" s="13" t="s">
        <v>160</v>
      </c>
      <c r="J59" s="17" t="s">
        <v>161</v>
      </c>
    </row>
    <row r="60" spans="1:10" ht="15" x14ac:dyDescent="0.25">
      <c r="A60" s="150">
        <v>35916</v>
      </c>
      <c r="B60" s="151">
        <v>1467.01</v>
      </c>
      <c r="I60" s="13" t="s">
        <v>162</v>
      </c>
      <c r="J60" s="17" t="s">
        <v>163</v>
      </c>
    </row>
    <row r="61" spans="1:10" ht="15" x14ac:dyDescent="0.25">
      <c r="A61" s="150">
        <v>35947</v>
      </c>
      <c r="B61" s="151">
        <v>1467.3</v>
      </c>
      <c r="I61" s="13" t="s">
        <v>164</v>
      </c>
      <c r="J61" s="17" t="s">
        <v>165</v>
      </c>
    </row>
    <row r="62" spans="1:10" ht="15" x14ac:dyDescent="0.25">
      <c r="A62" s="150">
        <v>36161</v>
      </c>
      <c r="B62" s="151">
        <v>1468.41</v>
      </c>
      <c r="I62" s="13" t="s">
        <v>166</v>
      </c>
      <c r="J62" s="17" t="s">
        <v>167</v>
      </c>
    </row>
    <row r="63" spans="1:10" ht="15" x14ac:dyDescent="0.25">
      <c r="A63" s="150">
        <v>36192</v>
      </c>
      <c r="B63" s="151">
        <v>1483.83</v>
      </c>
      <c r="I63" s="13" t="s">
        <v>168</v>
      </c>
      <c r="J63" s="17" t="s">
        <v>169</v>
      </c>
    </row>
    <row r="64" spans="1:10" ht="15" x14ac:dyDescent="0.25">
      <c r="A64" s="150">
        <v>36220</v>
      </c>
      <c r="B64" s="151">
        <v>1500.15</v>
      </c>
      <c r="I64" s="13" t="s">
        <v>170</v>
      </c>
      <c r="J64" s="17" t="s">
        <v>171</v>
      </c>
    </row>
    <row r="65" spans="1:10" ht="15" x14ac:dyDescent="0.25">
      <c r="A65" s="150">
        <v>36251</v>
      </c>
      <c r="B65" s="151">
        <v>1508.55</v>
      </c>
      <c r="I65" s="13" t="s">
        <v>172</v>
      </c>
      <c r="J65" s="17" t="s">
        <v>173</v>
      </c>
    </row>
    <row r="66" spans="1:10" ht="15" x14ac:dyDescent="0.25">
      <c r="A66" s="150">
        <v>36281</v>
      </c>
      <c r="B66" s="151">
        <v>1513.08</v>
      </c>
      <c r="I66" s="13" t="s">
        <v>174</v>
      </c>
      <c r="J66" s="17" t="s">
        <v>173</v>
      </c>
    </row>
    <row r="67" spans="1:10" ht="15" x14ac:dyDescent="0.25">
      <c r="A67" s="150">
        <v>36312</v>
      </c>
      <c r="B67" s="151">
        <v>1515.95</v>
      </c>
      <c r="I67" s="13" t="s">
        <v>175</v>
      </c>
      <c r="J67" s="17" t="s">
        <v>176</v>
      </c>
    </row>
    <row r="68" spans="1:10" ht="15" x14ac:dyDescent="0.25">
      <c r="A68" s="150">
        <v>36342</v>
      </c>
      <c r="B68" s="151">
        <v>1532.47</v>
      </c>
      <c r="I68" s="13" t="s">
        <v>177</v>
      </c>
      <c r="J68" s="17" t="s">
        <v>178</v>
      </c>
    </row>
    <row r="69" spans="1:10" ht="15" x14ac:dyDescent="0.25">
      <c r="A69" s="150">
        <v>36373</v>
      </c>
      <c r="B69" s="151">
        <v>1541.05</v>
      </c>
      <c r="I69" s="13" t="s">
        <v>179</v>
      </c>
      <c r="J69" s="17" t="s">
        <v>180</v>
      </c>
    </row>
    <row r="70" spans="1:10" ht="15" x14ac:dyDescent="0.25">
      <c r="A70" s="150">
        <v>36404</v>
      </c>
      <c r="B70" s="151">
        <v>1545.83</v>
      </c>
      <c r="I70" s="13" t="s">
        <v>181</v>
      </c>
      <c r="J70" s="17" t="s">
        <v>182</v>
      </c>
    </row>
    <row r="71" spans="1:10" ht="15" x14ac:dyDescent="0.25">
      <c r="A71" s="150">
        <v>36434</v>
      </c>
      <c r="B71" s="151">
        <v>1564.23</v>
      </c>
      <c r="I71" s="13" t="s">
        <v>183</v>
      </c>
      <c r="J71" s="17" t="s">
        <v>184</v>
      </c>
    </row>
    <row r="72" spans="1:10" ht="15" x14ac:dyDescent="0.25">
      <c r="A72" s="150">
        <v>36465</v>
      </c>
      <c r="B72" s="151">
        <v>1579.09</v>
      </c>
      <c r="I72" s="13" t="s">
        <v>185</v>
      </c>
      <c r="J72" s="17" t="s">
        <v>186</v>
      </c>
    </row>
    <row r="73" spans="1:10" ht="15" x14ac:dyDescent="0.25">
      <c r="A73" s="150">
        <v>36495</v>
      </c>
      <c r="B73" s="151">
        <v>1588.56</v>
      </c>
      <c r="I73" s="13" t="s">
        <v>187</v>
      </c>
      <c r="J73" s="17" t="s">
        <v>188</v>
      </c>
    </row>
    <row r="74" spans="1:10" ht="15" x14ac:dyDescent="0.25">
      <c r="A74" s="150">
        <v>36526</v>
      </c>
      <c r="B74" s="151">
        <v>1598.41</v>
      </c>
      <c r="I74" s="13" t="s">
        <v>189</v>
      </c>
      <c r="J74" s="17" t="s">
        <v>188</v>
      </c>
    </row>
    <row r="75" spans="1:10" ht="15" x14ac:dyDescent="0.25">
      <c r="A75" s="150">
        <v>36557</v>
      </c>
      <c r="B75" s="151">
        <v>1600.49</v>
      </c>
      <c r="I75" s="13" t="s">
        <v>190</v>
      </c>
      <c r="J75" s="17" t="s">
        <v>191</v>
      </c>
    </row>
    <row r="76" spans="1:10" ht="15" x14ac:dyDescent="0.25">
      <c r="A76" s="150">
        <v>36586</v>
      </c>
      <c r="B76" s="151">
        <v>1604.01</v>
      </c>
      <c r="I76" s="13" t="s">
        <v>192</v>
      </c>
      <c r="J76" s="17" t="s">
        <v>191</v>
      </c>
    </row>
    <row r="77" spans="1:10" ht="15" x14ac:dyDescent="0.25">
      <c r="A77" s="150">
        <v>36617</v>
      </c>
      <c r="B77" s="151">
        <v>1610.75</v>
      </c>
      <c r="I77" s="13" t="s">
        <v>193</v>
      </c>
      <c r="J77" s="17" t="s">
        <v>194</v>
      </c>
    </row>
    <row r="78" spans="1:10" ht="15" x14ac:dyDescent="0.25">
      <c r="A78" s="150">
        <v>36647</v>
      </c>
      <c r="B78" s="151">
        <v>1610.91</v>
      </c>
      <c r="I78" s="13" t="s">
        <v>195</v>
      </c>
      <c r="J78" s="17" t="s">
        <v>196</v>
      </c>
    </row>
    <row r="79" spans="1:10" ht="15" x14ac:dyDescent="0.25">
      <c r="A79" s="150">
        <v>36678</v>
      </c>
      <c r="B79" s="151">
        <v>1614.62</v>
      </c>
      <c r="I79" s="13" t="s">
        <v>197</v>
      </c>
      <c r="J79" s="17" t="s">
        <v>196</v>
      </c>
    </row>
    <row r="80" spans="1:10" ht="15" x14ac:dyDescent="0.25">
      <c r="A80" s="150">
        <v>36708</v>
      </c>
      <c r="B80" s="151">
        <v>1640.62</v>
      </c>
      <c r="I80" s="13" t="s">
        <v>198</v>
      </c>
      <c r="J80" s="17" t="s">
        <v>199</v>
      </c>
    </row>
    <row r="81" spans="1:10" ht="15" x14ac:dyDescent="0.25">
      <c r="A81" s="150">
        <v>36739</v>
      </c>
      <c r="B81" s="151">
        <v>1662.11</v>
      </c>
      <c r="I81" s="13" t="s">
        <v>200</v>
      </c>
      <c r="J81" s="17" t="s">
        <v>201</v>
      </c>
    </row>
    <row r="82" spans="1:10" ht="15" x14ac:dyDescent="0.25">
      <c r="A82" s="150">
        <v>36770</v>
      </c>
      <c r="B82" s="151">
        <v>1665.93</v>
      </c>
      <c r="I82" s="13" t="s">
        <v>202</v>
      </c>
      <c r="J82" s="17" t="s">
        <v>203</v>
      </c>
    </row>
    <row r="83" spans="1:10" ht="15" x14ac:dyDescent="0.25">
      <c r="A83" s="150">
        <v>36800</v>
      </c>
      <c r="B83" s="151">
        <v>1668.26</v>
      </c>
      <c r="I83" s="13" t="s">
        <v>204</v>
      </c>
      <c r="J83" s="17" t="s">
        <v>205</v>
      </c>
    </row>
    <row r="84" spans="1:10" ht="15" x14ac:dyDescent="0.25">
      <c r="A84" s="150">
        <v>36831</v>
      </c>
      <c r="B84" s="151">
        <v>1673.6</v>
      </c>
      <c r="I84" s="13" t="s">
        <v>206</v>
      </c>
      <c r="J84" s="17" t="s">
        <v>207</v>
      </c>
    </row>
    <row r="85" spans="1:10" ht="15" x14ac:dyDescent="0.25">
      <c r="A85" s="150">
        <v>36861</v>
      </c>
      <c r="B85" s="151">
        <v>1683.47</v>
      </c>
      <c r="I85" s="13" t="s">
        <v>208</v>
      </c>
      <c r="J85" s="17" t="s">
        <v>209</v>
      </c>
    </row>
    <row r="86" spans="1:10" ht="15" x14ac:dyDescent="0.25">
      <c r="A86" s="150">
        <v>36892</v>
      </c>
      <c r="B86" s="151">
        <v>1693.07</v>
      </c>
      <c r="I86" s="13" t="s">
        <v>210</v>
      </c>
      <c r="J86" s="17" t="s">
        <v>211</v>
      </c>
    </row>
    <row r="87" spans="1:10" ht="15" x14ac:dyDescent="0.25">
      <c r="A87" s="150">
        <v>36923</v>
      </c>
      <c r="B87" s="151">
        <v>1700.86</v>
      </c>
      <c r="I87" s="13" t="s">
        <v>212</v>
      </c>
      <c r="J87" s="17" t="s">
        <v>213</v>
      </c>
    </row>
    <row r="88" spans="1:10" ht="15" x14ac:dyDescent="0.25">
      <c r="A88" s="150">
        <v>36951</v>
      </c>
      <c r="B88" s="151">
        <v>1707.32</v>
      </c>
      <c r="I88" s="13" t="s">
        <v>214</v>
      </c>
      <c r="J88" s="17" t="s">
        <v>215</v>
      </c>
    </row>
    <row r="89" spans="1:10" ht="15" x14ac:dyDescent="0.25">
      <c r="A89" s="150">
        <v>36982</v>
      </c>
      <c r="B89" s="151">
        <v>1717.22</v>
      </c>
      <c r="I89" s="13" t="s">
        <v>216</v>
      </c>
      <c r="J89" s="17" t="s">
        <v>217</v>
      </c>
    </row>
    <row r="90" spans="1:10" ht="15" x14ac:dyDescent="0.25">
      <c r="A90" s="150">
        <v>37012</v>
      </c>
      <c r="B90" s="151">
        <v>1724.26</v>
      </c>
      <c r="I90" s="13" t="s">
        <v>218</v>
      </c>
      <c r="J90" s="17" t="s">
        <v>219</v>
      </c>
    </row>
    <row r="91" spans="1:10" ht="15" x14ac:dyDescent="0.25">
      <c r="A91" s="150">
        <v>37043</v>
      </c>
      <c r="B91" s="151">
        <v>1733.23</v>
      </c>
      <c r="I91" s="13" t="s">
        <v>220</v>
      </c>
      <c r="J91" s="17" t="s">
        <v>221</v>
      </c>
    </row>
    <row r="92" spans="1:10" ht="15" x14ac:dyDescent="0.25">
      <c r="A92" s="150">
        <v>37073</v>
      </c>
      <c r="B92" s="151">
        <v>1756.28</v>
      </c>
      <c r="I92" s="13" t="s">
        <v>222</v>
      </c>
      <c r="J92" s="17" t="s">
        <v>223</v>
      </c>
    </row>
    <row r="93" spans="1:10" ht="15" x14ac:dyDescent="0.25">
      <c r="A93" s="150">
        <v>37104</v>
      </c>
      <c r="B93" s="151">
        <v>1768.57</v>
      </c>
      <c r="I93" s="13" t="s">
        <v>224</v>
      </c>
      <c r="J93" s="17" t="s">
        <v>225</v>
      </c>
    </row>
    <row r="94" spans="1:10" ht="15" x14ac:dyDescent="0.25">
      <c r="A94" s="150">
        <v>37135</v>
      </c>
      <c r="B94" s="151">
        <v>1773.52</v>
      </c>
      <c r="I94" s="13" t="s">
        <v>226</v>
      </c>
      <c r="J94" s="17" t="s">
        <v>227</v>
      </c>
    </row>
    <row r="95" spans="1:10" ht="15" x14ac:dyDescent="0.25">
      <c r="A95" s="150">
        <v>37165</v>
      </c>
      <c r="B95" s="151">
        <v>1788.24</v>
      </c>
      <c r="I95" s="13" t="s">
        <v>228</v>
      </c>
      <c r="J95" s="17" t="s">
        <v>229</v>
      </c>
    </row>
    <row r="96" spans="1:10" ht="15" x14ac:dyDescent="0.25">
      <c r="A96" s="150">
        <v>37196</v>
      </c>
      <c r="B96" s="151">
        <v>1800.94</v>
      </c>
      <c r="I96" s="13" t="s">
        <v>230</v>
      </c>
      <c r="J96" s="17" t="s">
        <v>231</v>
      </c>
    </row>
    <row r="97" spans="1:10" ht="15" x14ac:dyDescent="0.25">
      <c r="A97" s="150">
        <v>37226</v>
      </c>
      <c r="B97" s="151">
        <v>1812.65</v>
      </c>
      <c r="I97" s="13" t="s">
        <v>232</v>
      </c>
      <c r="J97" s="17" t="s">
        <v>233</v>
      </c>
    </row>
    <row r="98" spans="1:10" ht="15" x14ac:dyDescent="0.25">
      <c r="A98" s="150">
        <v>37257</v>
      </c>
      <c r="B98" s="151">
        <v>1822.08</v>
      </c>
      <c r="I98" s="13" t="s">
        <v>234</v>
      </c>
      <c r="J98" s="17" t="s">
        <v>235</v>
      </c>
    </row>
    <row r="99" spans="1:10" ht="15" x14ac:dyDescent="0.25">
      <c r="A99" s="150">
        <v>37288</v>
      </c>
      <c r="B99" s="151">
        <v>1828.64</v>
      </c>
      <c r="I99" s="13" t="s">
        <v>236</v>
      </c>
      <c r="J99" s="17" t="s">
        <v>237</v>
      </c>
    </row>
    <row r="100" spans="1:10" ht="15" x14ac:dyDescent="0.25">
      <c r="A100" s="150">
        <v>37316</v>
      </c>
      <c r="B100" s="151">
        <v>1839.61</v>
      </c>
      <c r="I100" s="13" t="s">
        <v>238</v>
      </c>
      <c r="J100" s="17" t="s">
        <v>239</v>
      </c>
    </row>
    <row r="101" spans="1:10" ht="15" x14ac:dyDescent="0.25">
      <c r="A101" s="150">
        <v>37347</v>
      </c>
      <c r="B101" s="151">
        <v>1854.33</v>
      </c>
      <c r="I101" s="13" t="s">
        <v>240</v>
      </c>
      <c r="J101" s="17" t="s">
        <v>241</v>
      </c>
    </row>
    <row r="102" spans="1:10" ht="15" x14ac:dyDescent="0.25">
      <c r="A102" s="150">
        <v>37377</v>
      </c>
      <c r="B102" s="151">
        <v>1858.22</v>
      </c>
      <c r="I102" s="13" t="s">
        <v>242</v>
      </c>
      <c r="J102" s="17" t="s">
        <v>243</v>
      </c>
    </row>
    <row r="103" spans="1:10" ht="15" x14ac:dyDescent="0.25">
      <c r="A103" s="150">
        <v>37408</v>
      </c>
      <c r="B103" s="151">
        <v>1866.02</v>
      </c>
      <c r="I103" s="13" t="s">
        <v>244</v>
      </c>
      <c r="J103" s="17" t="s">
        <v>245</v>
      </c>
    </row>
    <row r="104" spans="1:10" ht="15" x14ac:dyDescent="0.25">
      <c r="A104" s="150">
        <v>37438</v>
      </c>
      <c r="B104" s="151">
        <v>1888.23</v>
      </c>
      <c r="I104" s="13" t="s">
        <v>246</v>
      </c>
      <c r="J104" s="17" t="s">
        <v>247</v>
      </c>
    </row>
    <row r="105" spans="1:10" ht="15" x14ac:dyDescent="0.25">
      <c r="A105" s="150">
        <v>37469</v>
      </c>
      <c r="B105" s="151">
        <v>1900.5</v>
      </c>
      <c r="I105" s="13" t="s">
        <v>248</v>
      </c>
      <c r="J105" s="17" t="s">
        <v>249</v>
      </c>
    </row>
    <row r="106" spans="1:10" ht="15" x14ac:dyDescent="0.25">
      <c r="A106" s="150">
        <v>37500</v>
      </c>
      <c r="B106" s="151">
        <v>1914.18</v>
      </c>
      <c r="I106" s="13" t="s">
        <v>250</v>
      </c>
      <c r="J106" s="17" t="s">
        <v>251</v>
      </c>
    </row>
    <row r="107" spans="1:10" ht="15" x14ac:dyDescent="0.25">
      <c r="A107" s="150">
        <v>37530</v>
      </c>
      <c r="B107" s="151">
        <v>1939.26</v>
      </c>
      <c r="I107" s="13" t="s">
        <v>252</v>
      </c>
      <c r="J107" s="17" t="s">
        <v>253</v>
      </c>
    </row>
    <row r="108" spans="1:10" ht="15" x14ac:dyDescent="0.25">
      <c r="A108" s="150">
        <v>37561</v>
      </c>
      <c r="B108" s="151">
        <v>1997.83</v>
      </c>
      <c r="I108" s="13" t="s">
        <v>254</v>
      </c>
      <c r="J108" s="17" t="s">
        <v>255</v>
      </c>
    </row>
    <row r="109" spans="1:10" ht="15" x14ac:dyDescent="0.25">
      <c r="A109" s="150">
        <v>37591</v>
      </c>
      <c r="B109" s="151">
        <v>2039.78</v>
      </c>
      <c r="I109" s="13" t="s">
        <v>256</v>
      </c>
      <c r="J109" s="17" t="s">
        <v>257</v>
      </c>
    </row>
    <row r="110" spans="1:10" ht="15" x14ac:dyDescent="0.25">
      <c r="A110" s="150">
        <v>37622</v>
      </c>
      <c r="B110" s="151">
        <v>2085.6799999999998</v>
      </c>
      <c r="I110" s="13" t="s">
        <v>258</v>
      </c>
      <c r="J110" s="17" t="s">
        <v>259</v>
      </c>
    </row>
    <row r="111" spans="1:10" ht="15" x14ac:dyDescent="0.25">
      <c r="A111" s="150">
        <v>37653</v>
      </c>
      <c r="B111" s="151">
        <v>2118.4299999999998</v>
      </c>
      <c r="I111" s="13" t="s">
        <v>260</v>
      </c>
      <c r="J111" s="17" t="s">
        <v>261</v>
      </c>
    </row>
    <row r="112" spans="1:10" ht="15" x14ac:dyDescent="0.25">
      <c r="A112" s="150">
        <v>37681</v>
      </c>
      <c r="B112" s="151">
        <v>2144.4899999999998</v>
      </c>
      <c r="I112" s="13" t="s">
        <v>262</v>
      </c>
      <c r="J112" s="17" t="s">
        <v>263</v>
      </c>
    </row>
    <row r="113" spans="1:10" ht="15" x14ac:dyDescent="0.25">
      <c r="A113" s="150">
        <v>37712</v>
      </c>
      <c r="B113" s="151">
        <v>2165.29</v>
      </c>
      <c r="I113" s="13" t="s">
        <v>264</v>
      </c>
      <c r="J113" s="17" t="s">
        <v>265</v>
      </c>
    </row>
    <row r="114" spans="1:10" ht="15" x14ac:dyDescent="0.25">
      <c r="A114" s="150">
        <v>37773</v>
      </c>
      <c r="B114" s="151">
        <v>2175.23</v>
      </c>
      <c r="I114" s="13" t="s">
        <v>266</v>
      </c>
      <c r="J114" s="17" t="s">
        <v>267</v>
      </c>
    </row>
    <row r="115" spans="1:10" ht="15" x14ac:dyDescent="0.25">
      <c r="A115" s="150">
        <v>37742</v>
      </c>
      <c r="B115" s="151">
        <v>2178.5</v>
      </c>
      <c r="I115" s="13" t="s">
        <v>268</v>
      </c>
      <c r="J115" s="17" t="s">
        <v>269</v>
      </c>
    </row>
    <row r="116" spans="1:10" ht="15" x14ac:dyDescent="0.25">
      <c r="A116" s="150">
        <v>37803</v>
      </c>
      <c r="B116" s="151">
        <v>2179.58</v>
      </c>
      <c r="I116" s="13" t="s">
        <v>270</v>
      </c>
      <c r="J116" s="17" t="s">
        <v>271</v>
      </c>
    </row>
    <row r="117" spans="1:10" ht="15" x14ac:dyDescent="0.25">
      <c r="A117" s="150">
        <v>37834</v>
      </c>
      <c r="B117" s="151">
        <v>2186.9899999999998</v>
      </c>
      <c r="I117" s="13" t="s">
        <v>272</v>
      </c>
      <c r="J117" s="17" t="s">
        <v>273</v>
      </c>
    </row>
    <row r="118" spans="1:10" ht="15" x14ac:dyDescent="0.25">
      <c r="A118" s="150">
        <v>37865</v>
      </c>
      <c r="B118" s="151">
        <v>2204.0500000000002</v>
      </c>
      <c r="I118" s="13" t="s">
        <v>274</v>
      </c>
      <c r="J118" s="17" t="s">
        <v>275</v>
      </c>
    </row>
    <row r="119" spans="1:10" ht="15" x14ac:dyDescent="0.25">
      <c r="A119" s="150">
        <v>37895</v>
      </c>
      <c r="B119" s="151">
        <v>2210.44</v>
      </c>
      <c r="I119" s="13" t="s">
        <v>276</v>
      </c>
      <c r="J119" s="17" t="s">
        <v>277</v>
      </c>
    </row>
    <row r="120" spans="1:10" ht="15" x14ac:dyDescent="0.25">
      <c r="A120" s="150">
        <v>37926</v>
      </c>
      <c r="B120" s="151">
        <v>2217.96</v>
      </c>
      <c r="I120" s="13" t="s">
        <v>278</v>
      </c>
      <c r="J120" s="17" t="s">
        <v>279</v>
      </c>
    </row>
    <row r="121" spans="1:10" ht="15" x14ac:dyDescent="0.25">
      <c r="A121" s="150">
        <v>37956</v>
      </c>
      <c r="B121" s="151">
        <v>2229.4899999999998</v>
      </c>
      <c r="I121" s="13" t="s">
        <v>280</v>
      </c>
      <c r="J121" s="17" t="s">
        <v>281</v>
      </c>
    </row>
    <row r="122" spans="1:10" ht="15" x14ac:dyDescent="0.25">
      <c r="A122" s="150">
        <v>37987</v>
      </c>
      <c r="B122" s="151">
        <v>2246.4299999999998</v>
      </c>
      <c r="I122" s="13" t="s">
        <v>282</v>
      </c>
      <c r="J122" s="17" t="s">
        <v>283</v>
      </c>
    </row>
    <row r="123" spans="1:10" ht="15" x14ac:dyDescent="0.25">
      <c r="A123" s="150">
        <v>38018</v>
      </c>
      <c r="B123" s="151">
        <v>2260.13</v>
      </c>
      <c r="I123" s="13" t="s">
        <v>284</v>
      </c>
      <c r="J123" s="17" t="s">
        <v>285</v>
      </c>
    </row>
    <row r="124" spans="1:10" ht="15" x14ac:dyDescent="0.25">
      <c r="A124" s="150">
        <v>38047</v>
      </c>
      <c r="B124" s="151">
        <v>2270.75</v>
      </c>
      <c r="I124" s="13" t="s">
        <v>286</v>
      </c>
      <c r="J124" s="17" t="s">
        <v>287</v>
      </c>
    </row>
    <row r="125" spans="1:10" ht="15" x14ac:dyDescent="0.25">
      <c r="A125" s="150">
        <v>38078</v>
      </c>
      <c r="B125" s="151">
        <v>2279.15</v>
      </c>
      <c r="I125" s="13" t="s">
        <v>288</v>
      </c>
      <c r="J125" s="17" t="s">
        <v>289</v>
      </c>
    </row>
    <row r="126" spans="1:10" ht="15" x14ac:dyDescent="0.25">
      <c r="A126" s="150">
        <v>38108</v>
      </c>
      <c r="B126" s="151">
        <v>2290.77</v>
      </c>
      <c r="I126" s="13" t="s">
        <v>290</v>
      </c>
      <c r="J126" s="17" t="s">
        <v>289</v>
      </c>
    </row>
    <row r="127" spans="1:10" ht="15" x14ac:dyDescent="0.25">
      <c r="A127" s="150">
        <v>38139</v>
      </c>
      <c r="B127" s="151">
        <v>2307.0300000000002</v>
      </c>
      <c r="I127" s="13" t="s">
        <v>291</v>
      </c>
      <c r="J127" s="17" t="s">
        <v>292</v>
      </c>
    </row>
    <row r="128" spans="1:10" ht="15" x14ac:dyDescent="0.25">
      <c r="A128" s="150">
        <v>38169</v>
      </c>
      <c r="B128" s="151">
        <v>2328.02</v>
      </c>
      <c r="I128" s="13" t="s">
        <v>293</v>
      </c>
      <c r="J128" s="17" t="s">
        <v>294</v>
      </c>
    </row>
    <row r="129" spans="1:10" ht="15" x14ac:dyDescent="0.25">
      <c r="A129" s="150">
        <v>38200</v>
      </c>
      <c r="B129" s="151">
        <v>2344.08</v>
      </c>
      <c r="I129" s="13" t="s">
        <v>295</v>
      </c>
      <c r="J129" s="17" t="s">
        <v>296</v>
      </c>
    </row>
    <row r="130" spans="1:10" ht="15" x14ac:dyDescent="0.25">
      <c r="A130" s="150">
        <v>38231</v>
      </c>
      <c r="B130" s="151">
        <v>2351.8200000000002</v>
      </c>
      <c r="I130" s="13" t="s">
        <v>297</v>
      </c>
      <c r="J130" s="17" t="s">
        <v>298</v>
      </c>
    </row>
    <row r="131" spans="1:10" ht="15" x14ac:dyDescent="0.25">
      <c r="A131" s="150">
        <v>38261</v>
      </c>
      <c r="B131" s="151">
        <v>2362.17</v>
      </c>
      <c r="I131" s="13" t="s">
        <v>299</v>
      </c>
      <c r="J131" s="17" t="s">
        <v>300</v>
      </c>
    </row>
    <row r="132" spans="1:10" ht="15" x14ac:dyDescent="0.25">
      <c r="A132" s="150">
        <v>38292</v>
      </c>
      <c r="B132" s="151">
        <v>2378.4699999999998</v>
      </c>
      <c r="I132" s="13"/>
    </row>
    <row r="133" spans="1:10" ht="15" x14ac:dyDescent="0.25">
      <c r="A133" s="150">
        <v>38322</v>
      </c>
      <c r="B133" s="151">
        <v>2398.92</v>
      </c>
      <c r="I133" s="13"/>
    </row>
    <row r="134" spans="1:10" ht="15" x14ac:dyDescent="0.25">
      <c r="A134" s="150">
        <v>38353</v>
      </c>
      <c r="B134" s="151">
        <v>2412.83</v>
      </c>
      <c r="I134" s="13"/>
    </row>
    <row r="135" spans="1:10" ht="15" x14ac:dyDescent="0.25">
      <c r="A135" s="150">
        <v>38384</v>
      </c>
      <c r="B135" s="151">
        <v>2427.0700000000002</v>
      </c>
      <c r="I135" s="13"/>
    </row>
    <row r="136" spans="1:10" ht="15" x14ac:dyDescent="0.25">
      <c r="A136" s="150">
        <v>38412</v>
      </c>
      <c r="B136" s="151">
        <v>2441.87</v>
      </c>
      <c r="I136" s="13"/>
    </row>
    <row r="137" spans="1:10" ht="15" x14ac:dyDescent="0.25">
      <c r="A137" s="150">
        <v>38443</v>
      </c>
      <c r="B137" s="151">
        <v>2463.11</v>
      </c>
      <c r="I137" s="13"/>
    </row>
    <row r="138" spans="1:10" ht="15" x14ac:dyDescent="0.25">
      <c r="A138" s="150">
        <v>38504</v>
      </c>
      <c r="B138" s="151">
        <v>2474.6799999999998</v>
      </c>
      <c r="I138" s="13"/>
    </row>
    <row r="139" spans="1:10" ht="15" x14ac:dyDescent="0.25">
      <c r="A139" s="150">
        <v>38473</v>
      </c>
      <c r="B139" s="151">
        <v>2475.1799999999998</v>
      </c>
      <c r="I139" s="13"/>
    </row>
    <row r="140" spans="1:10" ht="15" x14ac:dyDescent="0.25">
      <c r="A140" s="150">
        <v>38534</v>
      </c>
      <c r="B140" s="151">
        <v>2480.87</v>
      </c>
      <c r="I140" s="13"/>
    </row>
    <row r="141" spans="1:10" ht="15" x14ac:dyDescent="0.25">
      <c r="A141" s="150">
        <v>38565</v>
      </c>
      <c r="B141" s="151">
        <v>2485.09</v>
      </c>
      <c r="I141" s="13"/>
    </row>
    <row r="142" spans="1:10" ht="15" x14ac:dyDescent="0.25">
      <c r="A142" s="150">
        <v>38596</v>
      </c>
      <c r="B142" s="151">
        <v>2493.79</v>
      </c>
      <c r="I142" s="13"/>
    </row>
    <row r="143" spans="1:10" ht="15" x14ac:dyDescent="0.25">
      <c r="A143" s="150">
        <v>38626</v>
      </c>
      <c r="B143" s="151">
        <v>2512.4899999999998</v>
      </c>
      <c r="I143" s="13"/>
    </row>
    <row r="144" spans="1:10" ht="15" x14ac:dyDescent="0.25">
      <c r="A144" s="150">
        <v>38657</v>
      </c>
      <c r="B144" s="151">
        <v>2526.31</v>
      </c>
      <c r="I144" s="13"/>
    </row>
    <row r="145" spans="1:9" ht="15" x14ac:dyDescent="0.25">
      <c r="A145" s="150">
        <v>38687</v>
      </c>
      <c r="B145" s="151">
        <v>2535.4</v>
      </c>
      <c r="I145" s="13"/>
    </row>
    <row r="146" spans="1:9" ht="15" x14ac:dyDescent="0.25">
      <c r="A146" s="150">
        <v>38718</v>
      </c>
      <c r="B146" s="151">
        <v>2550.36</v>
      </c>
      <c r="I146" s="13"/>
    </row>
    <row r="147" spans="1:9" ht="15" x14ac:dyDescent="0.25">
      <c r="A147" s="150">
        <v>38749</v>
      </c>
      <c r="B147" s="151">
        <v>2560.8200000000002</v>
      </c>
      <c r="I147" s="13"/>
    </row>
    <row r="148" spans="1:9" ht="15" x14ac:dyDescent="0.25">
      <c r="A148" s="150">
        <v>38777</v>
      </c>
      <c r="B148" s="151">
        <v>2571.83</v>
      </c>
      <c r="I148" s="13"/>
    </row>
    <row r="149" spans="1:9" ht="15" x14ac:dyDescent="0.25">
      <c r="A149" s="150">
        <v>38869</v>
      </c>
      <c r="B149" s="151">
        <v>2574.39</v>
      </c>
      <c r="I149" s="13"/>
    </row>
    <row r="150" spans="1:9" ht="15" x14ac:dyDescent="0.25">
      <c r="A150" s="150">
        <v>38808</v>
      </c>
      <c r="B150" s="151">
        <v>2577.23</v>
      </c>
      <c r="I150" s="13"/>
    </row>
    <row r="151" spans="1:9" ht="15" x14ac:dyDescent="0.25">
      <c r="A151" s="150">
        <v>38899</v>
      </c>
      <c r="B151" s="151">
        <v>2579.2800000000002</v>
      </c>
      <c r="I151" s="13"/>
    </row>
    <row r="152" spans="1:9" ht="15" x14ac:dyDescent="0.25">
      <c r="A152" s="150">
        <v>38838</v>
      </c>
      <c r="B152" s="151">
        <v>2579.81</v>
      </c>
      <c r="I152" s="13"/>
    </row>
    <row r="153" spans="1:9" ht="15" x14ac:dyDescent="0.25">
      <c r="A153" s="150">
        <v>38930</v>
      </c>
      <c r="B153" s="151">
        <v>2580.5700000000002</v>
      </c>
      <c r="I153" s="13"/>
    </row>
    <row r="154" spans="1:9" ht="15" x14ac:dyDescent="0.25">
      <c r="A154" s="150">
        <v>38961</v>
      </c>
      <c r="B154" s="151">
        <v>2585.9899999999998</v>
      </c>
      <c r="I154" s="13"/>
    </row>
    <row r="155" spans="1:9" ht="15" x14ac:dyDescent="0.25">
      <c r="A155" s="150">
        <v>38991</v>
      </c>
      <c r="B155" s="151">
        <v>2594.52</v>
      </c>
      <c r="I155" s="13"/>
    </row>
    <row r="156" spans="1:9" ht="15" x14ac:dyDescent="0.25">
      <c r="A156" s="150">
        <v>39022</v>
      </c>
      <c r="B156" s="151">
        <v>2602.56</v>
      </c>
      <c r="I156" s="13"/>
    </row>
    <row r="157" spans="1:9" ht="15" x14ac:dyDescent="0.25">
      <c r="A157" s="150">
        <v>39052</v>
      </c>
      <c r="B157" s="151">
        <v>2615.0500000000002</v>
      </c>
      <c r="I157" s="13"/>
    </row>
    <row r="158" spans="1:9" ht="15" x14ac:dyDescent="0.25">
      <c r="A158" s="150">
        <v>39083</v>
      </c>
      <c r="B158" s="151">
        <v>2626.56</v>
      </c>
      <c r="I158" s="13"/>
    </row>
    <row r="159" spans="1:9" ht="15" x14ac:dyDescent="0.25">
      <c r="A159" s="150">
        <v>39114</v>
      </c>
      <c r="B159" s="151">
        <v>2638.12</v>
      </c>
      <c r="I159" s="13"/>
    </row>
    <row r="160" spans="1:9" ht="15" x14ac:dyDescent="0.25">
      <c r="A160" s="150">
        <v>39142</v>
      </c>
      <c r="B160" s="151">
        <v>2647.88</v>
      </c>
      <c r="I160" s="13"/>
    </row>
    <row r="161" spans="1:9" ht="15" x14ac:dyDescent="0.25">
      <c r="A161" s="150">
        <v>39173</v>
      </c>
      <c r="B161" s="151">
        <v>2654.5</v>
      </c>
      <c r="I161" s="13"/>
    </row>
    <row r="162" spans="1:9" ht="15" x14ac:dyDescent="0.25">
      <c r="A162" s="150">
        <v>39203</v>
      </c>
      <c r="B162" s="151">
        <v>2661.93</v>
      </c>
      <c r="I162" s="13"/>
    </row>
    <row r="163" spans="1:9" ht="15" x14ac:dyDescent="0.25">
      <c r="A163" s="150">
        <v>39234</v>
      </c>
      <c r="B163" s="151">
        <v>2669.38</v>
      </c>
      <c r="I163" s="13"/>
    </row>
    <row r="164" spans="1:9" ht="15" x14ac:dyDescent="0.25">
      <c r="A164" s="150">
        <v>39264</v>
      </c>
      <c r="B164" s="151">
        <v>2675.79</v>
      </c>
      <c r="I164" s="13"/>
    </row>
    <row r="165" spans="1:9" ht="15" x14ac:dyDescent="0.25">
      <c r="A165" s="150">
        <v>39295</v>
      </c>
      <c r="B165" s="151">
        <v>2688.37</v>
      </c>
      <c r="I165" s="13"/>
    </row>
    <row r="166" spans="1:9" ht="15" x14ac:dyDescent="0.25">
      <c r="A166" s="150">
        <v>39326</v>
      </c>
      <c r="B166" s="151">
        <v>2693.21</v>
      </c>
      <c r="I166" s="13"/>
    </row>
    <row r="167" spans="1:9" ht="15" x14ac:dyDescent="0.25">
      <c r="A167" s="150">
        <v>39356</v>
      </c>
      <c r="B167" s="151">
        <v>2701.29</v>
      </c>
      <c r="I167" s="13"/>
    </row>
    <row r="168" spans="1:9" ht="15" x14ac:dyDescent="0.25">
      <c r="A168" s="150">
        <v>39387</v>
      </c>
      <c r="B168" s="151">
        <v>2711.55</v>
      </c>
      <c r="I168" s="13"/>
    </row>
    <row r="169" spans="1:9" ht="15" x14ac:dyDescent="0.25">
      <c r="A169" s="150">
        <v>39417</v>
      </c>
      <c r="B169" s="151">
        <v>2731.62</v>
      </c>
      <c r="I169" s="13"/>
    </row>
    <row r="170" spans="1:9" ht="15" x14ac:dyDescent="0.25">
      <c r="A170" s="150">
        <v>39448</v>
      </c>
      <c r="B170" s="151">
        <v>2746.37</v>
      </c>
      <c r="I170" s="13"/>
    </row>
    <row r="171" spans="1:9" ht="15" x14ac:dyDescent="0.25">
      <c r="A171" s="150">
        <v>39479</v>
      </c>
      <c r="B171" s="151">
        <v>2759.83</v>
      </c>
      <c r="I171" s="13"/>
    </row>
    <row r="172" spans="1:9" ht="15" x14ac:dyDescent="0.25">
      <c r="A172" s="150">
        <v>39508</v>
      </c>
      <c r="B172" s="151">
        <v>2773.08</v>
      </c>
      <c r="I172" s="13"/>
    </row>
    <row r="173" spans="1:9" ht="15" x14ac:dyDescent="0.25">
      <c r="A173" s="150">
        <v>39539</v>
      </c>
      <c r="B173" s="151">
        <v>2788.33</v>
      </c>
      <c r="I173" s="13"/>
    </row>
    <row r="174" spans="1:9" ht="15" x14ac:dyDescent="0.25">
      <c r="A174" s="150">
        <v>39569</v>
      </c>
      <c r="B174" s="151">
        <v>2810.36</v>
      </c>
      <c r="I174" s="13"/>
    </row>
    <row r="175" spans="1:9" ht="15" x14ac:dyDescent="0.25">
      <c r="A175" s="150">
        <v>39600</v>
      </c>
      <c r="B175" s="151">
        <v>2831.16</v>
      </c>
      <c r="I175" s="13"/>
    </row>
    <row r="176" spans="1:9" ht="15" x14ac:dyDescent="0.25">
      <c r="A176" s="150">
        <v>39630</v>
      </c>
      <c r="B176" s="151">
        <v>2846.16</v>
      </c>
      <c r="I176" s="13"/>
    </row>
    <row r="177" spans="1:9" ht="15" x14ac:dyDescent="0.25">
      <c r="A177" s="150">
        <v>39661</v>
      </c>
      <c r="B177" s="151">
        <v>2854.13</v>
      </c>
      <c r="I177" s="13"/>
    </row>
    <row r="178" spans="1:9" ht="15" x14ac:dyDescent="0.25">
      <c r="A178" s="150">
        <v>39692</v>
      </c>
      <c r="B178" s="151">
        <v>2861.55</v>
      </c>
      <c r="I178" s="13"/>
    </row>
    <row r="179" spans="1:9" ht="15" x14ac:dyDescent="0.25">
      <c r="A179" s="150">
        <v>39722</v>
      </c>
      <c r="B179" s="151">
        <v>2874.43</v>
      </c>
      <c r="I179" s="13"/>
    </row>
    <row r="180" spans="1:9" ht="15" x14ac:dyDescent="0.25">
      <c r="A180" s="150">
        <v>39753</v>
      </c>
      <c r="B180" s="151">
        <v>2884.78</v>
      </c>
      <c r="I180" s="13"/>
    </row>
    <row r="181" spans="1:9" ht="15" x14ac:dyDescent="0.25">
      <c r="A181" s="150">
        <v>39783</v>
      </c>
      <c r="B181" s="151">
        <v>2892.86</v>
      </c>
      <c r="I181" s="13"/>
    </row>
    <row r="182" spans="1:9" ht="15" x14ac:dyDescent="0.25">
      <c r="A182" s="150">
        <v>39814</v>
      </c>
      <c r="B182" s="151">
        <v>2906.74</v>
      </c>
      <c r="I182" s="13"/>
    </row>
    <row r="183" spans="1:9" ht="15" x14ac:dyDescent="0.25">
      <c r="A183" s="150">
        <v>39845</v>
      </c>
      <c r="B183" s="151">
        <v>2922.73</v>
      </c>
      <c r="I183" s="13"/>
    </row>
    <row r="184" spans="1:9" ht="15" x14ac:dyDescent="0.25">
      <c r="A184" s="150">
        <v>39873</v>
      </c>
      <c r="B184" s="151">
        <v>2928.57</v>
      </c>
      <c r="I184" s="13"/>
    </row>
    <row r="185" spans="1:9" ht="15" x14ac:dyDescent="0.25">
      <c r="A185" s="150">
        <v>39904</v>
      </c>
      <c r="B185" s="151">
        <v>2942.63</v>
      </c>
      <c r="I185" s="13"/>
    </row>
    <row r="186" spans="1:9" ht="15" x14ac:dyDescent="0.25">
      <c r="A186" s="150">
        <v>39934</v>
      </c>
      <c r="B186" s="151">
        <v>2956.46</v>
      </c>
      <c r="I186" s="13"/>
    </row>
    <row r="187" spans="1:9" ht="15" x14ac:dyDescent="0.25">
      <c r="A187" s="150">
        <v>39965</v>
      </c>
      <c r="B187" s="151">
        <v>2967.1</v>
      </c>
      <c r="I187" s="13"/>
    </row>
    <row r="188" spans="1:9" ht="15" x14ac:dyDescent="0.25">
      <c r="A188" s="150">
        <v>39995</v>
      </c>
      <c r="B188" s="151">
        <v>2974.22</v>
      </c>
      <c r="I188" s="13"/>
    </row>
    <row r="189" spans="1:9" ht="15" x14ac:dyDescent="0.25">
      <c r="A189" s="150">
        <v>40026</v>
      </c>
      <c r="B189" s="151">
        <v>2978.68</v>
      </c>
      <c r="I189" s="13"/>
    </row>
    <row r="190" spans="1:9" ht="15" x14ac:dyDescent="0.25">
      <c r="A190" s="150">
        <v>40057</v>
      </c>
      <c r="B190" s="151">
        <v>2985.83</v>
      </c>
      <c r="I190" s="13"/>
    </row>
    <row r="191" spans="1:9" ht="15" x14ac:dyDescent="0.25">
      <c r="A191" s="150">
        <v>40087</v>
      </c>
      <c r="B191" s="151">
        <v>2994.19</v>
      </c>
      <c r="I191" s="13"/>
    </row>
    <row r="192" spans="1:9" ht="15" x14ac:dyDescent="0.25">
      <c r="A192" s="150">
        <v>40118</v>
      </c>
      <c r="B192" s="151">
        <v>3006.47</v>
      </c>
      <c r="I192" s="13"/>
    </row>
    <row r="193" spans="1:9" ht="15" x14ac:dyDescent="0.25">
      <c r="A193" s="150">
        <v>40148</v>
      </c>
      <c r="B193" s="151">
        <v>3017.59</v>
      </c>
      <c r="I193" s="13"/>
    </row>
    <row r="194" spans="1:9" ht="15" x14ac:dyDescent="0.25">
      <c r="A194" s="150">
        <v>40179</v>
      </c>
      <c r="B194" s="151">
        <v>3040.22</v>
      </c>
      <c r="I194" s="13"/>
    </row>
    <row r="195" spans="1:9" ht="15" x14ac:dyDescent="0.25">
      <c r="A195" s="150">
        <v>40210</v>
      </c>
      <c r="B195" s="151">
        <v>3063.93</v>
      </c>
      <c r="I195" s="13"/>
    </row>
    <row r="196" spans="1:9" ht="15" x14ac:dyDescent="0.25">
      <c r="A196" s="150">
        <v>40238</v>
      </c>
      <c r="B196" s="151">
        <v>3079.86</v>
      </c>
      <c r="I196" s="13"/>
    </row>
    <row r="197" spans="1:9" ht="15" x14ac:dyDescent="0.25">
      <c r="A197" s="150">
        <v>40269</v>
      </c>
      <c r="B197" s="151">
        <v>3097.42</v>
      </c>
      <c r="I197" s="13"/>
    </row>
    <row r="198" spans="1:9" ht="15" x14ac:dyDescent="0.25">
      <c r="A198" s="150">
        <v>40299</v>
      </c>
      <c r="B198" s="151">
        <v>3110.74</v>
      </c>
      <c r="I198" s="13"/>
    </row>
    <row r="199" spans="1:9" ht="15" x14ac:dyDescent="0.25">
      <c r="A199" s="150">
        <v>40330</v>
      </c>
      <c r="B199" s="151">
        <v>3110.74</v>
      </c>
      <c r="I199" s="13"/>
    </row>
    <row r="200" spans="1:9" ht="15" x14ac:dyDescent="0.25">
      <c r="A200" s="150">
        <v>40360</v>
      </c>
      <c r="B200" s="151">
        <v>3111.05</v>
      </c>
      <c r="I200" s="13"/>
    </row>
    <row r="201" spans="1:9" ht="15" x14ac:dyDescent="0.25">
      <c r="A201" s="150">
        <v>40391</v>
      </c>
      <c r="B201" s="151">
        <v>3112.29</v>
      </c>
      <c r="I201" s="13"/>
    </row>
    <row r="202" spans="1:9" ht="15" x14ac:dyDescent="0.25">
      <c r="A202" s="150">
        <v>40422</v>
      </c>
      <c r="B202" s="151">
        <v>3126.29</v>
      </c>
      <c r="I202" s="13"/>
    </row>
    <row r="203" spans="1:9" ht="15" x14ac:dyDescent="0.25">
      <c r="A203" s="150">
        <v>40452</v>
      </c>
      <c r="B203" s="151">
        <v>3149.74</v>
      </c>
      <c r="I203" s="13"/>
    </row>
    <row r="204" spans="1:9" ht="15" x14ac:dyDescent="0.25">
      <c r="A204" s="150">
        <v>40483</v>
      </c>
      <c r="B204" s="151">
        <v>3175.88</v>
      </c>
      <c r="I204" s="13"/>
    </row>
    <row r="205" spans="1:9" ht="15" x14ac:dyDescent="0.25">
      <c r="A205" s="150">
        <v>40513</v>
      </c>
      <c r="B205" s="151">
        <v>3195.89</v>
      </c>
      <c r="I205" s="13"/>
    </row>
    <row r="206" spans="1:9" ht="15" x14ac:dyDescent="0.25">
      <c r="A206" s="150">
        <v>40544</v>
      </c>
      <c r="B206" s="151">
        <v>3222.42</v>
      </c>
      <c r="I206" s="13"/>
    </row>
    <row r="207" spans="1:9" ht="15" x14ac:dyDescent="0.25">
      <c r="A207" s="150">
        <v>40575</v>
      </c>
      <c r="B207" s="151">
        <v>3248.2</v>
      </c>
      <c r="I207" s="13"/>
    </row>
    <row r="208" spans="1:9" ht="15" x14ac:dyDescent="0.25">
      <c r="A208" s="150">
        <v>40603</v>
      </c>
      <c r="B208" s="151">
        <v>3273.86</v>
      </c>
      <c r="I208" s="13"/>
    </row>
    <row r="209" spans="1:9" ht="15" x14ac:dyDescent="0.25">
      <c r="A209" s="150">
        <v>40634</v>
      </c>
      <c r="B209" s="151">
        <v>3299.07</v>
      </c>
      <c r="I209" s="13"/>
    </row>
    <row r="210" spans="1:9" ht="15" x14ac:dyDescent="0.25">
      <c r="A210" s="150">
        <v>40664</v>
      </c>
      <c r="B210" s="151">
        <v>3314.58</v>
      </c>
      <c r="I210" s="13"/>
    </row>
    <row r="211" spans="1:9" ht="15" x14ac:dyDescent="0.25">
      <c r="A211" s="150">
        <v>40695</v>
      </c>
      <c r="B211" s="151">
        <v>3319.55</v>
      </c>
      <c r="I211" s="13"/>
    </row>
    <row r="212" spans="1:9" ht="15" x14ac:dyDescent="0.25">
      <c r="A212" s="150">
        <v>40725</v>
      </c>
      <c r="B212" s="151">
        <v>3324.86</v>
      </c>
      <c r="I212" s="13"/>
    </row>
    <row r="213" spans="1:9" ht="15" x14ac:dyDescent="0.25">
      <c r="A213" s="150">
        <v>40756</v>
      </c>
      <c r="B213" s="151">
        <v>3337.16</v>
      </c>
      <c r="I213" s="13"/>
    </row>
    <row r="214" spans="1:9" ht="15" x14ac:dyDescent="0.25">
      <c r="A214" s="150">
        <v>40787</v>
      </c>
      <c r="B214" s="151">
        <v>3354.85</v>
      </c>
      <c r="I214" s="13"/>
    </row>
    <row r="215" spans="1:9" ht="15" x14ac:dyDescent="0.25">
      <c r="A215" s="150">
        <v>40817</v>
      </c>
      <c r="B215" s="151">
        <v>3369.28</v>
      </c>
      <c r="I215" s="13"/>
    </row>
    <row r="216" spans="1:9" ht="15" x14ac:dyDescent="0.25">
      <c r="A216" s="150">
        <v>40848</v>
      </c>
      <c r="B216" s="151">
        <v>3386.8</v>
      </c>
      <c r="I216" s="13"/>
    </row>
    <row r="217" spans="1:9" ht="15" x14ac:dyDescent="0.25">
      <c r="A217" s="150">
        <v>40878</v>
      </c>
      <c r="B217" s="151">
        <v>3403.73</v>
      </c>
      <c r="I217" s="13"/>
    </row>
    <row r="218" spans="1:9" ht="15" x14ac:dyDescent="0.25">
      <c r="A218" s="150">
        <v>40909</v>
      </c>
      <c r="B218" s="151">
        <v>3422.79</v>
      </c>
      <c r="I218" s="13"/>
    </row>
    <row r="219" spans="1:9" ht="15" x14ac:dyDescent="0.25">
      <c r="A219" s="150">
        <v>40940</v>
      </c>
      <c r="B219" s="151">
        <v>3438.19</v>
      </c>
      <c r="I219" s="13"/>
    </row>
    <row r="220" spans="1:9" ht="15" x14ac:dyDescent="0.25">
      <c r="A220" s="150">
        <v>40969</v>
      </c>
      <c r="B220" s="151">
        <v>3445.41</v>
      </c>
      <c r="I220" s="13"/>
    </row>
    <row r="221" spans="1:9" ht="15" x14ac:dyDescent="0.25">
      <c r="A221" s="150">
        <v>41000</v>
      </c>
      <c r="B221" s="151">
        <v>3467.46</v>
      </c>
      <c r="I221" s="13"/>
    </row>
    <row r="222" spans="1:9" ht="15" x14ac:dyDescent="0.25">
      <c r="A222" s="150">
        <v>41030</v>
      </c>
      <c r="B222" s="151">
        <v>3479.94</v>
      </c>
      <c r="I222" s="13"/>
    </row>
    <row r="223" spans="1:9" ht="15" x14ac:dyDescent="0.25">
      <c r="A223" s="150">
        <v>41061</v>
      </c>
      <c r="B223" s="151">
        <v>3482.72</v>
      </c>
      <c r="I223" s="13"/>
    </row>
    <row r="224" spans="1:9" ht="15" x14ac:dyDescent="0.25">
      <c r="A224" s="150">
        <v>41091</v>
      </c>
      <c r="B224" s="151">
        <v>3497.7</v>
      </c>
      <c r="I224" s="13"/>
    </row>
    <row r="225" spans="1:9" ht="15" x14ac:dyDescent="0.25">
      <c r="A225" s="150">
        <v>41122</v>
      </c>
      <c r="B225" s="151">
        <v>3512.04</v>
      </c>
      <c r="I225" s="13"/>
    </row>
    <row r="226" spans="1:9" ht="15" x14ac:dyDescent="0.25">
      <c r="A226" s="150">
        <v>41153</v>
      </c>
      <c r="B226" s="151">
        <v>3532.06</v>
      </c>
      <c r="I226" s="13"/>
    </row>
    <row r="227" spans="1:9" ht="15" x14ac:dyDescent="0.25">
      <c r="A227" s="150">
        <v>41183</v>
      </c>
      <c r="B227" s="151">
        <v>3552.9</v>
      </c>
      <c r="I227" s="13"/>
    </row>
    <row r="228" spans="1:9" ht="15" x14ac:dyDescent="0.25">
      <c r="A228" s="150">
        <v>41214</v>
      </c>
      <c r="B228" s="151">
        <v>3574.22</v>
      </c>
      <c r="I228" s="13"/>
    </row>
    <row r="229" spans="1:9" ht="15" x14ac:dyDescent="0.25">
      <c r="A229" s="150">
        <v>41244</v>
      </c>
      <c r="B229" s="151">
        <v>3602.46</v>
      </c>
      <c r="I229" s="13"/>
    </row>
    <row r="230" spans="1:9" ht="15" x14ac:dyDescent="0.25">
      <c r="A230" s="150">
        <v>41275</v>
      </c>
      <c r="B230" s="151">
        <v>3633.44</v>
      </c>
      <c r="I230" s="13"/>
    </row>
    <row r="231" spans="1:9" ht="15" x14ac:dyDescent="0.25">
      <c r="A231" s="150">
        <v>41306</v>
      </c>
      <c r="B231" s="151">
        <v>3655.24</v>
      </c>
      <c r="I231" s="13"/>
    </row>
    <row r="232" spans="1:9" ht="15" x14ac:dyDescent="0.25">
      <c r="A232" s="150">
        <v>41334</v>
      </c>
      <c r="B232" s="151">
        <v>3672.42</v>
      </c>
      <c r="I232" s="13"/>
    </row>
    <row r="233" spans="1:9" ht="15" x14ac:dyDescent="0.25">
      <c r="A233" s="150">
        <v>41365</v>
      </c>
      <c r="B233" s="151">
        <v>3692.62</v>
      </c>
      <c r="I233" s="13"/>
    </row>
    <row r="234" spans="1:9" ht="15" x14ac:dyDescent="0.25">
      <c r="A234" s="150">
        <v>41395</v>
      </c>
      <c r="B234" s="151">
        <v>3706.28</v>
      </c>
      <c r="I234" s="13"/>
    </row>
    <row r="235" spans="1:9" ht="15" x14ac:dyDescent="0.25">
      <c r="A235" s="150">
        <v>41426</v>
      </c>
      <c r="B235" s="151">
        <v>3715.92</v>
      </c>
      <c r="I235" s="13"/>
    </row>
    <row r="236" spans="1:9" ht="15" x14ac:dyDescent="0.25">
      <c r="A236" s="150">
        <v>41456</v>
      </c>
      <c r="B236" s="151">
        <v>3717.03</v>
      </c>
      <c r="I236" s="13"/>
    </row>
    <row r="237" spans="1:9" ht="15" x14ac:dyDescent="0.25">
      <c r="A237" s="150">
        <v>41487</v>
      </c>
      <c r="B237" s="151">
        <v>3725.95</v>
      </c>
      <c r="I237" s="13"/>
    </row>
    <row r="238" spans="1:9" ht="15" x14ac:dyDescent="0.25">
      <c r="A238" s="150">
        <v>41518</v>
      </c>
      <c r="B238" s="151">
        <v>3738.99</v>
      </c>
      <c r="I238" s="13"/>
    </row>
    <row r="239" spans="1:9" ht="15" x14ac:dyDescent="0.25">
      <c r="A239" s="150">
        <v>41548</v>
      </c>
      <c r="B239" s="151">
        <v>3760.3</v>
      </c>
      <c r="I239" s="13"/>
    </row>
    <row r="240" spans="1:9" ht="15" x14ac:dyDescent="0.25">
      <c r="A240" s="150">
        <v>41579</v>
      </c>
      <c r="B240" s="151">
        <v>3780.61</v>
      </c>
      <c r="I240" s="13"/>
    </row>
    <row r="241" spans="1:9" ht="15" x14ac:dyDescent="0.25">
      <c r="A241" s="150">
        <v>41609</v>
      </c>
      <c r="B241" s="151">
        <v>3815.39</v>
      </c>
      <c r="I241" s="13"/>
    </row>
    <row r="242" spans="1:9" ht="15" x14ac:dyDescent="0.25">
      <c r="A242" s="150">
        <v>41640</v>
      </c>
      <c r="B242" s="151">
        <v>3836.37</v>
      </c>
      <c r="I242" s="13"/>
    </row>
    <row r="243" spans="1:9" ht="15" x14ac:dyDescent="0.25">
      <c r="A243" s="150">
        <v>41671</v>
      </c>
      <c r="B243" s="151">
        <v>3862.84</v>
      </c>
      <c r="I243" s="13"/>
    </row>
    <row r="244" spans="1:9" ht="15" x14ac:dyDescent="0.25">
      <c r="A244" s="150">
        <v>41699</v>
      </c>
      <c r="B244" s="151">
        <v>3898.38</v>
      </c>
      <c r="I244" s="13"/>
    </row>
    <row r="245" spans="1:9" ht="15" x14ac:dyDescent="0.25">
      <c r="A245" s="150">
        <v>41730</v>
      </c>
      <c r="B245" s="151">
        <v>3924.5</v>
      </c>
      <c r="I245" s="13"/>
    </row>
    <row r="246" spans="1:9" ht="15" x14ac:dyDescent="0.25">
      <c r="A246" s="150">
        <v>41760</v>
      </c>
      <c r="B246" s="151">
        <v>3942.55</v>
      </c>
      <c r="I246" s="13"/>
    </row>
    <row r="247" spans="1:9" ht="15" x14ac:dyDescent="0.25">
      <c r="A247" s="150">
        <v>41791</v>
      </c>
      <c r="B247" s="151">
        <v>3958.32</v>
      </c>
      <c r="I247" s="13"/>
    </row>
    <row r="248" spans="1:9" ht="15" x14ac:dyDescent="0.25">
      <c r="A248" s="150">
        <v>41821</v>
      </c>
      <c r="B248" s="151">
        <v>3958.72</v>
      </c>
      <c r="I248" s="13"/>
    </row>
    <row r="249" spans="1:9" ht="15" x14ac:dyDescent="0.25">
      <c r="A249" s="150">
        <v>41852</v>
      </c>
      <c r="B249" s="151">
        <v>3968.62</v>
      </c>
      <c r="I249" s="13"/>
    </row>
    <row r="250" spans="1:9" ht="15" x14ac:dyDescent="0.25">
      <c r="A250" s="150">
        <v>41883</v>
      </c>
      <c r="B250" s="151">
        <v>3991.24</v>
      </c>
      <c r="I250" s="13"/>
    </row>
    <row r="251" spans="1:9" ht="15" x14ac:dyDescent="0.25">
      <c r="A251" s="150">
        <v>41913</v>
      </c>
      <c r="B251" s="151">
        <v>4008</v>
      </c>
      <c r="I251" s="13"/>
    </row>
    <row r="252" spans="1:9" ht="15" x14ac:dyDescent="0.25">
      <c r="A252" s="150">
        <v>41944</v>
      </c>
      <c r="B252" s="151">
        <v>4028.44</v>
      </c>
      <c r="I252" s="13"/>
    </row>
    <row r="253" spans="1:9" ht="15" x14ac:dyDescent="0.25">
      <c r="A253" s="150">
        <v>41974</v>
      </c>
      <c r="B253" s="151">
        <v>4059.86</v>
      </c>
      <c r="I253" s="13"/>
    </row>
    <row r="254" spans="1:9" ht="15" x14ac:dyDescent="0.25">
      <c r="A254" s="150">
        <v>42005</v>
      </c>
      <c r="B254" s="151">
        <v>4110.2</v>
      </c>
      <c r="I254" s="13"/>
    </row>
    <row r="255" spans="1:9" ht="15" x14ac:dyDescent="0.25">
      <c r="A255" s="150">
        <v>42036</v>
      </c>
      <c r="B255" s="151">
        <v>4160.34</v>
      </c>
      <c r="I255" s="13"/>
    </row>
    <row r="256" spans="1:9" ht="15" x14ac:dyDescent="0.25">
      <c r="A256" s="150">
        <v>42064</v>
      </c>
      <c r="B256" s="151">
        <v>4215.26</v>
      </c>
      <c r="I256" s="13"/>
    </row>
    <row r="257" spans="1:9" ht="15" x14ac:dyDescent="0.25">
      <c r="A257" s="150">
        <v>42095</v>
      </c>
      <c r="B257" s="151">
        <v>4245.1899999999996</v>
      </c>
      <c r="I257" s="13"/>
    </row>
    <row r="258" spans="1:9" ht="15" x14ac:dyDescent="0.25">
      <c r="A258" s="150">
        <v>42125</v>
      </c>
      <c r="B258" s="151">
        <v>4276.6000000000004</v>
      </c>
      <c r="I258" s="13"/>
    </row>
    <row r="259" spans="1:9" ht="15" x14ac:dyDescent="0.25">
      <c r="A259" s="150">
        <v>42156</v>
      </c>
      <c r="B259" s="151">
        <v>4310.3900000000003</v>
      </c>
      <c r="I259" s="13"/>
    </row>
    <row r="260" spans="1:9" ht="15" x14ac:dyDescent="0.25">
      <c r="A260" s="150">
        <v>42186</v>
      </c>
      <c r="B260" s="151">
        <v>4337.1099999999997</v>
      </c>
      <c r="I260" s="13"/>
    </row>
    <row r="261" spans="1:9" ht="15" x14ac:dyDescent="0.25">
      <c r="A261" s="150">
        <v>42217</v>
      </c>
      <c r="B261" s="151">
        <v>4346.6499999999996</v>
      </c>
      <c r="I261" s="13"/>
    </row>
    <row r="262" spans="1:9" ht="15" x14ac:dyDescent="0.25">
      <c r="A262" s="150">
        <v>42248</v>
      </c>
      <c r="B262" s="151">
        <v>4370.12</v>
      </c>
      <c r="I262" s="13"/>
    </row>
    <row r="263" spans="1:9" ht="15" x14ac:dyDescent="0.25">
      <c r="A263" s="150">
        <v>42278</v>
      </c>
      <c r="B263" s="151">
        <v>4405.95</v>
      </c>
      <c r="I263" s="13"/>
    </row>
    <row r="264" spans="1:9" ht="15" x14ac:dyDescent="0.25">
      <c r="A264" s="150">
        <v>42309</v>
      </c>
      <c r="B264" s="151">
        <v>4450.45</v>
      </c>
      <c r="I264" s="13"/>
    </row>
    <row r="265" spans="1:9" ht="15" x14ac:dyDescent="0.25">
      <c r="A265" s="150">
        <v>42339</v>
      </c>
      <c r="B265" s="151">
        <v>4493.17</v>
      </c>
      <c r="I265" s="13"/>
    </row>
    <row r="266" spans="1:9" ht="15" x14ac:dyDescent="0.25">
      <c r="A266" s="150">
        <v>42370</v>
      </c>
      <c r="B266" s="151">
        <v>4550.2299999999996</v>
      </c>
      <c r="I266" s="13"/>
    </row>
    <row r="267" spans="1:9" ht="15" x14ac:dyDescent="0.25">
      <c r="A267" s="150">
        <v>42401</v>
      </c>
      <c r="B267" s="151">
        <v>4591.18</v>
      </c>
      <c r="I267" s="13"/>
    </row>
    <row r="268" spans="1:9" ht="15" x14ac:dyDescent="0.25">
      <c r="A268" s="150">
        <v>42430</v>
      </c>
      <c r="B268" s="151">
        <v>4610.92</v>
      </c>
      <c r="I268" s="13"/>
    </row>
    <row r="269" spans="1:9" ht="15" x14ac:dyDescent="0.25">
      <c r="A269" s="150">
        <v>42461</v>
      </c>
      <c r="B269" s="151">
        <v>4639.05</v>
      </c>
      <c r="I269" s="13"/>
    </row>
    <row r="270" spans="1:9" ht="15" x14ac:dyDescent="0.25">
      <c r="A270" s="150">
        <v>42491</v>
      </c>
      <c r="B270" s="151">
        <v>4675.2299999999996</v>
      </c>
      <c r="I270" s="13"/>
    </row>
    <row r="271" spans="1:9" ht="15" x14ac:dyDescent="0.25">
      <c r="A271" s="150">
        <v>42522</v>
      </c>
      <c r="B271" s="151">
        <v>4691.59</v>
      </c>
      <c r="I271" s="13"/>
    </row>
    <row r="272" spans="1:9" ht="15" x14ac:dyDescent="0.25">
      <c r="A272" s="150">
        <v>42552</v>
      </c>
      <c r="B272" s="151">
        <v>4715.99</v>
      </c>
      <c r="I272" s="13"/>
    </row>
    <row r="273" spans="1:9" ht="15" x14ac:dyDescent="0.25">
      <c r="A273" s="150">
        <v>42583</v>
      </c>
      <c r="B273" s="151">
        <v>4736.74</v>
      </c>
      <c r="I273" s="13"/>
    </row>
    <row r="274" spans="1:9" ht="15" x14ac:dyDescent="0.25">
      <c r="A274" s="150">
        <v>42614</v>
      </c>
      <c r="B274" s="151">
        <v>4740.53</v>
      </c>
      <c r="I274" s="13"/>
    </row>
    <row r="275" spans="1:9" ht="15" x14ac:dyDescent="0.25">
      <c r="A275" s="150">
        <v>42644</v>
      </c>
      <c r="B275" s="151">
        <v>4752.8599999999997</v>
      </c>
      <c r="I275" s="13"/>
    </row>
    <row r="276" spans="1:9" ht="15" x14ac:dyDescent="0.25">
      <c r="A276" s="150">
        <v>42675</v>
      </c>
      <c r="B276" s="151">
        <v>4761.42</v>
      </c>
      <c r="I276" s="13"/>
    </row>
    <row r="277" spans="1:9" ht="15" x14ac:dyDescent="0.25">
      <c r="A277" s="150">
        <v>42705</v>
      </c>
      <c r="B277" s="151">
        <v>4775.7</v>
      </c>
      <c r="I277" s="13"/>
    </row>
    <row r="278" spans="1:9" ht="15" x14ac:dyDescent="0.25">
      <c r="A278" s="150">
        <v>42736</v>
      </c>
      <c r="B278" s="151">
        <v>4793.8500000000004</v>
      </c>
      <c r="I278" s="13"/>
    </row>
    <row r="279" spans="1:9" ht="15" x14ac:dyDescent="0.25">
      <c r="A279" s="150">
        <v>42767</v>
      </c>
      <c r="B279" s="151">
        <v>4809.67</v>
      </c>
      <c r="I279" s="13"/>
    </row>
    <row r="280" spans="1:9" ht="15" x14ac:dyDescent="0.25">
      <c r="A280" s="150">
        <v>42795</v>
      </c>
      <c r="B280" s="151">
        <v>4821.6899999999996</v>
      </c>
      <c r="I280" s="13"/>
    </row>
    <row r="281" spans="1:9" ht="15" x14ac:dyDescent="0.25">
      <c r="A281" s="150">
        <v>42826</v>
      </c>
      <c r="B281" s="151">
        <v>4828.4399999999996</v>
      </c>
      <c r="I281" s="13"/>
    </row>
    <row r="282" spans="1:9" ht="15" x14ac:dyDescent="0.25">
      <c r="A282" s="150">
        <v>42887</v>
      </c>
      <c r="B282" s="151">
        <v>4832.2700000000004</v>
      </c>
      <c r="I282" s="13"/>
    </row>
    <row r="283" spans="1:9" ht="15" x14ac:dyDescent="0.25">
      <c r="A283" s="150">
        <v>42856</v>
      </c>
      <c r="B283" s="151">
        <v>4843.41</v>
      </c>
      <c r="I283" s="13"/>
    </row>
    <row r="284" spans="1:9" ht="15" x14ac:dyDescent="0.25">
      <c r="A284" s="150">
        <v>42917</v>
      </c>
      <c r="B284" s="151">
        <v>4843.87</v>
      </c>
      <c r="I284" s="13"/>
    </row>
    <row r="285" spans="1:9" ht="15" x14ac:dyDescent="0.25">
      <c r="A285" s="150">
        <v>42948</v>
      </c>
      <c r="B285" s="151">
        <v>4853.07</v>
      </c>
      <c r="I285" s="13"/>
    </row>
    <row r="286" spans="1:9" ht="15" x14ac:dyDescent="0.25">
      <c r="A286" s="150">
        <v>42979</v>
      </c>
      <c r="B286" s="151">
        <v>4860.83</v>
      </c>
      <c r="I286" s="13"/>
    </row>
    <row r="287" spans="1:9" ht="15" x14ac:dyDescent="0.25">
      <c r="A287" s="150">
        <v>43009</v>
      </c>
      <c r="B287" s="151">
        <v>4881.25</v>
      </c>
      <c r="I287" s="13"/>
    </row>
    <row r="288" spans="1:9" ht="15" x14ac:dyDescent="0.25">
      <c r="A288" s="150">
        <v>43040</v>
      </c>
      <c r="B288" s="151">
        <v>4894.92</v>
      </c>
      <c r="I288" s="13"/>
    </row>
    <row r="289" spans="1:9" ht="15" x14ac:dyDescent="0.25">
      <c r="A289" s="150">
        <v>43070</v>
      </c>
      <c r="B289" s="151">
        <v>4916.46</v>
      </c>
      <c r="I289" s="13"/>
    </row>
    <row r="290" spans="1:9" ht="15" x14ac:dyDescent="0.25">
      <c r="A290" s="150">
        <v>43101</v>
      </c>
      <c r="B290" s="151">
        <v>4930.72</v>
      </c>
      <c r="I290" s="13"/>
    </row>
    <row r="291" spans="1:9" ht="15" x14ac:dyDescent="0.25">
      <c r="A291" s="150">
        <v>43132</v>
      </c>
      <c r="B291" s="151">
        <v>4946.5</v>
      </c>
      <c r="I291" s="13"/>
    </row>
    <row r="292" spans="1:9" ht="15" x14ac:dyDescent="0.25">
      <c r="A292" s="150">
        <v>43160</v>
      </c>
      <c r="B292" s="151">
        <v>4950.95</v>
      </c>
      <c r="I292" s="13"/>
    </row>
    <row r="293" spans="1:9" ht="15" x14ac:dyDescent="0.25">
      <c r="A293" s="150">
        <v>43191</v>
      </c>
      <c r="B293" s="151">
        <v>4961.84</v>
      </c>
      <c r="I293" s="13"/>
    </row>
    <row r="294" spans="1:9" ht="15" x14ac:dyDescent="0.25">
      <c r="A294" s="150">
        <v>43221</v>
      </c>
      <c r="B294" s="151">
        <v>4981.6899999999996</v>
      </c>
      <c r="I294" s="13"/>
    </row>
    <row r="295" spans="1:9" ht="15" x14ac:dyDescent="0.25">
      <c r="A295" s="150">
        <v>43252</v>
      </c>
      <c r="B295" s="151">
        <v>5044.46</v>
      </c>
      <c r="I295" s="13"/>
    </row>
    <row r="296" spans="1:9" ht="15" x14ac:dyDescent="0.25">
      <c r="A296" s="150">
        <v>43313</v>
      </c>
      <c r="B296" s="151">
        <v>5056.5600000000004</v>
      </c>
      <c r="I296" s="13"/>
    </row>
    <row r="297" spans="1:9" ht="15" x14ac:dyDescent="0.25">
      <c r="A297" s="150">
        <v>43282</v>
      </c>
      <c r="B297" s="151">
        <v>5061.1099999999997</v>
      </c>
      <c r="I297" s="13"/>
    </row>
    <row r="298" spans="1:9" ht="15" x14ac:dyDescent="0.25">
      <c r="A298" s="150">
        <v>43344</v>
      </c>
      <c r="B298" s="151">
        <v>5080.83</v>
      </c>
      <c r="I298" s="13"/>
    </row>
    <row r="299" spans="1:9" ht="15" x14ac:dyDescent="0.25">
      <c r="A299" s="150">
        <v>43405</v>
      </c>
      <c r="B299" s="151">
        <v>5092.97</v>
      </c>
      <c r="I299" s="13"/>
    </row>
    <row r="300" spans="1:9" ht="15" x14ac:dyDescent="0.25">
      <c r="A300" s="150">
        <v>43435</v>
      </c>
      <c r="B300" s="151">
        <v>5100.6099999999997</v>
      </c>
      <c r="I300" s="13"/>
    </row>
    <row r="301" spans="1:9" ht="15" x14ac:dyDescent="0.25">
      <c r="A301" s="150">
        <v>43374</v>
      </c>
      <c r="B301" s="151">
        <v>5103.6899999999996</v>
      </c>
      <c r="I301" s="13"/>
    </row>
    <row r="302" spans="1:9" ht="15" x14ac:dyDescent="0.25">
      <c r="A302" s="150">
        <v>43466</v>
      </c>
      <c r="B302" s="151">
        <v>5116.93</v>
      </c>
      <c r="I302" s="13"/>
    </row>
    <row r="303" spans="1:9" ht="15" x14ac:dyDescent="0.25">
      <c r="A303" s="150">
        <v>43497</v>
      </c>
      <c r="B303" s="151">
        <v>5138.93</v>
      </c>
      <c r="I303" s="13"/>
    </row>
    <row r="304" spans="1:9" ht="15" x14ac:dyDescent="0.25">
      <c r="A304" s="150">
        <v>43525</v>
      </c>
      <c r="B304" s="151">
        <v>5177.47</v>
      </c>
      <c r="I304" s="13"/>
    </row>
    <row r="305" spans="1:9" ht="15" x14ac:dyDescent="0.25">
      <c r="A305" s="150">
        <v>43556</v>
      </c>
      <c r="B305" s="151">
        <v>5206.9799999999996</v>
      </c>
      <c r="I305" s="13"/>
    </row>
    <row r="306" spans="1:9" ht="15" x14ac:dyDescent="0.25">
      <c r="A306" s="150">
        <v>43586</v>
      </c>
      <c r="B306" s="151">
        <v>5213.75</v>
      </c>
      <c r="I306" s="13"/>
    </row>
    <row r="307" spans="1:9" ht="15" x14ac:dyDescent="0.25">
      <c r="A307" s="150">
        <v>43617</v>
      </c>
      <c r="B307" s="151">
        <v>5214.2700000000004</v>
      </c>
      <c r="I307" s="13"/>
    </row>
    <row r="308" spans="1:9" ht="15" x14ac:dyDescent="0.25">
      <c r="A308" s="150">
        <v>43647</v>
      </c>
      <c r="B308" s="151">
        <v>5224.18</v>
      </c>
      <c r="I308" s="13"/>
    </row>
    <row r="309" spans="1:9" ht="15" x14ac:dyDescent="0.25">
      <c r="A309" s="150">
        <v>43709</v>
      </c>
      <c r="B309" s="151">
        <v>5227.84</v>
      </c>
      <c r="I309" s="13"/>
    </row>
    <row r="310" spans="1:9" ht="15" x14ac:dyDescent="0.25">
      <c r="A310" s="150">
        <v>43678</v>
      </c>
      <c r="B310" s="151">
        <v>5229.93</v>
      </c>
      <c r="I310" s="13"/>
    </row>
    <row r="311" spans="1:9" ht="15" x14ac:dyDescent="0.25">
      <c r="A311" s="150">
        <v>43739</v>
      </c>
      <c r="B311" s="151">
        <v>5233.07</v>
      </c>
      <c r="I311" s="13"/>
    </row>
    <row r="312" spans="1:9" ht="15" x14ac:dyDescent="0.25">
      <c r="A312" s="150">
        <v>43770</v>
      </c>
      <c r="B312" s="151">
        <v>5259.76</v>
      </c>
      <c r="I312" s="13"/>
    </row>
    <row r="313" spans="1:9" ht="15" x14ac:dyDescent="0.25">
      <c r="A313" s="150">
        <v>43952</v>
      </c>
      <c r="B313" s="151">
        <v>5311.65</v>
      </c>
      <c r="I313" s="13"/>
    </row>
    <row r="314" spans="1:9" ht="15" x14ac:dyDescent="0.25">
      <c r="A314" s="150">
        <v>43800</v>
      </c>
      <c r="B314" s="151">
        <v>5320.25</v>
      </c>
      <c r="I314" s="13"/>
    </row>
    <row r="315" spans="1:9" ht="15" x14ac:dyDescent="0.25">
      <c r="A315" s="150">
        <v>43983</v>
      </c>
      <c r="B315" s="151">
        <v>5325.46</v>
      </c>
      <c r="I315" s="13"/>
    </row>
    <row r="316" spans="1:9" ht="15" x14ac:dyDescent="0.25">
      <c r="A316" s="150">
        <v>43831</v>
      </c>
      <c r="B316" s="151">
        <v>5331.42</v>
      </c>
      <c r="I316" s="13"/>
    </row>
    <row r="317" spans="1:9" ht="15" x14ac:dyDescent="0.25">
      <c r="A317" s="150">
        <v>43922</v>
      </c>
      <c r="B317" s="151">
        <v>5331.91</v>
      </c>
      <c r="I317" s="13"/>
    </row>
    <row r="318" spans="1:9" ht="15" x14ac:dyDescent="0.25">
      <c r="A318" s="150">
        <v>44013</v>
      </c>
      <c r="B318" s="151">
        <v>5344.63</v>
      </c>
      <c r="I318" s="13"/>
    </row>
    <row r="319" spans="1:9" ht="15" x14ac:dyDescent="0.25">
      <c r="A319" s="150">
        <v>43862</v>
      </c>
      <c r="B319" s="151">
        <v>5344.75</v>
      </c>
      <c r="I319" s="13"/>
    </row>
    <row r="320" spans="1:9" ht="15" x14ac:dyDescent="0.25">
      <c r="A320" s="150">
        <v>43891</v>
      </c>
      <c r="B320" s="151">
        <v>5348.49</v>
      </c>
      <c r="I320" s="13"/>
    </row>
    <row r="321" spans="1:9" ht="15" x14ac:dyDescent="0.25">
      <c r="A321" s="150">
        <v>44044</v>
      </c>
      <c r="B321" s="151">
        <v>5357.46</v>
      </c>
      <c r="I321" s="13"/>
    </row>
    <row r="322" spans="1:9" ht="15" x14ac:dyDescent="0.25">
      <c r="A322" s="150">
        <v>44075</v>
      </c>
      <c r="B322" s="151">
        <v>5391.75</v>
      </c>
      <c r="I322" s="13"/>
    </row>
    <row r="323" spans="1:9" ht="15" x14ac:dyDescent="0.25">
      <c r="A323" s="150">
        <v>44105</v>
      </c>
      <c r="B323" s="151">
        <v>5438.12</v>
      </c>
      <c r="I323" s="13"/>
    </row>
    <row r="324" spans="1:9" ht="15" x14ac:dyDescent="0.25">
      <c r="A324" s="150">
        <v>44136</v>
      </c>
      <c r="B324" s="151">
        <v>5486.52</v>
      </c>
      <c r="I324" s="13"/>
    </row>
    <row r="325" spans="1:9" ht="15" x14ac:dyDescent="0.25">
      <c r="A325" s="150">
        <v>44166</v>
      </c>
      <c r="B325" s="151">
        <v>5560.59</v>
      </c>
      <c r="I325" s="13"/>
    </row>
    <row r="326" spans="1:9" ht="15" x14ac:dyDescent="0.25">
      <c r="A326" s="150">
        <v>44197</v>
      </c>
      <c r="B326" s="151">
        <v>5574.49</v>
      </c>
      <c r="I326" s="13"/>
    </row>
    <row r="327" spans="1:9" ht="15" x14ac:dyDescent="0.25">
      <c r="A327" s="150">
        <v>44228</v>
      </c>
      <c r="B327" s="151">
        <v>5622.43</v>
      </c>
      <c r="I327" s="13"/>
    </row>
    <row r="328" spans="1:9" ht="15" x14ac:dyDescent="0.25">
      <c r="A328" s="150">
        <v>44256</v>
      </c>
      <c r="B328" s="151">
        <v>5674.72</v>
      </c>
      <c r="I328" s="13"/>
    </row>
    <row r="329" spans="1:9" ht="15" x14ac:dyDescent="0.25">
      <c r="A329" s="150">
        <v>44287</v>
      </c>
      <c r="B329" s="151">
        <v>5692.31</v>
      </c>
      <c r="I329" s="13"/>
    </row>
    <row r="330" spans="1:9" ht="15" x14ac:dyDescent="0.25">
      <c r="A330" s="150">
        <v>44317</v>
      </c>
      <c r="B330" s="151">
        <v>5739.56</v>
      </c>
      <c r="I330" s="13"/>
    </row>
    <row r="331" spans="1:9" ht="15" x14ac:dyDescent="0.25">
      <c r="A331" s="150">
        <v>44348</v>
      </c>
      <c r="B331" s="151">
        <v>5769.98</v>
      </c>
      <c r="I331" s="13"/>
    </row>
    <row r="332" spans="1:9" ht="15" x14ac:dyDescent="0.25">
      <c r="A332" s="150">
        <v>44378</v>
      </c>
      <c r="B332" s="151">
        <v>5825.37</v>
      </c>
      <c r="I332" s="13"/>
    </row>
    <row r="333" spans="1:9" ht="15" x14ac:dyDescent="0.25">
      <c r="A333" s="150">
        <v>44409</v>
      </c>
      <c r="B333" s="151">
        <v>5876.05</v>
      </c>
      <c r="I333" s="13"/>
    </row>
    <row r="334" spans="1:9" ht="15" x14ac:dyDescent="0.25">
      <c r="A334" s="150">
        <v>44440</v>
      </c>
      <c r="B334" s="151">
        <v>5944.21</v>
      </c>
      <c r="I334" s="13"/>
    </row>
    <row r="335" spans="1:9" ht="15" x14ac:dyDescent="0.25">
      <c r="A335" s="150">
        <v>44470</v>
      </c>
      <c r="B335" s="151">
        <v>6018.51</v>
      </c>
      <c r="I335" s="13"/>
    </row>
    <row r="336" spans="1:9" ht="15" x14ac:dyDescent="0.25">
      <c r="A336" s="150">
        <v>44501</v>
      </c>
      <c r="B336" s="151">
        <v>6075.69</v>
      </c>
      <c r="I336" s="13"/>
    </row>
    <row r="337" spans="1:9" ht="15" x14ac:dyDescent="0.25">
      <c r="A337" s="150">
        <v>44531</v>
      </c>
      <c r="B337" s="151">
        <v>6120.04</v>
      </c>
      <c r="I337" s="13"/>
    </row>
    <row r="338" spans="1:9" ht="15" x14ac:dyDescent="0.25">
      <c r="A338" s="150">
        <v>44562</v>
      </c>
      <c r="B338" s="151">
        <v>6153.09</v>
      </c>
      <c r="I338" s="13"/>
    </row>
    <row r="339" spans="1:9" ht="15" x14ac:dyDescent="0.25">
      <c r="A339" s="150">
        <v>44593</v>
      </c>
      <c r="B339" s="151">
        <v>6215.24</v>
      </c>
      <c r="I339" s="13"/>
    </row>
    <row r="340" spans="1:9" ht="15" x14ac:dyDescent="0.25">
      <c r="A340" s="150">
        <v>44621</v>
      </c>
      <c r="B340" s="151">
        <v>6315.93</v>
      </c>
      <c r="I340" s="13"/>
    </row>
    <row r="341" spans="1:9" ht="15" x14ac:dyDescent="0.25">
      <c r="A341" s="150">
        <v>44652</v>
      </c>
      <c r="B341" s="151">
        <v>6382.88</v>
      </c>
      <c r="I341" s="13"/>
    </row>
    <row r="342" spans="1:9" ht="15" x14ac:dyDescent="0.25">
      <c r="A342" s="150">
        <v>44682</v>
      </c>
      <c r="B342" s="151">
        <v>6412.88</v>
      </c>
      <c r="I342" s="13"/>
    </row>
    <row r="343" spans="1:9" ht="15" x14ac:dyDescent="0.25">
      <c r="A343" s="150">
        <v>44713</v>
      </c>
      <c r="B343" s="151">
        <v>6455.85</v>
      </c>
      <c r="I343" s="13"/>
    </row>
    <row r="344" spans="1:9" ht="15" x14ac:dyDescent="0.25">
      <c r="A344" s="150">
        <v>44743</v>
      </c>
      <c r="B344" s="151">
        <v>6411.95</v>
      </c>
    </row>
    <row r="345" spans="1:9" ht="15" x14ac:dyDescent="0.25">
      <c r="A345" s="150">
        <v>44774</v>
      </c>
      <c r="B345" s="151">
        <v>6388.87</v>
      </c>
    </row>
    <row r="346" spans="1:9" ht="15" x14ac:dyDescent="0.25">
      <c r="A346" s="150">
        <v>44805</v>
      </c>
      <c r="B346" s="151">
        <v>6370.34</v>
      </c>
    </row>
    <row r="347" spans="1:9" ht="15" x14ac:dyDescent="0.25">
      <c r="A347" s="150">
        <v>44835</v>
      </c>
      <c r="B347" s="151">
        <v>6407.93</v>
      </c>
    </row>
    <row r="348" spans="1:9" ht="15" x14ac:dyDescent="0.25">
      <c r="A348" s="150">
        <v>44866</v>
      </c>
      <c r="B348" s="151">
        <v>6434.2</v>
      </c>
    </row>
    <row r="349" spans="1:9" ht="15" x14ac:dyDescent="0.25">
      <c r="A349" s="150">
        <v>44896</v>
      </c>
      <c r="B349" s="151">
        <v>6474.09</v>
      </c>
    </row>
    <row r="350" spans="1:9" ht="15" x14ac:dyDescent="0.25">
      <c r="A350" s="150">
        <v>44927</v>
      </c>
      <c r="B350" s="151">
        <v>6508.4</v>
      </c>
    </row>
    <row r="351" spans="1:9" ht="15" x14ac:dyDescent="0.25">
      <c r="A351" s="150">
        <v>44958</v>
      </c>
      <c r="B351" s="151">
        <v>6563.07</v>
      </c>
    </row>
    <row r="352" spans="1:9" ht="15" x14ac:dyDescent="0.25">
      <c r="A352" s="150">
        <v>44986</v>
      </c>
      <c r="B352" s="151">
        <v>6609.67</v>
      </c>
    </row>
    <row r="353" spans="1:2" ht="15" x14ac:dyDescent="0.25">
      <c r="A353" s="150">
        <v>45017</v>
      </c>
      <c r="B353" s="151">
        <v>6649.99</v>
      </c>
    </row>
    <row r="354" spans="1:2" ht="15" x14ac:dyDescent="0.25">
      <c r="A354" s="150">
        <v>45047</v>
      </c>
      <c r="B354" s="151">
        <v>6665.28</v>
      </c>
    </row>
    <row r="355" spans="1:2" ht="15" x14ac:dyDescent="0.25">
      <c r="A355" s="150">
        <v>45078</v>
      </c>
      <c r="B355" s="151">
        <v>6659.95</v>
      </c>
    </row>
    <row r="356" spans="1:2" ht="15" x14ac:dyDescent="0.25">
      <c r="A356" s="150">
        <v>45108</v>
      </c>
      <c r="B356" s="151">
        <v>6667.94</v>
      </c>
    </row>
    <row r="357" spans="1:2" ht="15" x14ac:dyDescent="0.25">
      <c r="A357" s="150">
        <v>45139</v>
      </c>
      <c r="B357" s="151">
        <v>6683.28</v>
      </c>
    </row>
    <row r="358" spans="1:2" ht="15" x14ac:dyDescent="0.25">
      <c r="A358" s="150">
        <v>45170</v>
      </c>
      <c r="B358" s="151">
        <v>6700.66</v>
      </c>
    </row>
    <row r="359" spans="1:2" ht="15" x14ac:dyDescent="0.25">
      <c r="A359" s="150">
        <v>45200</v>
      </c>
      <c r="B359" s="151">
        <v>6716.74</v>
      </c>
    </row>
    <row r="360" spans="1:2" ht="15" x14ac:dyDescent="0.25">
      <c r="A360" s="150">
        <v>45231</v>
      </c>
      <c r="B360" s="151">
        <v>6735.55</v>
      </c>
    </row>
    <row r="361" spans="1:2" ht="15" x14ac:dyDescent="0.25">
      <c r="A361" s="150">
        <v>45261</v>
      </c>
      <c r="B361" s="151">
        <v>6773.27</v>
      </c>
    </row>
    <row r="362" spans="1:2" ht="15" x14ac:dyDescent="0.25">
      <c r="A362" s="150">
        <v>45292</v>
      </c>
      <c r="B362" s="151">
        <v>6801.72</v>
      </c>
    </row>
    <row r="363" spans="1:2" ht="15" x14ac:dyDescent="0.25">
      <c r="A363" s="150">
        <v>45323</v>
      </c>
      <c r="B363" s="151">
        <v>6858.17</v>
      </c>
    </row>
    <row r="364" spans="1:2" ht="15" x14ac:dyDescent="0.25">
      <c r="A364" s="150">
        <v>45352</v>
      </c>
      <c r="B364" s="151">
        <v>6869.14</v>
      </c>
    </row>
    <row r="365" spans="1:2" ht="15" x14ac:dyDescent="0.25">
      <c r="A365" s="150">
        <v>45383</v>
      </c>
      <c r="B365" s="151">
        <v>6895.24</v>
      </c>
    </row>
    <row r="366" spans="1:2" ht="15" x14ac:dyDescent="0.25">
      <c r="A366" s="150">
        <v>45413</v>
      </c>
      <c r="B366" s="151">
        <v>6926.96</v>
      </c>
    </row>
    <row r="367" spans="1:2" ht="15" x14ac:dyDescent="0.25">
      <c r="A367" s="150">
        <v>45444</v>
      </c>
      <c r="B367" s="151">
        <v>6941.51</v>
      </c>
    </row>
    <row r="368" spans="1:2" ht="15" x14ac:dyDescent="0.25">
      <c r="A368" s="150">
        <v>45474</v>
      </c>
      <c r="B368" s="151">
        <v>6967.89</v>
      </c>
    </row>
    <row r="369" spans="1:2" ht="15" x14ac:dyDescent="0.25">
      <c r="A369" s="150">
        <v>45505</v>
      </c>
      <c r="B369" s="151">
        <v>6966.5</v>
      </c>
    </row>
    <row r="370" spans="1:2" ht="15" x14ac:dyDescent="0.25">
      <c r="A370" s="150">
        <v>45536</v>
      </c>
      <c r="B370" s="151">
        <v>6997.15</v>
      </c>
    </row>
    <row r="371" spans="1:2" ht="15" x14ac:dyDescent="0.25">
      <c r="A371" s="150">
        <v>45566</v>
      </c>
      <c r="B371" s="151">
        <v>7036.33</v>
      </c>
    </row>
    <row r="372" spans="1:2" ht="15" x14ac:dyDescent="0.25">
      <c r="A372" s="150">
        <v>45597</v>
      </c>
      <c r="B372" s="151">
        <v>7063.77</v>
      </c>
    </row>
    <row r="373" spans="1:2" ht="15" x14ac:dyDescent="0.25">
      <c r="A373" s="150">
        <v>45627</v>
      </c>
      <c r="B373" s="151">
        <v>7100.5</v>
      </c>
    </row>
    <row r="374" spans="1:2" ht="15" x14ac:dyDescent="0.25">
      <c r="A374" s="150">
        <v>45658</v>
      </c>
      <c r="B374" s="151">
        <v>7111.86</v>
      </c>
    </row>
    <row r="375" spans="1:2" ht="15" x14ac:dyDescent="0.25">
      <c r="A375" s="150">
        <v>45689</v>
      </c>
      <c r="B375" s="151">
        <v>7205.03</v>
      </c>
    </row>
    <row r="376" spans="1:2" ht="15" x14ac:dyDescent="0.25">
      <c r="A376" s="150">
        <v>45717</v>
      </c>
      <c r="B376" s="151">
        <v>7245.38</v>
      </c>
    </row>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e7SLC1cVJFDXiqB/AQwU1HVyEq7qLjpOcfBLlgYhP9atr0pdGzma14EuE74fBfzxsCdz0CgMXPanwoGkJYvN+A==" saltValue="HnV3UhKOwxsB30cWfpvztw=="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24</vt:i4>
      </vt:variant>
      <vt:variant>
        <vt:lpstr>Intervalos nomeados</vt:lpstr>
      </vt:variant>
      <vt:variant>
        <vt:i4>1</vt:i4>
      </vt:variant>
    </vt:vector>
  </HeadingPairs>
  <TitlesOfParts>
    <vt:vector size="25" baseType="lpstr">
      <vt:lpstr>BASE EDITAL</vt:lpstr>
      <vt:lpstr>BASE FORMAÇÃO</vt:lpstr>
      <vt:lpstr>EDITAL</vt:lpstr>
      <vt:lpstr>CALCULO PREÇO UNITÁRIO</vt:lpstr>
      <vt:lpstr>QUANTITATIVOS</vt:lpstr>
      <vt:lpstr>PARÂMETROS - MESA</vt:lpstr>
      <vt:lpstr>PARÂMETROS - EST</vt:lpstr>
      <vt:lpstr>MAT SER E DESP - MESA</vt:lpstr>
      <vt:lpstr>MAT SER E DESP - EST</vt:lpstr>
      <vt:lpstr>Energia Elétrica - MESA</vt:lpstr>
      <vt:lpstr>Energia Elétrica - EST</vt:lpstr>
      <vt:lpstr>Equipamentos - MESA</vt:lpstr>
      <vt:lpstr>Equipamentos - EST</vt:lpstr>
      <vt:lpstr>Iluminação - MESA</vt:lpstr>
      <vt:lpstr>Iluminação - EST</vt:lpstr>
      <vt:lpstr>Consumíveis - MESA</vt:lpstr>
      <vt:lpstr>Consumíveis - EST</vt:lpstr>
      <vt:lpstr>MAPA DE PREÇOS</vt:lpstr>
      <vt:lpstr>EDITAL_A</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2025-11-14T17:54:47Z</dcterms:modified>
</cp:coreProperties>
</file>