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192.168.10.4\Dados\planejamento\Documentos\SABRINA\2025\CANIL\ABRIGO DE ANIMAIS\PASTA PARA LICITAÇÃO\"/>
    </mc:Choice>
  </mc:AlternateContent>
  <bookViews>
    <workbookView xWindow="0" yWindow="0" windowWidth="28800" windowHeight="12210" tabRatio="756" firstSheet="1" activeTab="3"/>
  </bookViews>
  <sheets>
    <sheet name="Planilha Orçamentária" sheetId="108" state="hidden" r:id="rId1"/>
    <sheet name="Orçamento Geral" sheetId="116" r:id="rId2"/>
    <sheet name="Composições" sheetId="117" r:id="rId3"/>
    <sheet name="Cronograma" sheetId="119" r:id="rId4"/>
    <sheet name="Quadro de Resumo" sheetId="115" state="hidden" r:id="rId5"/>
    <sheet name="Composição" sheetId="113" state="hidden" r:id="rId6"/>
    <sheet name="Memória de Cálculo" sheetId="118" r:id="rId7"/>
  </sheets>
  <externalReferences>
    <externalReference r:id="rId8"/>
  </externalReferences>
  <definedNames>
    <definedName name="_Fill" localSheetId="0" hidden="1">#REF!</definedName>
    <definedName name="_Fill" hidden="1">#REF!</definedName>
    <definedName name="_xlnm._FilterDatabase" localSheetId="0" hidden="1">'Planilha Orçamentária'!$B$10:$N$10</definedName>
    <definedName name="_Key1" localSheetId="0" hidden="1">#REF!</definedName>
    <definedName name="_Key1" hidden="1">#REF!</definedName>
    <definedName name="_Key2" localSheetId="0" hidden="1">#REF!</definedName>
    <definedName name="_Key2" hidden="1">#REF!</definedName>
    <definedName name="_Order1" hidden="1">255</definedName>
    <definedName name="_Order2" hidden="1">255</definedName>
    <definedName name="_Sort" localSheetId="0" hidden="1">#REF!</definedName>
    <definedName name="_Sort" hidden="1">#REF!</definedName>
    <definedName name="ademir" hidden="1">{#N/A,#N/A,FALSE,"Cronograma";#N/A,#N/A,FALSE,"Cronogr. 2"}</definedName>
    <definedName name="_xlnm.Print_Area" localSheetId="2">Composições!$A$2:$H$96</definedName>
    <definedName name="_xlnm.Print_Area" localSheetId="3">Cronograma!$A$2:$P$37</definedName>
    <definedName name="_xlnm.Print_Area" localSheetId="1">'Orçamento Geral'!$A$1:$R$174</definedName>
    <definedName name="_xlnm.Print_Area" localSheetId="0">'Planilha Orçamentária'!$A$2:$O$142</definedName>
    <definedName name="bosta" hidden="1">{#N/A,#N/A,FALSE,"Cronograma";#N/A,#N/A,FALSE,"Cronogr. 2"}</definedName>
    <definedName name="CA´L" hidden="1">{#N/A,#N/A,FALSE,"Cronograma";#N/A,#N/A,FALSE,"Cronogr. 2"}</definedName>
    <definedName name="concorrentes" hidden="1">{#N/A,#N/A,FALSE,"Cronograma";#N/A,#N/A,FALSE,"Cronogr. 2"}</definedName>
    <definedName name="Popular" hidden="1">{#N/A,#N/A,FALSE,"Cronograma";#N/A,#N/A,FALSE,"Cronogr. 2"}</definedName>
    <definedName name="rio" hidden="1">{#N/A,#N/A,FALSE,"Cronograma";#N/A,#N/A,FALSE,"Cronogr. 2"}</definedName>
    <definedName name="ss" hidden="1">{#N/A,#N/A,FALSE,"Cronograma";#N/A,#N/A,FALSE,"Cronogr. 2"}</definedName>
    <definedName name="_xlnm.Print_Titles" localSheetId="0">'Planilha Orçamentária'!$10:$10</definedName>
    <definedName name="wrn.Cronograma." hidden="1">{#N/A,#N/A,FALSE,"Cronograma";#N/A,#N/A,FALSE,"Cronogr. 2"}</definedName>
    <definedName name="wrn.GERAL." hidden="1">{#N/A,#N/A,FALSE,"ET-CAPA";#N/A,#N/A,FALSE,"ET-PAG1";#N/A,#N/A,FALSE,"ET-PAG2";#N/A,#N/A,FALSE,"ET-PAG3";#N/A,#N/A,FALSE,"ET-PAG4";#N/A,#N/A,FALSE,"ET-PAG5"}</definedName>
    <definedName name="wrn.PENDENCIAS." hidden="1">{#N/A,#N/A,FALSE,"GERAL";#N/A,#N/A,FALSE,"012-96";#N/A,#N/A,FALSE,"018-96";#N/A,#N/A,FALSE,"027-96";#N/A,#N/A,FALSE,"059-96";#N/A,#N/A,FALSE,"076-96";#N/A,#N/A,FALSE,"019-97";#N/A,#N/A,FALSE,"021-97";#N/A,#N/A,FALSE,"022-97";#N/A,#N/A,FALSE,"028-97"}</definedName>
  </definedNames>
  <calcPr calcId="162913"/>
</workbook>
</file>

<file path=xl/calcChain.xml><?xml version="1.0" encoding="utf-8"?>
<calcChain xmlns="http://schemas.openxmlformats.org/spreadsheetml/2006/main">
  <c r="D38" i="119" l="1"/>
  <c r="M160" i="116" l="1"/>
  <c r="N160" i="116"/>
  <c r="M145" i="116" l="1"/>
  <c r="N145" i="116"/>
  <c r="M139" i="116"/>
  <c r="N139" i="116"/>
  <c r="M127" i="116"/>
  <c r="N127" i="116"/>
  <c r="M123" i="116"/>
  <c r="N123" i="116"/>
  <c r="M117" i="116"/>
  <c r="N117" i="116"/>
  <c r="M109" i="116"/>
  <c r="N109" i="116"/>
  <c r="M96" i="116"/>
  <c r="N96" i="116"/>
  <c r="M79" i="116"/>
  <c r="N79" i="116"/>
  <c r="M47" i="116"/>
  <c r="N47" i="116"/>
  <c r="M39" i="116"/>
  <c r="N39" i="116"/>
  <c r="M32" i="116"/>
  <c r="N32" i="116"/>
  <c r="M25" i="116"/>
  <c r="N25" i="116"/>
  <c r="M13" i="116"/>
  <c r="N13" i="116"/>
  <c r="H113" i="116" l="1"/>
  <c r="H114" i="116"/>
  <c r="G114" i="116" s="1"/>
  <c r="J114" i="116" s="1"/>
  <c r="M114" i="116" s="1"/>
  <c r="K114" i="116" l="1"/>
  <c r="N114" i="116" s="1"/>
  <c r="O114" i="116" s="1"/>
  <c r="L114" i="116" l="1"/>
  <c r="H134" i="116"/>
  <c r="G134" i="116" s="1"/>
  <c r="J134" i="116" s="1"/>
  <c r="H133" i="116"/>
  <c r="K133" i="116" s="1"/>
  <c r="N133" i="116" s="1"/>
  <c r="G133" i="116" l="1"/>
  <c r="J133" i="116" s="1"/>
  <c r="M134" i="116"/>
  <c r="K134" i="116"/>
  <c r="N134" i="116" s="1"/>
  <c r="H125" i="116"/>
  <c r="G125" i="116" s="1"/>
  <c r="J125" i="116" s="1"/>
  <c r="H126" i="116"/>
  <c r="G126" i="116" s="1"/>
  <c r="J126" i="116" s="1"/>
  <c r="L134" i="116" l="1"/>
  <c r="O134" i="116"/>
  <c r="K126" i="116"/>
  <c r="N126" i="116" s="1"/>
  <c r="K125" i="116"/>
  <c r="N125" i="116" s="1"/>
  <c r="L126" i="116"/>
  <c r="M126" i="116"/>
  <c r="O126" i="116" s="1"/>
  <c r="M125" i="116"/>
  <c r="L125" i="116" l="1"/>
  <c r="O125" i="116"/>
  <c r="O127" i="116" s="1"/>
  <c r="H27" i="116" l="1"/>
  <c r="H12" i="116"/>
  <c r="K12" i="116" s="1"/>
  <c r="N12" i="116" s="1"/>
  <c r="G12" i="116" l="1"/>
  <c r="J12" i="116" s="1"/>
  <c r="M12" i="116" l="1"/>
  <c r="O12" i="116" s="1"/>
  <c r="L12" i="116"/>
  <c r="G157" i="116" l="1"/>
  <c r="H157" i="116" s="1"/>
  <c r="K157" i="116" s="1"/>
  <c r="N157" i="116" s="1"/>
  <c r="G156" i="116"/>
  <c r="H156" i="116" s="1"/>
  <c r="G155" i="116"/>
  <c r="H155" i="116" s="1"/>
  <c r="J156" i="116" l="1"/>
  <c r="M156" i="116" s="1"/>
  <c r="J157" i="116"/>
  <c r="M157" i="116" s="1"/>
  <c r="O157" i="116" s="1"/>
  <c r="K156" i="116"/>
  <c r="N156" i="116" s="1"/>
  <c r="L157" i="116" l="1"/>
  <c r="L156" i="116"/>
  <c r="O156" i="116"/>
  <c r="G135" i="116" l="1"/>
  <c r="H135" i="116" s="1"/>
  <c r="H149" i="116" l="1"/>
  <c r="B25" i="119" l="1"/>
  <c r="A25" i="119"/>
  <c r="B17" i="119"/>
  <c r="A17" i="119"/>
  <c r="H51" i="116"/>
  <c r="K51" i="116" s="1"/>
  <c r="N51" i="116" s="1"/>
  <c r="H52" i="116"/>
  <c r="H144" i="116"/>
  <c r="G51" i="116" l="1"/>
  <c r="J51" i="116" s="1"/>
  <c r="M51" i="116" s="1"/>
  <c r="O51" i="116" s="1"/>
  <c r="L51" i="116" l="1"/>
  <c r="H143" i="116" l="1"/>
  <c r="I143" i="116" s="1"/>
  <c r="H142" i="116"/>
  <c r="I142" i="116" s="1"/>
  <c r="H63" i="116"/>
  <c r="K63" i="116" s="1"/>
  <c r="N63" i="116" s="1"/>
  <c r="H141" i="116"/>
  <c r="I141" i="116" s="1"/>
  <c r="G63" i="116" l="1"/>
  <c r="J63" i="116" s="1"/>
  <c r="M63" i="116" s="1"/>
  <c r="O63" i="116" s="1"/>
  <c r="L63" i="116" l="1"/>
  <c r="K144" i="116" l="1"/>
  <c r="N144" i="116" s="1"/>
  <c r="K143" i="116"/>
  <c r="N143" i="116" s="1"/>
  <c r="J143" i="116"/>
  <c r="K142" i="116"/>
  <c r="N142" i="116" s="1"/>
  <c r="J142" i="116"/>
  <c r="K141" i="116"/>
  <c r="N141" i="116" s="1"/>
  <c r="J141" i="116"/>
  <c r="G144" i="116" l="1"/>
  <c r="J144" i="116" s="1"/>
  <c r="M144" i="116" s="1"/>
  <c r="O144" i="116" s="1"/>
  <c r="M142" i="116"/>
  <c r="O142" i="116" s="1"/>
  <c r="L142" i="116"/>
  <c r="L143" i="116"/>
  <c r="M143" i="116"/>
  <c r="O143" i="116" s="1"/>
  <c r="M141" i="116"/>
  <c r="L141" i="116"/>
  <c r="O141" i="116" l="1"/>
  <c r="L144" i="116"/>
  <c r="H78" i="116" l="1"/>
  <c r="I78" i="116" s="1"/>
  <c r="F75" i="116"/>
  <c r="H75" i="116" l="1"/>
  <c r="K75" i="116" s="1"/>
  <c r="N75" i="116" s="1"/>
  <c r="F76" i="116"/>
  <c r="H77" i="116"/>
  <c r="K77" i="116" s="1"/>
  <c r="N77" i="116" s="1"/>
  <c r="F72" i="116"/>
  <c r="F73" i="116"/>
  <c r="F74" i="116"/>
  <c r="H76" i="116"/>
  <c r="K76" i="116" s="1"/>
  <c r="H74" i="116"/>
  <c r="K74" i="116" s="1"/>
  <c r="H73" i="116"/>
  <c r="K73" i="116" s="1"/>
  <c r="H72" i="116"/>
  <c r="K72" i="116" s="1"/>
  <c r="K78" i="116"/>
  <c r="N78" i="116" s="1"/>
  <c r="J78" i="116"/>
  <c r="N72" i="116" l="1"/>
  <c r="G72" i="116"/>
  <c r="J72" i="116" s="1"/>
  <c r="M72" i="116" s="1"/>
  <c r="G74" i="116"/>
  <c r="J74" i="116" s="1"/>
  <c r="M74" i="116" s="1"/>
  <c r="G75" i="116"/>
  <c r="J75" i="116" s="1"/>
  <c r="L75" i="116" s="1"/>
  <c r="G77" i="116"/>
  <c r="J77" i="116" s="1"/>
  <c r="M77" i="116" s="1"/>
  <c r="O77" i="116" s="1"/>
  <c r="N73" i="116"/>
  <c r="N74" i="116"/>
  <c r="N76" i="116"/>
  <c r="G76" i="116"/>
  <c r="J76" i="116" s="1"/>
  <c r="M76" i="116" s="1"/>
  <c r="O76" i="116" s="1"/>
  <c r="G73" i="116"/>
  <c r="J73" i="116" s="1"/>
  <c r="M73" i="116" s="1"/>
  <c r="M78" i="116"/>
  <c r="O78" i="116" s="1"/>
  <c r="L78" i="116"/>
  <c r="O74" i="116" l="1"/>
  <c r="L74" i="116"/>
  <c r="L72" i="116"/>
  <c r="M75" i="116"/>
  <c r="O75" i="116" s="1"/>
  <c r="L77" i="116"/>
  <c r="L76" i="116"/>
  <c r="O73" i="116"/>
  <c r="L73" i="116"/>
  <c r="O72" i="116"/>
  <c r="O79" i="116" l="1"/>
  <c r="C17" i="119" s="1"/>
  <c r="N17" i="119" s="1"/>
  <c r="D17" i="119"/>
  <c r="F17" i="119"/>
  <c r="H17" i="119"/>
  <c r="L17" i="119"/>
  <c r="J17" i="119"/>
  <c r="F36" i="116"/>
  <c r="C12" i="118"/>
  <c r="C11" i="118"/>
  <c r="B12" i="118"/>
  <c r="A12" i="118"/>
  <c r="B11" i="118"/>
  <c r="A11" i="118"/>
  <c r="B10" i="118"/>
  <c r="A10" i="118"/>
  <c r="H36" i="116"/>
  <c r="H35" i="116"/>
  <c r="K36" i="116"/>
  <c r="K35" i="116"/>
  <c r="G35" i="116"/>
  <c r="J35" i="116" s="1"/>
  <c r="B26" i="119"/>
  <c r="B24" i="119"/>
  <c r="B23" i="119"/>
  <c r="B22" i="119"/>
  <c r="B21" i="119"/>
  <c r="B20" i="119"/>
  <c r="B19" i="119"/>
  <c r="B18" i="119"/>
  <c r="B16" i="119"/>
  <c r="B15" i="119"/>
  <c r="B14" i="119"/>
  <c r="B13" i="119"/>
  <c r="A26" i="119"/>
  <c r="A24" i="119"/>
  <c r="A23" i="119"/>
  <c r="A22" i="119"/>
  <c r="A21" i="119"/>
  <c r="A20" i="119"/>
  <c r="A19" i="119"/>
  <c r="A18" i="119"/>
  <c r="A16" i="119"/>
  <c r="A15" i="119"/>
  <c r="A14" i="119"/>
  <c r="A13" i="119"/>
  <c r="B12" i="119"/>
  <c r="B11" i="119"/>
  <c r="B10" i="119"/>
  <c r="A12" i="119"/>
  <c r="A11" i="119"/>
  <c r="A10" i="119"/>
  <c r="U5" i="116"/>
  <c r="B5" i="119" s="1"/>
  <c r="U4" i="116"/>
  <c r="B4" i="119" s="1"/>
  <c r="U3" i="116"/>
  <c r="B3" i="119" s="1"/>
  <c r="U2" i="116"/>
  <c r="B2" i="119" s="1"/>
  <c r="P17" i="119" l="1"/>
  <c r="Q17" i="119" s="1"/>
  <c r="B3" i="117"/>
  <c r="B4" i="117"/>
  <c r="N35" i="116"/>
  <c r="B5" i="117"/>
  <c r="B6" i="117"/>
  <c r="N36" i="116"/>
  <c r="M35" i="116"/>
  <c r="L35" i="116"/>
  <c r="G36" i="116"/>
  <c r="J36" i="116" s="1"/>
  <c r="O35" i="116" l="1"/>
  <c r="M36" i="116"/>
  <c r="O36" i="116" s="1"/>
  <c r="L36" i="116"/>
  <c r="J155" i="116" l="1"/>
  <c r="M155" i="116" s="1"/>
  <c r="K155" i="116"/>
  <c r="N155" i="116" s="1"/>
  <c r="O155" i="116" l="1"/>
  <c r="L155" i="116"/>
  <c r="C18" i="118" l="1"/>
  <c r="B18" i="118"/>
  <c r="A18" i="118"/>
  <c r="C15" i="118" l="1"/>
  <c r="B15" i="118"/>
  <c r="A15" i="118"/>
  <c r="C16" i="118"/>
  <c r="B16" i="118"/>
  <c r="A16" i="118"/>
  <c r="C17" i="118"/>
  <c r="B17" i="118"/>
  <c r="A17" i="118"/>
  <c r="C14" i="118"/>
  <c r="B14" i="118"/>
  <c r="A14" i="118"/>
  <c r="B13" i="118"/>
  <c r="A13" i="118"/>
  <c r="C6" i="118"/>
  <c r="C5" i="118"/>
  <c r="C4" i="118"/>
  <c r="C3" i="118"/>
  <c r="H154" i="116" l="1"/>
  <c r="H153" i="116"/>
  <c r="H152" i="116"/>
  <c r="H151" i="116"/>
  <c r="H150" i="116"/>
  <c r="I149" i="116" l="1"/>
  <c r="H148" i="116" l="1"/>
  <c r="E147" i="116"/>
  <c r="D147" i="116"/>
  <c r="H82" i="117"/>
  <c r="H83" i="117"/>
  <c r="H81" i="117"/>
  <c r="F78" i="117" s="1"/>
  <c r="H147" i="116" s="1"/>
  <c r="H80" i="117"/>
  <c r="F77" i="117" s="1"/>
  <c r="G147" i="116" s="1"/>
  <c r="H77" i="117" l="1"/>
  <c r="I147" i="116" s="1"/>
  <c r="E19" i="116"/>
  <c r="D19" i="116"/>
  <c r="H35" i="117"/>
  <c r="H37" i="117"/>
  <c r="H36" i="117"/>
  <c r="H34" i="117"/>
  <c r="F31" i="117" s="1"/>
  <c r="G19" i="116" s="1"/>
  <c r="E20" i="116"/>
  <c r="D20" i="116"/>
  <c r="H28" i="117"/>
  <c r="H27" i="117"/>
  <c r="H26" i="117"/>
  <c r="H24" i="117"/>
  <c r="E15" i="116"/>
  <c r="D15" i="116"/>
  <c r="H18" i="117"/>
  <c r="H17" i="117"/>
  <c r="H16" i="117"/>
  <c r="H15" i="117"/>
  <c r="H14" i="117"/>
  <c r="H12" i="117"/>
  <c r="H31" i="116"/>
  <c r="H138" i="116"/>
  <c r="F32" i="117" l="1"/>
  <c r="H19" i="116" s="1"/>
  <c r="F9" i="117"/>
  <c r="G15" i="116" s="1"/>
  <c r="F21" i="117"/>
  <c r="G20" i="116" s="1"/>
  <c r="E131" i="116" l="1"/>
  <c r="D131" i="116"/>
  <c r="H74" i="117"/>
  <c r="H73" i="117"/>
  <c r="H72" i="117"/>
  <c r="H71" i="117"/>
  <c r="H70" i="117"/>
  <c r="H132" i="116"/>
  <c r="E130" i="116"/>
  <c r="D130" i="116"/>
  <c r="H63" i="117"/>
  <c r="H64" i="117"/>
  <c r="F67" i="117" l="1"/>
  <c r="G131" i="116" s="1"/>
  <c r="J131" i="116" s="1"/>
  <c r="F68" i="117"/>
  <c r="E129" i="116"/>
  <c r="D129" i="116"/>
  <c r="H55" i="117"/>
  <c r="H54" i="117"/>
  <c r="H53" i="117"/>
  <c r="H122" i="116"/>
  <c r="K122" i="116" s="1"/>
  <c r="N122" i="116" s="1"/>
  <c r="H121" i="116"/>
  <c r="K121" i="116" s="1"/>
  <c r="N121" i="116" s="1"/>
  <c r="H120" i="116"/>
  <c r="K120" i="116" s="1"/>
  <c r="N120" i="116" s="1"/>
  <c r="H119" i="116"/>
  <c r="K119" i="116" s="1"/>
  <c r="N119" i="116" s="1"/>
  <c r="H116" i="116"/>
  <c r="H115" i="116"/>
  <c r="H112" i="116"/>
  <c r="H111" i="116"/>
  <c r="K154" i="116"/>
  <c r="N154" i="116" s="1"/>
  <c r="G153" i="116"/>
  <c r="J153" i="116" s="1"/>
  <c r="K152" i="116"/>
  <c r="N152" i="116" s="1"/>
  <c r="K151" i="116"/>
  <c r="N151" i="116" s="1"/>
  <c r="K150" i="116"/>
  <c r="N150" i="116" s="1"/>
  <c r="K149" i="116"/>
  <c r="N149" i="116" s="1"/>
  <c r="K148" i="116"/>
  <c r="N148" i="116" s="1"/>
  <c r="K147" i="116"/>
  <c r="N147" i="116" s="1"/>
  <c r="N159" i="116" s="1"/>
  <c r="J147" i="116"/>
  <c r="M147" i="116" s="1"/>
  <c r="M159" i="116" s="1"/>
  <c r="K138" i="116"/>
  <c r="N138" i="116" s="1"/>
  <c r="K135" i="116"/>
  <c r="N135" i="116" s="1"/>
  <c r="J135" i="116"/>
  <c r="M135" i="116" s="1"/>
  <c r="K132" i="116"/>
  <c r="N132" i="116" s="1"/>
  <c r="H108" i="116"/>
  <c r="H107" i="116"/>
  <c r="G154" i="116" l="1"/>
  <c r="J154" i="116" s="1"/>
  <c r="M154" i="116" s="1"/>
  <c r="O154" i="116" s="1"/>
  <c r="G152" i="116"/>
  <c r="J152" i="116" s="1"/>
  <c r="M152" i="116" s="1"/>
  <c r="O152" i="116" s="1"/>
  <c r="G120" i="116"/>
  <c r="J120" i="116" s="1"/>
  <c r="M120" i="116" s="1"/>
  <c r="O120" i="116" s="1"/>
  <c r="H67" i="117"/>
  <c r="I131" i="116" s="1"/>
  <c r="H131" i="116"/>
  <c r="K131" i="116" s="1"/>
  <c r="N131" i="116" s="1"/>
  <c r="G148" i="116"/>
  <c r="J148" i="116" s="1"/>
  <c r="M148" i="116" s="1"/>
  <c r="O148" i="116" s="1"/>
  <c r="J149" i="116"/>
  <c r="M149" i="116" s="1"/>
  <c r="O149" i="116" s="1"/>
  <c r="G150" i="116"/>
  <c r="J150" i="116" s="1"/>
  <c r="M150" i="116" s="1"/>
  <c r="O150" i="116" s="1"/>
  <c r="O147" i="116"/>
  <c r="G151" i="116"/>
  <c r="J151" i="116" s="1"/>
  <c r="M151" i="116" s="1"/>
  <c r="O151" i="116" s="1"/>
  <c r="M153" i="116"/>
  <c r="K153" i="116"/>
  <c r="N153" i="116" s="1"/>
  <c r="G138" i="116"/>
  <c r="J138" i="116" s="1"/>
  <c r="M138" i="116" s="1"/>
  <c r="O138" i="116" s="1"/>
  <c r="O135" i="116"/>
  <c r="G132" i="116"/>
  <c r="J132" i="116" s="1"/>
  <c r="M132" i="116" s="1"/>
  <c r="O132" i="116" s="1"/>
  <c r="G122" i="116"/>
  <c r="J122" i="116" s="1"/>
  <c r="M122" i="116" s="1"/>
  <c r="O122" i="116" s="1"/>
  <c r="G121" i="116"/>
  <c r="J121" i="116" s="1"/>
  <c r="L121" i="116" s="1"/>
  <c r="G119" i="116"/>
  <c r="J119" i="116" s="1"/>
  <c r="L119" i="116" s="1"/>
  <c r="M131" i="116"/>
  <c r="M133" i="116"/>
  <c r="O133" i="116" s="1"/>
  <c r="L133" i="116"/>
  <c r="L135" i="116"/>
  <c r="L147" i="116"/>
  <c r="L154" i="116" l="1"/>
  <c r="L152" i="116"/>
  <c r="L132" i="116"/>
  <c r="L120" i="116"/>
  <c r="L150" i="116"/>
  <c r="L148" i="116"/>
  <c r="L131" i="116"/>
  <c r="O131" i="116"/>
  <c r="L149" i="116"/>
  <c r="M121" i="116"/>
  <c r="O121" i="116" s="1"/>
  <c r="L151" i="116"/>
  <c r="M119" i="116"/>
  <c r="L122" i="116"/>
  <c r="L153" i="116"/>
  <c r="O153" i="116"/>
  <c r="O139" i="116"/>
  <c r="C24" i="119" s="1"/>
  <c r="L138" i="116"/>
  <c r="H106" i="116"/>
  <c r="H105" i="116"/>
  <c r="H104" i="116"/>
  <c r="H103" i="116"/>
  <c r="H102" i="116"/>
  <c r="H101" i="116"/>
  <c r="H100" i="116"/>
  <c r="H99" i="116"/>
  <c r="D24" i="119" l="1"/>
  <c r="N24" i="119"/>
  <c r="L24" i="119"/>
  <c r="F24" i="119"/>
  <c r="H24" i="119"/>
  <c r="J24" i="119"/>
  <c r="C22" i="119"/>
  <c r="O119" i="116"/>
  <c r="K116" i="116"/>
  <c r="N116" i="116" s="1"/>
  <c r="G116" i="116"/>
  <c r="J116" i="116" s="1"/>
  <c r="K115" i="116"/>
  <c r="N115" i="116" s="1"/>
  <c r="G115" i="116"/>
  <c r="J115" i="116" s="1"/>
  <c r="K113" i="116"/>
  <c r="N113" i="116" s="1"/>
  <c r="K112" i="116"/>
  <c r="N112" i="116" s="1"/>
  <c r="G112" i="116"/>
  <c r="J112" i="116" s="1"/>
  <c r="K111" i="116"/>
  <c r="N111" i="116" s="1"/>
  <c r="G111" i="116"/>
  <c r="J111" i="116" s="1"/>
  <c r="K108" i="116"/>
  <c r="N108" i="116" s="1"/>
  <c r="K107" i="116"/>
  <c r="N107" i="116" s="1"/>
  <c r="G107" i="116"/>
  <c r="J107" i="116" s="1"/>
  <c r="K106" i="116"/>
  <c r="N106" i="116" s="1"/>
  <c r="G106" i="116"/>
  <c r="J106" i="116" s="1"/>
  <c r="K105" i="116"/>
  <c r="N105" i="116" s="1"/>
  <c r="G105" i="116"/>
  <c r="J105" i="116" s="1"/>
  <c r="K104" i="116"/>
  <c r="N104" i="116" s="1"/>
  <c r="G104" i="116"/>
  <c r="J104" i="116" s="1"/>
  <c r="K103" i="116"/>
  <c r="N103" i="116" s="1"/>
  <c r="G103" i="116"/>
  <c r="J103" i="116" s="1"/>
  <c r="K102" i="116"/>
  <c r="N102" i="116" s="1"/>
  <c r="G101" i="116"/>
  <c r="J101" i="116" s="1"/>
  <c r="K100" i="116"/>
  <c r="N100" i="116" s="1"/>
  <c r="G100" i="116"/>
  <c r="J100" i="116" s="1"/>
  <c r="G99" i="116"/>
  <c r="J99" i="116" s="1"/>
  <c r="H98" i="116"/>
  <c r="K98" i="116" s="1"/>
  <c r="N98" i="116" s="1"/>
  <c r="H95" i="116"/>
  <c r="K95" i="116" s="1"/>
  <c r="N95" i="116" s="1"/>
  <c r="H94" i="116"/>
  <c r="K94" i="116" s="1"/>
  <c r="N94" i="116" s="1"/>
  <c r="H93" i="116"/>
  <c r="K93" i="116" s="1"/>
  <c r="N93" i="116" s="1"/>
  <c r="H92" i="116"/>
  <c r="K92" i="116" s="1"/>
  <c r="N92" i="116" s="1"/>
  <c r="H91" i="116"/>
  <c r="K91" i="116" s="1"/>
  <c r="N91" i="116" s="1"/>
  <c r="H90" i="116"/>
  <c r="K90" i="116" s="1"/>
  <c r="N90" i="116" s="1"/>
  <c r="H89" i="116"/>
  <c r="K89" i="116" s="1"/>
  <c r="N89" i="116" s="1"/>
  <c r="H87" i="116"/>
  <c r="K87" i="116" s="1"/>
  <c r="N87" i="116" s="1"/>
  <c r="H86" i="116"/>
  <c r="K86" i="116" s="1"/>
  <c r="N86" i="116" s="1"/>
  <c r="H85" i="116"/>
  <c r="K85" i="116" s="1"/>
  <c r="N85" i="116" s="1"/>
  <c r="H84" i="116"/>
  <c r="K84" i="116" s="1"/>
  <c r="N84" i="116" s="1"/>
  <c r="H83" i="116"/>
  <c r="K83" i="116" s="1"/>
  <c r="N83" i="116" s="1"/>
  <c r="H82" i="116"/>
  <c r="H81" i="116"/>
  <c r="H88" i="116"/>
  <c r="K88" i="116" s="1"/>
  <c r="N88" i="116" s="1"/>
  <c r="H69" i="116"/>
  <c r="E68" i="116"/>
  <c r="D68" i="116"/>
  <c r="H62" i="117"/>
  <c r="F59" i="117" s="1"/>
  <c r="H130" i="116" s="1"/>
  <c r="K130" i="116" s="1"/>
  <c r="N130" i="116" s="1"/>
  <c r="H61" i="117"/>
  <c r="F58" i="117" s="1"/>
  <c r="G130" i="116" s="1"/>
  <c r="J130" i="116" s="1"/>
  <c r="H52" i="117"/>
  <c r="F49" i="117" s="1"/>
  <c r="H129" i="116" s="1"/>
  <c r="K129" i="116" s="1"/>
  <c r="N129" i="116" s="1"/>
  <c r="N136" i="116" s="1"/>
  <c r="H51" i="117"/>
  <c r="F48" i="117" s="1"/>
  <c r="H45" i="117"/>
  <c r="F40" i="117" s="1"/>
  <c r="G68" i="116" s="1"/>
  <c r="H44" i="117"/>
  <c r="H43" i="117"/>
  <c r="H25" i="117"/>
  <c r="F22" i="117" s="1"/>
  <c r="H20" i="116" s="1"/>
  <c r="H13" i="117"/>
  <c r="F10" i="117" s="1"/>
  <c r="H15" i="116" s="1"/>
  <c r="P24" i="119" l="1"/>
  <c r="Q24" i="119" s="1"/>
  <c r="O123" i="116"/>
  <c r="C21" i="119" s="1"/>
  <c r="F22" i="119"/>
  <c r="N22" i="119"/>
  <c r="H22" i="119"/>
  <c r="D22" i="119"/>
  <c r="J22" i="119"/>
  <c r="L22" i="119"/>
  <c r="M130" i="116"/>
  <c r="O130" i="116" s="1"/>
  <c r="L130" i="116"/>
  <c r="H21" i="117"/>
  <c r="I20" i="116" s="1"/>
  <c r="H48" i="117"/>
  <c r="I129" i="116" s="1"/>
  <c r="G129" i="116"/>
  <c r="J129" i="116" s="1"/>
  <c r="G94" i="116"/>
  <c r="J94" i="116" s="1"/>
  <c r="M94" i="116" s="1"/>
  <c r="O94" i="116" s="1"/>
  <c r="G113" i="116"/>
  <c r="J113" i="116" s="1"/>
  <c r="M113" i="116" s="1"/>
  <c r="O113" i="116" s="1"/>
  <c r="G108" i="116"/>
  <c r="J108" i="116" s="1"/>
  <c r="M108" i="116" s="1"/>
  <c r="O108" i="116" s="1"/>
  <c r="G102" i="116"/>
  <c r="J102" i="116" s="1"/>
  <c r="M102" i="116" s="1"/>
  <c r="O102" i="116" s="1"/>
  <c r="K101" i="116"/>
  <c r="N101" i="116" s="1"/>
  <c r="K99" i="116"/>
  <c r="N99" i="116" s="1"/>
  <c r="G98" i="116"/>
  <c r="J98" i="116" s="1"/>
  <c r="L98" i="116" s="1"/>
  <c r="M105" i="116"/>
  <c r="O105" i="116" s="1"/>
  <c r="L105" i="116"/>
  <c r="M99" i="116"/>
  <c r="M112" i="116"/>
  <c r="O112" i="116" s="1"/>
  <c r="L112" i="116"/>
  <c r="M106" i="116"/>
  <c r="O106" i="116" s="1"/>
  <c r="L106" i="116"/>
  <c r="M100" i="116"/>
  <c r="O100" i="116" s="1"/>
  <c r="L100" i="116"/>
  <c r="M107" i="116"/>
  <c r="O107" i="116" s="1"/>
  <c r="L107" i="116"/>
  <c r="M101" i="116"/>
  <c r="M115" i="116"/>
  <c r="O115" i="116" s="1"/>
  <c r="L115" i="116"/>
  <c r="M103" i="116"/>
  <c r="O103" i="116" s="1"/>
  <c r="L103" i="116"/>
  <c r="M116" i="116"/>
  <c r="O116" i="116" s="1"/>
  <c r="L116" i="116"/>
  <c r="M104" i="116"/>
  <c r="O104" i="116" s="1"/>
  <c r="L104" i="116"/>
  <c r="M111" i="116"/>
  <c r="L111" i="116"/>
  <c r="G95" i="116"/>
  <c r="J95" i="116" s="1"/>
  <c r="M95" i="116" s="1"/>
  <c r="O95" i="116" s="1"/>
  <c r="G93" i="116"/>
  <c r="J93" i="116" s="1"/>
  <c r="M93" i="116" s="1"/>
  <c r="O93" i="116" s="1"/>
  <c r="G92" i="116"/>
  <c r="J92" i="116" s="1"/>
  <c r="L92" i="116" s="1"/>
  <c r="G90" i="116"/>
  <c r="J90" i="116" s="1"/>
  <c r="M90" i="116" s="1"/>
  <c r="O90" i="116" s="1"/>
  <c r="G89" i="116"/>
  <c r="J89" i="116" s="1"/>
  <c r="M89" i="116" s="1"/>
  <c r="O89" i="116" s="1"/>
  <c r="G88" i="116"/>
  <c r="J88" i="116" s="1"/>
  <c r="M88" i="116" s="1"/>
  <c r="O88" i="116" s="1"/>
  <c r="G87" i="116"/>
  <c r="J87" i="116" s="1"/>
  <c r="M87" i="116" s="1"/>
  <c r="O87" i="116" s="1"/>
  <c r="G86" i="116"/>
  <c r="J86" i="116" s="1"/>
  <c r="M86" i="116" s="1"/>
  <c r="O86" i="116" s="1"/>
  <c r="G85" i="116"/>
  <c r="J85" i="116" s="1"/>
  <c r="M85" i="116" s="1"/>
  <c r="O85" i="116" s="1"/>
  <c r="G84" i="116"/>
  <c r="J84" i="116" s="1"/>
  <c r="L84" i="116" s="1"/>
  <c r="G91" i="116"/>
  <c r="J91" i="116" s="1"/>
  <c r="M91" i="116" s="1"/>
  <c r="O91" i="116" s="1"/>
  <c r="G83" i="116"/>
  <c r="J83" i="116" s="1"/>
  <c r="M83" i="116" s="1"/>
  <c r="O83" i="116" s="1"/>
  <c r="F41" i="117"/>
  <c r="H9" i="117"/>
  <c r="I15" i="116" s="1"/>
  <c r="H31" i="117"/>
  <c r="I19" i="116" s="1"/>
  <c r="H58" i="117"/>
  <c r="I130" i="116" s="1"/>
  <c r="D21" i="119" l="1"/>
  <c r="J21" i="119"/>
  <c r="H21" i="119"/>
  <c r="F21" i="119"/>
  <c r="L21" i="119"/>
  <c r="N21" i="119"/>
  <c r="P21" i="119"/>
  <c r="Q21" i="119" s="1"/>
  <c r="P22" i="119"/>
  <c r="Q22" i="119" s="1"/>
  <c r="M98" i="116"/>
  <c r="M129" i="116"/>
  <c r="M136" i="116" s="1"/>
  <c r="L129" i="116"/>
  <c r="L94" i="116"/>
  <c r="L101" i="116"/>
  <c r="M92" i="116"/>
  <c r="O92" i="116" s="1"/>
  <c r="O101" i="116"/>
  <c r="L91" i="116"/>
  <c r="O111" i="116"/>
  <c r="O117" i="116" s="1"/>
  <c r="L113" i="116"/>
  <c r="H40" i="117"/>
  <c r="I68" i="116" s="1"/>
  <c r="H68" i="116"/>
  <c r="L108" i="116"/>
  <c r="L102" i="116"/>
  <c r="O99" i="116"/>
  <c r="L99" i="116"/>
  <c r="L86" i="116"/>
  <c r="L93" i="116"/>
  <c r="L95" i="116"/>
  <c r="L90" i="116"/>
  <c r="L89" i="116"/>
  <c r="L88" i="116"/>
  <c r="L87" i="116"/>
  <c r="L85" i="116"/>
  <c r="M84" i="116"/>
  <c r="O84" i="116" s="1"/>
  <c r="L83" i="116"/>
  <c r="C20" i="119" l="1"/>
  <c r="O98" i="116"/>
  <c r="O109" i="116" s="1"/>
  <c r="O129" i="116"/>
  <c r="C19" i="119"/>
  <c r="H67" i="116"/>
  <c r="K67" i="116" s="1"/>
  <c r="N67" i="116" s="1"/>
  <c r="H66" i="116"/>
  <c r="G66" i="116" s="1"/>
  <c r="J66" i="116" s="1"/>
  <c r="H65" i="116"/>
  <c r="K65" i="116" s="1"/>
  <c r="N65" i="116" s="1"/>
  <c r="H64" i="116"/>
  <c r="K64" i="116" s="1"/>
  <c r="N64" i="116" s="1"/>
  <c r="H62" i="116"/>
  <c r="K62" i="116" s="1"/>
  <c r="N62" i="116" s="1"/>
  <c r="H61" i="116"/>
  <c r="K61" i="116" s="1"/>
  <c r="N61" i="116" s="1"/>
  <c r="H60" i="116"/>
  <c r="K60" i="116" s="1"/>
  <c r="N60" i="116" s="1"/>
  <c r="H59" i="116"/>
  <c r="K59" i="116" s="1"/>
  <c r="N59" i="116" s="1"/>
  <c r="H58" i="116"/>
  <c r="K58" i="116" s="1"/>
  <c r="N58" i="116" s="1"/>
  <c r="H57" i="116"/>
  <c r="K57" i="116" s="1"/>
  <c r="N57" i="116" s="1"/>
  <c r="H55" i="116"/>
  <c r="K55" i="116" s="1"/>
  <c r="N55" i="116" s="1"/>
  <c r="H54" i="116"/>
  <c r="H53" i="116"/>
  <c r="G52" i="116"/>
  <c r="H50" i="116"/>
  <c r="H49" i="116"/>
  <c r="K69" i="116"/>
  <c r="N69" i="116" s="1"/>
  <c r="K68" i="116"/>
  <c r="N68" i="116" s="1"/>
  <c r="N70" i="116" s="1"/>
  <c r="J68" i="116"/>
  <c r="H56" i="116"/>
  <c r="K56" i="116" s="1"/>
  <c r="N56" i="116" s="1"/>
  <c r="H46" i="116"/>
  <c r="G46" i="116" s="1"/>
  <c r="J46" i="116" s="1"/>
  <c r="H45" i="116"/>
  <c r="G45" i="116" s="1"/>
  <c r="J45" i="116" s="1"/>
  <c r="H44" i="116"/>
  <c r="K44" i="116" s="1"/>
  <c r="N44" i="116" s="1"/>
  <c r="H43" i="116"/>
  <c r="K43" i="116" s="1"/>
  <c r="N43" i="116" s="1"/>
  <c r="H42" i="116"/>
  <c r="H41" i="116"/>
  <c r="H38" i="116"/>
  <c r="H37" i="116"/>
  <c r="H34" i="116"/>
  <c r="K66" i="116" l="1"/>
  <c r="N66" i="116" s="1"/>
  <c r="L20" i="119"/>
  <c r="N20" i="119"/>
  <c r="J20" i="119"/>
  <c r="H20" i="119"/>
  <c r="F20" i="119"/>
  <c r="D20" i="119"/>
  <c r="O136" i="116"/>
  <c r="F19" i="119"/>
  <c r="D19" i="119"/>
  <c r="H19" i="119"/>
  <c r="J19" i="119"/>
  <c r="L19" i="119"/>
  <c r="N19" i="119"/>
  <c r="K46" i="116"/>
  <c r="N46" i="116" s="1"/>
  <c r="K45" i="116"/>
  <c r="N45" i="116" s="1"/>
  <c r="G69" i="116"/>
  <c r="J69" i="116" s="1"/>
  <c r="M69" i="116" s="1"/>
  <c r="O69" i="116" s="1"/>
  <c r="G67" i="116"/>
  <c r="J67" i="116" s="1"/>
  <c r="M67" i="116" s="1"/>
  <c r="O67" i="116" s="1"/>
  <c r="G65" i="116"/>
  <c r="J65" i="116" s="1"/>
  <c r="L65" i="116" s="1"/>
  <c r="G64" i="116"/>
  <c r="J64" i="116" s="1"/>
  <c r="M64" i="116" s="1"/>
  <c r="O64" i="116" s="1"/>
  <c r="G62" i="116"/>
  <c r="J62" i="116" s="1"/>
  <c r="M62" i="116" s="1"/>
  <c r="O62" i="116" s="1"/>
  <c r="G61" i="116"/>
  <c r="J61" i="116" s="1"/>
  <c r="M61" i="116" s="1"/>
  <c r="O61" i="116" s="1"/>
  <c r="G60" i="116"/>
  <c r="J60" i="116" s="1"/>
  <c r="M60" i="116" s="1"/>
  <c r="O60" i="116" s="1"/>
  <c r="G59" i="116"/>
  <c r="J59" i="116" s="1"/>
  <c r="M59" i="116" s="1"/>
  <c r="O59" i="116" s="1"/>
  <c r="G58" i="116"/>
  <c r="J58" i="116" s="1"/>
  <c r="L58" i="116" s="1"/>
  <c r="G57" i="116"/>
  <c r="J57" i="116" s="1"/>
  <c r="L57" i="116" s="1"/>
  <c r="G56" i="116"/>
  <c r="J56" i="116" s="1"/>
  <c r="M56" i="116" s="1"/>
  <c r="O56" i="116" s="1"/>
  <c r="G55" i="116"/>
  <c r="J55" i="116" s="1"/>
  <c r="L55" i="116" s="1"/>
  <c r="M68" i="116"/>
  <c r="M70" i="116" s="1"/>
  <c r="L68" i="116"/>
  <c r="L66" i="116"/>
  <c r="M66" i="116"/>
  <c r="O66" i="116" s="1"/>
  <c r="G44" i="116"/>
  <c r="J44" i="116" s="1"/>
  <c r="M44" i="116" s="1"/>
  <c r="O44" i="116" s="1"/>
  <c r="G43" i="116"/>
  <c r="J43" i="116" s="1"/>
  <c r="L43" i="116" s="1"/>
  <c r="M45" i="116"/>
  <c r="M46" i="116"/>
  <c r="P20" i="119" l="1"/>
  <c r="Q20" i="119" s="1"/>
  <c r="C23" i="119"/>
  <c r="P19" i="119"/>
  <c r="Q19" i="119" s="1"/>
  <c r="M43" i="116"/>
  <c r="O43" i="116" s="1"/>
  <c r="L44" i="116"/>
  <c r="L59" i="116"/>
  <c r="O68" i="116"/>
  <c r="L46" i="116"/>
  <c r="O46" i="116"/>
  <c r="L69" i="116"/>
  <c r="L45" i="116"/>
  <c r="O45" i="116"/>
  <c r="L67" i="116"/>
  <c r="M58" i="116"/>
  <c r="O58" i="116" s="1"/>
  <c r="M65" i="116"/>
  <c r="O65" i="116" s="1"/>
  <c r="M57" i="116"/>
  <c r="O57" i="116" s="1"/>
  <c r="L64" i="116"/>
  <c r="L61" i="116"/>
  <c r="L60" i="116"/>
  <c r="L56" i="116"/>
  <c r="L62" i="116"/>
  <c r="M55" i="116"/>
  <c r="O55" i="116" s="1"/>
  <c r="D23" i="119" l="1"/>
  <c r="H23" i="119"/>
  <c r="L23" i="119"/>
  <c r="F23" i="119"/>
  <c r="J23" i="119"/>
  <c r="N23" i="119"/>
  <c r="K27" i="116"/>
  <c r="N27" i="116" s="1"/>
  <c r="H30" i="116"/>
  <c r="K30" i="116" s="1"/>
  <c r="N30" i="116" s="1"/>
  <c r="H29" i="116"/>
  <c r="K29" i="116" s="1"/>
  <c r="N29" i="116" s="1"/>
  <c r="H28" i="116"/>
  <c r="K28" i="116" s="1"/>
  <c r="N28" i="116" s="1"/>
  <c r="H24" i="116"/>
  <c r="K24" i="116" s="1"/>
  <c r="N24" i="116" s="1"/>
  <c r="K82" i="116"/>
  <c r="N82" i="116" s="1"/>
  <c r="G82" i="116"/>
  <c r="J82" i="116" s="1"/>
  <c r="K81" i="116"/>
  <c r="N81" i="116" s="1"/>
  <c r="K54" i="116"/>
  <c r="N54" i="116" s="1"/>
  <c r="K53" i="116"/>
  <c r="N53" i="116" s="1"/>
  <c r="K52" i="116"/>
  <c r="N52" i="116" s="1"/>
  <c r="K50" i="116"/>
  <c r="N50" i="116" s="1"/>
  <c r="K49" i="116"/>
  <c r="N49" i="116" s="1"/>
  <c r="G49" i="116"/>
  <c r="J49" i="116" s="1"/>
  <c r="K42" i="116"/>
  <c r="N42" i="116" s="1"/>
  <c r="K41" i="116"/>
  <c r="N41" i="116" s="1"/>
  <c r="K38" i="116"/>
  <c r="N38" i="116" s="1"/>
  <c r="K37" i="116"/>
  <c r="N37" i="116" s="1"/>
  <c r="G37" i="116"/>
  <c r="J37" i="116" s="1"/>
  <c r="K34" i="116"/>
  <c r="N34" i="116" s="1"/>
  <c r="G34" i="116"/>
  <c r="J34" i="116" s="1"/>
  <c r="K31" i="116"/>
  <c r="N31" i="116" s="1"/>
  <c r="H21" i="116"/>
  <c r="K21" i="116" s="1"/>
  <c r="N21" i="116" s="1"/>
  <c r="H18" i="116"/>
  <c r="K18" i="116" s="1"/>
  <c r="N18" i="116" s="1"/>
  <c r="K20" i="116"/>
  <c r="N20" i="116" s="1"/>
  <c r="H17" i="116"/>
  <c r="G17" i="116" s="1"/>
  <c r="J17" i="116" s="1"/>
  <c r="H16" i="116"/>
  <c r="K16" i="116" s="1"/>
  <c r="N16" i="116" s="1"/>
  <c r="J19" i="116"/>
  <c r="K15" i="116"/>
  <c r="N15" i="116" s="1"/>
  <c r="P23" i="119" l="1"/>
  <c r="Q23" i="119" s="1"/>
  <c r="J15" i="116"/>
  <c r="M15" i="116" s="1"/>
  <c r="G81" i="116"/>
  <c r="J81" i="116" s="1"/>
  <c r="L81" i="116" s="1"/>
  <c r="G54" i="116"/>
  <c r="J54" i="116" s="1"/>
  <c r="L54" i="116" s="1"/>
  <c r="J52" i="116"/>
  <c r="L52" i="116" s="1"/>
  <c r="G31" i="116"/>
  <c r="J31" i="116" s="1"/>
  <c r="L31" i="116" s="1"/>
  <c r="G42" i="116"/>
  <c r="J42" i="116" s="1"/>
  <c r="M42" i="116" s="1"/>
  <c r="O42" i="116" s="1"/>
  <c r="G29" i="116"/>
  <c r="J29" i="116" s="1"/>
  <c r="M29" i="116" s="1"/>
  <c r="O29" i="116" s="1"/>
  <c r="G53" i="116"/>
  <c r="J53" i="116" s="1"/>
  <c r="M53" i="116" s="1"/>
  <c r="O53" i="116" s="1"/>
  <c r="J20" i="116"/>
  <c r="M20" i="116" s="1"/>
  <c r="O20" i="116" s="1"/>
  <c r="G38" i="116"/>
  <c r="J38" i="116" s="1"/>
  <c r="L38" i="116" s="1"/>
  <c r="G50" i="116"/>
  <c r="J50" i="116" s="1"/>
  <c r="M50" i="116" s="1"/>
  <c r="O50" i="116" s="1"/>
  <c r="G21" i="116"/>
  <c r="J21" i="116" s="1"/>
  <c r="M21" i="116" s="1"/>
  <c r="O21" i="116" s="1"/>
  <c r="G30" i="116"/>
  <c r="J30" i="116" s="1"/>
  <c r="L30" i="116" s="1"/>
  <c r="G28" i="116"/>
  <c r="J28" i="116" s="1"/>
  <c r="M28" i="116" s="1"/>
  <c r="G27" i="116"/>
  <c r="J27" i="116" s="1"/>
  <c r="L27" i="116" s="1"/>
  <c r="G41" i="116"/>
  <c r="J41" i="116" s="1"/>
  <c r="L41" i="116" s="1"/>
  <c r="G24" i="116"/>
  <c r="J24" i="116" s="1"/>
  <c r="M24" i="116" s="1"/>
  <c r="M82" i="116"/>
  <c r="O82" i="116" s="1"/>
  <c r="L82" i="116"/>
  <c r="M49" i="116"/>
  <c r="L49" i="116"/>
  <c r="M34" i="116"/>
  <c r="L34" i="116"/>
  <c r="M37" i="116"/>
  <c r="O37" i="116" s="1"/>
  <c r="L37" i="116"/>
  <c r="G18" i="116"/>
  <c r="J18" i="116" s="1"/>
  <c r="M18" i="116" s="1"/>
  <c r="O18" i="116" s="1"/>
  <c r="G16" i="116"/>
  <c r="J16" i="116" s="1"/>
  <c r="L16" i="116" s="1"/>
  <c r="M19" i="116"/>
  <c r="M17" i="116"/>
  <c r="K17" i="116"/>
  <c r="N17" i="116" s="1"/>
  <c r="K19" i="116"/>
  <c r="N19" i="116" s="1"/>
  <c r="N22" i="116" s="1"/>
  <c r="M22" i="116" l="1"/>
  <c r="L15" i="116"/>
  <c r="M31" i="116"/>
  <c r="O31" i="116" s="1"/>
  <c r="O49" i="116"/>
  <c r="O34" i="116"/>
  <c r="M81" i="116"/>
  <c r="L42" i="116"/>
  <c r="M54" i="116"/>
  <c r="O54" i="116" s="1"/>
  <c r="M41" i="116"/>
  <c r="M52" i="116"/>
  <c r="O52" i="116" s="1"/>
  <c r="L29" i="116"/>
  <c r="M27" i="116"/>
  <c r="L28" i="116"/>
  <c r="O28" i="116"/>
  <c r="L50" i="116"/>
  <c r="L20" i="116"/>
  <c r="L21" i="116"/>
  <c r="M38" i="116"/>
  <c r="O38" i="116" s="1"/>
  <c r="L53" i="116"/>
  <c r="O24" i="116"/>
  <c r="O25" i="116" s="1"/>
  <c r="C12" i="119" s="1"/>
  <c r="M30" i="116"/>
  <c r="O30" i="116" s="1"/>
  <c r="O15" i="116"/>
  <c r="L24" i="116"/>
  <c r="M16" i="116"/>
  <c r="O16" i="116" s="1"/>
  <c r="L18" i="116"/>
  <c r="O19" i="116"/>
  <c r="O17" i="116"/>
  <c r="L17" i="116"/>
  <c r="L19" i="116"/>
  <c r="O13" i="116" l="1"/>
  <c r="C10" i="119" s="1"/>
  <c r="O70" i="116"/>
  <c r="J12" i="119"/>
  <c r="H12" i="119"/>
  <c r="F12" i="119"/>
  <c r="D12" i="119"/>
  <c r="L12" i="119"/>
  <c r="N12" i="119"/>
  <c r="O27" i="116"/>
  <c r="O41" i="116"/>
  <c r="O47" i="116" s="1"/>
  <c r="C15" i="119" s="1"/>
  <c r="C16" i="119"/>
  <c r="O81" i="116"/>
  <c r="O96" i="116" s="1"/>
  <c r="C18" i="119" s="1"/>
  <c r="O22" i="116"/>
  <c r="C11" i="119" s="1"/>
  <c r="O39" i="116"/>
  <c r="N10" i="119" l="1"/>
  <c r="F10" i="119"/>
  <c r="H10" i="119"/>
  <c r="L10" i="119"/>
  <c r="J10" i="119"/>
  <c r="D10" i="119"/>
  <c r="P10" i="119" s="1"/>
  <c r="O32" i="116"/>
  <c r="C13" i="119" s="1"/>
  <c r="L18" i="119"/>
  <c r="H18" i="119"/>
  <c r="J18" i="119"/>
  <c r="N18" i="119"/>
  <c r="D18" i="119"/>
  <c r="F18" i="119"/>
  <c r="D15" i="119"/>
  <c r="J15" i="119"/>
  <c r="H15" i="119"/>
  <c r="F15" i="119"/>
  <c r="N15" i="119"/>
  <c r="L15" i="119"/>
  <c r="C14" i="119"/>
  <c r="N11" i="119"/>
  <c r="F11" i="119"/>
  <c r="L11" i="119"/>
  <c r="J11" i="119"/>
  <c r="H11" i="119"/>
  <c r="D11" i="119"/>
  <c r="J16" i="119"/>
  <c r="D16" i="119"/>
  <c r="N16" i="119"/>
  <c r="L16" i="119"/>
  <c r="H16" i="119"/>
  <c r="F16" i="119"/>
  <c r="P12" i="119"/>
  <c r="Q12" i="119" s="1"/>
  <c r="K127" i="108"/>
  <c r="N127" i="108" s="1"/>
  <c r="J127" i="108"/>
  <c r="M127" i="108" s="1"/>
  <c r="O127" i="108" s="1"/>
  <c r="H13" i="119" l="1"/>
  <c r="F13" i="119"/>
  <c r="L13" i="119"/>
  <c r="N13" i="119"/>
  <c r="J13" i="119"/>
  <c r="D13" i="119"/>
  <c r="P18" i="119"/>
  <c r="Q18" i="119" s="1"/>
  <c r="P15" i="119"/>
  <c r="Q15" i="119" s="1"/>
  <c r="P11" i="119"/>
  <c r="N14" i="119"/>
  <c r="L14" i="119"/>
  <c r="J14" i="119"/>
  <c r="H14" i="119"/>
  <c r="F14" i="119"/>
  <c r="D14" i="119"/>
  <c r="P16" i="119"/>
  <c r="Q16" i="119" s="1"/>
  <c r="L127" i="108"/>
  <c r="G50" i="108"/>
  <c r="G25" i="108"/>
  <c r="K25" i="108"/>
  <c r="N25" i="108" s="1"/>
  <c r="G24" i="108"/>
  <c r="P13" i="119" l="1"/>
  <c r="Q13" i="119" s="1"/>
  <c r="P14" i="119"/>
  <c r="Q14" i="119" s="1"/>
  <c r="Q11" i="119"/>
  <c r="G66" i="108" l="1"/>
  <c r="G12" i="108"/>
  <c r="K51" i="108" l="1"/>
  <c r="N51" i="108" s="1"/>
  <c r="G104" i="108"/>
  <c r="G63" i="108"/>
  <c r="G62" i="108"/>
  <c r="G65" i="108"/>
  <c r="K52" i="108"/>
  <c r="N52" i="108" s="1"/>
  <c r="G49" i="108"/>
  <c r="J49" i="108" s="1"/>
  <c r="G48" i="108"/>
  <c r="G51" i="108" l="1"/>
  <c r="J51" i="108" s="1"/>
  <c r="M51" i="108" s="1"/>
  <c r="G52" i="108"/>
  <c r="M49" i="108"/>
  <c r="K49" i="108"/>
  <c r="N49" i="108" s="1"/>
  <c r="L51" i="108" l="1"/>
  <c r="O51" i="108"/>
  <c r="O49" i="108"/>
  <c r="L49" i="108"/>
  <c r="K44" i="108" l="1"/>
  <c r="N44" i="108" s="1"/>
  <c r="G44" i="108" l="1"/>
  <c r="J44" i="108" s="1"/>
  <c r="G43" i="113"/>
  <c r="G42" i="113"/>
  <c r="G41" i="113"/>
  <c r="G40" i="113"/>
  <c r="E37" i="113" s="1"/>
  <c r="E38" i="113" l="1"/>
  <c r="K19" i="108" s="1"/>
  <c r="N19" i="108" s="1"/>
  <c r="L44" i="108"/>
  <c r="M44" i="108"/>
  <c r="O44" i="108" s="1"/>
  <c r="K61" i="108"/>
  <c r="N61" i="108" s="1"/>
  <c r="G60" i="108"/>
  <c r="G59" i="108"/>
  <c r="G58" i="108"/>
  <c r="G57" i="108"/>
  <c r="G56" i="108"/>
  <c r="G55" i="108"/>
  <c r="K67" i="108"/>
  <c r="N67" i="108" s="1"/>
  <c r="G37" i="113" l="1"/>
  <c r="G19" i="108" s="1"/>
  <c r="J19" i="108" s="1"/>
  <c r="M19" i="108" s="1"/>
  <c r="O19" i="108" s="1"/>
  <c r="G61" i="108"/>
  <c r="J61" i="108" s="1"/>
  <c r="G67" i="108"/>
  <c r="J67" i="108" s="1"/>
  <c r="M67" i="108" s="1"/>
  <c r="G97" i="108"/>
  <c r="G96" i="108"/>
  <c r="G95" i="108"/>
  <c r="G94" i="108"/>
  <c r="G93" i="108"/>
  <c r="G92" i="108"/>
  <c r="G91" i="108"/>
  <c r="G89" i="108"/>
  <c r="G88" i="108"/>
  <c r="G87" i="108"/>
  <c r="G84" i="108"/>
  <c r="G83" i="108"/>
  <c r="K82" i="108"/>
  <c r="N82" i="108" s="1"/>
  <c r="G81" i="108"/>
  <c r="G80" i="108"/>
  <c r="G79" i="108"/>
  <c r="G78" i="108"/>
  <c r="G77" i="108"/>
  <c r="L19" i="108" l="1"/>
  <c r="L61" i="108"/>
  <c r="M61" i="108"/>
  <c r="L67" i="108"/>
  <c r="O67" i="108"/>
  <c r="O61" i="108"/>
  <c r="G82" i="108"/>
  <c r="J82" i="108" s="1"/>
  <c r="M82" i="108" l="1"/>
  <c r="O82" i="108" s="1"/>
  <c r="L82" i="108"/>
  <c r="G71" i="108" l="1"/>
  <c r="G70" i="108"/>
  <c r="G73" i="108"/>
  <c r="G72" i="108"/>
  <c r="K76" i="108"/>
  <c r="G75" i="108"/>
  <c r="G74" i="108"/>
  <c r="G76" i="108" l="1"/>
  <c r="J76" i="108" s="1"/>
  <c r="M76" i="108" s="1"/>
  <c r="O76" i="108" l="1"/>
  <c r="L76" i="108"/>
  <c r="G45" i="108" l="1"/>
  <c r="G43" i="108"/>
  <c r="G42" i="108"/>
  <c r="G41" i="108"/>
  <c r="G40" i="108"/>
  <c r="G36" i="108"/>
  <c r="G37" i="108"/>
  <c r="G35" i="108"/>
  <c r="G32" i="108"/>
  <c r="G30" i="108"/>
  <c r="G29" i="108"/>
  <c r="G28" i="108"/>
  <c r="G21" i="108"/>
  <c r="G18" i="108"/>
  <c r="G17" i="108"/>
  <c r="G16" i="108"/>
  <c r="G105" i="108"/>
  <c r="G102" i="108"/>
  <c r="G101" i="108"/>
  <c r="G100" i="108"/>
  <c r="G111" i="108"/>
  <c r="G110" i="108"/>
  <c r="G109" i="108"/>
  <c r="G108" i="108"/>
  <c r="G132" i="108"/>
  <c r="G131" i="108"/>
  <c r="G117" i="108"/>
  <c r="G116" i="108"/>
  <c r="G115" i="108"/>
  <c r="G114" i="108"/>
  <c r="G125" i="108"/>
  <c r="G124" i="108"/>
  <c r="G123" i="108"/>
  <c r="K121" i="108"/>
  <c r="N121" i="108" s="1"/>
  <c r="G120" i="108"/>
  <c r="G122" i="108"/>
  <c r="J122" i="108" s="1"/>
  <c r="M122" i="108" s="1"/>
  <c r="K122" i="108" l="1"/>
  <c r="G121" i="108"/>
  <c r="J121" i="108" s="1"/>
  <c r="N122" i="108" l="1"/>
  <c r="O122" i="108" s="1"/>
  <c r="M121" i="108"/>
  <c r="O121" i="108" s="1"/>
  <c r="L122" i="108"/>
  <c r="L121" i="108"/>
  <c r="J16" i="108"/>
  <c r="M16" i="108" s="1"/>
  <c r="K16" i="108"/>
  <c r="N16" i="108" s="1"/>
  <c r="J17" i="108"/>
  <c r="M17" i="108" s="1"/>
  <c r="K17" i="108"/>
  <c r="N17" i="108" s="1"/>
  <c r="L16" i="108" l="1"/>
  <c r="O16" i="108"/>
  <c r="O17" i="108"/>
  <c r="L17" i="108"/>
  <c r="K40" i="108" l="1"/>
  <c r="N40" i="108" s="1"/>
  <c r="J40" i="108" l="1"/>
  <c r="M40" i="108" l="1"/>
  <c r="O40" i="108" s="1"/>
  <c r="L40" i="108"/>
  <c r="K43" i="108" l="1"/>
  <c r="N43" i="108" s="1"/>
  <c r="J43" i="108"/>
  <c r="M43" i="108" s="1"/>
  <c r="O43" i="108" l="1"/>
  <c r="L43" i="108"/>
  <c r="K114" i="108" l="1"/>
  <c r="N114" i="108" s="1"/>
  <c r="J114" i="108"/>
  <c r="M114" i="108" s="1"/>
  <c r="J116" i="108"/>
  <c r="M116" i="108" s="1"/>
  <c r="K116" i="108"/>
  <c r="N116" i="108" s="1"/>
  <c r="K132" i="108"/>
  <c r="N132" i="108" s="1"/>
  <c r="J132" i="108"/>
  <c r="M132" i="108" s="1"/>
  <c r="K131" i="108"/>
  <c r="N131" i="108" s="1"/>
  <c r="J131" i="108"/>
  <c r="M131" i="108" s="1"/>
  <c r="K123" i="108"/>
  <c r="N123" i="108" s="1"/>
  <c r="J123" i="108"/>
  <c r="M123" i="108" s="1"/>
  <c r="K120" i="108"/>
  <c r="N120" i="108" s="1"/>
  <c r="J120" i="108"/>
  <c r="M120" i="108" s="1"/>
  <c r="K128" i="108"/>
  <c r="N128" i="108" s="1"/>
  <c r="J128" i="108"/>
  <c r="M128" i="108" s="1"/>
  <c r="K125" i="108"/>
  <c r="N125" i="108" s="1"/>
  <c r="J125" i="108"/>
  <c r="M125" i="108" s="1"/>
  <c r="K124" i="108"/>
  <c r="N124" i="108" s="1"/>
  <c r="J124" i="108"/>
  <c r="M124" i="108" s="1"/>
  <c r="K111" i="108"/>
  <c r="N111" i="108" s="1"/>
  <c r="J111" i="108"/>
  <c r="M111" i="108" s="1"/>
  <c r="K110" i="108"/>
  <c r="N110" i="108" s="1"/>
  <c r="J110" i="108"/>
  <c r="M110" i="108" s="1"/>
  <c r="K109" i="108"/>
  <c r="N109" i="108" s="1"/>
  <c r="J109" i="108"/>
  <c r="M109" i="108" s="1"/>
  <c r="K105" i="108"/>
  <c r="N105" i="108" s="1"/>
  <c r="J105" i="108"/>
  <c r="M105" i="108" s="1"/>
  <c r="K102" i="108"/>
  <c r="N102" i="108" s="1"/>
  <c r="J102" i="108"/>
  <c r="M102" i="108" s="1"/>
  <c r="K101" i="108"/>
  <c r="N101" i="108" s="1"/>
  <c r="J101" i="108"/>
  <c r="M101" i="108" s="1"/>
  <c r="K100" i="108"/>
  <c r="N100" i="108" s="1"/>
  <c r="J100" i="108"/>
  <c r="M100" i="108" s="1"/>
  <c r="K97" i="108"/>
  <c r="N97" i="108" s="1"/>
  <c r="J97" i="108"/>
  <c r="M97" i="108" s="1"/>
  <c r="K96" i="108"/>
  <c r="N96" i="108" s="1"/>
  <c r="J96" i="108"/>
  <c r="M96" i="108" s="1"/>
  <c r="K95" i="108"/>
  <c r="N95" i="108" s="1"/>
  <c r="J95" i="108"/>
  <c r="M95" i="108" s="1"/>
  <c r="K94" i="108"/>
  <c r="N94" i="108" s="1"/>
  <c r="J94" i="108"/>
  <c r="M94" i="108" s="1"/>
  <c r="K93" i="108"/>
  <c r="N93" i="108" s="1"/>
  <c r="J93" i="108"/>
  <c r="M93" i="108" s="1"/>
  <c r="K92" i="108"/>
  <c r="N92" i="108" s="1"/>
  <c r="J92" i="108"/>
  <c r="M92" i="108" s="1"/>
  <c r="K91" i="108"/>
  <c r="N91" i="108" s="1"/>
  <c r="J91" i="108"/>
  <c r="M91" i="108" s="1"/>
  <c r="K89" i="108"/>
  <c r="N89" i="108" s="1"/>
  <c r="J89" i="108"/>
  <c r="M89" i="108" s="1"/>
  <c r="K88" i="108"/>
  <c r="N88" i="108" s="1"/>
  <c r="J88" i="108"/>
  <c r="M88" i="108" s="1"/>
  <c r="K87" i="108"/>
  <c r="N87" i="108" s="1"/>
  <c r="J87" i="108"/>
  <c r="M87" i="108" s="1"/>
  <c r="K84" i="108"/>
  <c r="N84" i="108" s="1"/>
  <c r="J84" i="108"/>
  <c r="M84" i="108" s="1"/>
  <c r="K83" i="108"/>
  <c r="N83" i="108" s="1"/>
  <c r="J83" i="108"/>
  <c r="M83" i="108" s="1"/>
  <c r="K81" i="108"/>
  <c r="N81" i="108" s="1"/>
  <c r="J81" i="108"/>
  <c r="M81" i="108" s="1"/>
  <c r="K80" i="108"/>
  <c r="N80" i="108" s="1"/>
  <c r="J80" i="108"/>
  <c r="M80" i="108" s="1"/>
  <c r="K79" i="108"/>
  <c r="N79" i="108" s="1"/>
  <c r="J79" i="108"/>
  <c r="M79" i="108" s="1"/>
  <c r="K78" i="108"/>
  <c r="N78" i="108" s="1"/>
  <c r="J78" i="108"/>
  <c r="M78" i="108" s="1"/>
  <c r="K77" i="108"/>
  <c r="N77" i="108" s="1"/>
  <c r="J77" i="108"/>
  <c r="K73" i="108"/>
  <c r="N73" i="108" s="1"/>
  <c r="J73" i="108"/>
  <c r="M73" i="108" s="1"/>
  <c r="K71" i="108"/>
  <c r="N71" i="108" s="1"/>
  <c r="K70" i="108"/>
  <c r="N70" i="108" s="1"/>
  <c r="K65" i="108"/>
  <c r="N65" i="108" s="1"/>
  <c r="J65" i="108"/>
  <c r="M65" i="108" s="1"/>
  <c r="K64" i="108"/>
  <c r="K63" i="108"/>
  <c r="N63" i="108" s="1"/>
  <c r="J63" i="108"/>
  <c r="M63" i="108" s="1"/>
  <c r="K62" i="108"/>
  <c r="N62" i="108" s="1"/>
  <c r="J62" i="108"/>
  <c r="M62" i="108" s="1"/>
  <c r="K60" i="108"/>
  <c r="N60" i="108" s="1"/>
  <c r="J60" i="108"/>
  <c r="M60" i="108" s="1"/>
  <c r="K59" i="108"/>
  <c r="N59" i="108" s="1"/>
  <c r="J59" i="108"/>
  <c r="M59" i="108" s="1"/>
  <c r="K58" i="108"/>
  <c r="N58" i="108" s="1"/>
  <c r="J58" i="108"/>
  <c r="M58" i="108" s="1"/>
  <c r="K57" i="108"/>
  <c r="N57" i="108" s="1"/>
  <c r="J57" i="108"/>
  <c r="M57" i="108" s="1"/>
  <c r="K56" i="108"/>
  <c r="N56" i="108" s="1"/>
  <c r="J56" i="108"/>
  <c r="M56" i="108" s="1"/>
  <c r="K55" i="108"/>
  <c r="N55" i="108" s="1"/>
  <c r="J55" i="108"/>
  <c r="J52" i="108"/>
  <c r="K50" i="108"/>
  <c r="N50" i="108" s="1"/>
  <c r="J50" i="108"/>
  <c r="M50" i="108" s="1"/>
  <c r="K48" i="108"/>
  <c r="N48" i="108" s="1"/>
  <c r="J48" i="108"/>
  <c r="M48" i="108" s="1"/>
  <c r="K45" i="108"/>
  <c r="N45" i="108" s="1"/>
  <c r="J45" i="108"/>
  <c r="M45" i="108" s="1"/>
  <c r="K41" i="108"/>
  <c r="N41" i="108" s="1"/>
  <c r="J41" i="108"/>
  <c r="M41" i="108" s="1"/>
  <c r="K42" i="108"/>
  <c r="N42" i="108" s="1"/>
  <c r="J42" i="108"/>
  <c r="M42" i="108" s="1"/>
  <c r="J37" i="108"/>
  <c r="M37" i="108" s="1"/>
  <c r="K29" i="108"/>
  <c r="N29" i="108" s="1"/>
  <c r="J29" i="108"/>
  <c r="M29" i="108" s="1"/>
  <c r="K28" i="108"/>
  <c r="N28" i="108" s="1"/>
  <c r="J28" i="108"/>
  <c r="M28" i="108" s="1"/>
  <c r="J25" i="108"/>
  <c r="M25" i="108" s="1"/>
  <c r="K24" i="108"/>
  <c r="N24" i="108" s="1"/>
  <c r="J24" i="108"/>
  <c r="M24" i="108" s="1"/>
  <c r="K21" i="108"/>
  <c r="N21" i="108" s="1"/>
  <c r="J18" i="108"/>
  <c r="M18" i="108" s="1"/>
  <c r="J12" i="108"/>
  <c r="M12" i="108" s="1"/>
  <c r="O111" i="108" l="1"/>
  <c r="O25" i="108"/>
  <c r="M52" i="108"/>
  <c r="O52" i="108" s="1"/>
  <c r="L52" i="108"/>
  <c r="M129" i="108"/>
  <c r="N129" i="108"/>
  <c r="M26" i="108"/>
  <c r="N26" i="108"/>
  <c r="N134" i="108"/>
  <c r="N98" i="108"/>
  <c r="N46" i="108"/>
  <c r="O114" i="108"/>
  <c r="L114" i="108"/>
  <c r="O132" i="108"/>
  <c r="L116" i="108"/>
  <c r="O116" i="108"/>
  <c r="O29" i="108"/>
  <c r="O95" i="108"/>
  <c r="L63" i="108"/>
  <c r="O80" i="108"/>
  <c r="L84" i="108"/>
  <c r="O60" i="108"/>
  <c r="O79" i="108"/>
  <c r="L83" i="108"/>
  <c r="O45" i="108"/>
  <c r="L55" i="108"/>
  <c r="O59" i="108"/>
  <c r="O65" i="108"/>
  <c r="O102" i="108"/>
  <c r="O89" i="108"/>
  <c r="O41" i="108"/>
  <c r="O81" i="108"/>
  <c r="O78" i="108"/>
  <c r="O120" i="108"/>
  <c r="L77" i="108"/>
  <c r="O105" i="108"/>
  <c r="O62" i="108"/>
  <c r="O93" i="108"/>
  <c r="O97" i="108"/>
  <c r="L42" i="108"/>
  <c r="L123" i="108"/>
  <c r="O110" i="108"/>
  <c r="L24" i="108"/>
  <c r="L50" i="108"/>
  <c r="L92" i="108"/>
  <c r="O92" i="108"/>
  <c r="O57" i="108"/>
  <c r="O87" i="108"/>
  <c r="L58" i="108"/>
  <c r="O58" i="108"/>
  <c r="L109" i="108"/>
  <c r="L105" i="108"/>
  <c r="O109" i="108"/>
  <c r="L131" i="108"/>
  <c r="O24" i="108"/>
  <c r="O28" i="108"/>
  <c r="O73" i="108"/>
  <c r="O101" i="108"/>
  <c r="O125" i="108"/>
  <c r="O128" i="108"/>
  <c r="O56" i="108"/>
  <c r="O63" i="108"/>
  <c r="O91" i="108"/>
  <c r="O96" i="108"/>
  <c r="L132" i="108"/>
  <c r="O124" i="108"/>
  <c r="O123" i="108"/>
  <c r="L124" i="108"/>
  <c r="L128" i="108"/>
  <c r="L120" i="108"/>
  <c r="L125" i="108"/>
  <c r="L110" i="108"/>
  <c r="L111" i="108"/>
  <c r="O100" i="108"/>
  <c r="L101" i="108"/>
  <c r="L100" i="108"/>
  <c r="L102" i="108"/>
  <c r="O88" i="108"/>
  <c r="O94" i="108"/>
  <c r="L88" i="108"/>
  <c r="L93" i="108"/>
  <c r="L89" i="108"/>
  <c r="L96" i="108"/>
  <c r="L91" i="108"/>
  <c r="L94" i="108"/>
  <c r="L87" i="108"/>
  <c r="L95" i="108"/>
  <c r="L97" i="108"/>
  <c r="M77" i="108"/>
  <c r="O77" i="108" s="1"/>
  <c r="L81" i="108"/>
  <c r="L78" i="108"/>
  <c r="L80" i="108"/>
  <c r="O84" i="108"/>
  <c r="L73" i="108"/>
  <c r="L79" i="108"/>
  <c r="O83" i="108"/>
  <c r="O48" i="108"/>
  <c r="L59" i="108"/>
  <c r="N64" i="108"/>
  <c r="M55" i="108"/>
  <c r="O55" i="108" s="1"/>
  <c r="L57" i="108"/>
  <c r="L62" i="108"/>
  <c r="L60" i="108"/>
  <c r="L65" i="108"/>
  <c r="L48" i="108"/>
  <c r="L56" i="108"/>
  <c r="L41" i="108"/>
  <c r="M46" i="108"/>
  <c r="L45" i="108"/>
  <c r="L29" i="108"/>
  <c r="L28" i="108"/>
  <c r="L25" i="108"/>
  <c r="O129" i="108" l="1"/>
  <c r="M134" i="108"/>
  <c r="M98" i="108"/>
  <c r="O26" i="108"/>
  <c r="O42" i="108"/>
  <c r="O98" i="108"/>
  <c r="O131" i="108"/>
  <c r="O134" i="108" s="1"/>
  <c r="O50" i="108"/>
  <c r="K117" i="108"/>
  <c r="N117" i="108" s="1"/>
  <c r="J117" i="108"/>
  <c r="M117" i="108" s="1"/>
  <c r="K115" i="108"/>
  <c r="N115" i="108" s="1"/>
  <c r="J115" i="108"/>
  <c r="M115" i="108" s="1"/>
  <c r="K108" i="108"/>
  <c r="N108" i="108" s="1"/>
  <c r="N112" i="108" s="1"/>
  <c r="J108" i="108"/>
  <c r="K75" i="108"/>
  <c r="N75" i="108" s="1"/>
  <c r="J75" i="108"/>
  <c r="M75" i="108" s="1"/>
  <c r="K74" i="108"/>
  <c r="N74" i="108" s="1"/>
  <c r="J74" i="108"/>
  <c r="M74" i="108" s="1"/>
  <c r="K72" i="108"/>
  <c r="N72" i="108" s="1"/>
  <c r="J72" i="108"/>
  <c r="J71" i="108"/>
  <c r="J70" i="108"/>
  <c r="C23" i="115" l="1"/>
  <c r="C18" i="115"/>
  <c r="C22" i="115"/>
  <c r="C12" i="115"/>
  <c r="N85" i="108"/>
  <c r="N118" i="108"/>
  <c r="O46" i="108"/>
  <c r="L70" i="108"/>
  <c r="M70" i="108"/>
  <c r="M108" i="108"/>
  <c r="O108" i="108" s="1"/>
  <c r="L108" i="108"/>
  <c r="L71" i="108"/>
  <c r="M71" i="108"/>
  <c r="O71" i="108" s="1"/>
  <c r="L115" i="108"/>
  <c r="M72" i="108"/>
  <c r="O72" i="108" s="1"/>
  <c r="L72" i="108"/>
  <c r="O117" i="108"/>
  <c r="L117" i="108"/>
  <c r="O74" i="108"/>
  <c r="L74" i="108"/>
  <c r="O75" i="108"/>
  <c r="L75" i="108"/>
  <c r="K37" i="108"/>
  <c r="K36" i="108"/>
  <c r="N36" i="108" s="1"/>
  <c r="J36" i="108"/>
  <c r="K35" i="108"/>
  <c r="N35" i="108" s="1"/>
  <c r="J35" i="108"/>
  <c r="M35" i="108" s="1"/>
  <c r="K32" i="108"/>
  <c r="N32" i="108" s="1"/>
  <c r="J32" i="108"/>
  <c r="K30" i="108"/>
  <c r="N30" i="108" s="1"/>
  <c r="J30" i="108"/>
  <c r="J21" i="108"/>
  <c r="K18" i="108"/>
  <c r="N18" i="108" s="1"/>
  <c r="C15" i="115" l="1"/>
  <c r="M118" i="108"/>
  <c r="M112" i="108"/>
  <c r="M85" i="108"/>
  <c r="L35" i="108"/>
  <c r="O112" i="108"/>
  <c r="O18" i="108"/>
  <c r="L18" i="108"/>
  <c r="M21" i="108"/>
  <c r="O21" i="108" s="1"/>
  <c r="L21" i="108"/>
  <c r="O70" i="108"/>
  <c r="M36" i="108"/>
  <c r="O36" i="108" s="1"/>
  <c r="L36" i="108"/>
  <c r="M30" i="108"/>
  <c r="O30" i="108" s="1"/>
  <c r="L30" i="108"/>
  <c r="N37" i="108"/>
  <c r="O37" i="108" s="1"/>
  <c r="L37" i="108"/>
  <c r="O115" i="108"/>
  <c r="O118" i="108" s="1"/>
  <c r="M32" i="108"/>
  <c r="O32" i="108" s="1"/>
  <c r="L32" i="108"/>
  <c r="C20" i="115" l="1"/>
  <c r="C21" i="115"/>
  <c r="O85" i="108"/>
  <c r="N38" i="108"/>
  <c r="M38" i="108"/>
  <c r="O35" i="108"/>
  <c r="O38" i="108" s="1"/>
  <c r="C14" i="115" l="1"/>
  <c r="C17" i="115"/>
  <c r="M13" i="108"/>
  <c r="G35" i="113" l="1"/>
  <c r="G34" i="113"/>
  <c r="G33" i="113"/>
  <c r="E30" i="113" s="1"/>
  <c r="E31" i="113" l="1"/>
  <c r="G30" i="113" l="1"/>
  <c r="K66" i="108"/>
  <c r="N66" i="108" s="1"/>
  <c r="J66" i="108"/>
  <c r="M66" i="108" s="1"/>
  <c r="L66" i="108" l="1"/>
  <c r="O66" i="108" l="1"/>
  <c r="N68" i="108" l="1"/>
  <c r="G25" i="113" l="1"/>
  <c r="M33" i="108" l="1"/>
  <c r="N33" i="108"/>
  <c r="D20" i="108" l="1"/>
  <c r="G27" i="113"/>
  <c r="G26" i="113"/>
  <c r="G24" i="113"/>
  <c r="E21" i="113" s="1"/>
  <c r="G23" i="113"/>
  <c r="E20" i="113" s="1"/>
  <c r="G20" i="108" s="1"/>
  <c r="G20" i="113" l="1"/>
  <c r="I20" i="108" s="1"/>
  <c r="O33" i="108"/>
  <c r="J20" i="108"/>
  <c r="C13" i="115" l="1"/>
  <c r="M20" i="108"/>
  <c r="K20" i="108"/>
  <c r="N20" i="108" s="1"/>
  <c r="L20" i="108" l="1"/>
  <c r="O20" i="108"/>
  <c r="D15" i="108"/>
  <c r="G18" i="113"/>
  <c r="G17" i="113"/>
  <c r="G16" i="113"/>
  <c r="G15" i="113"/>
  <c r="G14" i="113"/>
  <c r="G13" i="113"/>
  <c r="E10" i="113" s="1"/>
  <c r="H15" i="108" s="1"/>
  <c r="G12" i="113"/>
  <c r="E9" i="113" l="1"/>
  <c r="G9" i="113" l="1"/>
  <c r="I15" i="108" s="1"/>
  <c r="G15" i="108"/>
  <c r="J15" i="108" s="1"/>
  <c r="M15" i="108" l="1"/>
  <c r="M22" i="108" s="1"/>
  <c r="K15" i="108" l="1"/>
  <c r="N15" i="108" l="1"/>
  <c r="N22" i="108" s="1"/>
  <c r="L15" i="108"/>
  <c r="O15" i="108" l="1"/>
  <c r="O22" i="108" s="1"/>
  <c r="C11" i="115" l="1"/>
  <c r="G64" i="108"/>
  <c r="J64" i="108" s="1"/>
  <c r="M64" i="108" s="1"/>
  <c r="L64" i="108" l="1"/>
  <c r="O64" i="108" l="1"/>
  <c r="O68" i="108" s="1"/>
  <c r="M68" i="108"/>
  <c r="C16" i="115" l="1"/>
  <c r="K104" i="108"/>
  <c r="N104" i="108" s="1"/>
  <c r="N106" i="108" s="1"/>
  <c r="J104" i="108"/>
  <c r="L104" i="108" l="1"/>
  <c r="M104" i="108"/>
  <c r="O104" i="108" s="1"/>
  <c r="O106" i="108" s="1"/>
  <c r="C19" i="115" l="1"/>
  <c r="M106" i="108"/>
  <c r="M136" i="108" s="1"/>
  <c r="K12" i="108"/>
  <c r="L12" i="108" l="1"/>
  <c r="N12" i="108"/>
  <c r="O12" i="108" l="1"/>
  <c r="O13" i="108" s="1"/>
  <c r="N13" i="108"/>
  <c r="N136" i="108" s="1"/>
  <c r="O136" i="108" s="1"/>
  <c r="C10" i="115" l="1"/>
  <c r="C24" i="115" s="1"/>
  <c r="Q10" i="119" l="1"/>
  <c r="O145" i="116" l="1"/>
  <c r="C25" i="119" l="1"/>
  <c r="N25" i="119" l="1"/>
  <c r="J25" i="119"/>
  <c r="F25" i="119"/>
  <c r="L25" i="119"/>
  <c r="H25" i="119"/>
  <c r="D25" i="119"/>
  <c r="P25" i="119" l="1"/>
  <c r="Q25" i="119" l="1"/>
  <c r="G158" i="116"/>
  <c r="H158" i="116" s="1"/>
  <c r="K158" i="116" s="1"/>
  <c r="N158" i="116" s="1"/>
  <c r="J158" i="116"/>
  <c r="L158" i="116" s="1"/>
  <c r="M158" i="116" l="1"/>
  <c r="O158" i="116" l="1"/>
  <c r="O159" i="116"/>
  <c r="E163" i="116" s="1"/>
  <c r="C26" i="119"/>
  <c r="O160" i="116" l="1"/>
  <c r="E162" i="116" s="1"/>
  <c r="E164" i="116" s="1"/>
  <c r="F26" i="119"/>
  <c r="F27" i="119" s="1"/>
  <c r="C27" i="119"/>
  <c r="L26" i="119"/>
  <c r="L27" i="119" s="1"/>
  <c r="J26" i="119"/>
  <c r="J27" i="119" s="1"/>
  <c r="H26" i="119"/>
  <c r="H27" i="119" s="1"/>
  <c r="N26" i="119"/>
  <c r="N27" i="119" s="1"/>
  <c r="D26" i="119"/>
  <c r="D27" i="119" l="1"/>
  <c r="P26" i="119"/>
  <c r="P27" i="119" l="1"/>
  <c r="Q27" i="119" s="1"/>
  <c r="Q26" i="119"/>
</calcChain>
</file>

<file path=xl/sharedStrings.xml><?xml version="1.0" encoding="utf-8"?>
<sst xmlns="http://schemas.openxmlformats.org/spreadsheetml/2006/main" count="1376" uniqueCount="526">
  <si>
    <t>ITEM</t>
  </si>
  <si>
    <t>DESCRIÇÃO DOS SERVIÇOS</t>
  </si>
  <si>
    <t>UNID.</t>
  </si>
  <si>
    <t>QUANT.</t>
  </si>
  <si>
    <t>M</t>
  </si>
  <si>
    <t>M2</t>
  </si>
  <si>
    <t>KG</t>
  </si>
  <si>
    <t>H</t>
  </si>
  <si>
    <t>SERVENTE COM ENCARGOS COMPLEMENTARES</t>
  </si>
  <si>
    <t>SINAPI</t>
  </si>
  <si>
    <t>TOTAL</t>
  </si>
  <si>
    <t>M3</t>
  </si>
  <si>
    <t>COEFICIENTE</t>
  </si>
  <si>
    <t>R$ UNIT.</t>
  </si>
  <si>
    <t>R$ TOTAL</t>
  </si>
  <si>
    <t>Sergio Vinicius Noschang</t>
  </si>
  <si>
    <t>Engenheiro Civil - CREA RS 152282</t>
  </si>
  <si>
    <t>Planilha de Orçamento</t>
  </si>
  <si>
    <t>BDI</t>
  </si>
  <si>
    <t>INSTALAÇÕES PROVISÓRIAS</t>
  </si>
  <si>
    <t>IMPERMEABILIZAÇÃO</t>
  </si>
  <si>
    <t>COBERTURA</t>
  </si>
  <si>
    <t>PISO</t>
  </si>
  <si>
    <t>REVESTIMENTO</t>
  </si>
  <si>
    <t>ESQUADRIAS</t>
  </si>
  <si>
    <t>PINTURAS</t>
  </si>
  <si>
    <t>APLICAÇÃO DE FUNDO SELADOR ACRÍLICO EM PAREDES, UMA DEMÃO. AF_06/2014</t>
  </si>
  <si>
    <t>FUNDAÇÕES</t>
  </si>
  <si>
    <t>ARMAÇÃO DE PILAR OU VIGA DE UMA ESTRUTURA CONVENCIONAL DE CONCRETO ARMADO EM UM EDIFÍCIO DE MÚLTIPLOS PAVIMENTOS UTILIZANDO AÇO CA-60 DE 5,0 MM - MONTAGEM. AF_12/2015</t>
  </si>
  <si>
    <t>LOCACAO CONVENCIONAL DE OBRA, UTILIZANDO GABARITO DE TÁBUAS CORRIDAS PONTALETADAS A CADA 2,00M - 2 UTILIZAÇÕES. AF_10/2018</t>
  </si>
  <si>
    <t>PAREDES E VEDAÇÕES</t>
  </si>
  <si>
    <t>TELHAMENTO COM TELHA ONDULADA DE FIBROCIMENTO E = 6 MM, COM RECOBRIMENTO LATERAL DE 1/4 DE ONDA PARA TELHADO COM INCLINAÇÃO MAIOR QUE 10°, COM ATÉ 2
ÁGUAS, INCLUSO IÇAMENTO. AF_07/2019</t>
  </si>
  <si>
    <t>CHP</t>
  </si>
  <si>
    <t>TRAMA DE MADEIRA COMPOSTA POR TERÇAS PARA TELHADOS DE ATÉ 2 ÁGUAS PARA TELHA ONDULADA DE FIBROCIMENTO, METÁLICA, PLÁSTICA OU TERMOACÚSTICA, INCLUSO TRANSPORTE VERTICAL. AF_07/2019</t>
  </si>
  <si>
    <t>UN</t>
  </si>
  <si>
    <t>INSTALAÇÕES ELÉTRICA/TELEFONIA/LÓGICA</t>
  </si>
  <si>
    <t>INSTALAÇÕES SANITÁRIAS</t>
  </si>
  <si>
    <t>LASTRO COM MATERIAL GRANULAR (PEDRA BRITADA N.2), APLICADO EM PISOS OU LAJES SOBRE SOLO, ESPESSURA DE *10 CM*. AF_08/2017</t>
  </si>
  <si>
    <t>SOLEIRA EM GRANITO, LARGURA 15 CM, ESPESSURA 2,0 CM. AF_09/2020</t>
  </si>
  <si>
    <t>MASSA ÚNICA, PARA RECEBIMENTO DE PINTURA, EM ARGAMASSA TRAÇO 1:2:8, PREPARO MECÂNICO COM BETONEIRA 400L, APLICADA MANUALMENTE EM FACES INTERNAS DE PAREDES, ESPESSURA DE 20MM, COM EXECUÇÃO DE TALISCAS. AF_06/2014</t>
  </si>
  <si>
    <t>INSTALAÇÕES HIDRÁULICAS</t>
  </si>
  <si>
    <t>VASO SANITÁRIO SIFONADO COM CAIXA ACOPLADA LOUÇA BRANCA, INCLUSO ENGATE FLEXÍVEL EM PLÁSTICO BRANCO, 1/2 X 40CM - FORNECIMENTO E INSTALAÇÃO. AF_01/2020</t>
  </si>
  <si>
    <t>ASSENTO SANITÁRIO CONVENCIONAL - FORNECIMENTO E INSTALACAO. AF_01/2020</t>
  </si>
  <si>
    <t>RODAPÉ CERÂMICO DE 7CM DE ALTURA COM PLACAS TIPO ESMALTADA EXTRA DE DIMENSÕES 60X60CM. AF_06/2014</t>
  </si>
  <si>
    <t>TUBO PVC, SERIE NORMAL, ESGOTO PREDIAL, DN 100 MM, FORNECIDO E INSTALADO EM RAMAL DE DESCARGA OU RAMAL DE ESGOTO SANITÁRIO. AF_12/2014</t>
  </si>
  <si>
    <t>TUBO PVC, SERIE NORMAL, ESGOTO PREDIAL, DN 50 MM, FORNECIDO E INSTALADO EM RAMAL DE DESCARGA OU RAMAL DE ESGOTO SANITÁRIO. AF_12/2014</t>
  </si>
  <si>
    <t>TUBO, PVC, SOLDÁVEL, DN 25MM, INSTALADO EM RAMAL OU SUB-RAMAL DE ÁGUA - FORNECIMENTO E INSTALAÇÃO. AF_12/2014</t>
  </si>
  <si>
    <t>JOELHO 90 GRAUS, PVC, SOLDÁVEL, DN 25MM, INSTALADO EM RAMAL OU SUB-RAMAL DE ÁGUA - FORNECIMENTO E INSTALAÇÃO. AF_12/2014</t>
  </si>
  <si>
    <t>JOELHO 90 GRAUS COM BUCHA DE LATÃO, PVC, SOLDÁVEL, DN 25MM, X 3/4 INSTALADO EM RAMAL OU SUB-RAMAL DE ÁGUA - FORNECIMENTO E INSTALAÇÃO. AF_12/2014</t>
  </si>
  <si>
    <t>TÊ COM BUCHA DE LATÃO NA BOLSA CENTRAL, PVC, SOLDÁVEL, DN 25MM X 1/2, INSTALADO EM RAMAL OU SUB-RAMAL DE ÁGUA - FORNECIMENTO E INSTALAÇÃO. AF_12/2014</t>
  </si>
  <si>
    <t>CAIXA ENTERRADA HIDRÁULICA RETANGULAR EM ALVENARIA COM TIJOLOS CERÂMICOS MACIÇOS, DIMENSÕES INTERNAS: 0,4X0,4X0,4 M PARA REDE DE ESGOTO. AF_12/2020</t>
  </si>
  <si>
    <t>JOELHO 90 GRAUS, PVC, SERIE NORMAL, ESGOTO PREDIAL, DN 50 MM, JUNTA ELÁSTICA, FORNECIDO E INSTALADO EM RAMAL DE DESCARGA OU RAMAL DE ESGOTO SANITÁRIO. AF_12/2014</t>
  </si>
  <si>
    <t>LUVA SIMPLES, PVC, SERIE NORMAL, ESGOTO PREDIAL, DN 50 MM, JUNTA ELÁSTICA, FORNECIDO E INSTALADO EM RAMAL DE DESCARGA OU RAMAL DE ESGOTO SANITÁRIO. AF_12/2014</t>
  </si>
  <si>
    <t>LUVA SIMPLES, PVC, SERIE NORMAL, ESGOTO PREDIAL, DN 100 MM, JUNTA ELÁSTICA , FORNECIDO E INSTALADO EM RAMAL DE DESCARGA OU RAMAL DE ESGOTO SANITÁRIO. AF_12/2014</t>
  </si>
  <si>
    <t>12.1</t>
  </si>
  <si>
    <t>12.3</t>
  </si>
  <si>
    <t>11.1</t>
  </si>
  <si>
    <t>11.2</t>
  </si>
  <si>
    <t>11.3</t>
  </si>
  <si>
    <t>11.4</t>
  </si>
  <si>
    <t>10.1</t>
  </si>
  <si>
    <t>10.2</t>
  </si>
  <si>
    <t>10.3</t>
  </si>
  <si>
    <t>10.4</t>
  </si>
  <si>
    <t>10.5</t>
  </si>
  <si>
    <t>TOTAL DE INSTALAÇÕES HIDRÁULICAS</t>
  </si>
  <si>
    <t>TOTAL DE INSTALAÇÕES PROVISÓRIAS</t>
  </si>
  <si>
    <t>TOTAL DE FUNDAÇÕES</t>
  </si>
  <si>
    <t>TOTAL DE IMPERMEABILIZAÇÃO</t>
  </si>
  <si>
    <t>TOTAL DE SUPRA ESTRUTURA</t>
  </si>
  <si>
    <t>TOTAL DE PAREDES E VEDAÇÕES</t>
  </si>
  <si>
    <t>TOTAL DE COBERTURA</t>
  </si>
  <si>
    <t>TOTAL DE INSTALAÇÕES ELÉTRICAS</t>
  </si>
  <si>
    <t>TOTAL DE INSTALAÇÕES SANITÁRIAS</t>
  </si>
  <si>
    <t>TOTAL DE PISO</t>
  </si>
  <si>
    <t>TOTAL DE REVESTIMENTO</t>
  </si>
  <si>
    <t>TOTAL DE ESQUADRIAS</t>
  </si>
  <si>
    <t>TOTAL DE PINTURAS</t>
  </si>
  <si>
    <t xml:space="preserve">CONCRETO USINADO BOMBEAVEL, CLASSE DE RESISTENCIA C25, COM BRITA 0 E 1, SLUMP = 130 +/- 20 MM, EXCLUI SERVICO DE BOMBEAMENTO (NBR 8953)
</t>
  </si>
  <si>
    <t>PERFURATRIZ HIDRÁULICA SOBRE CAMINHÃO COM TRADO CURTO ACOPLADO, PROFUNDIDADE MÁXIMA DE 20 M, DIÂMETRO MÁXIMO DE 1500 MM, POTÊNCIA INSTALADA DE 137 HP, MESA ROTATIVA COM TORQUE MÁXIMO DE 30 KNM - CHP DIURNO. AF_06/2015</t>
  </si>
  <si>
    <t xml:space="preserve"> PERFURATRIZ HIDRÁULICA SOBRE CAMINHÃO COM TRADO CURTO ACOPLADO, PROFUNDIDADE MÁXIMA DE 20 M, DIÂMETRO MÁXIMO DE 1500 MM, POTÊNCIA INSTALADA DE 137 HP, MESA ROTATIVA COM TORQUE MÁXIMO DE 30 KNM - CHI DIURNO. AF_06/2015</t>
  </si>
  <si>
    <t xml:space="preserve">ENGENHEIRO CIVIL DE OBRA PLENO COM ENCARGOS COMPLEMENTARES </t>
  </si>
  <si>
    <t>TRANSPORTE COM CAMINHÃO BASCULANTE DE 6 M³, EM VIA URBANA EM REVESTIMENTO PRIMÁRIO (UNIDADE: M3XKM). AF_07/2020</t>
  </si>
  <si>
    <t>CARGA, MANOBRA E DESCARGA DE SOLOS E MATERIAIS GRANULARES EM CAMINHÃO BASCULANTE 6 M³ - CARGA COM PÁ CARREGADEIRA (CAÇAMBA DE 1,7 A 2,8 M³ / 128 HP) E DESCARGA LIVRE (UNIDADE: M3). AF_07/2020</t>
  </si>
  <si>
    <t>CHI</t>
  </si>
  <si>
    <t>M3XKM</t>
  </si>
  <si>
    <t>4.2</t>
  </si>
  <si>
    <t>ARMAÇÃO DE BLOCO, VIGA BALDRAME E SAPATA UTILIZANDO AÇO CA-60 DE 5 MM - MONTAGEM. AF_06/2017</t>
  </si>
  <si>
    <t>ARMAÇÃO DE BLOCO, VIGA BALDRAME OU SAPATA UTILIZANDO AÇO CA-50 DE 10 MM - MONTAGEM. AF_06/2017</t>
  </si>
  <si>
    <t>4.4</t>
  </si>
  <si>
    <t>VIBRADOR DE IMERSÃO, DIÂMETRO DE PONTEIRA 45MM, MOTOR ELÉTRICO TRIFÁSICO POTÊNCIA DE 2 CV - CHP DIURNO. AF_06/2015</t>
  </si>
  <si>
    <t>VIBRADOR DE IMERSÃO, DIÂMETRO DE PONTEIRA 45MM, MOTOR ELÉTRICO TRIFÁSICO POTÊNCIA DE 2 CV - CHI DIURNO. AF_06/2015</t>
  </si>
  <si>
    <t>PEDREIRO COM ENCARGOS COMPLEMENTARES</t>
  </si>
  <si>
    <t>FABRICAÇÃO, MONTAGEM E DESMONTAGEM DE FÔRMA PARA VIGA BALDRAME E BLOCOS DE COROAMENTO, EM MADEIRA SERRADA, E=25 MM, 4 UTILIZAÇÕES. AF_06/2017</t>
  </si>
  <si>
    <t>CONCRETO USINADO BOMBEAVEL, CLASSE DE RESISTENCIA C25, COM BRITA 0 E 1, SLUMP = 100 +/- 20 MM, INCLUI SERVICO DE BOMBEAMENTO (NBR 8953)</t>
  </si>
  <si>
    <t>ARMAÇÃO DE PILAR OU VIGA DE UMA ESTRUTURA CONVENCIONAL DE CONCRETO ARMADO EM UM EDIFÍCIO DE MÚLTIPLOS PAVIMENTOS UTILIZANDO AÇO CA-50 DE 8,0 MM - MONTAGEM. AF_12/2015</t>
  </si>
  <si>
    <t>I</t>
  </si>
  <si>
    <t>C</t>
  </si>
  <si>
    <t>COMPOSIÇÃO 03</t>
  </si>
  <si>
    <t>COMPOSIÇÃO 02</t>
  </si>
  <si>
    <t>ESCAVAÇÃO MECANIZADA PARA VIGA BALDRAME, COM PREVISÃO DE FÔRMA, COM MINI-ESCAVADEIRA. AF_06/2017</t>
  </si>
  <si>
    <t>POSTE DE CONCRETO CIRCULAR, 200 KG, H = 9 M (NBR 8451)</t>
  </si>
  <si>
    <t>REATERRO MECANIZADO DE VALA COM ESCAVADEIRA HIDRÁULICA (CAPACIDADE DA CAÇAMBA: 0,8 M³ / POTÊNCIA: 111 HP), LARGURA DE 1,5 A 2,5 M, PROFUNDIDADE DE 1,5 A 3,0 M, COM SOLO (SEM SUBSTITUIÇÃO) DE 1ª CATEGORIA EM LOCAIS COM BAIXO NÍVEL DE INTERFERÊNCIA. AF_04/2016</t>
  </si>
  <si>
    <t>CABO DE COBRE FLEXÍVEL ISOLADO, 2,5 MM², ANTI-CHAMA 450/750 V, PARA CIRCUITOS TERMINAIS - FORNECIMENTO E INSTALAÇÃO. AF_12/2015</t>
  </si>
  <si>
    <t>ELETRODUTO FLEXÍVEL CORRUGADO, PVC, DN 32 MM (1"), PARA CIRCUITOS TERMINAIS, INSTALADO EM LAJE - FORNECIMENTO E INSTALAÇÃO. AF_12/2015</t>
  </si>
  <si>
    <t>RASGO EM ALVENARIA PARA ELETRODUTOS COM DIAMETROS MENORES OU IGUAIS A 40 MM. AF_05/2015</t>
  </si>
  <si>
    <t>INTERRUPTOR SIMPLES (1 MÓDULO), 10A/250V, INCLUINDO SUPORTE E PLACA - FORNECIMENTO E INSTALAÇÃO. AF_12/2015</t>
  </si>
  <si>
    <t>INTERRUPTOR SIMPLES (3 MÓDULOS), 10A/250V, INCLUINDO SUPORTE E PLACA - FORNECIMENTO E INSTALAÇÃO. AF_12/2015</t>
  </si>
  <si>
    <t>INTERRUPTOR SIMPLES (1 MÓDULO) COM 1 TOMADA DE EMBUTIR 2P+T 10 A, INCLUINDO SUPORTE E PLACA - FORNECIMENTO E INSTALAÇÃO. AF_12/2015</t>
  </si>
  <si>
    <t>TOMADA BAIXA DE EMBUTIR (1 MÓDULO), 2P+T 10 A, INCLUINDO SUPORTE E PLACA - FORNECIMENTO E INSTALAÇÃO. AF_12/2015</t>
  </si>
  <si>
    <t>TOMADA MÉDIA DE EMBUTIR (1 MÓDULO), 2P+T 10 A, INCLUINDO SUPORTE E PLACA - FORNECIMENTO E INSTALAÇÃO. AF_12/2015</t>
  </si>
  <si>
    <t>DISJUNTOR MONOPOLAR TIPO DIN, CORRENTE NOMINAL DE 16A - FORNECIMENTO E INSTALAÇÃO. AF_10/2020</t>
  </si>
  <si>
    <t>DISJUNTOR MONOPOLAR TIPO DIN, CORRENTE NOMINAL DE 20A - FORNECIMENTO E INSTALAÇÃO. AF_10/2020</t>
  </si>
  <si>
    <t>DISJUNTOR MONOPOLAR TIPO DIN, CORRENTE NOMINAL DE 32A - FORNECIMENTO E INSTALAÇÃO. AF_10/2020</t>
  </si>
  <si>
    <t>6.1</t>
  </si>
  <si>
    <t>6.3</t>
  </si>
  <si>
    <t>CAIXA SIFONADA, PVC, DN 100 X 100 X 50 MM, JUNTA ELÁSTICA, FORNECIDA E INST
ALADA EM RAMAL DE DESCARGA OU EM RAMAL DE ESGOTO SANITÁRIO. AF_12/2014</t>
  </si>
  <si>
    <t>MATERIAL (R$)</t>
  </si>
  <si>
    <t>MÃO DE OBRA (R$)</t>
  </si>
  <si>
    <t>TOTAL (R$)</t>
  </si>
  <si>
    <t>CONCRETAGEM DE BLOCOS DE VIGAS BALDRAMES, FCK 25 MPA, COM USO DE BOMBA LANÇAMENTO, ADENSAMENTO E ACABAMENTO. AF_06/2017</t>
  </si>
  <si>
    <t>RUFO (ALGEROZ E CAPEAMENTO) EM CHAPA DE AÇO GALVANIZADO NÚMERO 24, CORTE DE 25 CM, INCLUSO TRANSPORTE VERTICAL. AF_07/2019</t>
  </si>
  <si>
    <t>PESQUISA</t>
  </si>
  <si>
    <t>RASGO EM ALVENARIA PARA RAMAIS/ DISTRIBUIÇÃO COM DIAMETROS MENORES OU IGUAIS A 40 MM. AF_05/2015</t>
  </si>
  <si>
    <t>cat</t>
  </si>
  <si>
    <t>PEITORIL LINEAR EM GRANITO OU MÁRMORE, L = 15CM, COMPRIMENTO DE ATÉ 2M, ASSENTADO COM ARGAMASSA 1:6 COM ADITIVO. AF_11/2020</t>
  </si>
  <si>
    <t>2.4</t>
  </si>
  <si>
    <t>5.1</t>
  </si>
  <si>
    <t>8.1</t>
  </si>
  <si>
    <t>8.3</t>
  </si>
  <si>
    <t>9.2</t>
  </si>
  <si>
    <t>9.5</t>
  </si>
  <si>
    <t>CUSTO UNITÁRIO (S/BDI)</t>
  </si>
  <si>
    <t>PREÇO TOTAL (C/BDI)</t>
  </si>
  <si>
    <t>CUSTO UNITÁRIO (C/BDI)</t>
  </si>
  <si>
    <t>SUPRA ESTRUTURA</t>
  </si>
  <si>
    <t>5.2</t>
  </si>
  <si>
    <t>LOUÇAS, METAIS E EQUIPAMENTOS</t>
  </si>
  <si>
    <t>PAINEL LED QUADRADO DE SOBREPOR 12W, 17CM X17CM</t>
  </si>
  <si>
    <t>AUXILIAR DE ELETRICISTA COM ENCARGOS COMPLEMENTARES</t>
  </si>
  <si>
    <t>ELETRICISTA COM ENCARGOS COMPLEMENTARES</t>
  </si>
  <si>
    <t>PAINEL LED QUADRADO DE SOBREPOR, 12 W, 17CM X 17CM</t>
  </si>
  <si>
    <t>JOELHO 90 GRAUS, PVC, SERIE NORMAL, ESGOTO PREDIAL, DN 100 MM, JUNTA ELÁSTICA, FORNECIDO E INSTALADO EM RAMAL DE DESCARGA OU RAMAL DE ESGOTO SANITÁR IO. AF_08/2022</t>
  </si>
  <si>
    <t>TORNEIRA DE BOIA PARA CAIXA D'ÁGUA, ROSCÁVEL, 3/4" - FORNECIMENTO E INSTALAÇÃO. AF_08/2021</t>
  </si>
  <si>
    <t>ADAPTADOR COM FLANGE E ANEL DE VEDAÇÃO, PVC, SOLDÁVEL, DN 25 MM X 3/4 , INSTALADO EM RESERVAÇÃO DE ÁGUA DE EDIFICAÇÃO QUE POSSUA RESERVATÓRIO DE FI BRA/FIBROCIMENTO FORNECIMENTO E INSTALAÇÃO. AF_06/2016</t>
  </si>
  <si>
    <t>KIT CAVALETE PARA MEDIÇÃO DE ÁGUA - ENTRADA PRINCIPAL, EM PVC SOLDÁVEL DN UN 25 (¾") FORNECIMENTO E INSTALAÇÃO (EXCLUSIVE HIDRÔMETRO). AF_11/2016</t>
  </si>
  <si>
    <t>COTAÇÃO</t>
  </si>
  <si>
    <t>CONCRETAGEM DE VIGAS E LAJES, FCK=25 MPA, PARA LAJES PREMOLDADAS COM USO DE BOMBA - LANÇAMENTO, ADENSAMENTO E ACABAMENTO. AF_02/2022</t>
  </si>
  <si>
    <t>CHAPISCO APLICADO EM ALVENARIAS E ESTRUTURAS DE CONCRETO INTERNAS, COM COLHER DE PEDREIRO. ARGAMASSA TRAÇO 1:3 COM PREPARO EM BETONEIRA 400L. AF_10/2022</t>
  </si>
  <si>
    <t xml:space="preserve"> TORNEIRA CROMADA DE MESA, 1/2 OU 3/4, PARA LAVATÓRIO, PADRÃO MÉDIO - FORNECIMENTO E INSTALAÇÃO. AF_01/2020</t>
  </si>
  <si>
    <t>ESTACA ESCAVADA MECANICAMENTE, SEM FLUIDO ESTABILIZANTE, COM 30CM DE DIÂMETRO, CONCRETO LANÇADO POR CAMINHÃO BETONEIRA (EXCLUSIVE MOBILIZAÇÃO E DESMOBILIZAÇÃO)</t>
  </si>
  <si>
    <t>CONTRAPISO EM ARGAMASSA TRAÇO 1:4 (CIMENTO E AREIA), PREPARO MANUAL, APLICADO EM ÁREAS MOLHADAS SOBRE IMPERMEABILIZAÇÃO, ACABAMENTO NÃO REFORÇADO, ESPESSURA 3CM. AF_07/2021</t>
  </si>
  <si>
    <t>9.4</t>
  </si>
  <si>
    <t>CUMEEIRA PARA TELHA DE FIBROCIMENTO ONDULADA E = 6 MM, INCLUSO ACESSÓRIOS DE FIXAÇÃO E IÇAMENTO. AF_07/2019</t>
  </si>
  <si>
    <t>CONTRAPISO EM ARGAMASSA TRAÇO 1:4 (CIMENTO E AREIA), PREPARO MECÂNICO COM BETONEIRA 400 L, APLICADO EM ÁREAS SECAS SOBRE LAJE, ADERIDO, ESPESSURA 3CM. AF_06/2014</t>
  </si>
  <si>
    <t>12.2</t>
  </si>
  <si>
    <r>
      <t xml:space="preserve"> Estado: </t>
    </r>
    <r>
      <rPr>
        <sz val="13"/>
        <color rgb="FF000000"/>
        <rFont val="Calibri"/>
        <family val="2"/>
      </rPr>
      <t>Rio Grande do Sul</t>
    </r>
  </si>
  <si>
    <t>Planilha Analítica de Composições</t>
  </si>
  <si>
    <r>
      <t xml:space="preserve"> Período:</t>
    </r>
    <r>
      <rPr>
        <sz val="13"/>
        <color rgb="FF000000"/>
        <rFont val="Calibri"/>
        <family val="2"/>
      </rPr>
      <t xml:space="preserve"> 06/2023 (Não Desonerado)</t>
    </r>
  </si>
  <si>
    <t>FABRICAÇÃO E INSTALAÇÃO DE TESOURA INTEIRA EM MADEIRA NÃO APARELHADA, VÃO DE 8 M, PARA TELHA ONDULADA DE FIBROCIMENTO, METÁLICA, PLÁSTICA OU TERMOACÚSTICA, INCLUSO IÇAMENTO. AF_07/2019</t>
  </si>
  <si>
    <t>9.6</t>
  </si>
  <si>
    <r>
      <t xml:space="preserve"> Obra: </t>
    </r>
    <r>
      <rPr>
        <sz val="13"/>
        <color rgb="FF000000"/>
        <rFont val="Calibri"/>
        <family val="2"/>
      </rPr>
      <t>Centro Especial de Amparo à Criança e ao Adolescente - CEACAT</t>
    </r>
  </si>
  <si>
    <t>Obra: Casas do Incra</t>
  </si>
  <si>
    <t>Enfereço: Taquari / RS</t>
  </si>
  <si>
    <t>REVESTIMENTO CERÂMICO PARA PISO COM PLACAS TIPO ESMALTADA DE DIMENSÕES 60X60 CM APLICADA EM AMBIENTES DE ÁREA MAIOR QUE 10 M2. AF_02/2023_PE</t>
  </si>
  <si>
    <t>COMPOSIÇÃO 01</t>
  </si>
  <si>
    <t>Taquari, setembro de 2025.</t>
  </si>
  <si>
    <t>CONTRAVERGA MOLDADA IN LOCO EM CONCRETO, ESPESSURA DE *10* CM. AF_03/2024</t>
  </si>
  <si>
    <t>VERGA MOLDADA IN LOCO EM CONCRETO, ESPESSURA DE *10* CM. AF_03/2024</t>
  </si>
  <si>
    <t>MAT</t>
  </si>
  <si>
    <t>MO</t>
  </si>
  <si>
    <t>LAVATÓRIO LOUÇA BRANCA SUSPENSO, 29,5 X 39CM OU EQUIVALENTE, PADRÃO POPULAR, INCLUSO SIFÃO FLEXÍVEL EM PVC, VÁLVULA E ENGATE FLEXÍVEL 30CM EM PLÁSTICO E TORNEIRA CROMADA DE MESA, PADRÃO POPULAR - FORNECIMENTO E INSTALAÇÃO. AF_01/2020</t>
  </si>
  <si>
    <t>TANQUE DE MÁRMORE SINTÉTICO COM COLUNA, 22L OU EQUIVALENTE, INCLUSO SIFÃO FLEXÍVEL EM PVC, VÁLVULA PLÁSTICA E TORNEIRA DE METAL CROMADO PADRÃO POPULAR - FORNECIMENTO E INSTALAÇÃO. AF_01/2020</t>
  </si>
  <si>
    <t>REVESTIMENTO CERÂMICO PARA PAREDES INTERNAS COM PLACAS TIPO ESMALTADA DE DIMENSÕES 20X20 CM APLICADAS NA ALTURA INTEIRA DAS PAREDES. AF_02/2023_PE</t>
  </si>
  <si>
    <t>PINTURA LÁTEX ACRÍLICA STANDARD, APLICAÇÃO MANUAL EM PAREDES, DUAS DEMÃOS. AF_04/2023</t>
  </si>
  <si>
    <t>FILTRO ANAERÓBIO RETANGULAR, EM ALVENARIA COM BLOCOS DE CONCRETO, DIMENSÕES INTERNAS: 0,8 X 1,2 X H=1,67 M, VOLUME ÚTIL: 1152 L (PARA 5 CONTRIBUINTES). AF_12/2020</t>
  </si>
  <si>
    <t>SUMIDOURO RETANGULAR, EM ALVENARIA COM BLOCOS DE CONCRETO, DIMENSÕES INTERNAS: 0,8 X 1,4 X H=3,0 M, ÁREA DE INFILTRAÇÃO: 13,2 M² (PARA 5 CONTRIBUINTES). AF_12/2020</t>
  </si>
  <si>
    <t>TANQUE SÉPTICO RETANGULAR, EM ALVENARIA COM BLOCOS DE CONCRETO, DIMENSÕES INTERNAS: 1,0 X 2,0 X H=1,4 M, VOLUME ÚTIL: 2000 L (PARA 5 CONTRIBUINTES). AF_12/2020</t>
  </si>
  <si>
    <t>JUNÇÃO DE REDUÇÃO INVERTIDA, PVC, SÉRIE NORMAL, ESGOTO PREDIAL, DN 100 X 50 MM, JUNTA ELÁSTICA, FORNECIDO E INSTALADO EM RAMAL DE DESCARGA OU RAMAL DE ESGOTO SANITÁRIO. AF_08/2022</t>
  </si>
  <si>
    <t>REGISTRO DE GAVETA BRUTO, LATÃO, ROSCÁVEL, 3/4", COM ACABAMENTO E CANOPLA CROMADOS - FORNECIMENTO E INSTALAÇÃO. AF_08/2021</t>
  </si>
  <si>
    <t>LUMINÁRIA TIPO PLAFON CIRCULAR, DE SOBREPOR, COM LED DE 12/13 W - FORNECIMENTO E INSTALAÇÃO. AF_09/2024</t>
  </si>
  <si>
    <t>TOMADA BAIXA DE EMBUTIR (2 MÓDULOS), 2P+T 10 A, INCLUINDO SUPORTE E PLACA - FORNECIMENTO E INSTALAÇÃO. AF_03/2023</t>
  </si>
  <si>
    <t>MURO BLOCO GRES - ARGAM. ci-ar 1:6</t>
  </si>
  <si>
    <t>COMPOSICAO</t>
  </si>
  <si>
    <t>87372</t>
  </si>
  <si>
    <t>ARGAMASSA TRAÇO 1:3 (EM VOLUME DE CIMENTO E AREIA MÉDIA ÚMIDA) PARA CONTRA  PISO, PREPARO MANUAL. AF_08/2019</t>
  </si>
  <si>
    <t>Pedra de arenito bitolada  45x22x14</t>
  </si>
  <si>
    <t>COMPOSIÇÃO 04</t>
  </si>
  <si>
    <t>ENTRADA DE ENERGIA ELÉTRICA, AÉREA, BIFÁSICA, COM CAIXA DE EMBUTIR, CABO DE 16 MM2 E DISJUNTOR DIN 50A (NÃO INCLUSO O POSTE DE CONCRETO). AF_07/2020_PS</t>
  </si>
  <si>
    <t>FORRO EM RÉGUAS DE PVC, FRISADO, PARA AMBIENTES RESIDENCIAIS, INCLUSIVE ESTRUTURA UNIDIRECIONAL DE FIXAÇÃO. AF_08/2023_PS</t>
  </si>
  <si>
    <t>QUADRO DE DISTRIBUIÇÃO DE ENERGIA EM CHAPA DE AÇO GALVANIZADO, DE EMBUTIR, COM BARRAMENTO TRIFÁSICO, PARA 12 DISJUNTORES DIN 100A - FORNECIMENTO E INSTALAÇÃO. AF_07/2025</t>
  </si>
  <si>
    <t>SINAPI Data Base - Agosto/2025- Sem Desoneração</t>
  </si>
  <si>
    <t>Área: 41,23 m²</t>
  </si>
  <si>
    <t>Encargos Sociais: Horista: 112,84 % Mensalista: 69,65 %</t>
  </si>
  <si>
    <t>4.1</t>
  </si>
  <si>
    <t>4.3</t>
  </si>
  <si>
    <t>6.2</t>
  </si>
  <si>
    <t>6.4</t>
  </si>
  <si>
    <t>8.2</t>
  </si>
  <si>
    <t>9.1</t>
  </si>
  <si>
    <t>9.3</t>
  </si>
  <si>
    <t>12.4</t>
  </si>
  <si>
    <t>Taquari, dezembro de 2025.</t>
  </si>
  <si>
    <t xml:space="preserve">MONTAGEM E DESMONTAGEM DE FÔRMA DE VIGA, ESCORAMENTO COM PONTALETE DE MADEIRA, PÉ-DIREITO SIMPLES, EM MADEIRA SERRADA, 2 UTILIZAÇÕES. AF_09/2020
</t>
  </si>
  <si>
    <t>Item</t>
  </si>
  <si>
    <t>Descrição</t>
  </si>
  <si>
    <t>Total</t>
  </si>
  <si>
    <t>Mês 1</t>
  </si>
  <si>
    <t>Mês 2</t>
  </si>
  <si>
    <t>Mês 3</t>
  </si>
  <si>
    <t>Mês 4</t>
  </si>
  <si>
    <t>Mês 5</t>
  </si>
  <si>
    <t>Valor</t>
  </si>
  <si>
    <t>1.1</t>
  </si>
  <si>
    <t>2.1</t>
  </si>
  <si>
    <t>2.2</t>
  </si>
  <si>
    <t>2.3</t>
  </si>
  <si>
    <t>2.5</t>
  </si>
  <si>
    <t>2.6</t>
  </si>
  <si>
    <t>2.7</t>
  </si>
  <si>
    <t>3.1</t>
  </si>
  <si>
    <t>3.2</t>
  </si>
  <si>
    <t>5.3</t>
  </si>
  <si>
    <t>6.5</t>
  </si>
  <si>
    <t>6.6</t>
  </si>
  <si>
    <t>7.1</t>
  </si>
  <si>
    <t>7.2</t>
  </si>
  <si>
    <t>7.3</t>
  </si>
  <si>
    <t>7.5</t>
  </si>
  <si>
    <t>7.7</t>
  </si>
  <si>
    <t>7.8</t>
  </si>
  <si>
    <t>7.9</t>
  </si>
  <si>
    <t>7.11</t>
  </si>
  <si>
    <t>7.12</t>
  </si>
  <si>
    <t>7.13</t>
  </si>
  <si>
    <t>7.14</t>
  </si>
  <si>
    <t>7.16</t>
  </si>
  <si>
    <t>7.17</t>
  </si>
  <si>
    <t>7.18</t>
  </si>
  <si>
    <t>7.19</t>
  </si>
  <si>
    <t>7.22</t>
  </si>
  <si>
    <t>7.23</t>
  </si>
  <si>
    <t>7.24</t>
  </si>
  <si>
    <t>8.4</t>
  </si>
  <si>
    <t>8.6</t>
  </si>
  <si>
    <t>8.7</t>
  </si>
  <si>
    <t>8.8</t>
  </si>
  <si>
    <t>8.9</t>
  </si>
  <si>
    <t>8.10</t>
  </si>
  <si>
    <t>8.11</t>
  </si>
  <si>
    <t>8.13</t>
  </si>
  <si>
    <t>8.14</t>
  </si>
  <si>
    <t>8.15</t>
  </si>
  <si>
    <t>8.17</t>
  </si>
  <si>
    <t>8.18</t>
  </si>
  <si>
    <t>9.7</t>
  </si>
  <si>
    <t>9.9</t>
  </si>
  <si>
    <t>9.10</t>
  </si>
  <si>
    <t>9.11</t>
  </si>
  <si>
    <t>13.1</t>
  </si>
  <si>
    <t>13.2</t>
  </si>
  <si>
    <t>13.3</t>
  </si>
  <si>
    <t>13.4</t>
  </si>
  <si>
    <t>13.5</t>
  </si>
  <si>
    <t>13.6</t>
  </si>
  <si>
    <t>13.7</t>
  </si>
  <si>
    <t>14.1</t>
  </si>
  <si>
    <t>14.2</t>
  </si>
  <si>
    <t>QUADRO DE RESUMO CASA MODELO 1</t>
  </si>
  <si>
    <t>_________________________________________</t>
  </si>
  <si>
    <t>Obra: Casas do Incra - CASA MODELO 1</t>
  </si>
  <si>
    <t>IMPERMEABILIZAÇÃO DE SUPERFÍCIE COM ARGAMASSA DE CIMENTO E AREIA, COM ADITIVO IMPERMEABILIZANTE, E = 1,5CM. AF_09/2023</t>
  </si>
  <si>
    <t>LAJE PRÉ MOLDADA</t>
  </si>
  <si>
    <r>
      <t xml:space="preserve">CAIXA D´ÁGUA EM POLIETILENO, 500 LITROS - FORNECIMENTO E INSTALAÇÃO. AF_06/2021 </t>
    </r>
    <r>
      <rPr>
        <b/>
        <sz val="10"/>
        <rFont val="Arial"/>
        <family val="2"/>
      </rPr>
      <t>1.000</t>
    </r>
  </si>
  <si>
    <t>tubo 32mm</t>
  </si>
  <si>
    <t>PINTURA HIDROFUGANTE</t>
  </si>
  <si>
    <t>ELETRODUTO FORRO</t>
  </si>
  <si>
    <t>ELETRODUTO PAREDE</t>
  </si>
  <si>
    <t>CABO 10mm</t>
  </si>
  <si>
    <t>ALVENARIA DE BLOCO DE CONCRETO 14x19x29</t>
  </si>
  <si>
    <t>JANELA BASCULANTE EM AÇO 2,00x1,20</t>
  </si>
  <si>
    <t>JANELA BASCULANTE EM AÇO 0,60x0,60</t>
  </si>
  <si>
    <t>JANELA VENEZIANA EM AÇO 0,60x0,60</t>
  </si>
  <si>
    <t>JANELA BASCULANTE EM AÇO 1,00x1,00</t>
  </si>
  <si>
    <t>PORTA EM AÇO 1,00x2,10</t>
  </si>
  <si>
    <t>PORTA EM AÇO 0,90x2,10</t>
  </si>
  <si>
    <t>PORTA DE ALUMÍNIO DE ABRIR COM LAMBRI, COM GUARNIÇÃO, FIXAÇÃO COM PARAFUSOS - FORNECIMENTO E INSTALAÇÃO. AF_12/2019 0,90x2,10</t>
  </si>
  <si>
    <t>PORTA DE ALUMÍNIO DE ABRIR COM LAMBRI, COM GUARNIÇÃO, FIXAÇÃO COM PARAFUSOS - FORNECIMENTO E INSTALAÇÃO. AF_12/2019 0,70x2,10</t>
  </si>
  <si>
    <t>PPCI</t>
  </si>
  <si>
    <t>PRÉ SPLITS</t>
  </si>
  <si>
    <t>PORTÃO EM GRADIL METÁLICO 0,60x1,10</t>
  </si>
  <si>
    <t>TORNEIRA DE JARDIM</t>
  </si>
  <si>
    <t>Taquari, fevereiro de 2026.</t>
  </si>
  <si>
    <t>OBRA:</t>
  </si>
  <si>
    <t>ENDEREÇO:</t>
  </si>
  <si>
    <t>FONTE:</t>
  </si>
  <si>
    <t>BDI:</t>
  </si>
  <si>
    <t>ENCARGOS SOCIAIS</t>
  </si>
  <si>
    <t>HORISTA:</t>
  </si>
  <si>
    <t>MENSALISTA:</t>
  </si>
  <si>
    <t>PLANILHA ORÇAMENTÁRIA</t>
  </si>
  <si>
    <t>DESCRIÇÃO</t>
  </si>
  <si>
    <t>UNID</t>
  </si>
  <si>
    <t>QTD</t>
  </si>
  <si>
    <t>CUSTO UNITÁRIO SEM BDI</t>
  </si>
  <si>
    <t>CUSTO UNITÁRIO COM BDI</t>
  </si>
  <si>
    <t>CUSTO TOTAL COM BDI</t>
  </si>
  <si>
    <t>FONTE</t>
  </si>
  <si>
    <t>CÓDIGO</t>
  </si>
  <si>
    <t>DATA BASE</t>
  </si>
  <si>
    <t>MATERIAL</t>
  </si>
  <si>
    <t>MÃO DE OBRA</t>
  </si>
  <si>
    <t>CUSTO TOTAL</t>
  </si>
  <si>
    <t>VALOR TOTAL</t>
  </si>
  <si>
    <t>SUBTOTAL</t>
  </si>
  <si>
    <t>COMPOSIÇÃO</t>
  </si>
  <si>
    <t>04</t>
  </si>
  <si>
    <t>4.5</t>
  </si>
  <si>
    <t>01</t>
  </si>
  <si>
    <t>02</t>
  </si>
  <si>
    <t>TOTAL DO ORÇAMENTO</t>
  </si>
  <si>
    <t>RUA OSVALDO ARANHA, 1790 - TAQUARI - RS - FONE: (51) 3653-6200 - EMAIL: PLANEJAMENTO@TAQUARI.RS.GOV.BR</t>
  </si>
  <si>
    <t>________________________________________________</t>
  </si>
  <si>
    <t>FLÁVIO DE ANDRADE</t>
  </si>
  <si>
    <t>ENG. CIVIL E ENG. DE SEGURANÇA - CREA RS 111653</t>
  </si>
  <si>
    <t>RUA ORFELINO BIZARRO MARTINS - TAQUARI/RS</t>
  </si>
  <si>
    <r>
      <rPr>
        <b/>
        <sz val="8"/>
        <rFont val="Arial"/>
        <family val="2"/>
      </rPr>
      <t>SINAPI</t>
    </r>
    <r>
      <rPr>
        <sz val="8"/>
        <rFont val="Arial"/>
        <family val="2"/>
      </rPr>
      <t xml:space="preserve"> - RIO GRANDE DO SUL JANEIRO/2026 NÃO DESONERADO</t>
    </r>
  </si>
  <si>
    <r>
      <rPr>
        <b/>
        <sz val="8"/>
        <rFont val="Arial"/>
        <family val="2"/>
      </rPr>
      <t>ORSE</t>
    </r>
    <r>
      <rPr>
        <sz val="8"/>
        <rFont val="Arial"/>
        <family val="2"/>
      </rPr>
      <t xml:space="preserve"> - JANEIRO/2026</t>
    </r>
  </si>
  <si>
    <t>ARMAÇÃO DE BLOCO UTILIZANDO AÇO CA-60 DE 5 MM - MONTAGEM. AF_01/2024</t>
  </si>
  <si>
    <t>ARMAÇÃO DE BLOCO UTILIZANDO AÇO CA-50 DE 10 MM - MONTAGEM. AF_01/2024</t>
  </si>
  <si>
    <t>FABRICAÇÃO, MONTAGEM E DESMONTAGEM DE FÔRMA PARA VIGA BALDRAME, EM MADEIRA SERRADA, E=25 MM, 4 UTILIZAÇÕES. AF_01/2024</t>
  </si>
  <si>
    <t>LASTRO COM MATERIAL GRANULAR (PEDRA BRITADA N.2), APLICADO EM PISOS OU LAJES SOBRE SOLO, ESPESSURA DE *10 CM*. AF_01/2024</t>
  </si>
  <si>
    <t>ARMAÇÃO DE PILAR OU VIGA DE ESTRUTURA CONVENCIONAL DE CONCRETO ARMADO UTILIZANDO AÇO CA-60 DE 5,0 MM - MONTAGEM. AF_06/2022</t>
  </si>
  <si>
    <t>ARMAÇÃO DE PILAR OU VIGA DE ESTRUTURA CONVENCIONAL DE CONCRETO ARMADO UTILIZANDO AÇO CA-50 DE 8,0 MM - MONTAGEM. AF_06/2022</t>
  </si>
  <si>
    <t>CONCRETAGEM DE VIGAS E LAJES, FCK=25 MPA, PARA LAJES PREMOLDADAS COM USO DE BOMBA - LANÇAMENTO, ADENSAMENTO E ACABAMENTO. AF_02/2022_PS</t>
  </si>
  <si>
    <t>5.4</t>
  </si>
  <si>
    <t>5.5</t>
  </si>
  <si>
    <t>TRAMA DE MADEIRA COMPOSTA POR TERÇAS PARA TELHADOS DE ATÉ 2 ÁGUAS PARA TELHA ONDULADA DE FIBROCIMENTO, METÁLICA, PLÁSTICA OU TERMOACÚSTICA, INCLUSO TRANSPORTE VERTICAL. AF_10/2025</t>
  </si>
  <si>
    <t>TELHAMENTO COM TELHA ONDULADA DE FIBROCIMENTO E = 6 MM, COM RECOBRIMENTO LATERAL DE 1/4 DE ONDA PARA TELHADO COM INCLINAÇÃO MAIOR QUE 10°, COM ATÉ 2 ÁGUAS, INCLUSO IÇAMENTO. AF_07/2019</t>
  </si>
  <si>
    <t>RUFO EM CHAPA DE AÇO GALVANIZADO NÚMERO 24, CORTE DE 25 CM, INCLUSO TRANSPORTE VERTICAL. AF_07/2019</t>
  </si>
  <si>
    <t>INSTALAÇÕES ELÉTRICAS/TELEFONIA/LÓGICA</t>
  </si>
  <si>
    <t>7.6</t>
  </si>
  <si>
    <t>7.10</t>
  </si>
  <si>
    <t>7.15</t>
  </si>
  <si>
    <t>7.20</t>
  </si>
  <si>
    <t>ENTRADA DE ENERGIA ELÉTRICA, AÉREA, BIFÁSICA, COM CAIXA DE EMBUTIR, CABO DE 16 MM2 E DISJUNTOR DIN 50A (NÃO INCLUSO O POSTE DE CONCRETO). AF_12/2025</t>
  </si>
  <si>
    <t>CABO DE COBRE FLEXÍVEL ISOLADO, 2,5 MM², ANTI-CHAMA 450/750 V, PARA CIRCUITOS TERMINAIS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</si>
  <si>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</si>
  <si>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</si>
  <si>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PAREDE - FORNECIMENTO E INSTALAÇÃO. AF_03/2023</t>
  </si>
  <si>
    <t>RASGO LINEAR MANUAL EM ALVENARIA, PARA ELETRODUTOS, DIÂMETROS MENORES OU IGUAIS A 40 MM. AF_09/2023</t>
  </si>
  <si>
    <t>INTERRUPTOR SIMPLES (1 MÓDULO), 10A/250V, INCLUINDO SUPORTE E PLACA - FORNECIMENTO E INSTALAÇÃO. AF_03/2023</t>
  </si>
  <si>
    <t>INTERRUPTOR SIMPLES (3 MÓDULOS), 10A/250V, INCLUINDO SUPORTE E PLACA - FORNECIMENTO E INSTALAÇÃO. AF_03/2023</t>
  </si>
  <si>
    <t>INTERRUPTOR SIMPLES (1 MÓDULO) COM 1 TOMADA DE EMBUTIR 2P+T 10 A, INCLUINDO SUPORTE E PLACA - FORNECIMENTO E INSTALAÇÃO. AF_03/2023</t>
  </si>
  <si>
    <t>TOMADA BAIXA DE EMBUTIR (1 MÓDULO), 2P+T 10 A, INCLUINDO SUPORTE E PLACA - FORNECIMENTO E INSTALAÇÃO. AF_03/2023</t>
  </si>
  <si>
    <t>TOMADA MÉDIA DE EMBUTIR (1 MÓDULO), 2P+T 10 A, INCLUINDO SUPORTE E PLACA - FORNECIMENTO E INSTALAÇÃO. AF_03/2023</t>
  </si>
  <si>
    <t>DISJUNTOR MONOPOLAR TIPO DIN, CORRENTE NOMINAL DE 16A - FORNECIMENTO E INSTALAÇÃO. AF_07/2025</t>
  </si>
  <si>
    <t>DISJUNTOR MONOPOLAR TIPO DIN, CORRENTE NOMINAL DE 20A - FORNECIMENTO E INSTALAÇÃO. AF_07/2025</t>
  </si>
  <si>
    <t>DISJUNTOR MONOPOLAR TIPO DIN, CORRENTE NOMINAL DE 32A - FORNECIMENTO E INSTALAÇÃO. AF_07/2025</t>
  </si>
  <si>
    <t>PLANILHA ANALÍTICA DE COMPOSIÇÕES</t>
  </si>
  <si>
    <t>TIPO</t>
  </si>
  <si>
    <t>BANCO</t>
  </si>
  <si>
    <t>PREÇO UNIT</t>
  </si>
  <si>
    <t>INSUMO</t>
  </si>
  <si>
    <t>ORSE</t>
  </si>
  <si>
    <t>COMPOSIÇÃO 05</t>
  </si>
  <si>
    <t>COMPOSIÇÃO 06</t>
  </si>
  <si>
    <t>COMPOSIÇÃO 07</t>
  </si>
  <si>
    <t>LUMINÁRIA TIPO PLAFON QUADRADA, DE SOBREPOR, 17X17CM, COM LED DE 12 W - FORNECIMENTO E INSTALAÇÃO. AF_09/2024</t>
  </si>
  <si>
    <t>LUMINARIA PAINEL PLAFON, DE SOBREPOR, SLIM, QUADRADA *17 X 17* CM, EM ALUMINIO ACABAMENTO BRANCO, COM ACRILICO, COM LAMPADAS LED 12 W, BIVOLT</t>
  </si>
  <si>
    <t>8.5</t>
  </si>
  <si>
    <t>ESCAVAÇÃO MECANIZADA PARA VIGA BALDRAME OU SAPATA CORRIDA COM MINI-ESCAVADEIRA (INCLUINDO ESCAVAÇÃO PARA COLOCAÇÃO DE FÔRMAS). AF_01/2024</t>
  </si>
  <si>
    <t>REATERRO MECANIZADO DE VALA COM ESCAVADEIRA HIDRÁULICA (CAPACIDADE DA CAÇAMBA: 0,8 M³/POTÊNCIA: 111 HP), LARGURA 1,5 A 2,5 M, PROFUNDIDADE 1,5 A 3,0 M, COM SOLO (SEM SUBSTITUIÇÃO) DE 1ª CATEGORIA, COM COMPACTADOR DE SOLOS DE PERCUSSÃO. AF_08/2023</t>
  </si>
  <si>
    <t>CAIXA SIFONADA, PVC, DN 100 X 100 X 50 MM, JUNTA ELÁSTICA, FORNECIDA E INSTALADA EM RAMAL DE DESCARGA OU EM RAMAL DE ESGOTO SANITÁRIO. AF_08/2022</t>
  </si>
  <si>
    <t>RASGO LINEAR MANUAL EM ALVENARIA, PARA RAMAIS/ DISTRIBUIÇÃO DE INSTALAÇÕES HIDRÁULICAS, DIÂMETROS MENORES OU IGUAIS A 40 MM. AF_09/2023</t>
  </si>
  <si>
    <t>SUSTENTALED</t>
  </si>
  <si>
    <t>TUBO PVC, SERIE NORMAL, ESGOTO PREDIAL, DN 50 MM, FORNECIDO E INSTALADO EM RAMAL DE DESCARGA OU RAMAL DE ESGOTO SANITÁRIO. AF_08/2022</t>
  </si>
  <si>
    <t>TUBO PVC, SERIE NORMAL, ESGOTO PREDIAL, DN 100 MM, FORNECIDO E INSTALADO EM RAMAL DE DESCARGA OU RAMAL DE ESGOTO SANITÁRIO. AF_08/2022</t>
  </si>
  <si>
    <t>JOELHO 90 GRAUS, PVC, SERIE NORMAL, ESGOTO PREDIAL, DN 100 MM, JUNTA ELÁSTICA, FORNECIDO E INSTALADO EM RAMAL DE DESCARGA OU RAMAL DE ESGOTO SANITÁRIO. AF_08/2022</t>
  </si>
  <si>
    <t>JOELHO 90 GRAUS, PVC, SERIE NORMAL, ESGOTO PREDIAL, DN 50 MM, JUNTA ELÁSTICA, FORNECIDO E INSTALADO EM RAMAL DE DESCARGA OU RAMAL DE ESGOTO SANITÁRIO. AF_08/2022</t>
  </si>
  <si>
    <t>LUVA SIMPLES, PVC, SERIE NORMAL, ESGOTO PREDIAL, DN 50 MM, JUNTA ELÁSTICA, FORNECIDO E INSTALADO EM RAMAL DE DESCARGA OU RAMAL DE ESGOTO SANITÁRIO. AF_08/2022</t>
  </si>
  <si>
    <t>LUVA SIMPLES, PVC, SERIE NORMAL, ESGOTO PREDIAL, DN 100 MM, JUNTA ELÁSTICA, FORNECIDO E INSTALADO EM RAMAL DE DESCARGA OU RAMAL DE ESGOTO SANITÁRIO. AF_08/2022</t>
  </si>
  <si>
    <t>9.8</t>
  </si>
  <si>
    <t>KIT CAVALETE PARA MEDIÇÃO DE ÁGUA - ENTRADA PRINCIPAL, EM PVC 25 MM (3/4") - FORNECIMENTO E INSTALAÇÃO (EXCLUSIVE HIDRÔMETRO). AF_03/2024</t>
  </si>
  <si>
    <t>TUBO, PVC, SOLDÁVEL, DE 25MM, INSTALADO EM RAMAL OU SUB-RAMAL DE ÁGUA - FORNECIMENTO E INSTALAÇÃO. AF_06/2022</t>
  </si>
  <si>
    <t>TUBO, PVC, SOLDÁVEL, DE 32MM, INSTALADO EM RAMAL OU SUB-RAMAL DE ÁGUA - FORNECIMENTO E INSTALAÇÃO. AF_06/2022</t>
  </si>
  <si>
    <t>JOELHO 90 GRAUS, PVC, SOLDÁVEL, DN 25MM, INSTALADO EM RAMAL OU SUB-RAMAL DE ÁGUA - FORNECIMENTO E INSTALAÇÃO. AF_06/2022</t>
  </si>
  <si>
    <t>ADAPTADOR COM FLANGE E ANEL DE VEDAÇÃO, PVC, SOLDÁVEL, DN 25 MM X 3/4", INSTALADO EM RESERVAÇÃO PREDIAL DE ÁGUA - FORNECIMENTO E INSTALAÇÃO. AF_04/2024</t>
  </si>
  <si>
    <t>JOELHO 90 GRAUS COM BUCHA DE LATÃO, PVC, SOLDÁVEL, DN 25MM, X 3/4 INSTALADO EM RAMAL OU SUB-RAMAL DE ÁGUA - FORNECIMENTO E INSTALAÇÃO. AF_06/2022</t>
  </si>
  <si>
    <t>TÊ COM BUCHA DE LATÃO NA BOLSA CENTRAL, PVC, SOLDÁVEL, DN 25MM X 3/4, INSTALADO EM RAMAL OU SUB-RAMAL DE ÁGUA - FORNECIMENTO E INSTALAÇÃO. AF_06/2022</t>
  </si>
  <si>
    <t>CAIXA D´ÁGUA EM POLIETILENO, 500 LITROS - FORNECIMENTO E INSTALAÇÃO. AF_06/2021</t>
  </si>
  <si>
    <t>10.6</t>
  </si>
  <si>
    <t>CONTRAPISO EM ARGAMASSA TRAÇO 1:4 (CIMENTO E AREIA), PREPARO MECÂNICO COM BETONEIRA 400 L, APLICADO EM ÁREAS SECAS SOBRE LAJE, ADERIDO, ACABAMENTO NÃO REFORÇADO, ESPESSURA 3CM. AF_07/2021</t>
  </si>
  <si>
    <t>RODAPÉ CERÂMICO DE 7CM DE ALTURA COM PLACAS TIPO ESMALTADA DE DIMENSÕES 60X60CM. AF_02/2023</t>
  </si>
  <si>
    <t>PEITORIL LINEAR EM GRANITO OU MÁRMORE, L = 15CM, ASSENTADO COM ARGAMASSA 1:6 COM ADITIVO. AF_11/2020</t>
  </si>
  <si>
    <t>ARGAMASSA TRAÇO 1:3 (EM VOLUME DE CIMENTO E AREIA MÉDIA ÚMIDA), PREPARO MANUAL. AF_08/2019</t>
  </si>
  <si>
    <t>JANELA BASCULANTE, ACO, COM BATENTE/REQUADRO, 60 X 60 CM (SEM VIDROS)</t>
  </si>
  <si>
    <t>VIDRO MARTELADO OU CANELADO, 4 MM - SEM COLOCACAO</t>
  </si>
  <si>
    <t>JANELA DE AÇO TIPO BASCULANTE, COM VIDRO TIPO MINIBOREAL, COMPLETA, COM PINTURA ANTICORROSIVA, FIXAÇÃO COM ARGAMASSA - FORNECIMENTO E INSTALAÇÃO. AF_11/2024</t>
  </si>
  <si>
    <t>ESQUADRIAS BRASIL</t>
  </si>
  <si>
    <t>JANELA FIXA 1 FOLHA EM ALUMÍNIO DE ALTA QUALIDADE DA LINHA 25 PESADA, COM PINTURA</t>
  </si>
  <si>
    <t>JANELA DE ALUMÍNIO TIPO VENEZIANA FIXA PARA VENTILAÇÃO, UMA FOLHA 60X60CM, COMPLETA, COM PINTURA, FIXAÇÃO COM ARGAMASSA - FORNECIMENTO E INSTALAÇÃO</t>
  </si>
  <si>
    <t>PORTA EM AÇO DE ABRIR TIPO VENEZIANA COMPLETA, 90X210CM, COM PINTURA, FIXAÇÃO COM PARAFUSOS - FORNECIMENTO E INSTALAÇÃO</t>
  </si>
  <si>
    <t>PORTA EM AÇO DE ABRIR TIPO VENEZIANA COMPLETA, 100X210CM, COM PINTURA, FIXAÇÃO COM PARAFUSOS - FORNECIMENTO E INSTALAÇÃO</t>
  </si>
  <si>
    <t>BUCHA DE NYLON SEM ABA S10, COM PARAFUSO DE 6,10 X 65 MM EM ACO ZINCADO COM ROSCA SOBERBA, CABECA CHATA E FENDA PHILLIPS</t>
  </si>
  <si>
    <t>SELANTE ELASTICO MONOCOMPONENTE A BASE DE POLIURETANO (PU) PARA JUNTAS DIVERSAS</t>
  </si>
  <si>
    <t>310ML</t>
  </si>
  <si>
    <t>PORTA DE ABRIR EM ACO, TIPO VENEZIANA, 100 X 210 CM, COM FUNDO ANTICORROSIVO / PRIMER DE PROTECAO, INCLUI FECHADURA, MACANETA E PARAFUSOS, SEM GUARNICAO/ALIZAR/VISTA</t>
  </si>
  <si>
    <t>MERCADO LIVRE</t>
  </si>
  <si>
    <t>14.3</t>
  </si>
  <si>
    <t>PINTURA HIDROFUGANTE COM SILICONE, APLICAÇÃO MANUAL, 2 DEMÃOS. AF_05/2021</t>
  </si>
  <si>
    <t>LAJE PRÉ-MOLDADA UNIDIRECIONAL, BIAPOIADA, PARA FORRO, ENCHIMENTO EM EPS, VIGOTA TRELIÇADA, ALTURA TOTAL DA LAJE "LT" = 12 CM (ENCHIMENTO+CAPA) = (8+4). AF_08/2025</t>
  </si>
  <si>
    <t>CONCRETO USINADO BOMBEAVEL, CLASSE DE RESISTENCIA C25, COM BRITA 0 E 1, SLUMP = 130 +/- 20 MM, EXCLUI SERVICO DE BOMBEAMENTO (NBR 8953)</t>
  </si>
  <si>
    <t>PERFURATRIZ HIDRÁULICA SOBRE CAMINHÃO COM TRADO CURTO ACOPLADO, PROFUNDIDADE MÁXIMA DE 20 M, DIÂMETRO MÁXIMO DE 1500 MM, POTÊNCIA INSTALADA DE 137 HP, MESA ROTATIVA COM TORQUE MÁXIMO DE 30 KNM - CHI DIURNO. AF_06/2015</t>
  </si>
  <si>
    <t>ENGENHEIRO CIVIL DE OBRA PLENO COM ENCARGOS COMPLEMENTARES</t>
  </si>
  <si>
    <t>ESTACA ESCAVADA MECANICAMENTE, SEM FLUIDO ESTABILIZANTE, COM 30CM DE DIÂMETRO, CONCRETO LANÇADO POR CAMINHÃO BETONEIRA</t>
  </si>
  <si>
    <t>CONCRETO USINADO BOMBEAVEL, CLASSE DE RESISTENCIA C25, BRITA 0 E 1, SLUMP = 100 +/- 20 MM, COM BOMBEAMENTO (DISPONIBILIZACAO DE BOMBA), SEM O LANCAMENTO (NBR 8953)</t>
  </si>
  <si>
    <t>MURO BLOCO GRES - ARGAM. CI-AR 1:6</t>
  </si>
  <si>
    <t>ARGAMASSA TRAÇO 1:3 (EM VOLUME DE CIMENTO E AREIA MÉDIA ÚMIDA) PARA CONTRAPISO, PREPARO MANUAL. AF_08/2019</t>
  </si>
  <si>
    <t>PEDRA DE ARENITO BITOLADA  45X22X14</t>
  </si>
  <si>
    <t>03</t>
  </si>
  <si>
    <t>05</t>
  </si>
  <si>
    <t>06</t>
  </si>
  <si>
    <t>07</t>
  </si>
  <si>
    <t>CERCAMENTO</t>
  </si>
  <si>
    <t>COMPOSIÇÃO 08</t>
  </si>
  <si>
    <t>CONCRETO MAGRO PARA LASTRO, TRAÇO 1:4,5:4,5 (EM MASSA SECA DE CIMENTO/ AREIA MÉDIA/ BRITA 1) - PREPARO MECÂNICO COM BETONEIRA 400 L. AF_05/2021</t>
  </si>
  <si>
    <t>INSTALAÇÃO DE MOURÃO DE CONCRETO RETO, SEÇÃO QUADRADA *10 X 10* CM, H. ÚTIL = 2,00 M</t>
  </si>
  <si>
    <t>04557</t>
  </si>
  <si>
    <t>ESTACA PRÉ-MOLDADA DE CONCRETO ARMADO (MOURÃO), PARA CERCA, SEÇÃO 10X10, H(UTIL)=2,00M</t>
  </si>
  <si>
    <t>08</t>
  </si>
  <si>
    <t>ALVENARIAS</t>
  </si>
  <si>
    <t>GRADIL EM AÇO FIXADO EM MOURÃO DE CONCRETO, FORMADO POR BARRAS CHATAS DE 25X4,8 MM. AF_10/2025</t>
  </si>
  <si>
    <t>ALVENARIA DE VEDAÇÃO DE BLOCOS CERÂMICOS FURADOS NA HORIZONTAL DE 14X19X39 CM (ESPESSURA 14 CM) E ARGAMASSA DE ASSENTAMENTO COM PREPARO EM BETONEIRA. AF_12/2021</t>
  </si>
  <si>
    <t>ARMAÇÃO DE SAPATA ISOLADA, VIGA BALDRAME E SAPATA CORRIDA UTILIZANDO AÇO CA-60 DE 5 MM - MONTAGEM. AF_01/2024</t>
  </si>
  <si>
    <t>ARMAÇÃO DE SAPATA ISOLADA, VIGA BALDRAME E SAPATA CORRIDA UTILIZANDO AÇO CA-50 DE 8 MM - MONTAGEM. AF_01/2024</t>
  </si>
  <si>
    <t>CONCRETAGEM DE BLOCO DE COROAMENTO OU VIGA BALDRAME, FCK 30 MPA, COM USO DE BOMBA - LANÇAMENTO, ADENSAMENTO E ACABAMENTO. AF_01/2024</t>
  </si>
  <si>
    <t>MEMÓRIA DE CÁLCULO</t>
  </si>
  <si>
    <t>Unidade</t>
  </si>
  <si>
    <t>Memória de Cálculo</t>
  </si>
  <si>
    <t>(Considerando 10cm de cada lado e profundidade de 60cm) 0,60m*0,6m*0,6m*37sapatas = 7,99m³</t>
  </si>
  <si>
    <t>0,4m*0,4m*0,4m*37sapatas = 2,37m³</t>
  </si>
  <si>
    <t>0,64m²*37sapatas = 23,68m²</t>
  </si>
  <si>
    <t>1,75kg*37sapatas = 64,75kg</t>
  </si>
  <si>
    <t>0,15m³*37sapatas = 5,55m³</t>
  </si>
  <si>
    <t>CRONOGRAMA FÍSICO-FINANCEIRO</t>
  </si>
  <si>
    <t>(%)</t>
  </si>
  <si>
    <t>Mês 6</t>
  </si>
  <si>
    <t>ARMAÇÃO VERTICAL DE ALVENARIA ESTRUTURAL; DIÂMETRO DE 10,0 MM. AF_09/2021</t>
  </si>
  <si>
    <t>GRAUTEAMENTO VERTICAL EM ALVENARIA ESTRUTURAL. AF_09/2021</t>
  </si>
  <si>
    <t>(2,8m*19)+(5m*4) = 73,2m*0,617 = 45,16kg</t>
  </si>
  <si>
    <t>73,2m*0,010m³/m = 0,73m³</t>
  </si>
  <si>
    <t>PRÉ-INSTALAÇÃO DE AR CONDICIONADO</t>
  </si>
  <si>
    <t>TUBO EM COBRE FLEXÍVEL, DN 1/4", COM ISOLAMENTO, INSTALADO EM RAMAL DE ALIMENTAÇÃO DE AR-CONDICIONADO - FORNECIMENTO E INSTALAÇÃO. AF_07/2025</t>
  </si>
  <si>
    <t>TUBO EM COBRE FLEXÍVEL, DN 3/8", COM ISOLAMENTO, INSTALADO EM RAMAL DE ALIMENTAÇÃO DE AR-CONDICIONADO - FORNECIMENTO E INSTALAÇÃO. AF_07/2025</t>
  </si>
  <si>
    <t>JOELHO 90 GRAUS, PVC, SOLDÁVEL, DN 25MM, INSTALADO EM DRENO DE AR-CONDICIONADO - FORNECIMENTO E INSTALAÇÃO. AF_08/2022</t>
  </si>
  <si>
    <t>TUBO, PVC, SOLDÁVEL, DE 25MM, INSTALADO EM DRENO DE AR-CONDICIONADO - FORNECIMENTO E INSTALAÇÃO. AF_08/2022</t>
  </si>
  <si>
    <t>ELETRODUTO FLEXÍVEL CORRUGADO, PVC, DN 25 MM (3/4"), PARA CIRCUITOS TERMINAIS, INSTALADO EM FORRO - FORNECIMENTO E INSTALAÇÃO. AF_03/2023</t>
  </si>
  <si>
    <t>TOMADA PARA AR CONDICIONADO, COM CAIXA PVC E DISJUNTOR BI-POLAR 20 A, EMBUTIDA</t>
  </si>
  <si>
    <t>9.12</t>
  </si>
  <si>
    <t>9.13</t>
  </si>
  <si>
    <t>9.14</t>
  </si>
  <si>
    <t>9.15</t>
  </si>
  <si>
    <t>10.7</t>
  </si>
  <si>
    <t>10.8</t>
  </si>
  <si>
    <t>10.9</t>
  </si>
  <si>
    <t>10.10</t>
  </si>
  <si>
    <t>10.11</t>
  </si>
  <si>
    <t>11.5</t>
  </si>
  <si>
    <t>11.6</t>
  </si>
  <si>
    <t>14.4</t>
  </si>
  <si>
    <t>14.5</t>
  </si>
  <si>
    <t>14.6</t>
  </si>
  <si>
    <t>16.1</t>
  </si>
  <si>
    <t>16.2</t>
  </si>
  <si>
    <t>16.3</t>
  </si>
  <si>
    <t>16.4</t>
  </si>
  <si>
    <t>17.1</t>
  </si>
  <si>
    <t>17.2</t>
  </si>
  <si>
    <t>17.3</t>
  </si>
  <si>
    <t>17.4</t>
  </si>
  <si>
    <t>17.5</t>
  </si>
  <si>
    <t>17.6</t>
  </si>
  <si>
    <t>17.7</t>
  </si>
  <si>
    <t>17.8</t>
  </si>
  <si>
    <t>PLACA FOTOLUMINESCENTE SAIDA - COD 12 - SAÍDA 240X120X2MM - FORNECIMENTO E INSTALAÇÃO</t>
  </si>
  <si>
    <t>7.21</t>
  </si>
  <si>
    <t>TOMADA ALTA DE EMBUTIR (1 MÓDULO), 2P+T 10 A, INCLUINDO SUPORTE E PLACA - FORNECIMENTO E INSTALAÇÃO. AF_03/2023</t>
  </si>
  <si>
    <t>01505</t>
  </si>
  <si>
    <t>PLACA DE INDICATIVA DE "EXTINTOR" EM PVC, DIM.: 20 X 20 CM - FORNECIMENTO E INSTALAÇÃO</t>
  </si>
  <si>
    <t>EXTINTOR DE PÓ QUÍMICO ABC, CAPACIDADE 4 KG, ALCANCE MÉDIO DO JATO 4,5M , TEMPO DE DESCARGA 11S, NBR9443, 9444, 10721 - FORNECIMENTO E INSTALAÇÃO</t>
  </si>
  <si>
    <t>LUMINÁRIA DE EMERGÊNCIA, COM 30 LÂMPADAS LED DE 2 W, SEM REATOR - FORNECIMENTO E INSTALAÇÃO. AF_09/2024</t>
  </si>
  <si>
    <t>CABO DE COBRE FLEXÍVEL ISOLADO, 10 MM², 0,6/1,0 KV, PARA REDE AÉREA DE DISTRIBUIÇÃO DE ENERGIA ELÉTRICA DE BAIXA TENSÃO - FORNECIMENTO E INSTALAÇÃO. AF_12/2025</t>
  </si>
  <si>
    <t>CABO DE COBRE FLEXÍVEL ISOLADO, 4 MM², ANTI-CHAMA 0,6/1,0 KV, PARA CIRCUITOS TERMINAIS - FORNECIMENTO E INSTALAÇÃO. AF_03/2023</t>
  </si>
  <si>
    <t>CANIL COMUNITÁRIO</t>
  </si>
  <si>
    <t>TAQUARI, 02 DE ABRIL DE 2026</t>
  </si>
  <si>
    <t>COLOCAÇÃO DE TELA DE AÇO GALVANIZADO FIO 12BWG, SEM REVESTIMENTO, MALHA 2 1/2"</t>
  </si>
  <si>
    <t>04350</t>
  </si>
  <si>
    <t>PORTÃO EM FERRO DE ABRIR, EM GRADIL NYLOFOR 3D, PINTADO, PADRÃO BELGO OU SIMILAR - 0,60X1,1M</t>
  </si>
  <si>
    <t>PORTÃO EM FERRO DE ABRIR, EM GRADIL NYLOFOR 3D, PINTADO, PADRÃO BELGO OU SIMILAR - 0,7X1,8M</t>
  </si>
  <si>
    <t>PORTÃO GUILHOTINA - 0,6X0,7M</t>
  </si>
  <si>
    <t>PORTÃO EM TUBO FERRO GALVANIZADO, COM QUADRO Ø= 2", CANTONEIRA 1"X1" E TELA DE ARAME GALVANIZADO, FIO 12 BWG, MALHA QUADRADA D=1" - 0,7X1,8M</t>
  </si>
  <si>
    <t>PORTÃO EM TUBO FERRO GALVANIZADO, COM QUADRO Ø= 2", CANTONEIRA 1"X1" E TELA DE ARAME GALVANIZADO, FIO 12 BWG, MALHA QUADRADA D=1" - 1,2X1,8M</t>
  </si>
  <si>
    <t>FORNECIMENTO E INSTALAÇÃO DE PLACA DE OBRA COM CHAPA GALVANIZADA E ESTRUTURA DE MADEIRA. AF_03/2022_PS</t>
  </si>
  <si>
    <t>SIMAPI</t>
  </si>
  <si>
    <t>MONTAGEM E DESMONTAGEM DE FÔRMA DE VIGA, ESCORAMENTO COM GARFO DE MADEIRA, PÉ-DIREITO SIMPLES, EM CHAPA DE MADEIRA PLASTIFICADA, 18 UTILIZAÇÕES. AF_09/2020</t>
  </si>
  <si>
    <t>FABRICAÇÃO E INSTALAÇÃO DE TESOURA INTEIRA EM AÇO, VÃO DE 8 M, PARA TELHA ONDULADA DE FIBROCIMENTO, METÁLICA, PLÁSTICA OU TERMOACÚSTICA, INCLUSO IÇAMENTO, EXCLUSIVE PINTURA. AF_10/2025</t>
  </si>
  <si>
    <t>ALVENARIA DE BLOCOS DE CONCRETO ESTRUTURAL 14X19X39 CM (ESPESSURA 14 CM), FBK = 4,5 MPA, UTILIZANDO PALHETA. AF_10/2022</t>
  </si>
  <si>
    <t>CUSTO CLÍNICA</t>
  </si>
  <si>
    <t>CUSTO CERCAMENTO</t>
  </si>
  <si>
    <t>14.7</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</si>
  <si>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</si>
  <si>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</si>
  <si>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86916</t>
  </si>
  <si>
    <t>TORNEIRA PLÁSTICA 3/4" PARA TANQUE - FORNECIMENTO E INSTALAÇÃO. AF_01/2020</t>
  </si>
  <si>
    <t>TORNEIRA CROMADA DE MESA, 1/2" OU 3/4", PARA LAVATÓRIO, PADRÃO POPULAR - FORNECIMENTO E INSTALAÇÃO. AF_01/2020</t>
  </si>
  <si>
    <t>TANQUE DE MÁRMORE SINTÉTICO SUSPENSO, 22L OU EQUIVALENTE, INCLUSO SIFÃO TIPO GARRAFA EM PVC, VÁLVULA PLÁSTICA E TORNEIRA DE PLÁSTICO - FORNECIMENTO E INSTALAÇÃO. AF_01/2020</t>
  </si>
  <si>
    <t>TANQUE SÉPTICO CIRCULAR, EM CONCRETO PRÉ-MOLDADO, DIÂMETRO INTERNO = 1,10 M, ALTURA INTERNA = 2,50 M, VOLUME ÚTIL: 2138,2 L (PARA 5 CONTRIBUINTES). AF_12/2020</t>
  </si>
  <si>
    <t>FILTRO ANAERÓBIO CIRCULAR, EM CONCRETO PRÉ-MOLDADO, DIÂMETRO INTERNO = 1,10 M, ALTURA INTERNA = 1,50 M, VOLUME ÚTIL: 1140,4 L (PARA 5 CONTRIBUINTES). AF_12/2020</t>
  </si>
  <si>
    <t>17.9</t>
  </si>
  <si>
    <t>17.10</t>
  </si>
  <si>
    <t>17.11</t>
  </si>
  <si>
    <t>17.12</t>
  </si>
  <si>
    <t>15.1</t>
  </si>
  <si>
    <t>7.4</t>
  </si>
  <si>
    <t>TAQUARI, 14 DE JULHO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</si>
</sst>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2">
    <numFmt numFmtId="44" formatCode="_-&quot;R$&quot;\ * #,##0.00_-;\-&quot;R$&quot;\ * #,##0.00_-;_-&quot;R$&quot;\ * &quot;-&quot;??_-;_-@_-"/>
    <numFmt numFmtId="43" formatCode="_-* #,##0.00_-;\-* #,##0.00_-;_-* &quot;-&quot;??_-;_-@_-"/>
    <numFmt numFmtId="164" formatCode="_(* #,##0_);_(* \(#,##0\);_(* &quot;-&quot;_);_(@_)"/>
    <numFmt numFmtId="165" formatCode="_(* #,##0.00_);_(* \(#,##0.00\);_(* &quot;-&quot;??_);_(@_)"/>
    <numFmt numFmtId="166" formatCode="#,##0.00&quot; &quot;;&quot; (&quot;#,##0.00&quot;)&quot;;&quot; -&quot;#&quot; &quot;;@&quot; &quot;"/>
    <numFmt numFmtId="167" formatCode="#,##0.00&quot; &quot;;&quot;-&quot;#,##0.00&quot; &quot;;&quot; -&quot;#&quot; &quot;;@&quot; &quot;"/>
    <numFmt numFmtId="168" formatCode="[$R$-416]&quot; &quot;#,##0.00;[Red]&quot;-&quot;[$R$-416]&quot; &quot;#,##0.00"/>
    <numFmt numFmtId="169" formatCode="_-* #,##0.00\ _€_-;\-* #,##0.00\ _€_-;_-* &quot;-&quot;??\ _€_-;_-@_-"/>
    <numFmt numFmtId="170" formatCode="#\,##0."/>
    <numFmt numFmtId="171" formatCode="_(&quot;$&quot;* #,##0_);_(&quot;$&quot;* \(#,##0\);_(&quot;$&quot;* &quot;-&quot;_);_(@_)"/>
    <numFmt numFmtId="172" formatCode="_(&quot;$&quot;* #,##0.00_);_(&quot;$&quot;* \(#,##0.00\);_(&quot;$&quot;* &quot;-&quot;??_);_(@_)"/>
    <numFmt numFmtId="173" formatCode="\$#."/>
    <numFmt numFmtId="174" formatCode="#.00"/>
    <numFmt numFmtId="175" formatCode="0.00_)"/>
    <numFmt numFmtId="176" formatCode="%#.00"/>
    <numFmt numFmtId="177" formatCode="#\,##0.00"/>
    <numFmt numFmtId="178" formatCode="#,"/>
    <numFmt numFmtId="179" formatCode="_(* #,##0.00_);_(* \(#,##0.00\);_(* \-??_);_(@_)"/>
    <numFmt numFmtId="180" formatCode="_-* #,##0.00_-;\-* #,##0.00_-;_-* \-??_-;_-@_-"/>
    <numFmt numFmtId="181" formatCode="#,##0.000000"/>
    <numFmt numFmtId="182" formatCode="#,##0.00000"/>
    <numFmt numFmtId="183" formatCode="&quot;R$&quot;\ #,##0.00"/>
  </numFmts>
  <fonts count="90">
    <font>
      <sz val="11"/>
      <color rgb="FF00000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1"/>
      <color indexed="8"/>
      <name val="Arial"/>
      <family val="2"/>
    </font>
    <font>
      <sz val="10"/>
      <color rgb="FF000000"/>
      <name val="Arial1"/>
    </font>
    <font>
      <sz val="11"/>
      <color rgb="FF000000"/>
      <name val="Calibri"/>
      <family val="2"/>
    </font>
    <font>
      <b/>
      <i/>
      <sz val="16"/>
      <color rgb="FF000000"/>
      <name val="Arial"/>
      <family val="2"/>
    </font>
    <font>
      <b/>
      <i/>
      <u/>
      <sz val="11"/>
      <color rgb="FF000000"/>
      <name val="Arial"/>
      <family val="2"/>
    </font>
    <font>
      <sz val="11"/>
      <color rgb="FF000000"/>
      <name val="Arial"/>
      <family val="2"/>
    </font>
    <font>
      <sz val="11"/>
      <color indexed="8"/>
      <name val="Calibri"/>
      <family val="2"/>
    </font>
    <font>
      <sz val="10"/>
      <name val="Arial"/>
      <family val="2"/>
    </font>
    <font>
      <u/>
      <sz val="11"/>
      <color indexed="12"/>
      <name val="Arial"/>
      <family val="2"/>
    </font>
    <font>
      <sz val="10"/>
      <name val="Arial"/>
      <family val="2"/>
    </font>
    <font>
      <sz val="10"/>
      <name val="MS Sans Serif"/>
      <family val="2"/>
    </font>
    <font>
      <sz val="10"/>
      <name val="Times New Roman"/>
      <family val="1"/>
    </font>
    <font>
      <sz val="10"/>
      <name val="Times New Roman"/>
      <family val="1"/>
    </font>
    <font>
      <sz val="10"/>
      <color indexed="8"/>
      <name val="MS Sans Serif"/>
      <family val="2"/>
    </font>
    <font>
      <sz val="1"/>
      <color indexed="8"/>
      <name val="Courier"/>
      <family val="3"/>
    </font>
    <font>
      <u/>
      <sz val="6"/>
      <color indexed="36"/>
      <name val="MS Sans Serif"/>
      <family val="2"/>
    </font>
    <font>
      <sz val="8"/>
      <name val="Arial"/>
      <family val="2"/>
    </font>
    <font>
      <sz val="10"/>
      <name val="Courier"/>
      <family val="3"/>
    </font>
    <font>
      <sz val="12"/>
      <name val="Times New Roman"/>
      <family val="1"/>
    </font>
    <font>
      <b/>
      <i/>
      <sz val="16"/>
      <name val="Helv"/>
    </font>
    <font>
      <b/>
      <sz val="14"/>
      <name val="Arial"/>
      <family val="2"/>
    </font>
    <font>
      <sz val="1"/>
      <color indexed="18"/>
      <name val="Courier"/>
      <family val="3"/>
    </font>
    <font>
      <b/>
      <sz val="1"/>
      <color indexed="8"/>
      <name val="Courier"/>
      <family val="3"/>
    </font>
    <font>
      <sz val="11"/>
      <color rgb="FFFF0000"/>
      <name val="Arial"/>
      <family val="2"/>
    </font>
    <font>
      <b/>
      <sz val="11"/>
      <name val="Arial"/>
      <family val="2"/>
    </font>
    <font>
      <sz val="11"/>
      <name val="Arial"/>
      <family val="2"/>
    </font>
    <font>
      <sz val="16"/>
      <name val="Arial"/>
      <family val="2"/>
    </font>
    <font>
      <sz val="10"/>
      <color rgb="FFFF0000"/>
      <name val="Arial"/>
      <family val="2"/>
    </font>
    <font>
      <sz val="10"/>
      <color theme="1"/>
      <name val="Arial"/>
      <family val="2"/>
    </font>
    <font>
      <b/>
      <sz val="13"/>
      <color rgb="FF000000"/>
      <name val="Calibri"/>
      <family val="2"/>
    </font>
    <font>
      <sz val="13"/>
      <color rgb="FF000000"/>
      <name val="Calibri"/>
      <family val="2"/>
    </font>
    <font>
      <sz val="14"/>
      <color rgb="FF000000"/>
      <name val="Calibri"/>
      <family val="2"/>
    </font>
    <font>
      <b/>
      <sz val="20"/>
      <color rgb="FF000000"/>
      <name val="Calibri"/>
      <family val="2"/>
    </font>
    <font>
      <sz val="10"/>
      <color rgb="FF000000"/>
      <name val="Times New Roman"/>
      <family val="1"/>
    </font>
    <font>
      <b/>
      <sz val="14"/>
      <color rgb="FF000000"/>
      <name val="Calibri"/>
      <family val="2"/>
    </font>
    <font>
      <b/>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b/>
      <sz val="11"/>
      <color indexed="63"/>
      <name val="Calibri"/>
      <family val="2"/>
    </font>
    <font>
      <sz val="11"/>
      <color indexed="10"/>
      <name val="Calibri"/>
      <family val="2"/>
    </font>
    <font>
      <i/>
      <sz val="11"/>
      <color indexed="23"/>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sz val="11"/>
      <color theme="1"/>
      <name val="Arial"/>
      <family val="2"/>
    </font>
    <font>
      <b/>
      <sz val="11"/>
      <color indexed="8"/>
      <name val="Arial"/>
      <family val="2"/>
    </font>
    <font>
      <sz val="10"/>
      <color theme="8" tint="-0.249977111117893"/>
      <name val="Arial"/>
      <family val="2"/>
    </font>
    <font>
      <sz val="11"/>
      <color theme="8" tint="-0.249977111117893"/>
      <name val="Arial"/>
      <family val="2"/>
    </font>
    <font>
      <b/>
      <sz val="10"/>
      <color theme="8" tint="-0.249977111117893"/>
      <name val="Arial"/>
      <family val="2"/>
    </font>
    <font>
      <sz val="8"/>
      <color rgb="FF000000"/>
      <name val="Arial"/>
      <family val="2"/>
    </font>
    <font>
      <sz val="10"/>
      <color rgb="FF000000"/>
      <name val="Arial"/>
      <family val="2"/>
    </font>
    <font>
      <b/>
      <sz val="11"/>
      <color theme="1"/>
      <name val="Calibri"/>
      <family val="2"/>
      <scheme val="minor"/>
    </font>
    <font>
      <sz val="8"/>
      <color theme="1"/>
      <name val="Arial"/>
      <family val="2"/>
    </font>
    <font>
      <b/>
      <sz val="8"/>
      <color theme="1"/>
      <name val="Arial"/>
      <family val="2"/>
    </font>
    <font>
      <b/>
      <sz val="8"/>
      <name val="Arial"/>
      <family val="2"/>
    </font>
    <font>
      <b/>
      <sz val="12"/>
      <color rgb="FF000000"/>
      <name val="Arial"/>
      <family val="2"/>
    </font>
    <font>
      <b/>
      <sz val="8"/>
      <color theme="0" tint="-0.14999847407452621"/>
      <name val="Arial"/>
      <family val="2"/>
    </font>
    <font>
      <sz val="11"/>
      <name val="Calibri"/>
      <family val="2"/>
      <scheme val="minor"/>
    </font>
    <font>
      <b/>
      <sz val="13"/>
      <color rgb="FF000000"/>
      <name val="Arial"/>
      <family val="2"/>
    </font>
    <font>
      <sz val="13"/>
      <color rgb="FF000000"/>
      <name val="Arial"/>
      <family val="2"/>
    </font>
    <font>
      <sz val="13"/>
      <name val="Arial"/>
      <family val="2"/>
    </font>
    <font>
      <b/>
      <sz val="18"/>
      <color rgb="FF000000"/>
      <name val="Arial"/>
      <family val="2"/>
    </font>
    <font>
      <sz val="14"/>
      <color rgb="FF000000"/>
      <name val="Arial"/>
      <family val="2"/>
    </font>
    <font>
      <b/>
      <sz val="14"/>
      <color rgb="FF000000"/>
      <name val="Arial"/>
      <family val="2"/>
    </font>
    <font>
      <sz val="11"/>
      <color rgb="FFFF0000"/>
      <name val="Calibri"/>
      <family val="2"/>
    </font>
    <font>
      <sz val="14"/>
      <name val="Arial"/>
      <family val="2"/>
    </font>
    <font>
      <sz val="11"/>
      <name val="Calibri"/>
      <family val="2"/>
    </font>
    <font>
      <b/>
      <sz val="9"/>
      <color rgb="FF000000"/>
      <name val="Arial"/>
      <family val="2"/>
    </font>
    <font>
      <sz val="9"/>
      <name val="Arial"/>
      <family val="2"/>
    </font>
  </fonts>
  <fills count="33">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theme="0"/>
        <bgColor indexed="64"/>
      </patternFill>
    </fill>
    <fill>
      <patternFill patternType="solid">
        <fgColor indexed="52"/>
        <bgColor indexed="64"/>
      </patternFill>
    </fill>
    <fill>
      <patternFill patternType="solid">
        <fgColor indexed="26"/>
        <bgColor indexed="64"/>
      </patternFill>
    </fill>
    <fill>
      <patternFill patternType="solid">
        <fgColor theme="0" tint="-0.14999847407452621"/>
        <bgColor indexed="8"/>
      </patternFill>
    </fill>
    <fill>
      <patternFill patternType="solid">
        <fgColor theme="0"/>
        <bgColor indexed="8"/>
      </patternFill>
    </fill>
    <fill>
      <patternFill patternType="solid">
        <fgColor rgb="FF92D050"/>
        <bgColor indexed="64"/>
      </patternFill>
    </fill>
    <fill>
      <patternFill patternType="solid">
        <fgColor theme="0" tint="-0.14999847407452621"/>
        <bgColor indexed="64"/>
      </patternFill>
    </fill>
    <fill>
      <patternFill patternType="solid">
        <fgColor rgb="FFFFFFFF"/>
        <bgColor rgb="FF000000"/>
      </patternFill>
    </fill>
    <fill>
      <patternFill patternType="solid">
        <fgColor theme="0" tint="-0.14999847407452621"/>
        <bgColor rgb="FF000000"/>
      </patternFill>
    </fill>
    <fill>
      <patternFill patternType="solid">
        <fgColor indexed="43"/>
        <bgColor indexed="26"/>
      </patternFill>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theme="2" tint="-0.249977111117893"/>
        <bgColor indexed="64"/>
      </patternFill>
    </fill>
    <fill>
      <patternFill patternType="solid">
        <fgColor theme="2" tint="-0.249977111117893"/>
        <bgColor indexed="8"/>
      </patternFill>
    </fill>
    <fill>
      <patternFill patternType="solid">
        <fgColor theme="8" tint="0.39997558519241921"/>
        <bgColor indexed="64"/>
      </patternFill>
    </fill>
    <fill>
      <patternFill patternType="solid">
        <fgColor theme="2" tint="-0.499984740745262"/>
        <bgColor indexed="64"/>
      </patternFill>
    </fill>
    <fill>
      <patternFill patternType="solid">
        <fgColor rgb="FFFFFF00"/>
        <bgColor indexed="64"/>
      </patternFill>
    </fill>
    <fill>
      <patternFill patternType="solid">
        <fgColor theme="0" tint="-4.9989318521683403E-2"/>
        <bgColor indexed="64"/>
      </patternFill>
    </fill>
  </fills>
  <borders count="57">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indexed="64"/>
      </right>
      <top style="thin">
        <color rgb="FF000000"/>
      </top>
      <bottom/>
      <diagonal/>
    </border>
    <border>
      <left/>
      <right style="thin">
        <color indexed="64"/>
      </right>
      <top/>
      <bottom/>
      <diagonal/>
    </border>
    <border>
      <left/>
      <right style="thin">
        <color indexed="64"/>
      </right>
      <top/>
      <bottom style="thin">
        <color rgb="FF000000"/>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style="hair">
        <color indexed="64"/>
      </left>
      <right style="hair">
        <color indexed="64"/>
      </right>
      <top style="hair">
        <color indexed="64"/>
      </top>
      <bottom style="hair">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theme="0" tint="-0.34998626667073579"/>
      </right>
      <top/>
      <bottom/>
      <diagonal/>
    </border>
    <border>
      <left style="thin">
        <color theme="0" tint="-0.34998626667073579"/>
      </left>
      <right/>
      <top/>
      <bottom/>
      <diagonal/>
    </border>
    <border>
      <left style="thin">
        <color theme="0" tint="-0.34998626667073579"/>
      </left>
      <right style="thin">
        <color theme="0" tint="-0.34998626667073579"/>
      </right>
      <top/>
      <bottom/>
      <diagonal/>
    </border>
    <border>
      <left/>
      <right style="thin">
        <color theme="0" tint="-0.34998626667073579"/>
      </right>
      <top/>
      <bottom style="thin">
        <color indexed="64"/>
      </bottom>
      <diagonal/>
    </border>
    <border>
      <left style="thin">
        <color theme="0" tint="-0.34998626667073579"/>
      </left>
      <right/>
      <top/>
      <bottom style="thin">
        <color indexed="64"/>
      </bottom>
      <diagonal/>
    </border>
    <border>
      <left style="thin">
        <color theme="0" tint="-0.34998626667073579"/>
      </left>
      <right style="thin">
        <color theme="0" tint="-0.34998626667073579"/>
      </right>
      <top/>
      <bottom style="thin">
        <color indexed="64"/>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style="thin">
        <color theme="0" tint="-0.34998626667073579"/>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34998626667073579"/>
      </right>
      <top style="thin">
        <color theme="0" tint="-0.14999847407452621"/>
      </top>
      <bottom style="thin">
        <color theme="0" tint="-0.14999847407452621"/>
      </bottom>
      <diagonal/>
    </border>
    <border>
      <left style="thin">
        <color theme="0" tint="-0.34998626667073579"/>
      </left>
      <right style="thin">
        <color theme="0" tint="-0.14999847407452621"/>
      </right>
      <top style="thin">
        <color theme="0" tint="-0.14999847407452621"/>
      </top>
      <bottom/>
      <diagonal/>
    </border>
    <border>
      <left style="thin">
        <color theme="0" tint="-0.14999847407452621"/>
      </left>
      <right style="thin">
        <color theme="0" tint="-0.14999847407452621"/>
      </right>
      <top style="thin">
        <color theme="0" tint="-0.14999847407452621"/>
      </top>
      <bottom/>
      <diagonal/>
    </border>
    <border>
      <left/>
      <right/>
      <top style="thin">
        <color theme="0" tint="-0.14999847407452621"/>
      </top>
      <bottom/>
      <diagonal/>
    </border>
    <border>
      <left style="thin">
        <color theme="0" tint="-0.34998626667073579"/>
      </left>
      <right/>
      <top style="thin">
        <color theme="0" tint="-0.14999847407452621"/>
      </top>
      <bottom/>
      <diagonal/>
    </border>
    <border>
      <left/>
      <right style="thin">
        <color theme="0" tint="-0.34998626667073579"/>
      </right>
      <top style="thin">
        <color theme="0" tint="-0.14999847407452621"/>
      </top>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auto="1"/>
      </left>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theme="0" tint="-0.34998626667073579"/>
      </bottom>
      <diagonal/>
    </border>
    <border>
      <left style="thin">
        <color theme="0" tint="-0.14996795556505021"/>
      </left>
      <right style="thin">
        <color theme="0" tint="-0.14999847407452621"/>
      </right>
      <top style="thin">
        <color theme="0" tint="-0.14999847407452621"/>
      </top>
      <bottom style="thin">
        <color theme="0" tint="-0.14999847407452621"/>
      </bottom>
      <diagonal/>
    </border>
    <border>
      <left style="thin">
        <color theme="0" tint="-0.14996795556505021"/>
      </left>
      <right style="thin">
        <color theme="0" tint="-0.14996795556505021"/>
      </right>
      <top style="thin">
        <color theme="0" tint="-0.14999847407452621"/>
      </top>
      <bottom style="thin">
        <color theme="0" tint="-0.14996795556505021"/>
      </bottom>
      <diagonal/>
    </border>
  </borders>
  <cellStyleXfs count="308">
    <xf numFmtId="0" fontId="0" fillId="0" borderId="0"/>
    <xf numFmtId="0" fontId="17" fillId="0" borderId="0" applyNumberFormat="0" applyBorder="0" applyProtection="0"/>
    <xf numFmtId="0" fontId="17" fillId="0" borderId="0" applyNumberFormat="0" applyBorder="0" applyProtection="0"/>
    <xf numFmtId="166" fontId="17" fillId="0" borderId="0" applyBorder="0" applyProtection="0"/>
    <xf numFmtId="166" fontId="17" fillId="0" borderId="0" applyBorder="0" applyProtection="0"/>
    <xf numFmtId="0" fontId="18" fillId="0" borderId="0" applyNumberFormat="0" applyBorder="0" applyProtection="0"/>
    <xf numFmtId="0" fontId="17" fillId="0" borderId="0" applyNumberFormat="0" applyBorder="0" applyProtection="0"/>
    <xf numFmtId="167" fontId="18" fillId="0" borderId="0" applyBorder="0" applyProtection="0"/>
    <xf numFmtId="0" fontId="19" fillId="0" borderId="0" applyNumberFormat="0" applyBorder="0" applyProtection="0">
      <alignment horizontal="center"/>
    </xf>
    <xf numFmtId="0" fontId="19" fillId="0" borderId="0" applyNumberFormat="0" applyBorder="0" applyProtection="0">
      <alignment horizontal="center" textRotation="90"/>
    </xf>
    <xf numFmtId="0" fontId="14" fillId="0" borderId="0"/>
    <xf numFmtId="9" fontId="14" fillId="0" borderId="0" applyFont="0" applyFill="0" applyBorder="0" applyAlignment="0" applyProtection="0"/>
    <xf numFmtId="0" fontId="20" fillId="0" borderId="0" applyNumberFormat="0" applyBorder="0" applyProtection="0"/>
    <xf numFmtId="168" fontId="20" fillId="0" borderId="0" applyBorder="0" applyProtection="0"/>
    <xf numFmtId="165" fontId="16" fillId="0" borderId="0" applyFont="0" applyFill="0" applyBorder="0" applyAlignment="0" applyProtection="0"/>
    <xf numFmtId="165" fontId="14" fillId="0" borderId="0" applyFont="0" applyFill="0" applyBorder="0" applyAlignment="0" applyProtection="0"/>
    <xf numFmtId="166" fontId="17" fillId="0" borderId="0" applyBorder="0" applyProtection="0"/>
    <xf numFmtId="0" fontId="14" fillId="0" borderId="0"/>
    <xf numFmtId="0" fontId="14" fillId="0" borderId="0"/>
    <xf numFmtId="0" fontId="14" fillId="0" borderId="0"/>
    <xf numFmtId="0" fontId="21" fillId="0" borderId="0"/>
    <xf numFmtId="165" fontId="14" fillId="0" borderId="0" applyFont="0" applyFill="0" applyBorder="0" applyAlignment="0" applyProtection="0"/>
    <xf numFmtId="165" fontId="16" fillId="0" borderId="0" applyFont="0" applyFill="0" applyBorder="0" applyAlignment="0" applyProtection="0"/>
    <xf numFmtId="0" fontId="13" fillId="0" borderId="0"/>
    <xf numFmtId="0" fontId="12" fillId="0" borderId="0"/>
    <xf numFmtId="0" fontId="23" fillId="0" borderId="0"/>
    <xf numFmtId="165" fontId="16" fillId="0" borderId="0" applyFont="0" applyFill="0" applyBorder="0" applyAlignment="0" applyProtection="0"/>
    <xf numFmtId="0" fontId="21" fillId="0" borderId="0"/>
    <xf numFmtId="165" fontId="14" fillId="0" borderId="0" applyFont="0" applyFill="0" applyBorder="0" applyAlignment="0" applyProtection="0"/>
    <xf numFmtId="9" fontId="14" fillId="0" borderId="0" applyFont="0" applyFill="0" applyBorder="0" applyAlignment="0" applyProtection="0"/>
    <xf numFmtId="0" fontId="18" fillId="0" borderId="0" applyNumberFormat="0" applyBorder="0" applyProtection="0"/>
    <xf numFmtId="0" fontId="24" fillId="0" borderId="0" applyNumberFormat="0" applyFill="0" applyBorder="0" applyAlignment="0" applyProtection="0">
      <alignment vertical="top"/>
      <protection locked="0"/>
    </xf>
    <xf numFmtId="44" fontId="16" fillId="0" borderId="0" applyFont="0" applyFill="0" applyBorder="0" applyAlignment="0" applyProtection="0"/>
    <xf numFmtId="9" fontId="16" fillId="0" borderId="0" applyFont="0" applyFill="0" applyBorder="0" applyAlignment="0" applyProtection="0"/>
    <xf numFmtId="9" fontId="14" fillId="0" borderId="0" applyFont="0" applyFill="0" applyBorder="0" applyAlignment="0" applyProtection="0"/>
    <xf numFmtId="165" fontId="14" fillId="0" borderId="0" applyFont="0" applyFill="0" applyBorder="0" applyAlignment="0" applyProtection="0"/>
    <xf numFmtId="165" fontId="14" fillId="0" borderId="0" applyFont="0" applyFill="0" applyBorder="0" applyAlignment="0" applyProtection="0"/>
    <xf numFmtId="165" fontId="16" fillId="0" borderId="0" applyFont="0" applyFill="0" applyBorder="0" applyAlignment="0" applyProtection="0"/>
    <xf numFmtId="165" fontId="14" fillId="0" borderId="0" applyFont="0" applyFill="0" applyBorder="0" applyAlignment="0" applyProtection="0"/>
    <xf numFmtId="0" fontId="14" fillId="0" borderId="0"/>
    <xf numFmtId="0" fontId="25" fillId="0" borderId="0"/>
    <xf numFmtId="0" fontId="22" fillId="0" borderId="0"/>
    <xf numFmtId="0" fontId="11" fillId="0" borderId="0"/>
    <xf numFmtId="9" fontId="21" fillId="0" borderId="0" applyFont="0" applyFill="0" applyBorder="0" applyAlignment="0" applyProtection="0"/>
    <xf numFmtId="165" fontId="25" fillId="0" borderId="0" applyFont="0" applyFill="0" applyBorder="0" applyAlignment="0" applyProtection="0"/>
    <xf numFmtId="165" fontId="14" fillId="0" borderId="0" applyFont="0" applyFill="0" applyBorder="0" applyAlignment="0" applyProtection="0"/>
    <xf numFmtId="0" fontId="14" fillId="0" borderId="0"/>
    <xf numFmtId="0" fontId="14" fillId="0" borderId="0"/>
    <xf numFmtId="0" fontId="14" fillId="0" borderId="0"/>
    <xf numFmtId="0" fontId="10" fillId="0" borderId="0"/>
    <xf numFmtId="43" fontId="10" fillId="0" borderId="0" applyFont="0" applyFill="0" applyBorder="0" applyAlignment="0" applyProtection="0"/>
    <xf numFmtId="0" fontId="14" fillId="0" borderId="0"/>
    <xf numFmtId="0" fontId="10" fillId="0" borderId="0"/>
    <xf numFmtId="0" fontId="10" fillId="0" borderId="0"/>
    <xf numFmtId="0" fontId="10" fillId="0" borderId="0"/>
    <xf numFmtId="0" fontId="10" fillId="0" borderId="0"/>
    <xf numFmtId="0" fontId="14" fillId="0" borderId="0"/>
    <xf numFmtId="165" fontId="14" fillId="0" borderId="0" applyFont="0" applyFill="0" applyBorder="0" applyAlignment="0" applyProtection="0"/>
    <xf numFmtId="43" fontId="10" fillId="0" borderId="0" applyFont="0" applyFill="0" applyBorder="0" applyAlignment="0" applyProtection="0"/>
    <xf numFmtId="165" fontId="27" fillId="0" borderId="0" applyFont="0" applyFill="0" applyBorder="0" applyAlignment="0" applyProtection="0"/>
    <xf numFmtId="0" fontId="28" fillId="0" borderId="0"/>
    <xf numFmtId="9" fontId="27" fillId="0" borderId="0" applyFont="0" applyFill="0" applyBorder="0" applyAlignment="0" applyProtection="0"/>
    <xf numFmtId="0" fontId="29" fillId="0" borderId="0"/>
    <xf numFmtId="169" fontId="14" fillId="0" borderId="0" applyFont="0" applyFill="0" applyBorder="0" applyAlignment="0" applyProtection="0"/>
    <xf numFmtId="170" fontId="30" fillId="0" borderId="0">
      <protection locked="0"/>
    </xf>
    <xf numFmtId="0" fontId="15" fillId="5" borderId="3" applyFill="0" applyBorder="0" applyAlignment="0" applyProtection="0">
      <alignment vertical="center"/>
      <protection locked="0"/>
    </xf>
    <xf numFmtId="171" fontId="14" fillId="0" borderId="0" applyFont="0" applyFill="0" applyBorder="0" applyAlignment="0" applyProtection="0"/>
    <xf numFmtId="172" fontId="14" fillId="0" borderId="0" applyFont="0" applyFill="0" applyBorder="0" applyAlignment="0" applyProtection="0"/>
    <xf numFmtId="173" fontId="30" fillId="0" borderId="0">
      <protection locked="0"/>
    </xf>
    <xf numFmtId="0" fontId="30" fillId="0" borderId="0">
      <protection locked="0"/>
    </xf>
    <xf numFmtId="0" fontId="30" fillId="0" borderId="0">
      <protection locked="0"/>
    </xf>
    <xf numFmtId="174" fontId="30" fillId="0" borderId="0">
      <protection locked="0"/>
    </xf>
    <xf numFmtId="174" fontId="30" fillId="0" borderId="0">
      <protection locked="0"/>
    </xf>
    <xf numFmtId="0" fontId="31" fillId="0" borderId="0" applyNumberFormat="0" applyFill="0" applyBorder="0" applyAlignment="0" applyProtection="0">
      <alignment vertical="top"/>
      <protection locked="0"/>
    </xf>
    <xf numFmtId="38" fontId="32" fillId="2" borderId="0" applyNumberFormat="0" applyBorder="0" applyAlignment="0" applyProtection="0"/>
    <xf numFmtId="0" fontId="30" fillId="0" borderId="0">
      <protection locked="0"/>
    </xf>
    <xf numFmtId="0" fontId="30" fillId="0" borderId="0">
      <protection locked="0"/>
    </xf>
    <xf numFmtId="0" fontId="33" fillId="0" borderId="0"/>
    <xf numFmtId="10" fontId="32" fillId="6" borderId="1" applyNumberFormat="0" applyBorder="0" applyAlignment="0" applyProtection="0"/>
    <xf numFmtId="0" fontId="14" fillId="0" borderId="0">
      <alignment horizontal="centerContinuous" vertical="justify"/>
    </xf>
    <xf numFmtId="0" fontId="34" fillId="0" borderId="0" applyAlignment="0">
      <alignment horizontal="center"/>
    </xf>
    <xf numFmtId="175" fontId="35" fillId="0" borderId="0"/>
    <xf numFmtId="0" fontId="36" fillId="0" borderId="0">
      <alignment horizontal="left" vertical="center" indent="12"/>
    </xf>
    <xf numFmtId="0" fontId="32" fillId="0" borderId="3" applyBorder="0">
      <alignment horizontal="left" vertical="center" wrapText="1" indent="2"/>
      <protection locked="0"/>
    </xf>
    <xf numFmtId="0" fontId="32" fillId="0" borderId="3" applyBorder="0">
      <alignment horizontal="left" vertical="center" wrapText="1" indent="3"/>
      <protection locked="0"/>
    </xf>
    <xf numFmtId="10" fontId="14" fillId="0" borderId="0" applyFont="0" applyFill="0" applyBorder="0" applyAlignment="0" applyProtection="0"/>
    <xf numFmtId="176" fontId="30" fillId="0" borderId="0">
      <protection locked="0"/>
    </xf>
    <xf numFmtId="176" fontId="30" fillId="0" borderId="0">
      <protection locked="0"/>
    </xf>
    <xf numFmtId="177" fontId="30" fillId="0" borderId="0">
      <protection locked="0"/>
    </xf>
    <xf numFmtId="38" fontId="26" fillId="0" borderId="0" applyFont="0" applyFill="0" applyBorder="0" applyAlignment="0" applyProtection="0"/>
    <xf numFmtId="178" fontId="37" fillId="0" borderId="0">
      <protection locked="0"/>
    </xf>
    <xf numFmtId="164" fontId="27" fillId="0" borderId="0" applyFont="0" applyFill="0" applyBorder="0" applyAlignment="0" applyProtection="0"/>
    <xf numFmtId="0" fontId="26" fillId="0" borderId="0"/>
    <xf numFmtId="0" fontId="38" fillId="0" borderId="0">
      <protection locked="0"/>
    </xf>
    <xf numFmtId="0" fontId="38" fillId="0" borderId="0">
      <protection locked="0"/>
    </xf>
    <xf numFmtId="0" fontId="9"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9" fontId="8" fillId="0" borderId="0" applyFont="0" applyFill="0" applyBorder="0" applyAlignment="0" applyProtection="0"/>
    <xf numFmtId="43" fontId="8" fillId="0" borderId="0" applyFont="0" applyFill="0" applyBorder="0" applyAlignment="0" applyProtection="0"/>
    <xf numFmtId="172" fontId="14" fillId="0" borderId="0" applyFont="0" applyFill="0" applyBorder="0" applyAlignment="0" applyProtection="0"/>
    <xf numFmtId="0" fontId="7" fillId="0" borderId="0"/>
    <xf numFmtId="0" fontId="14" fillId="0" borderId="0"/>
    <xf numFmtId="0" fontId="18" fillId="0" borderId="0"/>
    <xf numFmtId="0" fontId="6" fillId="0" borderId="0"/>
    <xf numFmtId="44" fontId="6" fillId="0" borderId="0" applyFont="0" applyFill="0" applyBorder="0" applyAlignment="0" applyProtection="0"/>
    <xf numFmtId="43" fontId="14" fillId="0" borderId="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3" fontId="14" fillId="0" borderId="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3" fontId="14" fillId="0" borderId="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3" fontId="14" fillId="0" borderId="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3" fontId="14" fillId="0" borderId="0" applyFill="0" applyBorder="0" applyAlignment="0" applyProtection="0"/>
    <xf numFmtId="44" fontId="6" fillId="0" borderId="0" applyFont="0" applyFill="0" applyBorder="0" applyAlignment="0" applyProtection="0"/>
    <xf numFmtId="0" fontId="21" fillId="0" borderId="0"/>
    <xf numFmtId="0" fontId="21" fillId="0" borderId="0"/>
    <xf numFmtId="43" fontId="16"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6"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43" fontId="14" fillId="0" borderId="0" applyFont="0" applyFill="0" applyBorder="0" applyAlignment="0" applyProtection="0"/>
    <xf numFmtId="44" fontId="16"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6" fillId="0" borderId="0" applyFont="0" applyFill="0" applyBorder="0" applyAlignment="0" applyProtection="0"/>
    <xf numFmtId="43" fontId="14" fillId="0" borderId="0" applyFont="0" applyFill="0" applyBorder="0" applyAlignment="0" applyProtection="0"/>
    <xf numFmtId="0" fontId="6" fillId="0" borderId="0"/>
    <xf numFmtId="43" fontId="14" fillId="0" borderId="0" applyFont="0" applyFill="0" applyBorder="0" applyAlignment="0" applyProtection="0"/>
    <xf numFmtId="43" fontId="14" fillId="0" borderId="0" applyFont="0" applyFill="0" applyBorder="0" applyAlignment="0" applyProtection="0"/>
    <xf numFmtId="0" fontId="6" fillId="0" borderId="0"/>
    <xf numFmtId="43" fontId="6" fillId="0" borderId="0" applyFont="0" applyFill="0" applyBorder="0" applyAlignment="0" applyProtection="0"/>
    <xf numFmtId="0" fontId="6" fillId="0" borderId="0"/>
    <xf numFmtId="0" fontId="6" fillId="0" borderId="0"/>
    <xf numFmtId="0" fontId="6" fillId="0" borderId="0"/>
    <xf numFmtId="0" fontId="6" fillId="0" borderId="0"/>
    <xf numFmtId="43" fontId="14" fillId="0" borderId="0" applyFont="0" applyFill="0" applyBorder="0" applyAlignment="0" applyProtection="0"/>
    <xf numFmtId="43" fontId="6" fillId="0" borderId="0" applyFont="0" applyFill="0" applyBorder="0" applyAlignment="0" applyProtection="0"/>
    <xf numFmtId="43" fontId="27" fillId="0" borderId="0" applyFont="0" applyFill="0" applyBorder="0" applyAlignment="0" applyProtection="0"/>
    <xf numFmtId="0" fontId="27" fillId="0" borderId="0"/>
    <xf numFmtId="0" fontId="6" fillId="0" borderId="0"/>
    <xf numFmtId="9" fontId="6" fillId="0" borderId="0" applyFont="0" applyFill="0" applyBorder="0" applyAlignment="0" applyProtection="0"/>
    <xf numFmtId="43" fontId="6" fillId="0" borderId="0" applyFont="0" applyFill="0" applyBorder="0" applyAlignment="0" applyProtection="0"/>
    <xf numFmtId="0" fontId="6" fillId="0" borderId="0"/>
    <xf numFmtId="9" fontId="21" fillId="0" borderId="0" applyFont="0" applyFill="0" applyBorder="0" applyAlignment="0" applyProtection="0"/>
    <xf numFmtId="0" fontId="18" fillId="0" borderId="0"/>
    <xf numFmtId="0" fontId="49" fillId="0" borderId="0"/>
    <xf numFmtId="0" fontId="5" fillId="0" borderId="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20" borderId="0" applyNumberFormat="0" applyBorder="0" applyAlignment="0" applyProtection="0"/>
    <xf numFmtId="0" fontId="52" fillId="20" borderId="0" applyNumberFormat="0" applyBorder="0" applyAlignment="0" applyProtection="0"/>
    <xf numFmtId="0" fontId="52" fillId="20" borderId="0" applyNumberFormat="0" applyBorder="0" applyAlignment="0" applyProtection="0"/>
    <xf numFmtId="0" fontId="52" fillId="21" borderId="0" applyNumberFormat="0" applyBorder="0" applyAlignment="0" applyProtection="0"/>
    <xf numFmtId="0" fontId="52" fillId="21" borderId="0" applyNumberFormat="0" applyBorder="0" applyAlignment="0" applyProtection="0"/>
    <xf numFmtId="0" fontId="52" fillId="21" borderId="0" applyNumberFormat="0" applyBorder="0" applyAlignment="0" applyProtection="0"/>
    <xf numFmtId="0" fontId="53" fillId="14" borderId="0" applyNumberFormat="0" applyBorder="0" applyAlignment="0" applyProtection="0"/>
    <xf numFmtId="0" fontId="53" fillId="14" borderId="0" applyNumberFormat="0" applyBorder="0" applyAlignment="0" applyProtection="0"/>
    <xf numFmtId="0" fontId="53" fillId="14" borderId="0" applyNumberFormat="0" applyBorder="0" applyAlignment="0" applyProtection="0"/>
    <xf numFmtId="0" fontId="54" fillId="22" borderId="19" applyNumberFormat="0" applyAlignment="0" applyProtection="0"/>
    <xf numFmtId="0" fontId="54" fillId="22" borderId="19" applyNumberFormat="0" applyAlignment="0" applyProtection="0"/>
    <xf numFmtId="0" fontId="54" fillId="22" borderId="19" applyNumberFormat="0" applyAlignment="0" applyProtection="0"/>
    <xf numFmtId="0" fontId="55" fillId="23" borderId="20" applyNumberFormat="0" applyAlignment="0" applyProtection="0"/>
    <xf numFmtId="0" fontId="55" fillId="23" borderId="20" applyNumberFormat="0" applyAlignment="0" applyProtection="0"/>
    <xf numFmtId="0" fontId="55" fillId="23" borderId="20" applyNumberFormat="0" applyAlignment="0" applyProtection="0"/>
    <xf numFmtId="0" fontId="56" fillId="0" borderId="21" applyNumberFormat="0" applyFill="0" applyAlignment="0" applyProtection="0"/>
    <xf numFmtId="0" fontId="56" fillId="0" borderId="21" applyNumberFormat="0" applyFill="0" applyAlignment="0" applyProtection="0"/>
    <xf numFmtId="0" fontId="56" fillId="0" borderId="21" applyNumberFormat="0" applyFill="0" applyAlignment="0" applyProtection="0"/>
    <xf numFmtId="0" fontId="52" fillId="20" borderId="0" applyNumberFormat="0" applyBorder="0" applyAlignment="0" applyProtection="0"/>
    <xf numFmtId="0" fontId="52" fillId="20" borderId="0" applyNumberFormat="0" applyBorder="0" applyAlignment="0" applyProtection="0"/>
    <xf numFmtId="0" fontId="52" fillId="20" borderId="0" applyNumberFormat="0" applyBorder="0" applyAlignment="0" applyProtection="0"/>
    <xf numFmtId="0" fontId="52" fillId="24" borderId="0" applyNumberFormat="0" applyBorder="0" applyAlignment="0" applyProtection="0"/>
    <xf numFmtId="0" fontId="52" fillId="24" borderId="0" applyNumberFormat="0" applyBorder="0" applyAlignment="0" applyProtection="0"/>
    <xf numFmtId="0" fontId="52" fillId="24" borderId="0" applyNumberFormat="0" applyBorder="0" applyAlignment="0" applyProtection="0"/>
    <xf numFmtId="0" fontId="52" fillId="23" borderId="0" applyNumberFormat="0" applyBorder="0" applyAlignment="0" applyProtection="0"/>
    <xf numFmtId="0" fontId="52" fillId="23" borderId="0" applyNumberFormat="0" applyBorder="0" applyAlignment="0" applyProtection="0"/>
    <xf numFmtId="0" fontId="52" fillId="23" borderId="0" applyNumberFormat="0" applyBorder="0" applyAlignment="0" applyProtection="0"/>
    <xf numFmtId="0" fontId="52" fillId="25" borderId="0" applyNumberFormat="0" applyBorder="0" applyAlignment="0" applyProtection="0"/>
    <xf numFmtId="0" fontId="52" fillId="25" borderId="0" applyNumberFormat="0" applyBorder="0" applyAlignment="0" applyProtection="0"/>
    <xf numFmtId="0" fontId="52" fillId="25" borderId="0" applyNumberFormat="0" applyBorder="0" applyAlignment="0" applyProtection="0"/>
    <xf numFmtId="0" fontId="52" fillId="26" borderId="0" applyNumberFormat="0" applyBorder="0" applyAlignment="0" applyProtection="0"/>
    <xf numFmtId="0" fontId="52" fillId="26" borderId="0" applyNumberFormat="0" applyBorder="0" applyAlignment="0" applyProtection="0"/>
    <xf numFmtId="0" fontId="52" fillId="26" borderId="0" applyNumberFormat="0" applyBorder="0" applyAlignment="0" applyProtection="0"/>
    <xf numFmtId="0" fontId="52" fillId="21" borderId="0" applyNumberFormat="0" applyBorder="0" applyAlignment="0" applyProtection="0"/>
    <xf numFmtId="0" fontId="52" fillId="21" borderId="0" applyNumberFormat="0" applyBorder="0" applyAlignment="0" applyProtection="0"/>
    <xf numFmtId="0" fontId="52" fillId="21" borderId="0" applyNumberFormat="0" applyBorder="0" applyAlignment="0" applyProtection="0"/>
    <xf numFmtId="0" fontId="57" fillId="15" borderId="19" applyNumberFormat="0" applyAlignment="0" applyProtection="0"/>
    <xf numFmtId="0" fontId="57" fillId="15" borderId="19" applyNumberFormat="0" applyAlignment="0" applyProtection="0"/>
    <xf numFmtId="0" fontId="57" fillId="15" borderId="19" applyNumberFormat="0" applyAlignment="0" applyProtection="0"/>
    <xf numFmtId="0" fontId="14" fillId="0" borderId="0"/>
    <xf numFmtId="0" fontId="14" fillId="0" borderId="0"/>
    <xf numFmtId="0" fontId="22" fillId="0" borderId="0"/>
    <xf numFmtId="0" fontId="14" fillId="0" borderId="0"/>
    <xf numFmtId="0" fontId="14" fillId="0" borderId="0"/>
    <xf numFmtId="0" fontId="14" fillId="17" borderId="22" applyNumberFormat="0" applyAlignment="0" applyProtection="0"/>
    <xf numFmtId="0" fontId="14" fillId="17" borderId="22" applyNumberFormat="0" applyAlignment="0" applyProtection="0"/>
    <xf numFmtId="0" fontId="14" fillId="17" borderId="22" applyNumberFormat="0" applyAlignment="0" applyProtection="0"/>
    <xf numFmtId="9" fontId="14" fillId="0" borderId="0" applyFill="0" applyBorder="0" applyAlignment="0" applyProtection="0"/>
    <xf numFmtId="9" fontId="14" fillId="0" borderId="0" applyFill="0" applyBorder="0" applyAlignment="0" applyProtection="0"/>
    <xf numFmtId="9" fontId="14" fillId="0" borderId="0" applyFill="0" applyBorder="0" applyAlignment="0" applyProtection="0"/>
    <xf numFmtId="0" fontId="58" fillId="22" borderId="23" applyNumberFormat="0" applyAlignment="0" applyProtection="0"/>
    <xf numFmtId="0" fontId="58" fillId="22" borderId="23" applyNumberFormat="0" applyAlignment="0" applyProtection="0"/>
    <xf numFmtId="0" fontId="58" fillId="22" borderId="23" applyNumberFormat="0" applyAlignment="0" applyProtection="0"/>
    <xf numFmtId="179" fontId="14" fillId="0" borderId="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1" fillId="0" borderId="24" applyNumberFormat="0" applyFill="0" applyAlignment="0" applyProtection="0"/>
    <xf numFmtId="0" fontId="61" fillId="0" borderId="24" applyNumberFormat="0" applyFill="0" applyAlignment="0" applyProtection="0"/>
    <xf numFmtId="0" fontId="61" fillId="0" borderId="24" applyNumberFormat="0" applyFill="0" applyAlignment="0" applyProtection="0"/>
    <xf numFmtId="0" fontId="62" fillId="0" borderId="25" applyNumberFormat="0" applyFill="0" applyAlignment="0" applyProtection="0"/>
    <xf numFmtId="0" fontId="62" fillId="0" borderId="25" applyNumberFormat="0" applyFill="0" applyAlignment="0" applyProtection="0"/>
    <xf numFmtId="0" fontId="62" fillId="0" borderId="25" applyNumberFormat="0" applyFill="0" applyAlignment="0" applyProtection="0"/>
    <xf numFmtId="0" fontId="63" fillId="0" borderId="26" applyNumberFormat="0" applyFill="0" applyAlignment="0" applyProtection="0"/>
    <xf numFmtId="0" fontId="63" fillId="0" borderId="26" applyNumberFormat="0" applyFill="0" applyAlignment="0" applyProtection="0"/>
    <xf numFmtId="0" fontId="63" fillId="0" borderId="26" applyNumberFormat="0" applyFill="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4" fillId="0" borderId="0" applyNumberFormat="0" applyFill="0" applyBorder="0" applyAlignment="0" applyProtection="0"/>
    <xf numFmtId="0" fontId="51" fillId="0" borderId="27" applyNumberFormat="0" applyFill="0" applyAlignment="0" applyProtection="0"/>
    <xf numFmtId="0" fontId="51" fillId="0" borderId="27" applyNumberFormat="0" applyFill="0" applyAlignment="0" applyProtection="0"/>
    <xf numFmtId="0" fontId="51" fillId="0" borderId="27" applyNumberFormat="0" applyFill="0" applyAlignment="0" applyProtection="0"/>
    <xf numFmtId="180" fontId="14" fillId="0" borderId="0" applyFill="0" applyBorder="0" applyAlignment="0" applyProtection="0"/>
    <xf numFmtId="0" fontId="14"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0" fontId="3" fillId="0" borderId="0"/>
    <xf numFmtId="0" fontId="2" fillId="0" borderId="0"/>
    <xf numFmtId="44" fontId="2" fillId="0" borderId="0" applyFont="0" applyFill="0" applyBorder="0" applyAlignment="0" applyProtection="0"/>
    <xf numFmtId="0" fontId="1" fillId="0" borderId="0"/>
    <xf numFmtId="44" fontId="1" fillId="0" borderId="0" applyFont="0" applyFill="0" applyBorder="0" applyAlignment="0" applyProtection="0"/>
  </cellStyleXfs>
  <cellXfs count="463">
    <xf numFmtId="0" fontId="0" fillId="0" borderId="0" xfId="0"/>
    <xf numFmtId="0" fontId="40" fillId="0" borderId="0" xfId="0" applyFont="1" applyAlignment="1">
      <alignment vertical="top"/>
    </xf>
    <xf numFmtId="0" fontId="41" fillId="0" borderId="0" xfId="0" applyFont="1"/>
    <xf numFmtId="0" fontId="41" fillId="0" borderId="0" xfId="0" applyFont="1" applyAlignment="1">
      <alignment horizontal="center"/>
    </xf>
    <xf numFmtId="2" fontId="41" fillId="0" borderId="0" xfId="0" applyNumberFormat="1" applyFont="1" applyAlignment="1">
      <alignment horizontal="center"/>
    </xf>
    <xf numFmtId="49" fontId="15" fillId="3" borderId="1" xfId="10" applyNumberFormat="1" applyFont="1" applyFill="1" applyBorder="1" applyAlignment="1">
      <alignment horizontal="center" vertical="center" wrapText="1"/>
    </xf>
    <xf numFmtId="0" fontId="15" fillId="0" borderId="0" xfId="10" applyFont="1" applyAlignment="1">
      <alignment horizontal="left" vertical="center"/>
    </xf>
    <xf numFmtId="0" fontId="15" fillId="0" borderId="0" xfId="10" applyFont="1" applyAlignment="1">
      <alignment horizontal="center" vertical="center"/>
    </xf>
    <xf numFmtId="165" fontId="15" fillId="3" borderId="1" xfId="26" applyFont="1" applyFill="1" applyBorder="1" applyAlignment="1">
      <alignment horizontal="center" vertical="center" wrapText="1"/>
    </xf>
    <xf numFmtId="4" fontId="15" fillId="3" borderId="1" xfId="14" applyNumberFormat="1" applyFont="1" applyFill="1" applyBorder="1" applyAlignment="1">
      <alignment horizontal="center" vertical="center" wrapText="1"/>
    </xf>
    <xf numFmtId="165" fontId="15" fillId="3" borderId="1" xfId="14" applyFont="1" applyFill="1" applyBorder="1" applyAlignment="1">
      <alignment horizontal="center" vertical="center" wrapText="1"/>
    </xf>
    <xf numFmtId="0" fontId="15" fillId="2" borderId="3" xfId="10" applyFont="1" applyFill="1" applyBorder="1" applyAlignment="1">
      <alignment horizontal="center" vertical="center"/>
    </xf>
    <xf numFmtId="10" fontId="14" fillId="0" borderId="0" xfId="10" applyNumberFormat="1" applyAlignment="1">
      <alignment horizontal="center" vertical="center"/>
    </xf>
    <xf numFmtId="0" fontId="0" fillId="0" borderId="0" xfId="0" applyAlignment="1">
      <alignment horizontal="center" vertical="center"/>
    </xf>
    <xf numFmtId="0" fontId="41" fillId="0" borderId="0" xfId="0" applyFont="1" applyAlignment="1">
      <alignment vertical="center"/>
    </xf>
    <xf numFmtId="0" fontId="41" fillId="0" borderId="0" xfId="0" applyFont="1" applyAlignment="1">
      <alignment horizontal="left" vertical="center"/>
    </xf>
    <xf numFmtId="0" fontId="40" fillId="7" borderId="1" xfId="121" applyFont="1" applyFill="1" applyBorder="1" applyAlignment="1">
      <alignment horizontal="center" vertical="center" wrapText="1"/>
    </xf>
    <xf numFmtId="0" fontId="40" fillId="7" borderId="1" xfId="121" applyFont="1" applyFill="1" applyBorder="1" applyAlignment="1">
      <alignment horizontal="left" vertical="center" wrapText="1"/>
    </xf>
    <xf numFmtId="4" fontId="40" fillId="7" borderId="1" xfId="121" applyNumberFormat="1" applyFont="1" applyFill="1" applyBorder="1" applyAlignment="1">
      <alignment horizontal="center" vertical="center" wrapText="1"/>
    </xf>
    <xf numFmtId="0" fontId="41" fillId="0" borderId="0" xfId="0" applyFont="1" applyAlignment="1">
      <alignment horizontal="center" vertical="center"/>
    </xf>
    <xf numFmtId="0" fontId="14" fillId="0" borderId="0" xfId="10" applyAlignment="1">
      <alignment vertical="center"/>
    </xf>
    <xf numFmtId="0" fontId="15" fillId="4" borderId="0" xfId="10" applyFont="1" applyFill="1" applyAlignment="1">
      <alignment vertical="center"/>
    </xf>
    <xf numFmtId="0" fontId="40" fillId="7" borderId="8" xfId="121" applyFont="1" applyFill="1" applyBorder="1" applyAlignment="1">
      <alignment horizontal="center" vertical="center" wrapText="1"/>
    </xf>
    <xf numFmtId="4" fontId="40" fillId="7" borderId="8" xfId="121" applyNumberFormat="1" applyFont="1" applyFill="1" applyBorder="1" applyAlignment="1">
      <alignment horizontal="center" vertical="center" wrapText="1"/>
    </xf>
    <xf numFmtId="0" fontId="14" fillId="0" borderId="0" xfId="10" applyAlignment="1">
      <alignment horizontal="center" vertical="center"/>
    </xf>
    <xf numFmtId="0" fontId="15" fillId="2" borderId="8" xfId="10" applyFont="1" applyFill="1" applyBorder="1" applyAlignment="1">
      <alignment vertical="center"/>
    </xf>
    <xf numFmtId="0" fontId="15" fillId="2" borderId="4" xfId="10" applyFont="1" applyFill="1" applyBorder="1" applyAlignment="1">
      <alignment vertical="center"/>
    </xf>
    <xf numFmtId="0" fontId="42" fillId="0" borderId="2" xfId="10" applyFont="1" applyBorder="1" applyAlignment="1">
      <alignment vertical="center" wrapText="1"/>
    </xf>
    <xf numFmtId="0" fontId="14" fillId="0" borderId="0" xfId="10" applyAlignment="1">
      <alignment horizontal="left" vertical="center"/>
    </xf>
    <xf numFmtId="0" fontId="41" fillId="0" borderId="0" xfId="0" applyFont="1" applyAlignment="1">
      <alignment horizontal="right"/>
    </xf>
    <xf numFmtId="10" fontId="41" fillId="0" borderId="0" xfId="0" applyNumberFormat="1" applyFont="1" applyAlignment="1">
      <alignment horizontal="center"/>
    </xf>
    <xf numFmtId="4" fontId="15" fillId="0" borderId="0" xfId="14" applyNumberFormat="1" applyFont="1" applyFill="1" applyBorder="1" applyAlignment="1">
      <alignment horizontal="center" vertical="center"/>
    </xf>
    <xf numFmtId="165" fontId="15" fillId="0" borderId="0" xfId="14" applyFont="1" applyFill="1" applyBorder="1" applyAlignment="1">
      <alignment horizontal="center" vertical="center"/>
    </xf>
    <xf numFmtId="165" fontId="15" fillId="0" borderId="0" xfId="14" applyFont="1" applyFill="1" applyBorder="1" applyAlignment="1">
      <alignment vertical="center"/>
    </xf>
    <xf numFmtId="0" fontId="15" fillId="3" borderId="3" xfId="10" applyFont="1" applyFill="1" applyBorder="1" applyAlignment="1">
      <alignment horizontal="center" vertical="center"/>
    </xf>
    <xf numFmtId="0" fontId="14" fillId="0" borderId="0" xfId="10" applyAlignment="1">
      <alignment horizontal="center"/>
    </xf>
    <xf numFmtId="4" fontId="14" fillId="0" borderId="0" xfId="14" applyNumberFormat="1" applyFont="1" applyFill="1" applyAlignment="1">
      <alignment horizontal="left" vertical="center"/>
    </xf>
    <xf numFmtId="165" fontId="14" fillId="0" borderId="0" xfId="14" applyFont="1" applyFill="1" applyAlignment="1">
      <alignment horizontal="center" vertical="center"/>
    </xf>
    <xf numFmtId="0" fontId="41" fillId="0" borderId="7" xfId="0" applyFont="1" applyBorder="1" applyAlignment="1">
      <alignment horizontal="right"/>
    </xf>
    <xf numFmtId="4" fontId="14" fillId="0" borderId="0" xfId="14" applyNumberFormat="1" applyFont="1" applyFill="1" applyAlignment="1">
      <alignment horizontal="center" vertical="center"/>
    </xf>
    <xf numFmtId="165" fontId="14" fillId="0" borderId="0" xfId="14" applyFont="1" applyFill="1" applyAlignment="1">
      <alignment vertical="center"/>
    </xf>
    <xf numFmtId="0" fontId="41" fillId="0" borderId="0" xfId="0" applyFont="1" applyAlignment="1">
      <alignment horizontal="right" vertical="center"/>
    </xf>
    <xf numFmtId="4" fontId="0" fillId="0" borderId="0" xfId="0" applyNumberFormat="1" applyAlignment="1">
      <alignment horizontal="center" vertical="center"/>
    </xf>
    <xf numFmtId="4" fontId="40" fillId="7" borderId="4" xfId="121" applyNumberFormat="1" applyFont="1" applyFill="1" applyBorder="1" applyAlignment="1">
      <alignment horizontal="center" vertical="center" wrapText="1"/>
    </xf>
    <xf numFmtId="165" fontId="15" fillId="0" borderId="0" xfId="26" applyFont="1" applyFill="1" applyBorder="1" applyAlignment="1">
      <alignment horizontal="center" vertical="center"/>
    </xf>
    <xf numFmtId="165" fontId="14" fillId="0" borderId="0" xfId="26" applyFont="1" applyFill="1" applyAlignment="1">
      <alignment horizontal="center" vertical="center"/>
    </xf>
    <xf numFmtId="0" fontId="15" fillId="3" borderId="8" xfId="10" applyFont="1" applyFill="1" applyBorder="1" applyAlignment="1">
      <alignment horizontal="left" vertical="center"/>
    </xf>
    <xf numFmtId="0" fontId="0" fillId="4" borderId="0" xfId="0" applyFill="1" applyAlignment="1">
      <alignment horizontal="center" vertical="center"/>
    </xf>
    <xf numFmtId="0" fontId="14" fillId="3" borderId="8" xfId="10" applyFill="1" applyBorder="1" applyAlignment="1">
      <alignment horizontal="center" vertical="center"/>
    </xf>
    <xf numFmtId="165" fontId="14" fillId="3" borderId="8" xfId="26" applyFont="1" applyFill="1" applyBorder="1" applyAlignment="1">
      <alignment horizontal="center" vertical="center"/>
    </xf>
    <xf numFmtId="4" fontId="14" fillId="3" borderId="8" xfId="14" applyNumberFormat="1" applyFont="1" applyFill="1" applyBorder="1" applyAlignment="1">
      <alignment horizontal="center" vertical="center"/>
    </xf>
    <xf numFmtId="165" fontId="14" fillId="3" borderId="8" xfId="14" applyFont="1" applyFill="1" applyBorder="1" applyAlignment="1">
      <alignment horizontal="center" vertical="center"/>
    </xf>
    <xf numFmtId="165" fontId="14" fillId="3" borderId="8" xfId="14" applyFont="1" applyFill="1" applyBorder="1" applyAlignment="1">
      <alignment vertical="center"/>
    </xf>
    <xf numFmtId="165" fontId="15" fillId="3" borderId="4" xfId="14" applyFont="1" applyFill="1" applyBorder="1" applyAlignment="1">
      <alignment horizontal="center" vertical="center"/>
    </xf>
    <xf numFmtId="4" fontId="40" fillId="0" borderId="0" xfId="14" applyNumberFormat="1" applyFont="1" applyFill="1" applyBorder="1" applyAlignment="1">
      <alignment vertical="center"/>
    </xf>
    <xf numFmtId="4" fontId="40" fillId="3" borderId="3" xfId="14" applyNumberFormat="1" applyFont="1" applyFill="1" applyBorder="1" applyAlignment="1">
      <alignment horizontal="center" vertical="center"/>
    </xf>
    <xf numFmtId="0" fontId="15" fillId="2" borderId="4" xfId="10" applyFont="1" applyFill="1" applyBorder="1" applyAlignment="1">
      <alignment horizontal="center" vertical="center"/>
    </xf>
    <xf numFmtId="0" fontId="15" fillId="3" borderId="4" xfId="10" applyFont="1" applyFill="1" applyBorder="1" applyAlignment="1">
      <alignment horizontal="center" vertical="center"/>
    </xf>
    <xf numFmtId="0" fontId="14" fillId="3" borderId="4" xfId="10" applyFill="1" applyBorder="1" applyAlignment="1">
      <alignment horizontal="center" vertical="center"/>
    </xf>
    <xf numFmtId="43" fontId="41" fillId="0" borderId="7" xfId="0" applyNumberFormat="1" applyFont="1" applyBorder="1" applyAlignment="1">
      <alignment horizontal="right"/>
    </xf>
    <xf numFmtId="165" fontId="40" fillId="0" borderId="1" xfId="14" applyFont="1" applyFill="1" applyBorder="1" applyAlignment="1">
      <alignment horizontal="center" vertical="center"/>
    </xf>
    <xf numFmtId="0" fontId="0" fillId="9" borderId="0" xfId="0" applyFill="1"/>
    <xf numFmtId="0" fontId="15" fillId="0" borderId="8" xfId="10" applyFont="1" applyBorder="1" applyAlignment="1">
      <alignment horizontal="right" vertical="center" wrapText="1"/>
    </xf>
    <xf numFmtId="0" fontId="14" fillId="4" borderId="1" xfId="10" applyFill="1" applyBorder="1" applyAlignment="1">
      <alignment horizontal="center" vertical="center" wrapText="1"/>
    </xf>
    <xf numFmtId="165" fontId="14" fillId="4" borderId="1" xfId="14" applyFont="1" applyFill="1" applyBorder="1" applyAlignment="1">
      <alignment horizontal="center" vertical="center"/>
    </xf>
    <xf numFmtId="0" fontId="15" fillId="4" borderId="0" xfId="10" applyFont="1" applyFill="1" applyAlignment="1">
      <alignment horizontal="center" vertical="center"/>
    </xf>
    <xf numFmtId="0" fontId="14" fillId="4" borderId="0" xfId="10" applyFill="1" applyAlignment="1">
      <alignment vertical="center"/>
    </xf>
    <xf numFmtId="0" fontId="41" fillId="4" borderId="1" xfId="0" applyFont="1" applyFill="1" applyBorder="1" applyAlignment="1">
      <alignment horizontal="center" vertical="center"/>
    </xf>
    <xf numFmtId="0" fontId="41" fillId="4" borderId="3" xfId="0" applyFont="1" applyFill="1" applyBorder="1" applyAlignment="1">
      <alignment horizontal="center" vertical="center"/>
    </xf>
    <xf numFmtId="0" fontId="41" fillId="4" borderId="4" xfId="0" applyFont="1" applyFill="1" applyBorder="1" applyAlignment="1">
      <alignment horizontal="center" vertical="center"/>
    </xf>
    <xf numFmtId="0" fontId="0" fillId="4" borderId="0" xfId="0" applyFill="1"/>
    <xf numFmtId="2" fontId="41" fillId="8" borderId="1" xfId="121" applyNumberFormat="1" applyFont="1" applyFill="1" applyBorder="1" applyAlignment="1">
      <alignment horizontal="center" vertical="center" wrapText="1"/>
    </xf>
    <xf numFmtId="2" fontId="0" fillId="4" borderId="1" xfId="0" applyNumberFormat="1" applyFill="1" applyBorder="1" applyAlignment="1">
      <alignment horizontal="center" vertical="center"/>
    </xf>
    <xf numFmtId="0" fontId="43" fillId="0" borderId="0" xfId="10" applyFont="1" applyAlignment="1">
      <alignment horizontal="center" vertical="center"/>
    </xf>
    <xf numFmtId="0" fontId="39" fillId="0" borderId="0" xfId="0" applyFont="1" applyAlignment="1">
      <alignment horizontal="left" vertical="center"/>
    </xf>
    <xf numFmtId="43" fontId="14" fillId="4" borderId="0" xfId="10" applyNumberFormat="1" applyFill="1" applyAlignment="1">
      <alignment vertical="center"/>
    </xf>
    <xf numFmtId="4" fontId="14" fillId="4" borderId="1" xfId="14" applyNumberFormat="1" applyFont="1" applyFill="1" applyBorder="1" applyAlignment="1">
      <alignment horizontal="center" vertical="center"/>
    </xf>
    <xf numFmtId="165" fontId="14" fillId="4" borderId="1" xfId="14" applyFont="1" applyFill="1" applyBorder="1" applyAlignment="1">
      <alignment vertical="center"/>
    </xf>
    <xf numFmtId="165" fontId="15" fillId="0" borderId="4" xfId="14" applyFont="1" applyFill="1" applyBorder="1" applyAlignment="1">
      <alignment horizontal="center" vertical="center" wrapText="1"/>
    </xf>
    <xf numFmtId="0" fontId="45" fillId="11" borderId="11" xfId="171" applyFont="1" applyFill="1" applyBorder="1"/>
    <xf numFmtId="0" fontId="18" fillId="11" borderId="12" xfId="171" applyFill="1" applyBorder="1"/>
    <xf numFmtId="0" fontId="18" fillId="11" borderId="12" xfId="171" applyFill="1" applyBorder="1" applyAlignment="1">
      <alignment wrapText="1"/>
    </xf>
    <xf numFmtId="0" fontId="46" fillId="11" borderId="12" xfId="171" applyFont="1" applyFill="1" applyBorder="1"/>
    <xf numFmtId="0" fontId="18" fillId="0" borderId="0" xfId="171"/>
    <xf numFmtId="0" fontId="45" fillId="11" borderId="13" xfId="171" applyFont="1" applyFill="1" applyBorder="1"/>
    <xf numFmtId="0" fontId="18" fillId="11" borderId="0" xfId="171" applyFill="1"/>
    <xf numFmtId="0" fontId="47" fillId="11" borderId="0" xfId="171" applyFont="1" applyFill="1" applyAlignment="1">
      <alignment wrapText="1"/>
    </xf>
    <xf numFmtId="0" fontId="46" fillId="11" borderId="0" xfId="171" applyFont="1" applyFill="1"/>
    <xf numFmtId="0" fontId="18" fillId="11" borderId="0" xfId="171" applyFill="1" applyAlignment="1">
      <alignment wrapText="1"/>
    </xf>
    <xf numFmtId="0" fontId="18" fillId="11" borderId="15" xfId="171" applyFill="1" applyBorder="1"/>
    <xf numFmtId="0" fontId="18" fillId="11" borderId="16" xfId="171" applyFill="1" applyBorder="1"/>
    <xf numFmtId="0" fontId="18" fillId="11" borderId="17" xfId="171" applyFill="1" applyBorder="1"/>
    <xf numFmtId="0" fontId="18" fillId="11" borderId="18" xfId="171" applyFill="1" applyBorder="1"/>
    <xf numFmtId="0" fontId="15" fillId="0" borderId="0" xfId="10" applyFont="1" applyAlignment="1">
      <alignment horizontal="right" vertical="center" wrapText="1"/>
    </xf>
    <xf numFmtId="165" fontId="15" fillId="0" borderId="7" xfId="14" applyFont="1" applyFill="1" applyBorder="1" applyAlignment="1">
      <alignment horizontal="center" vertical="center" wrapText="1"/>
    </xf>
    <xf numFmtId="0" fontId="50" fillId="12" borderId="1" xfId="171" applyFont="1" applyFill="1" applyBorder="1" applyAlignment="1">
      <alignment vertical="center"/>
    </xf>
    <xf numFmtId="0" fontId="14" fillId="27" borderId="1" xfId="10" applyFill="1" applyBorder="1" applyAlignment="1">
      <alignment horizontal="center" vertical="center"/>
    </xf>
    <xf numFmtId="0" fontId="14" fillId="27" borderId="1" xfId="10" applyFill="1" applyBorder="1" applyAlignment="1">
      <alignment horizontal="left" vertical="center" wrapText="1"/>
    </xf>
    <xf numFmtId="165" fontId="14" fillId="27" borderId="1" xfId="14" applyFont="1" applyFill="1" applyBorder="1" applyAlignment="1">
      <alignment vertical="center"/>
    </xf>
    <xf numFmtId="165" fontId="14" fillId="27" borderId="1" xfId="14" applyFont="1" applyFill="1" applyBorder="1" applyAlignment="1">
      <alignment horizontal="center" vertical="center"/>
    </xf>
    <xf numFmtId="4" fontId="14" fillId="27" borderId="1" xfId="14" applyNumberFormat="1" applyFont="1" applyFill="1" applyBorder="1" applyAlignment="1">
      <alignment horizontal="center" vertical="center"/>
    </xf>
    <xf numFmtId="0" fontId="44" fillId="27" borderId="0" xfId="0" applyFont="1" applyFill="1" applyAlignment="1">
      <alignment wrapText="1"/>
    </xf>
    <xf numFmtId="0" fontId="44" fillId="27" borderId="1" xfId="0" applyFont="1" applyFill="1" applyBorder="1" applyAlignment="1">
      <alignment wrapText="1"/>
    </xf>
    <xf numFmtId="0" fontId="14" fillId="27" borderId="1" xfId="10" applyFill="1" applyBorder="1" applyAlignment="1">
      <alignment horizontal="center" vertical="center" wrapText="1"/>
    </xf>
    <xf numFmtId="4" fontId="14" fillId="27" borderId="4" xfId="14" applyNumberFormat="1" applyFont="1" applyFill="1" applyBorder="1" applyAlignment="1">
      <alignment horizontal="center" vertical="center"/>
    </xf>
    <xf numFmtId="165" fontId="14" fillId="27" borderId="4" xfId="14" applyFont="1" applyFill="1" applyBorder="1" applyAlignment="1">
      <alignment vertical="center"/>
    </xf>
    <xf numFmtId="0" fontId="44" fillId="27" borderId="1" xfId="0" applyFont="1" applyFill="1" applyBorder="1"/>
    <xf numFmtId="0" fontId="66" fillId="7" borderId="1" xfId="121" applyFont="1" applyFill="1" applyBorder="1" applyAlignment="1">
      <alignment horizontal="center" vertical="center" wrapText="1"/>
    </xf>
    <xf numFmtId="0" fontId="66" fillId="7" borderId="1" xfId="121" applyFont="1" applyFill="1" applyBorder="1" applyAlignment="1">
      <alignment horizontal="left" vertical="center" wrapText="1"/>
    </xf>
    <xf numFmtId="4" fontId="66" fillId="7" borderId="1" xfId="121" applyNumberFormat="1" applyFont="1" applyFill="1" applyBorder="1" applyAlignment="1">
      <alignment horizontal="center" vertical="center" wrapText="1"/>
    </xf>
    <xf numFmtId="0" fontId="65" fillId="0" borderId="1" xfId="121" applyFont="1" applyBorder="1" applyAlignment="1">
      <alignment horizontal="center" vertical="center" wrapText="1"/>
    </xf>
    <xf numFmtId="49" fontId="65" fillId="0" borderId="28" xfId="0" applyNumberFormat="1" applyFont="1" applyBorder="1" applyAlignment="1" applyProtection="1">
      <alignment horizontal="center" vertical="center" wrapText="1"/>
      <protection locked="0"/>
    </xf>
    <xf numFmtId="0" fontId="65" fillId="0" borderId="1" xfId="121" applyFont="1" applyBorder="1" applyAlignment="1">
      <alignment horizontal="left" vertical="center" wrapText="1"/>
    </xf>
    <xf numFmtId="181" fontId="65" fillId="0" borderId="1" xfId="121" applyNumberFormat="1" applyFont="1" applyBorder="1" applyAlignment="1">
      <alignment horizontal="center" vertical="center" wrapText="1"/>
    </xf>
    <xf numFmtId="182" fontId="65" fillId="0" borderId="1" xfId="121" applyNumberFormat="1" applyFont="1" applyBorder="1" applyAlignment="1">
      <alignment horizontal="center" vertical="center" wrapText="1"/>
    </xf>
    <xf numFmtId="0" fontId="14" fillId="27" borderId="1" xfId="10" applyFill="1" applyBorder="1" applyAlignment="1">
      <alignment horizontal="left" vertical="center"/>
    </xf>
    <xf numFmtId="165" fontId="65" fillId="0" borderId="1" xfId="14" applyFont="1" applyFill="1" applyBorder="1" applyAlignment="1">
      <alignment horizontal="center" vertical="center" wrapText="1"/>
    </xf>
    <xf numFmtId="4" fontId="14" fillId="0" borderId="1" xfId="14" applyNumberFormat="1" applyFont="1" applyFill="1" applyBorder="1" applyAlignment="1">
      <alignment horizontal="center" vertical="center"/>
    </xf>
    <xf numFmtId="165" fontId="14" fillId="0" borderId="1" xfId="14" applyFont="1" applyFill="1" applyBorder="1" applyAlignment="1">
      <alignment horizontal="center" vertical="center"/>
    </xf>
    <xf numFmtId="165" fontId="14" fillId="0" borderId="1" xfId="14" applyFont="1" applyFill="1" applyBorder="1" applyAlignment="1">
      <alignment vertical="center"/>
    </xf>
    <xf numFmtId="0" fontId="41" fillId="10" borderId="1" xfId="0" applyFont="1" applyFill="1" applyBorder="1" applyAlignment="1">
      <alignment horizontal="left" vertical="center" wrapText="1"/>
    </xf>
    <xf numFmtId="0" fontId="67" fillId="0" borderId="0" xfId="10" applyFont="1" applyAlignment="1">
      <alignment vertical="center"/>
    </xf>
    <xf numFmtId="0" fontId="68" fillId="0" borderId="0" xfId="0" applyFont="1"/>
    <xf numFmtId="165" fontId="69" fillId="0" borderId="0" xfId="14" applyFont="1" applyFill="1" applyBorder="1" applyAlignment="1">
      <alignment horizontal="center" vertical="center"/>
    </xf>
    <xf numFmtId="165" fontId="69" fillId="3" borderId="1" xfId="14" applyFont="1" applyFill="1" applyBorder="1" applyAlignment="1">
      <alignment horizontal="center" vertical="center" wrapText="1"/>
    </xf>
    <xf numFmtId="0" fontId="69" fillId="2" borderId="8" xfId="10" applyFont="1" applyFill="1" applyBorder="1" applyAlignment="1">
      <alignment vertical="center"/>
    </xf>
    <xf numFmtId="165" fontId="69" fillId="2" borderId="8" xfId="14" applyFont="1" applyFill="1" applyBorder="1" applyAlignment="1">
      <alignment horizontal="center" vertical="center"/>
    </xf>
    <xf numFmtId="165" fontId="69" fillId="0" borderId="7" xfId="14" applyFont="1" applyFill="1" applyBorder="1" applyAlignment="1">
      <alignment horizontal="center" vertical="center" wrapText="1"/>
    </xf>
    <xf numFmtId="43" fontId="68" fillId="0" borderId="0" xfId="0" applyNumberFormat="1" applyFont="1" applyAlignment="1">
      <alignment horizontal="right"/>
    </xf>
    <xf numFmtId="165" fontId="67" fillId="0" borderId="0" xfId="14" applyFont="1" applyFill="1" applyAlignment="1">
      <alignment horizontal="center" vertical="center"/>
    </xf>
    <xf numFmtId="0" fontId="68" fillId="0" borderId="0" xfId="0" applyFont="1" applyAlignment="1">
      <alignment horizontal="right"/>
    </xf>
    <xf numFmtId="43" fontId="68" fillId="0" borderId="7" xfId="0" applyNumberFormat="1" applyFont="1" applyBorder="1" applyAlignment="1">
      <alignment horizontal="right"/>
    </xf>
    <xf numFmtId="43" fontId="67" fillId="0" borderId="0" xfId="10" applyNumberFormat="1" applyFont="1" applyAlignment="1">
      <alignment vertical="center"/>
    </xf>
    <xf numFmtId="165" fontId="67" fillId="0" borderId="0" xfId="10" applyNumberFormat="1" applyFont="1" applyAlignment="1">
      <alignment vertical="center"/>
    </xf>
    <xf numFmtId="165" fontId="67" fillId="0" borderId="0" xfId="26" applyFont="1" applyFill="1" applyAlignment="1">
      <alignment vertical="center"/>
    </xf>
    <xf numFmtId="0" fontId="14" fillId="0" borderId="0" xfId="10" applyFont="1" applyAlignment="1">
      <alignment horizontal="left" vertical="center"/>
    </xf>
    <xf numFmtId="0" fontId="14" fillId="27" borderId="1" xfId="10" applyFont="1" applyFill="1" applyBorder="1" applyAlignment="1">
      <alignment horizontal="left" vertical="center" wrapText="1"/>
    </xf>
    <xf numFmtId="0" fontId="14" fillId="27" borderId="0" xfId="0" applyFont="1" applyFill="1" applyAlignment="1">
      <alignment wrapText="1"/>
    </xf>
    <xf numFmtId="165" fontId="15" fillId="29" borderId="4" xfId="14" applyFont="1" applyFill="1" applyBorder="1" applyAlignment="1">
      <alignment horizontal="center" vertical="center" wrapText="1"/>
    </xf>
    <xf numFmtId="0" fontId="41" fillId="28" borderId="1" xfId="121" applyFont="1" applyFill="1" applyBorder="1" applyAlignment="1">
      <alignment horizontal="left" vertical="center" wrapText="1"/>
    </xf>
    <xf numFmtId="0" fontId="14" fillId="27" borderId="1" xfId="0" applyFont="1" applyFill="1" applyBorder="1" applyAlignment="1">
      <alignment wrapText="1"/>
    </xf>
    <xf numFmtId="0" fontId="14" fillId="27" borderId="10" xfId="0" applyFont="1" applyFill="1" applyBorder="1" applyAlignment="1">
      <alignment wrapText="1"/>
    </xf>
    <xf numFmtId="0" fontId="41" fillId="0" borderId="0" xfId="0" applyFont="1" applyAlignment="1">
      <alignment horizontal="right" vertical="center"/>
    </xf>
    <xf numFmtId="0" fontId="0" fillId="0" borderId="0" xfId="0" applyBorder="1"/>
    <xf numFmtId="183" fontId="0" fillId="0" borderId="0" xfId="0" applyNumberFormat="1" applyBorder="1"/>
    <xf numFmtId="0" fontId="15" fillId="0" borderId="0" xfId="10" applyFont="1" applyBorder="1" applyAlignment="1">
      <alignment horizontal="center" vertical="center"/>
    </xf>
    <xf numFmtId="0" fontId="70" fillId="0" borderId="0" xfId="0" applyFont="1" applyBorder="1" applyAlignment="1">
      <alignment horizontal="center"/>
    </xf>
    <xf numFmtId="183" fontId="70" fillId="0" borderId="0" xfId="0" applyNumberFormat="1" applyFont="1" applyBorder="1"/>
    <xf numFmtId="0" fontId="70" fillId="0" borderId="0" xfId="0" applyFont="1" applyBorder="1"/>
    <xf numFmtId="0" fontId="40" fillId="0" borderId="0" xfId="0" applyFont="1" applyAlignment="1"/>
    <xf numFmtId="0" fontId="14" fillId="0" borderId="1" xfId="0" applyFont="1" applyBorder="1" applyAlignment="1">
      <alignment horizontal="center" vertical="top"/>
    </xf>
    <xf numFmtId="0" fontId="71" fillId="0" borderId="1" xfId="0" applyFont="1" applyBorder="1" applyAlignment="1">
      <alignment horizontal="center"/>
    </xf>
    <xf numFmtId="0" fontId="71" fillId="0" borderId="1" xfId="0" applyFont="1" applyBorder="1"/>
    <xf numFmtId="0" fontId="14" fillId="2" borderId="1" xfId="10" applyFont="1" applyFill="1" applyBorder="1" applyAlignment="1">
      <alignment vertical="center"/>
    </xf>
    <xf numFmtId="183" fontId="71" fillId="0" borderId="1" xfId="0" applyNumberFormat="1" applyFont="1" applyBorder="1"/>
    <xf numFmtId="0" fontId="14" fillId="3" borderId="1" xfId="10" applyFont="1" applyFill="1" applyBorder="1" applyAlignment="1">
      <alignment horizontal="left" vertical="center"/>
    </xf>
    <xf numFmtId="165" fontId="14" fillId="30" borderId="1" xfId="14" applyFont="1" applyFill="1" applyBorder="1" applyAlignment="1">
      <alignment horizontal="center" vertical="center"/>
    </xf>
    <xf numFmtId="0" fontId="14" fillId="31" borderId="1" xfId="10" applyFill="1" applyBorder="1" applyAlignment="1">
      <alignment horizontal="center" vertical="center"/>
    </xf>
    <xf numFmtId="0" fontId="14" fillId="31" borderId="1" xfId="0" applyFont="1" applyFill="1" applyBorder="1" applyAlignment="1">
      <alignment wrapText="1"/>
    </xf>
    <xf numFmtId="0" fontId="14" fillId="31" borderId="0" xfId="0" applyFont="1" applyFill="1" applyAlignment="1">
      <alignment wrapText="1"/>
    </xf>
    <xf numFmtId="0" fontId="14" fillId="31" borderId="1" xfId="10" applyFont="1" applyFill="1" applyBorder="1" applyAlignment="1">
      <alignment horizontal="left" vertical="center" wrapText="1"/>
    </xf>
    <xf numFmtId="165" fontId="14" fillId="4" borderId="4" xfId="14" applyFont="1" applyFill="1" applyBorder="1" applyAlignment="1">
      <alignment horizontal="center" vertical="center"/>
    </xf>
    <xf numFmtId="0" fontId="14" fillId="4" borderId="5" xfId="10" applyFill="1" applyBorder="1" applyAlignment="1">
      <alignment horizontal="center" vertical="center" wrapText="1"/>
    </xf>
    <xf numFmtId="0" fontId="14" fillId="27" borderId="5" xfId="10" applyFill="1" applyBorder="1" applyAlignment="1">
      <alignment horizontal="center" vertical="center"/>
    </xf>
    <xf numFmtId="0" fontId="14" fillId="27" borderId="5" xfId="10" applyFill="1" applyBorder="1" applyAlignment="1">
      <alignment horizontal="center" vertical="center" wrapText="1"/>
    </xf>
    <xf numFmtId="165" fontId="14" fillId="30" borderId="5" xfId="14" applyFont="1" applyFill="1" applyBorder="1" applyAlignment="1">
      <alignment horizontal="center" vertical="center"/>
    </xf>
    <xf numFmtId="4" fontId="14" fillId="27" borderId="5" xfId="14" applyNumberFormat="1" applyFont="1" applyFill="1" applyBorder="1" applyAlignment="1">
      <alignment horizontal="center" vertical="center"/>
    </xf>
    <xf numFmtId="165" fontId="14" fillId="27" borderId="5" xfId="14" applyFont="1" applyFill="1" applyBorder="1" applyAlignment="1">
      <alignment horizontal="center" vertical="center"/>
    </xf>
    <xf numFmtId="165" fontId="14" fillId="27" borderId="5" xfId="14" applyFont="1" applyFill="1" applyBorder="1" applyAlignment="1">
      <alignment vertical="center"/>
    </xf>
    <xf numFmtId="4" fontId="14" fillId="4" borderId="5" xfId="14" applyNumberFormat="1" applyFont="1" applyFill="1" applyBorder="1" applyAlignment="1">
      <alignment horizontal="center" vertical="center"/>
    </xf>
    <xf numFmtId="165" fontId="14" fillId="4" borderId="5" xfId="14" applyFont="1" applyFill="1" applyBorder="1" applyAlignment="1">
      <alignment horizontal="center" vertical="center"/>
    </xf>
    <xf numFmtId="165" fontId="14" fillId="4" borderId="5" xfId="14" applyFont="1" applyFill="1" applyBorder="1" applyAlignment="1">
      <alignment vertical="center"/>
    </xf>
    <xf numFmtId="0" fontId="14" fillId="30" borderId="0" xfId="10" applyFill="1" applyAlignment="1">
      <alignment horizontal="center" vertical="center"/>
    </xf>
    <xf numFmtId="4" fontId="14" fillId="30" borderId="0" xfId="14" applyNumberFormat="1" applyFont="1" applyFill="1" applyAlignment="1">
      <alignment horizontal="left" vertical="center"/>
    </xf>
    <xf numFmtId="0" fontId="14" fillId="30" borderId="0" xfId="10" applyFill="1" applyAlignment="1">
      <alignment vertical="center"/>
    </xf>
    <xf numFmtId="0" fontId="14" fillId="30" borderId="0" xfId="10" applyFill="1" applyAlignment="1">
      <alignment horizontal="left" vertical="center"/>
    </xf>
    <xf numFmtId="0" fontId="4" fillId="0" borderId="29" xfId="300" applyBorder="1"/>
    <xf numFmtId="0" fontId="4" fillId="0" borderId="30" xfId="300" applyBorder="1"/>
    <xf numFmtId="0" fontId="73" fillId="0" borderId="30" xfId="300" applyFont="1" applyBorder="1" applyAlignment="1">
      <alignment horizontal="left" vertical="center" wrapText="1"/>
    </xf>
    <xf numFmtId="0" fontId="4" fillId="0" borderId="31" xfId="300" applyBorder="1"/>
    <xf numFmtId="0" fontId="4" fillId="0" borderId="0" xfId="300" applyAlignment="1">
      <alignment vertical="center"/>
    </xf>
    <xf numFmtId="0" fontId="4" fillId="0" borderId="0" xfId="300"/>
    <xf numFmtId="0" fontId="74" fillId="4" borderId="32" xfId="300" applyFont="1" applyFill="1" applyBorder="1" applyAlignment="1">
      <alignment horizontal="left" vertical="center"/>
    </xf>
    <xf numFmtId="0" fontId="65" fillId="0" borderId="0" xfId="300" applyFont="1" applyAlignment="1">
      <alignment vertical="center"/>
    </xf>
    <xf numFmtId="0" fontId="73" fillId="0" borderId="0" xfId="300" applyFont="1" applyAlignment="1">
      <alignment horizontal="left" vertical="center" wrapText="1"/>
    </xf>
    <xf numFmtId="0" fontId="73" fillId="4" borderId="0" xfId="300" applyFont="1" applyFill="1" applyAlignment="1">
      <alignment horizontal="left" vertical="center"/>
    </xf>
    <xf numFmtId="0" fontId="65" fillId="0" borderId="0" xfId="300" applyFont="1"/>
    <xf numFmtId="0" fontId="65" fillId="0" borderId="17" xfId="300" applyFont="1" applyBorder="1"/>
    <xf numFmtId="0" fontId="75" fillId="4" borderId="32" xfId="300" applyFont="1" applyFill="1" applyBorder="1" applyAlignment="1">
      <alignment horizontal="left" vertical="center"/>
    </xf>
    <xf numFmtId="0" fontId="74" fillId="4" borderId="0" xfId="300" applyFont="1" applyFill="1" applyAlignment="1">
      <alignment vertical="center"/>
    </xf>
    <xf numFmtId="0" fontId="4" fillId="0" borderId="0" xfId="300" applyAlignment="1">
      <alignment horizontal="center" vertical="center"/>
    </xf>
    <xf numFmtId="0" fontId="74" fillId="3" borderId="37" xfId="300" applyFont="1" applyFill="1" applyBorder="1" applyAlignment="1">
      <alignment horizontal="center" vertical="center" wrapText="1"/>
    </xf>
    <xf numFmtId="0" fontId="74" fillId="3" borderId="7" xfId="300" applyFont="1" applyFill="1" applyBorder="1" applyAlignment="1">
      <alignment horizontal="center" vertical="center" wrapText="1"/>
    </xf>
    <xf numFmtId="0" fontId="74" fillId="3" borderId="36" xfId="300" applyFont="1" applyFill="1" applyBorder="1" applyAlignment="1">
      <alignment horizontal="center" vertical="center" wrapText="1"/>
    </xf>
    <xf numFmtId="0" fontId="4" fillId="0" borderId="0" xfId="300" applyAlignment="1">
      <alignment horizontal="center" vertical="center" wrapText="1"/>
    </xf>
    <xf numFmtId="0" fontId="73" fillId="10" borderId="0" xfId="300" applyFont="1" applyFill="1" applyAlignment="1">
      <alignment horizontal="center" vertical="center" wrapText="1"/>
    </xf>
    <xf numFmtId="0" fontId="74" fillId="10" borderId="0" xfId="300" applyFont="1" applyFill="1" applyAlignment="1">
      <alignment horizontal="center" vertical="center" wrapText="1"/>
    </xf>
    <xf numFmtId="0" fontId="73" fillId="10" borderId="0" xfId="300" applyFont="1" applyFill="1" applyAlignment="1">
      <alignment horizontal="left" vertical="center" wrapText="1"/>
    </xf>
    <xf numFmtId="44" fontId="73" fillId="10" borderId="34" xfId="301" applyFont="1" applyFill="1" applyBorder="1" applyAlignment="1">
      <alignment horizontal="center" vertical="center" wrapText="1"/>
    </xf>
    <xf numFmtId="44" fontId="73" fillId="10" borderId="0" xfId="301" applyFont="1" applyFill="1" applyAlignment="1">
      <alignment horizontal="center" vertical="center" wrapText="1"/>
    </xf>
    <xf numFmtId="44" fontId="73" fillId="10" borderId="33" xfId="301" applyFont="1" applyFill="1" applyBorder="1" applyAlignment="1">
      <alignment horizontal="center" vertical="center" wrapText="1"/>
    </xf>
    <xf numFmtId="44" fontId="74" fillId="10" borderId="34" xfId="301" applyFont="1" applyFill="1" applyBorder="1" applyAlignment="1">
      <alignment horizontal="center" vertical="center" wrapText="1"/>
    </xf>
    <xf numFmtId="44" fontId="74" fillId="10" borderId="0" xfId="301" applyFont="1" applyFill="1" applyAlignment="1">
      <alignment horizontal="center" vertical="center" wrapText="1"/>
    </xf>
    <xf numFmtId="44" fontId="77" fillId="10" borderId="33" xfId="301" applyFont="1" applyFill="1" applyBorder="1" applyAlignment="1">
      <alignment horizontal="center" vertical="center" wrapText="1"/>
    </xf>
    <xf numFmtId="10" fontId="32" fillId="0" borderId="39" xfId="302" applyNumberFormat="1" applyFont="1" applyBorder="1" applyAlignment="1">
      <alignment horizontal="center" vertical="center" wrapText="1"/>
    </xf>
    <xf numFmtId="0" fontId="32" fillId="0" borderId="39" xfId="300" applyFont="1" applyBorder="1" applyAlignment="1">
      <alignment horizontal="center" vertical="center" wrapText="1"/>
    </xf>
    <xf numFmtId="0" fontId="32" fillId="0" borderId="39" xfId="300" applyFont="1" applyBorder="1" applyAlignment="1">
      <alignment horizontal="left" vertical="center" wrapText="1"/>
    </xf>
    <xf numFmtId="2" fontId="32" fillId="0" borderId="40" xfId="300" applyNumberFormat="1" applyFont="1" applyBorder="1" applyAlignment="1">
      <alignment horizontal="center" vertical="center" wrapText="1"/>
    </xf>
    <xf numFmtId="44" fontId="32" fillId="0" borderId="41" xfId="301" applyFont="1" applyBorder="1" applyAlignment="1">
      <alignment horizontal="center" vertical="center" wrapText="1"/>
    </xf>
    <xf numFmtId="44" fontId="32" fillId="0" borderId="39" xfId="301" applyFont="1" applyBorder="1" applyAlignment="1">
      <alignment horizontal="center" vertical="center" wrapText="1"/>
    </xf>
    <xf numFmtId="44" fontId="32" fillId="0" borderId="42" xfId="301" applyFont="1" applyBorder="1" applyAlignment="1">
      <alignment horizontal="center" vertical="center" wrapText="1"/>
    </xf>
    <xf numFmtId="44" fontId="32" fillId="0" borderId="43" xfId="301" applyFont="1" applyBorder="1" applyAlignment="1">
      <alignment horizontal="center" vertical="center" wrapText="1"/>
    </xf>
    <xf numFmtId="44" fontId="32" fillId="0" borderId="44" xfId="301" applyFont="1" applyBorder="1" applyAlignment="1">
      <alignment horizontal="center" vertical="center" wrapText="1"/>
    </xf>
    <xf numFmtId="14" fontId="32" fillId="0" borderId="39" xfId="300" applyNumberFormat="1" applyFont="1" applyBorder="1" applyAlignment="1">
      <alignment horizontal="center" vertical="center" wrapText="1"/>
    </xf>
    <xf numFmtId="0" fontId="78" fillId="0" borderId="0" xfId="300" applyFont="1" applyAlignment="1">
      <alignment vertical="center"/>
    </xf>
    <xf numFmtId="0" fontId="78" fillId="0" borderId="0" xfId="300" applyFont="1"/>
    <xf numFmtId="0" fontId="74" fillId="32" borderId="45" xfId="300" applyFont="1" applyFill="1" applyBorder="1" applyAlignment="1">
      <alignment horizontal="left" vertical="center" wrapText="1"/>
    </xf>
    <xf numFmtId="44" fontId="74" fillId="32" borderId="46" xfId="301" applyFont="1" applyFill="1" applyBorder="1" applyAlignment="1">
      <alignment horizontal="center" vertical="center" wrapText="1"/>
    </xf>
    <xf numFmtId="44" fontId="74" fillId="32" borderId="45" xfId="301" applyFont="1" applyFill="1" applyBorder="1" applyAlignment="1">
      <alignment horizontal="center" vertical="center" wrapText="1"/>
    </xf>
    <xf numFmtId="44" fontId="74" fillId="32" borderId="47" xfId="301" applyFont="1" applyFill="1" applyBorder="1" applyAlignment="1">
      <alignment horizontal="center" vertical="center" wrapText="1"/>
    </xf>
    <xf numFmtId="0" fontId="74" fillId="32" borderId="45" xfId="300" applyFont="1" applyFill="1" applyBorder="1" applyAlignment="1">
      <alignment horizontal="left" vertical="center"/>
    </xf>
    <xf numFmtId="0" fontId="72" fillId="0" borderId="0" xfId="300" applyFont="1" applyAlignment="1">
      <alignment vertical="center"/>
    </xf>
    <xf numFmtId="0" fontId="72" fillId="0" borderId="0" xfId="300" applyFont="1"/>
    <xf numFmtId="49" fontId="32" fillId="0" borderId="39" xfId="300" applyNumberFormat="1" applyFont="1" applyBorder="1" applyAlignment="1">
      <alignment horizontal="center" vertical="center" wrapText="1"/>
    </xf>
    <xf numFmtId="0" fontId="74" fillId="3" borderId="0" xfId="300" applyFont="1" applyFill="1" applyAlignment="1">
      <alignment horizontal="left" vertical="center"/>
    </xf>
    <xf numFmtId="0" fontId="73" fillId="3" borderId="0" xfId="300" applyFont="1" applyFill="1" applyAlignment="1">
      <alignment horizontal="left" vertical="center"/>
    </xf>
    <xf numFmtId="44" fontId="74" fillId="3" borderId="0" xfId="301" applyFont="1" applyFill="1" applyAlignment="1">
      <alignment horizontal="left" vertical="center"/>
    </xf>
    <xf numFmtId="0" fontId="74" fillId="4" borderId="0" xfId="300" applyFont="1" applyFill="1" applyAlignment="1">
      <alignment vertical="center" wrapText="1"/>
    </xf>
    <xf numFmtId="0" fontId="79" fillId="11" borderId="11" xfId="171" applyFont="1" applyFill="1" applyBorder="1"/>
    <xf numFmtId="0" fontId="21" fillId="11" borderId="12" xfId="171" applyFont="1" applyFill="1" applyBorder="1"/>
    <xf numFmtId="0" fontId="21" fillId="11" borderId="12" xfId="171" applyFont="1" applyFill="1" applyBorder="1" applyAlignment="1">
      <alignment wrapText="1"/>
    </xf>
    <xf numFmtId="0" fontId="80" fillId="11" borderId="12" xfId="171" applyFont="1" applyFill="1" applyBorder="1"/>
    <xf numFmtId="0" fontId="21" fillId="11" borderId="48" xfId="171" applyFont="1" applyFill="1" applyBorder="1"/>
    <xf numFmtId="0" fontId="79" fillId="11" borderId="13" xfId="171" applyFont="1" applyFill="1" applyBorder="1" applyAlignment="1">
      <alignment vertical="center"/>
    </xf>
    <xf numFmtId="0" fontId="21" fillId="11" borderId="0" xfId="171" applyFont="1" applyFill="1"/>
    <xf numFmtId="0" fontId="21" fillId="11" borderId="49" xfId="171" applyFont="1" applyFill="1" applyBorder="1"/>
    <xf numFmtId="0" fontId="79" fillId="11" borderId="13" xfId="171" applyFont="1" applyFill="1" applyBorder="1"/>
    <xf numFmtId="0" fontId="80" fillId="11" borderId="0" xfId="171" applyFont="1" applyFill="1"/>
    <xf numFmtId="0" fontId="21" fillId="11" borderId="14" xfId="171" applyFont="1" applyFill="1" applyBorder="1"/>
    <xf numFmtId="0" fontId="21" fillId="11" borderId="15" xfId="171" applyFont="1" applyFill="1" applyBorder="1"/>
    <xf numFmtId="0" fontId="21" fillId="11" borderId="50" xfId="171" applyFont="1" applyFill="1" applyBorder="1"/>
    <xf numFmtId="0" fontId="84" fillId="12" borderId="1" xfId="171" applyFont="1" applyFill="1" applyBorder="1" applyAlignment="1">
      <alignment horizontal="center" vertical="center"/>
    </xf>
    <xf numFmtId="0" fontId="21" fillId="12" borderId="1" xfId="171" applyFont="1" applyFill="1" applyBorder="1" applyAlignment="1">
      <alignment horizontal="center" vertical="center"/>
    </xf>
    <xf numFmtId="0" fontId="21" fillId="12" borderId="1" xfId="171" applyFont="1" applyFill="1" applyBorder="1" applyAlignment="1">
      <alignment horizontal="center" vertical="center" wrapText="1"/>
    </xf>
    <xf numFmtId="4" fontId="21" fillId="12" borderId="1" xfId="171" applyNumberFormat="1" applyFont="1" applyFill="1" applyBorder="1" applyAlignment="1">
      <alignment horizontal="center" vertical="center"/>
    </xf>
    <xf numFmtId="4" fontId="18" fillId="0" borderId="0" xfId="171" applyNumberFormat="1"/>
    <xf numFmtId="0" fontId="18" fillId="0" borderId="1" xfId="171" applyBorder="1" applyAlignment="1">
      <alignment horizontal="center" vertical="center"/>
    </xf>
    <xf numFmtId="0" fontId="18" fillId="0" borderId="1" xfId="171" applyBorder="1" applyAlignment="1">
      <alignment vertical="center" wrapText="1"/>
    </xf>
    <xf numFmtId="4" fontId="18" fillId="0" borderId="1" xfId="171" applyNumberFormat="1" applyBorder="1" applyAlignment="1">
      <alignment horizontal="center" vertical="center"/>
    </xf>
    <xf numFmtId="49" fontId="18" fillId="0" borderId="1" xfId="171" applyNumberFormat="1" applyBorder="1" applyAlignment="1">
      <alignment horizontal="center" vertical="center"/>
    </xf>
    <xf numFmtId="0" fontId="21" fillId="0" borderId="0" xfId="171" applyFont="1"/>
    <xf numFmtId="0" fontId="21" fillId="0" borderId="0" xfId="171" applyFont="1" applyAlignment="1">
      <alignment wrapText="1"/>
    </xf>
    <xf numFmtId="0" fontId="41" fillId="0" borderId="0" xfId="171" applyFont="1"/>
    <xf numFmtId="0" fontId="41" fillId="0" borderId="0" xfId="171" applyFont="1" applyAlignment="1">
      <alignment wrapText="1"/>
    </xf>
    <xf numFmtId="0" fontId="74" fillId="4" borderId="0" xfId="303" applyFont="1" applyFill="1" applyAlignment="1">
      <alignment vertical="center" wrapText="1"/>
    </xf>
    <xf numFmtId="0" fontId="73" fillId="4" borderId="0" xfId="303" applyFont="1" applyFill="1" applyAlignment="1">
      <alignment wrapText="1"/>
    </xf>
    <xf numFmtId="0" fontId="18" fillId="0" borderId="0" xfId="171" applyAlignment="1">
      <alignment wrapText="1"/>
    </xf>
    <xf numFmtId="0" fontId="85" fillId="0" borderId="0" xfId="171" applyFont="1"/>
    <xf numFmtId="4" fontId="85" fillId="0" borderId="0" xfId="171" applyNumberFormat="1" applyFont="1"/>
    <xf numFmtId="0" fontId="18" fillId="0" borderId="0" xfId="171" applyBorder="1" applyAlignment="1">
      <alignment horizontal="center" vertical="center"/>
    </xf>
    <xf numFmtId="49" fontId="18" fillId="0" borderId="0" xfId="171" applyNumberFormat="1" applyBorder="1" applyAlignment="1">
      <alignment horizontal="center" vertical="center"/>
    </xf>
    <xf numFmtId="0" fontId="18" fillId="0" borderId="0" xfId="171" applyBorder="1" applyAlignment="1">
      <alignment vertical="center" wrapText="1"/>
    </xf>
    <xf numFmtId="4" fontId="18" fillId="0" borderId="0" xfId="171" applyNumberFormat="1" applyBorder="1" applyAlignment="1">
      <alignment horizontal="center" vertical="center"/>
    </xf>
    <xf numFmtId="0" fontId="36" fillId="12" borderId="1" xfId="171" applyFont="1" applyFill="1" applyBorder="1" applyAlignment="1">
      <alignment horizontal="center" vertical="center"/>
    </xf>
    <xf numFmtId="0" fontId="85" fillId="0" borderId="0" xfId="171" applyFont="1" applyBorder="1" applyAlignment="1">
      <alignment horizontal="center" vertical="center"/>
    </xf>
    <xf numFmtId="0" fontId="85" fillId="0" borderId="0" xfId="171" applyFont="1" applyBorder="1" applyAlignment="1">
      <alignment vertical="center" wrapText="1"/>
    </xf>
    <xf numFmtId="4" fontId="85" fillId="0" borderId="0" xfId="171" applyNumberFormat="1" applyFont="1" applyBorder="1" applyAlignment="1">
      <alignment horizontal="center" vertical="center"/>
    </xf>
    <xf numFmtId="0" fontId="41" fillId="12" borderId="1" xfId="171" applyFont="1" applyFill="1" applyBorder="1" applyAlignment="1">
      <alignment horizontal="center" vertical="center"/>
    </xf>
    <xf numFmtId="0" fontId="41" fillId="12" borderId="1" xfId="171" applyFont="1" applyFill="1" applyBorder="1" applyAlignment="1">
      <alignment horizontal="center" vertical="center" wrapText="1"/>
    </xf>
    <xf numFmtId="4" fontId="41" fillId="12" borderId="1" xfId="171" applyNumberFormat="1" applyFont="1" applyFill="1" applyBorder="1" applyAlignment="1">
      <alignment horizontal="center" vertical="center"/>
    </xf>
    <xf numFmtId="0" fontId="87" fillId="0" borderId="1" xfId="171" applyFont="1" applyBorder="1" applyAlignment="1">
      <alignment horizontal="center" vertical="center"/>
    </xf>
    <xf numFmtId="0" fontId="87" fillId="0" borderId="1" xfId="171" applyFont="1" applyBorder="1" applyAlignment="1">
      <alignment vertical="center" wrapText="1"/>
    </xf>
    <xf numFmtId="4" fontId="87" fillId="0" borderId="1" xfId="171" applyNumberFormat="1" applyFont="1" applyBorder="1" applyAlignment="1">
      <alignment horizontal="center" vertical="center"/>
    </xf>
    <xf numFmtId="0" fontId="87" fillId="0" borderId="0" xfId="171" applyFont="1" applyBorder="1" applyAlignment="1">
      <alignment horizontal="center" vertical="center"/>
    </xf>
    <xf numFmtId="0" fontId="87" fillId="0" borderId="0" xfId="171" applyFont="1" applyBorder="1" applyAlignment="1">
      <alignment vertical="center" wrapText="1"/>
    </xf>
    <xf numFmtId="4" fontId="87" fillId="0" borderId="0" xfId="171" applyNumberFormat="1" applyFont="1" applyBorder="1" applyAlignment="1">
      <alignment horizontal="center" vertical="center"/>
    </xf>
    <xf numFmtId="0" fontId="79" fillId="11" borderId="0" xfId="171" applyFont="1" applyFill="1"/>
    <xf numFmtId="0" fontId="2" fillId="0" borderId="0" xfId="304" applyAlignment="1">
      <alignment horizontal="left" vertical="top" wrapText="1"/>
    </xf>
    <xf numFmtId="0" fontId="88" fillId="11" borderId="51" xfId="171" applyFont="1" applyFill="1" applyBorder="1" applyAlignment="1">
      <alignment vertical="center"/>
    </xf>
    <xf numFmtId="0" fontId="88" fillId="11" borderId="30" xfId="171" applyFont="1" applyFill="1" applyBorder="1" applyAlignment="1">
      <alignment vertical="center"/>
    </xf>
    <xf numFmtId="0" fontId="89" fillId="4" borderId="30" xfId="304" applyFont="1" applyFill="1" applyBorder="1" applyAlignment="1">
      <alignment vertical="center"/>
    </xf>
    <xf numFmtId="0" fontId="89" fillId="4" borderId="31" xfId="304" applyFont="1" applyFill="1" applyBorder="1" applyAlignment="1">
      <alignment vertical="center"/>
    </xf>
    <xf numFmtId="0" fontId="2" fillId="0" borderId="0" xfId="304" applyAlignment="1">
      <alignment horizontal="center" vertical="center"/>
    </xf>
    <xf numFmtId="0" fontId="88" fillId="11" borderId="32" xfId="171" applyFont="1" applyFill="1" applyBorder="1" applyAlignment="1">
      <alignment vertical="center"/>
    </xf>
    <xf numFmtId="0" fontId="88" fillId="11" borderId="0" xfId="171" applyFont="1" applyFill="1" applyAlignment="1">
      <alignment vertical="center"/>
    </xf>
    <xf numFmtId="0" fontId="89" fillId="4" borderId="0" xfId="304" applyFont="1" applyFill="1" applyAlignment="1">
      <alignment horizontal="left" vertical="center"/>
    </xf>
    <xf numFmtId="0" fontId="89" fillId="4" borderId="17" xfId="304" applyFont="1" applyFill="1" applyBorder="1" applyAlignment="1">
      <alignment horizontal="left" vertical="center"/>
    </xf>
    <xf numFmtId="0" fontId="74" fillId="3" borderId="54" xfId="304" applyFont="1" applyFill="1" applyBorder="1" applyAlignment="1">
      <alignment horizontal="center" vertical="center" wrapText="1"/>
    </xf>
    <xf numFmtId="44" fontId="74" fillId="3" borderId="54" xfId="305" applyFont="1" applyFill="1" applyBorder="1" applyAlignment="1">
      <alignment horizontal="center" vertical="center" wrapText="1"/>
    </xf>
    <xf numFmtId="0" fontId="73" fillId="10" borderId="0" xfId="304" applyFont="1" applyFill="1" applyAlignment="1">
      <alignment horizontal="center" vertical="center" wrapText="1"/>
    </xf>
    <xf numFmtId="0" fontId="74" fillId="10" borderId="0" xfId="304" applyFont="1" applyFill="1" applyAlignment="1">
      <alignment horizontal="center" vertical="center" wrapText="1"/>
    </xf>
    <xf numFmtId="44" fontId="74" fillId="10" borderId="0" xfId="305" applyFont="1" applyFill="1" applyAlignment="1">
      <alignment horizontal="center" vertical="center" wrapText="1"/>
    </xf>
    <xf numFmtId="0" fontId="73" fillId="0" borderId="39" xfId="304" applyFont="1" applyBorder="1" applyAlignment="1">
      <alignment horizontal="center" vertical="center" wrapText="1"/>
    </xf>
    <xf numFmtId="0" fontId="73" fillId="0" borderId="39" xfId="304" applyFont="1" applyBorder="1" applyAlignment="1">
      <alignment horizontal="left" vertical="center" wrapText="1"/>
    </xf>
    <xf numFmtId="44" fontId="73" fillId="0" borderId="39" xfId="305" applyFont="1" applyBorder="1" applyAlignment="1">
      <alignment horizontal="left" vertical="center" wrapText="1"/>
    </xf>
    <xf numFmtId="0" fontId="73" fillId="0" borderId="39" xfId="305" applyNumberFormat="1" applyFont="1" applyBorder="1" applyAlignment="1">
      <alignment horizontal="center" vertical="center" wrapText="1"/>
    </xf>
    <xf numFmtId="0" fontId="74" fillId="4" borderId="0" xfId="304" applyFont="1" applyFill="1" applyAlignment="1">
      <alignment horizontal="right" vertical="center" wrapText="1"/>
    </xf>
    <xf numFmtId="0" fontId="73" fillId="0" borderId="0" xfId="304" applyFont="1" applyAlignment="1">
      <alignment horizontal="left" vertical="center" wrapText="1"/>
    </xf>
    <xf numFmtId="0" fontId="73" fillId="0" borderId="0" xfId="304" applyFont="1" applyAlignment="1">
      <alignment horizontal="center" vertical="center" wrapText="1"/>
    </xf>
    <xf numFmtId="44" fontId="73" fillId="0" borderId="0" xfId="305" applyFont="1" applyAlignment="1">
      <alignment horizontal="center" vertical="center" wrapText="1"/>
    </xf>
    <xf numFmtId="0" fontId="73" fillId="0" borderId="0" xfId="305" applyNumberFormat="1" applyFont="1" applyAlignment="1">
      <alignment horizontal="center" vertical="center" wrapText="1"/>
    </xf>
    <xf numFmtId="0" fontId="74" fillId="0" borderId="0" xfId="304" applyFont="1" applyAlignment="1">
      <alignment horizontal="center" wrapText="1"/>
    </xf>
    <xf numFmtId="44" fontId="74" fillId="0" borderId="0" xfId="305" applyFont="1" applyAlignment="1">
      <alignment wrapText="1"/>
    </xf>
    <xf numFmtId="0" fontId="72" fillId="0" borderId="0" xfId="304" applyFont="1"/>
    <xf numFmtId="0" fontId="40" fillId="4" borderId="0" xfId="304" applyFont="1" applyFill="1" applyAlignment="1">
      <alignment vertical="center" wrapText="1"/>
    </xf>
    <xf numFmtId="0" fontId="2" fillId="0" borderId="0" xfId="304"/>
    <xf numFmtId="0" fontId="41" fillId="4" borderId="0" xfId="304" applyFont="1" applyFill="1" applyAlignment="1">
      <alignment wrapText="1"/>
    </xf>
    <xf numFmtId="10" fontId="2" fillId="0" borderId="0" xfId="304" applyNumberFormat="1"/>
    <xf numFmtId="0" fontId="73" fillId="0" borderId="0" xfId="304" applyFont="1" applyAlignment="1">
      <alignment wrapText="1"/>
    </xf>
    <xf numFmtId="44" fontId="73" fillId="0" borderId="0" xfId="305" applyFont="1" applyAlignment="1">
      <alignment wrapText="1"/>
    </xf>
    <xf numFmtId="0" fontId="73" fillId="0" borderId="39" xfId="305" applyNumberFormat="1" applyFont="1" applyBorder="1" applyAlignment="1">
      <alignment horizontal="left" vertical="center" wrapText="1"/>
    </xf>
    <xf numFmtId="0" fontId="32" fillId="0" borderId="0" xfId="300" applyFont="1" applyAlignment="1">
      <alignment horizontal="center" vertical="center" wrapText="1"/>
    </xf>
    <xf numFmtId="10" fontId="32" fillId="0" borderId="0" xfId="300" applyNumberFormat="1" applyFont="1" applyAlignment="1">
      <alignment horizontal="center" vertical="center" wrapText="1"/>
    </xf>
    <xf numFmtId="0" fontId="32" fillId="4" borderId="0" xfId="300" applyFont="1" applyFill="1" applyAlignment="1">
      <alignment horizontal="center" vertical="center"/>
    </xf>
    <xf numFmtId="10" fontId="32" fillId="0" borderId="17" xfId="300" applyNumberFormat="1" applyFont="1" applyBorder="1" applyAlignment="1">
      <alignment horizontal="center" vertical="center" wrapText="1"/>
    </xf>
    <xf numFmtId="10" fontId="32" fillId="0" borderId="39" xfId="300" applyNumberFormat="1" applyFont="1" applyBorder="1" applyAlignment="1">
      <alignment horizontal="center" vertical="center" wrapText="1"/>
    </xf>
    <xf numFmtId="0" fontId="88" fillId="11" borderId="11" xfId="171" applyFont="1" applyFill="1" applyBorder="1" applyAlignment="1">
      <alignment vertical="center"/>
    </xf>
    <xf numFmtId="0" fontId="89" fillId="4" borderId="12" xfId="306" applyFont="1" applyFill="1" applyBorder="1" applyAlignment="1">
      <alignment vertical="center"/>
    </xf>
    <xf numFmtId="0" fontId="18" fillId="0" borderId="48" xfId="171" applyBorder="1"/>
    <xf numFmtId="0" fontId="88" fillId="11" borderId="13" xfId="171" applyFont="1" applyFill="1" applyBorder="1" applyAlignment="1">
      <alignment vertical="center"/>
    </xf>
    <xf numFmtId="0" fontId="18" fillId="0" borderId="49" xfId="171" applyBorder="1"/>
    <xf numFmtId="0" fontId="74" fillId="3" borderId="54" xfId="306" applyFont="1" applyFill="1" applyBorder="1" applyAlignment="1">
      <alignment horizontal="center" vertical="center" wrapText="1"/>
    </xf>
    <xf numFmtId="44" fontId="74" fillId="3" borderId="54" xfId="307" applyFont="1" applyFill="1" applyBorder="1" applyAlignment="1">
      <alignment horizontal="center" vertical="center" wrapText="1"/>
    </xf>
    <xf numFmtId="10" fontId="1" fillId="0" borderId="0" xfId="306" applyNumberFormat="1" applyAlignment="1">
      <alignment horizontal="left" vertical="top" wrapText="1"/>
    </xf>
    <xf numFmtId="0" fontId="1" fillId="0" borderId="0" xfId="306" applyAlignment="1">
      <alignment horizontal="left" vertical="top" wrapText="1"/>
    </xf>
    <xf numFmtId="0" fontId="74" fillId="3" borderId="0" xfId="306" applyFont="1" applyFill="1" applyAlignment="1">
      <alignment horizontal="center" vertical="center" wrapText="1"/>
    </xf>
    <xf numFmtId="44" fontId="74" fillId="3" borderId="0" xfId="307" applyFont="1" applyFill="1" applyAlignment="1">
      <alignment horizontal="center" vertical="center" wrapText="1"/>
    </xf>
    <xf numFmtId="0" fontId="73" fillId="0" borderId="55" xfId="306" applyFont="1" applyBorder="1" applyAlignment="1">
      <alignment horizontal="center" vertical="center" wrapText="1"/>
    </xf>
    <xf numFmtId="44" fontId="73" fillId="0" borderId="39" xfId="307" applyFont="1" applyBorder="1" applyAlignment="1">
      <alignment horizontal="center" vertical="center" wrapText="1"/>
    </xf>
    <xf numFmtId="44" fontId="73" fillId="4" borderId="39" xfId="306" applyNumberFormat="1" applyFont="1" applyFill="1" applyBorder="1" applyAlignment="1">
      <alignment horizontal="center" vertical="center"/>
    </xf>
    <xf numFmtId="9" fontId="73" fillId="4" borderId="39" xfId="306" applyNumberFormat="1" applyFont="1" applyFill="1" applyBorder="1" applyAlignment="1">
      <alignment horizontal="center" vertical="center"/>
    </xf>
    <xf numFmtId="10" fontId="1" fillId="0" borderId="0" xfId="306" applyNumberFormat="1" applyAlignment="1">
      <alignment horizontal="center" vertical="center"/>
    </xf>
    <xf numFmtId="0" fontId="1" fillId="0" borderId="0" xfId="306" applyAlignment="1">
      <alignment horizontal="center" vertical="center"/>
    </xf>
    <xf numFmtId="44" fontId="74" fillId="0" borderId="56" xfId="307" applyFont="1" applyBorder="1" applyAlignment="1">
      <alignment horizontal="center" vertical="center" wrapText="1"/>
    </xf>
    <xf numFmtId="0" fontId="72" fillId="0" borderId="0" xfId="306" applyFont="1"/>
    <xf numFmtId="0" fontId="74" fillId="0" borderId="0" xfId="306" applyFont="1" applyAlignment="1">
      <alignment horizontal="center" wrapText="1"/>
    </xf>
    <xf numFmtId="44" fontId="74" fillId="0" borderId="0" xfId="307" applyFont="1" applyAlignment="1">
      <alignment wrapText="1"/>
    </xf>
    <xf numFmtId="10" fontId="72" fillId="0" borderId="0" xfId="306" applyNumberFormat="1" applyFont="1"/>
    <xf numFmtId="0" fontId="73" fillId="0" borderId="0" xfId="306" applyFont="1" applyAlignment="1">
      <alignment wrapText="1"/>
    </xf>
    <xf numFmtId="10" fontId="1" fillId="0" borderId="0" xfId="306" applyNumberFormat="1"/>
    <xf numFmtId="0" fontId="1" fillId="0" borderId="0" xfId="306"/>
    <xf numFmtId="0" fontId="74" fillId="4" borderId="0" xfId="306" applyFont="1" applyFill="1" applyAlignment="1">
      <alignment horizontal="right" vertical="center" wrapText="1"/>
    </xf>
    <xf numFmtId="44" fontId="73" fillId="0" borderId="0" xfId="307" applyFont="1" applyAlignment="1">
      <alignment wrapText="1"/>
    </xf>
    <xf numFmtId="0" fontId="73" fillId="0" borderId="0" xfId="306" applyFont="1"/>
    <xf numFmtId="0" fontId="81" fillId="4" borderId="0" xfId="303" applyFont="1" applyFill="1" applyAlignment="1">
      <alignment vertical="center"/>
    </xf>
    <xf numFmtId="44" fontId="73" fillId="0" borderId="39" xfId="306" applyNumberFormat="1" applyFont="1" applyFill="1" applyBorder="1" applyAlignment="1">
      <alignment horizontal="center" vertical="center"/>
    </xf>
    <xf numFmtId="0" fontId="32" fillId="0" borderId="39" xfId="300" applyFont="1" applyFill="1" applyBorder="1" applyAlignment="1">
      <alignment horizontal="left" vertical="center" wrapText="1"/>
    </xf>
    <xf numFmtId="0" fontId="78" fillId="0" borderId="0" xfId="300" applyFont="1" applyFill="1" applyAlignment="1">
      <alignment vertical="center"/>
    </xf>
    <xf numFmtId="0" fontId="72" fillId="0" borderId="0" xfId="300" applyFont="1" applyFill="1" applyAlignment="1">
      <alignment vertical="center"/>
    </xf>
    <xf numFmtId="0" fontId="32" fillId="0" borderId="45" xfId="300" applyFont="1" applyBorder="1" applyAlignment="1">
      <alignment horizontal="center" vertical="center" wrapText="1"/>
    </xf>
    <xf numFmtId="2" fontId="32" fillId="0" borderId="45" xfId="300" applyNumberFormat="1" applyFont="1" applyBorder="1" applyAlignment="1">
      <alignment horizontal="center" vertical="center" wrapText="1"/>
    </xf>
    <xf numFmtId="44" fontId="32" fillId="0" borderId="45" xfId="301" applyFont="1" applyBorder="1" applyAlignment="1">
      <alignment horizontal="center" vertical="center" wrapText="1"/>
    </xf>
    <xf numFmtId="44" fontId="32" fillId="0" borderId="47" xfId="301" applyFont="1" applyBorder="1" applyAlignment="1">
      <alignment horizontal="center" vertical="center" wrapText="1"/>
    </xf>
    <xf numFmtId="14" fontId="32" fillId="0" borderId="45" xfId="300" applyNumberFormat="1" applyFont="1" applyBorder="1" applyAlignment="1">
      <alignment horizontal="center" vertical="center" wrapText="1"/>
    </xf>
    <xf numFmtId="0" fontId="73" fillId="0" borderId="0" xfId="0" applyFont="1" applyAlignment="1">
      <alignment wrapText="1"/>
    </xf>
    <xf numFmtId="0" fontId="32" fillId="4" borderId="0" xfId="10" applyFont="1" applyFill="1" applyAlignment="1">
      <alignment horizontal="center"/>
    </xf>
    <xf numFmtId="0" fontId="73" fillId="0" borderId="0" xfId="0" applyFont="1" applyFill="1" applyAlignment="1">
      <alignment wrapText="1"/>
    </xf>
    <xf numFmtId="2" fontId="32" fillId="0" borderId="40" xfId="300" applyNumberFormat="1" applyFont="1" applyFill="1" applyBorder="1" applyAlignment="1">
      <alignment horizontal="center" vertical="center" wrapText="1"/>
    </xf>
    <xf numFmtId="0" fontId="32" fillId="4" borderId="1" xfId="10" applyFont="1" applyFill="1" applyBorder="1" applyAlignment="1">
      <alignment horizontal="center"/>
    </xf>
    <xf numFmtId="0" fontId="32" fillId="4" borderId="0" xfId="10" applyFont="1" applyFill="1" applyAlignment="1">
      <alignment horizontal="center"/>
    </xf>
    <xf numFmtId="10" fontId="32" fillId="0" borderId="39" xfId="302" applyNumberFormat="1" applyFont="1" applyFill="1" applyBorder="1" applyAlignment="1">
      <alignment horizontal="center" vertical="center" wrapText="1"/>
    </xf>
    <xf numFmtId="10" fontId="32" fillId="0" borderId="39" xfId="300" applyNumberFormat="1" applyFont="1" applyFill="1" applyBorder="1" applyAlignment="1">
      <alignment horizontal="center" vertical="center" wrapText="1"/>
    </xf>
    <xf numFmtId="0" fontId="32" fillId="0" borderId="39" xfId="300" applyFont="1" applyFill="1" applyBorder="1" applyAlignment="1">
      <alignment horizontal="center" vertical="center" wrapText="1"/>
    </xf>
    <xf numFmtId="44" fontId="32" fillId="0" borderId="41" xfId="301" applyFont="1" applyFill="1" applyBorder="1" applyAlignment="1">
      <alignment horizontal="center" vertical="center" wrapText="1"/>
    </xf>
    <xf numFmtId="44" fontId="32" fillId="0" borderId="39" xfId="301" applyFont="1" applyFill="1" applyBorder="1" applyAlignment="1">
      <alignment horizontal="center" vertical="center" wrapText="1"/>
    </xf>
    <xf numFmtId="44" fontId="32" fillId="0" borderId="42" xfId="301" applyFont="1" applyFill="1" applyBorder="1" applyAlignment="1">
      <alignment horizontal="center" vertical="center" wrapText="1"/>
    </xf>
    <xf numFmtId="44" fontId="32" fillId="0" borderId="43" xfId="301" applyFont="1" applyFill="1" applyBorder="1" applyAlignment="1">
      <alignment horizontal="center" vertical="center" wrapText="1"/>
    </xf>
    <xf numFmtId="44" fontId="32" fillId="0" borderId="44" xfId="301" applyFont="1" applyFill="1" applyBorder="1" applyAlignment="1">
      <alignment horizontal="center" vertical="center" wrapText="1"/>
    </xf>
    <xf numFmtId="14" fontId="32" fillId="0" borderId="39" xfId="300" applyNumberFormat="1" applyFont="1" applyFill="1" applyBorder="1" applyAlignment="1">
      <alignment horizontal="center" vertical="center" wrapText="1"/>
    </xf>
    <xf numFmtId="0" fontId="15" fillId="0" borderId="3" xfId="10" applyFont="1" applyBorder="1" applyAlignment="1">
      <alignment horizontal="right" vertical="center" wrapText="1"/>
    </xf>
    <xf numFmtId="0" fontId="15" fillId="0" borderId="8" xfId="10" applyFont="1" applyBorder="1" applyAlignment="1">
      <alignment horizontal="right" vertical="center" wrapText="1"/>
    </xf>
    <xf numFmtId="0" fontId="40" fillId="0" borderId="0" xfId="0" applyFont="1" applyAlignment="1">
      <alignment horizontal="center"/>
    </xf>
    <xf numFmtId="4" fontId="15" fillId="0" borderId="5" xfId="14" applyNumberFormat="1" applyFont="1" applyFill="1" applyBorder="1" applyAlignment="1">
      <alignment horizontal="center" vertical="center"/>
    </xf>
    <xf numFmtId="165" fontId="15" fillId="0" borderId="3" xfId="14" applyFont="1" applyFill="1" applyBorder="1" applyAlignment="1">
      <alignment horizontal="center" vertical="center"/>
    </xf>
    <xf numFmtId="165" fontId="15" fillId="0" borderId="8" xfId="14" applyFont="1" applyFill="1" applyBorder="1" applyAlignment="1">
      <alignment horizontal="center" vertical="center"/>
    </xf>
    <xf numFmtId="165" fontId="15" fillId="0" borderId="4" xfId="14" applyFont="1" applyFill="1" applyBorder="1" applyAlignment="1">
      <alignment horizontal="center" vertical="center"/>
    </xf>
    <xf numFmtId="0" fontId="41" fillId="0" borderId="0" xfId="0" applyFont="1" applyAlignment="1">
      <alignment horizontal="right" vertical="center"/>
    </xf>
    <xf numFmtId="0" fontId="41" fillId="0" borderId="6" xfId="0" applyFont="1" applyBorder="1" applyAlignment="1">
      <alignment horizontal="right" vertical="center"/>
    </xf>
    <xf numFmtId="0" fontId="15" fillId="4" borderId="3" xfId="10" applyFont="1" applyFill="1" applyBorder="1" applyAlignment="1">
      <alignment horizontal="right" vertical="center" wrapText="1"/>
    </xf>
    <xf numFmtId="0" fontId="15" fillId="4" borderId="8" xfId="10" applyFont="1" applyFill="1" applyBorder="1" applyAlignment="1">
      <alignment horizontal="right" vertical="center" wrapText="1"/>
    </xf>
    <xf numFmtId="0" fontId="32" fillId="4" borderId="0" xfId="300" applyFont="1" applyFill="1" applyAlignment="1">
      <alignment horizontal="right" wrapText="1"/>
    </xf>
    <xf numFmtId="0" fontId="75" fillId="4" borderId="0" xfId="300" applyFont="1" applyFill="1" applyAlignment="1">
      <alignment horizontal="right" vertical="center" wrapText="1"/>
    </xf>
    <xf numFmtId="0" fontId="74" fillId="3" borderId="35" xfId="300" applyFont="1" applyFill="1" applyBorder="1" applyAlignment="1">
      <alignment horizontal="center" vertical="center" wrapText="1"/>
    </xf>
    <xf numFmtId="0" fontId="74" fillId="3" borderId="38" xfId="300" applyFont="1" applyFill="1" applyBorder="1" applyAlignment="1">
      <alignment horizontal="center" vertical="center" wrapText="1"/>
    </xf>
    <xf numFmtId="0" fontId="74" fillId="3" borderId="0" xfId="300" applyFont="1" applyFill="1" applyAlignment="1">
      <alignment horizontal="center" vertical="center"/>
    </xf>
    <xf numFmtId="0" fontId="32" fillId="4" borderId="0" xfId="10" applyFont="1" applyFill="1" applyAlignment="1">
      <alignment horizontal="center"/>
    </xf>
    <xf numFmtId="44" fontId="14" fillId="4" borderId="1" xfId="10" applyNumberFormat="1" applyFont="1" applyFill="1" applyBorder="1" applyAlignment="1">
      <alignment horizontal="center"/>
    </xf>
    <xf numFmtId="44" fontId="14" fillId="4" borderId="3" xfId="10" applyNumberFormat="1" applyFont="1" applyFill="1" applyBorder="1" applyAlignment="1">
      <alignment horizontal="center"/>
    </xf>
    <xf numFmtId="44" fontId="14" fillId="4" borderId="4" xfId="10" applyNumberFormat="1" applyFont="1" applyFill="1" applyBorder="1" applyAlignment="1">
      <alignment horizontal="center"/>
    </xf>
    <xf numFmtId="0" fontId="76" fillId="11" borderId="32" xfId="171" applyFont="1" applyFill="1" applyBorder="1" applyAlignment="1">
      <alignment horizontal="center" vertical="center" wrapText="1"/>
    </xf>
    <xf numFmtId="0" fontId="76" fillId="11" borderId="0" xfId="171" applyFont="1" applyFill="1" applyAlignment="1">
      <alignment horizontal="center" vertical="center" wrapText="1"/>
    </xf>
    <xf numFmtId="0" fontId="76" fillId="11" borderId="17" xfId="171" applyFont="1" applyFill="1" applyBorder="1" applyAlignment="1">
      <alignment horizontal="center" vertical="center" wrapText="1"/>
    </xf>
    <xf numFmtId="0" fontId="74" fillId="3" borderId="0" xfId="300" applyFont="1" applyFill="1" applyAlignment="1">
      <alignment horizontal="center" vertical="center" wrapText="1"/>
    </xf>
    <xf numFmtId="0" fontId="74" fillId="3" borderId="7" xfId="300" applyFont="1" applyFill="1" applyBorder="1" applyAlignment="1">
      <alignment horizontal="center" vertical="center" wrapText="1"/>
    </xf>
    <xf numFmtId="0" fontId="74" fillId="3" borderId="33" xfId="300" applyFont="1" applyFill="1" applyBorder="1" applyAlignment="1">
      <alignment horizontal="center" vertical="center" wrapText="1"/>
    </xf>
    <xf numFmtId="0" fontId="74" fillId="3" borderId="36" xfId="300" applyFont="1" applyFill="1" applyBorder="1" applyAlignment="1">
      <alignment horizontal="center" vertical="center" wrapText="1"/>
    </xf>
    <xf numFmtId="0" fontId="74" fillId="3" borderId="34" xfId="300" applyFont="1" applyFill="1" applyBorder="1" applyAlignment="1">
      <alignment horizontal="center" vertical="center" wrapText="1"/>
    </xf>
    <xf numFmtId="44" fontId="74" fillId="3" borderId="34" xfId="301" applyFont="1" applyFill="1" applyBorder="1" applyAlignment="1">
      <alignment horizontal="center" vertical="center" wrapText="1"/>
    </xf>
    <xf numFmtId="44" fontId="74" fillId="3" borderId="0" xfId="301" applyFont="1" applyFill="1" applyAlignment="1">
      <alignment horizontal="center" vertical="center" wrapText="1"/>
    </xf>
    <xf numFmtId="44" fontId="74" fillId="3" borderId="33" xfId="301" applyFont="1" applyFill="1" applyBorder="1" applyAlignment="1">
      <alignment horizontal="center" vertical="center" wrapText="1"/>
    </xf>
    <xf numFmtId="10" fontId="32" fillId="4" borderId="0" xfId="300" applyNumberFormat="1" applyFont="1" applyFill="1" applyAlignment="1">
      <alignment horizontal="left" vertical="center"/>
    </xf>
    <xf numFmtId="0" fontId="74" fillId="4" borderId="0" xfId="300" applyFont="1" applyFill="1" applyAlignment="1">
      <alignment horizontal="left" vertical="center"/>
    </xf>
    <xf numFmtId="0" fontId="74" fillId="0" borderId="30" xfId="300" applyFont="1" applyBorder="1" applyAlignment="1">
      <alignment horizontal="center" vertical="center" wrapText="1"/>
    </xf>
    <xf numFmtId="0" fontId="32" fillId="4" borderId="0" xfId="300" applyFont="1" applyFill="1" applyAlignment="1">
      <alignment horizontal="left" vertical="center"/>
    </xf>
    <xf numFmtId="0" fontId="81" fillId="4" borderId="0" xfId="303" applyFont="1" applyFill="1" applyAlignment="1">
      <alignment horizontal="left" vertical="center"/>
    </xf>
    <xf numFmtId="0" fontId="82" fillId="11" borderId="0" xfId="171" applyFont="1" applyFill="1" applyAlignment="1">
      <alignment horizontal="center" vertical="center" wrapText="1"/>
    </xf>
    <xf numFmtId="0" fontId="82" fillId="11" borderId="15" xfId="171" applyFont="1" applyFill="1" applyBorder="1" applyAlignment="1">
      <alignment horizontal="center" vertical="center" wrapText="1"/>
    </xf>
    <xf numFmtId="4" fontId="86" fillId="12" borderId="3" xfId="171" applyNumberFormat="1" applyFont="1" applyFill="1" applyBorder="1" applyAlignment="1">
      <alignment horizontal="center" vertical="center"/>
    </xf>
    <xf numFmtId="4" fontId="86" fillId="12" borderId="4" xfId="171" applyNumberFormat="1" applyFont="1" applyFill="1" applyBorder="1" applyAlignment="1">
      <alignment horizontal="center" vertical="center"/>
    </xf>
    <xf numFmtId="4" fontId="86" fillId="12" borderId="5" xfId="171" applyNumberFormat="1" applyFont="1" applyFill="1" applyBorder="1" applyAlignment="1">
      <alignment horizontal="center" vertical="center"/>
    </xf>
    <xf numFmtId="4" fontId="86" fillId="12" borderId="9" xfId="171" applyNumberFormat="1" applyFont="1" applyFill="1" applyBorder="1" applyAlignment="1">
      <alignment horizontal="center" vertical="center"/>
    </xf>
    <xf numFmtId="0" fontId="86" fillId="12" borderId="5" xfId="171" applyFont="1" applyFill="1" applyBorder="1" applyAlignment="1">
      <alignment horizontal="center" vertical="center"/>
    </xf>
    <xf numFmtId="0" fontId="86" fillId="12" borderId="9" xfId="171" applyFont="1" applyFill="1" applyBorder="1" applyAlignment="1">
      <alignment horizontal="center" vertical="center"/>
    </xf>
    <xf numFmtId="0" fontId="86" fillId="12" borderId="51" xfId="171" applyFont="1" applyFill="1" applyBorder="1" applyAlignment="1">
      <alignment horizontal="left" vertical="center" wrapText="1"/>
    </xf>
    <xf numFmtId="0" fontId="86" fillId="12" borderId="10" xfId="171" applyFont="1" applyFill="1" applyBorder="1" applyAlignment="1">
      <alignment horizontal="left" vertical="center" wrapText="1"/>
    </xf>
    <xf numFmtId="0" fontId="86" fillId="12" borderId="52" xfId="171" applyFont="1" applyFill="1" applyBorder="1" applyAlignment="1">
      <alignment horizontal="left" vertical="center" wrapText="1"/>
    </xf>
    <xf numFmtId="0" fontId="86" fillId="12" borderId="53" xfId="171" applyFont="1" applyFill="1" applyBorder="1" applyAlignment="1">
      <alignment horizontal="left" vertical="center" wrapText="1"/>
    </xf>
    <xf numFmtId="0" fontId="83" fillId="12" borderId="5" xfId="171" applyFont="1" applyFill="1" applyBorder="1" applyAlignment="1">
      <alignment horizontal="center" vertical="center"/>
    </xf>
    <xf numFmtId="0" fontId="83" fillId="12" borderId="9" xfId="171" applyFont="1" applyFill="1" applyBorder="1" applyAlignment="1">
      <alignment horizontal="center" vertical="center"/>
    </xf>
    <xf numFmtId="0" fontId="83" fillId="12" borderId="51" xfId="171" applyFont="1" applyFill="1" applyBorder="1" applyAlignment="1">
      <alignment horizontal="left" vertical="center" wrapText="1"/>
    </xf>
    <xf numFmtId="0" fontId="83" fillId="12" borderId="10" xfId="171" applyFont="1" applyFill="1" applyBorder="1" applyAlignment="1">
      <alignment horizontal="left" vertical="center" wrapText="1"/>
    </xf>
    <xf numFmtId="0" fontId="83" fillId="12" borderId="52" xfId="171" applyFont="1" applyFill="1" applyBorder="1" applyAlignment="1">
      <alignment horizontal="left" vertical="center" wrapText="1"/>
    </xf>
    <xf numFmtId="0" fontId="83" fillId="12" borderId="53" xfId="171" applyFont="1" applyFill="1" applyBorder="1" applyAlignment="1">
      <alignment horizontal="left" vertical="center" wrapText="1"/>
    </xf>
    <xf numFmtId="4" fontId="83" fillId="12" borderId="3" xfId="171" applyNumberFormat="1" applyFont="1" applyFill="1" applyBorder="1" applyAlignment="1">
      <alignment horizontal="center" vertical="center"/>
    </xf>
    <xf numFmtId="4" fontId="83" fillId="12" borderId="4" xfId="171" applyNumberFormat="1" applyFont="1" applyFill="1" applyBorder="1" applyAlignment="1">
      <alignment horizontal="center" vertical="center"/>
    </xf>
    <xf numFmtId="4" fontId="83" fillId="12" borderId="5" xfId="171" applyNumberFormat="1" applyFont="1" applyFill="1" applyBorder="1" applyAlignment="1">
      <alignment horizontal="center" vertical="center"/>
    </xf>
    <xf numFmtId="4" fontId="83" fillId="12" borderId="9" xfId="171" applyNumberFormat="1" applyFont="1" applyFill="1" applyBorder="1" applyAlignment="1">
      <alignment horizontal="center" vertical="center"/>
    </xf>
    <xf numFmtId="0" fontId="40" fillId="4" borderId="0" xfId="303" applyFont="1" applyFill="1" applyAlignment="1">
      <alignment horizontal="right" vertical="center" wrapText="1"/>
    </xf>
    <xf numFmtId="0" fontId="41" fillId="4" borderId="0" xfId="303" applyFont="1" applyFill="1" applyAlignment="1">
      <alignment horizontal="right" wrapText="1"/>
    </xf>
    <xf numFmtId="0" fontId="32" fillId="4" borderId="0" xfId="10" applyFont="1" applyFill="1" applyAlignment="1">
      <alignment horizontal="right"/>
    </xf>
    <xf numFmtId="0" fontId="89" fillId="4" borderId="0" xfId="306" applyFont="1" applyFill="1" applyAlignment="1">
      <alignment horizontal="left" vertical="center"/>
    </xf>
    <xf numFmtId="0" fontId="76" fillId="11" borderId="13" xfId="171" applyFont="1" applyFill="1" applyBorder="1" applyAlignment="1">
      <alignment horizontal="center" vertical="center" wrapText="1"/>
    </xf>
    <xf numFmtId="0" fontId="76" fillId="11" borderId="49" xfId="171" applyFont="1" applyFill="1" applyBorder="1" applyAlignment="1">
      <alignment horizontal="center" vertical="center" wrapText="1"/>
    </xf>
    <xf numFmtId="0" fontId="76" fillId="11" borderId="14" xfId="171" applyFont="1" applyFill="1" applyBorder="1" applyAlignment="1">
      <alignment horizontal="center" vertical="center" wrapText="1"/>
    </xf>
    <xf numFmtId="0" fontId="76" fillId="11" borderId="15" xfId="171" applyFont="1" applyFill="1" applyBorder="1" applyAlignment="1">
      <alignment horizontal="center" vertical="center" wrapText="1"/>
    </xf>
    <xf numFmtId="0" fontId="76" fillId="11" borderId="50" xfId="171" applyFont="1" applyFill="1" applyBorder="1" applyAlignment="1">
      <alignment horizontal="center" vertical="center" wrapText="1"/>
    </xf>
    <xf numFmtId="44" fontId="74" fillId="3" borderId="54" xfId="307" applyFont="1" applyFill="1" applyBorder="1" applyAlignment="1">
      <alignment horizontal="center" vertical="center" wrapText="1"/>
    </xf>
    <xf numFmtId="0" fontId="74" fillId="0" borderId="56" xfId="306" applyFont="1" applyBorder="1" applyAlignment="1">
      <alignment horizontal="center" vertical="center" wrapText="1"/>
    </xf>
    <xf numFmtId="0" fontId="74" fillId="4" borderId="0" xfId="306" applyFont="1" applyFill="1" applyAlignment="1">
      <alignment horizontal="right" vertical="center" wrapText="1"/>
    </xf>
    <xf numFmtId="0" fontId="73" fillId="4" borderId="0" xfId="306" applyFont="1" applyFill="1" applyAlignment="1">
      <alignment horizontal="right" wrapText="1"/>
    </xf>
    <xf numFmtId="0" fontId="41" fillId="0" borderId="0" xfId="0" applyFont="1" applyAlignment="1">
      <alignment horizontal="center" vertical="center"/>
    </xf>
    <xf numFmtId="0" fontId="0" fillId="0" borderId="0" xfId="0" applyAlignment="1">
      <alignment horizontal="center"/>
    </xf>
    <xf numFmtId="0" fontId="70" fillId="0" borderId="0" xfId="0" applyFont="1" applyBorder="1" applyAlignment="1">
      <alignment horizontal="center"/>
    </xf>
    <xf numFmtId="4" fontId="47" fillId="12" borderId="8" xfId="171" applyNumberFormat="1" applyFont="1" applyFill="1" applyBorder="1" applyAlignment="1">
      <alignment horizontal="center" vertical="center"/>
    </xf>
    <xf numFmtId="0" fontId="47" fillId="12" borderId="4" xfId="171" applyFont="1" applyFill="1" applyBorder="1" applyAlignment="1">
      <alignment horizontal="center" vertical="center"/>
    </xf>
    <xf numFmtId="4" fontId="47" fillId="12" borderId="5" xfId="171" applyNumberFormat="1" applyFont="1" applyFill="1" applyBorder="1" applyAlignment="1">
      <alignment horizontal="center" vertical="center"/>
    </xf>
    <xf numFmtId="4" fontId="47" fillId="12" borderId="9" xfId="171" applyNumberFormat="1" applyFont="1" applyFill="1" applyBorder="1" applyAlignment="1">
      <alignment horizontal="center" vertical="center"/>
    </xf>
    <xf numFmtId="0" fontId="66" fillId="28" borderId="3" xfId="121" applyFont="1" applyFill="1" applyBorder="1" applyAlignment="1">
      <alignment horizontal="center" vertical="center" wrapText="1"/>
    </xf>
    <xf numFmtId="0" fontId="66" fillId="28" borderId="4" xfId="121" applyFont="1" applyFill="1" applyBorder="1" applyAlignment="1">
      <alignment horizontal="center" vertical="center" wrapText="1"/>
    </xf>
    <xf numFmtId="0" fontId="48" fillId="11" borderId="13" xfId="171" applyFont="1" applyFill="1" applyBorder="1" applyAlignment="1">
      <alignment horizontal="center" wrapText="1"/>
    </xf>
    <xf numFmtId="0" fontId="48" fillId="11" borderId="0" xfId="171" applyFont="1" applyFill="1" applyAlignment="1">
      <alignment horizontal="center" wrapText="1"/>
    </xf>
    <xf numFmtId="0" fontId="48" fillId="11" borderId="14" xfId="171" applyFont="1" applyFill="1" applyBorder="1" applyAlignment="1">
      <alignment horizontal="center" wrapText="1"/>
    </xf>
    <xf numFmtId="0" fontId="48" fillId="11" borderId="15" xfId="171" applyFont="1" applyFill="1" applyBorder="1" applyAlignment="1">
      <alignment horizontal="center" wrapText="1"/>
    </xf>
    <xf numFmtId="0" fontId="40" fillId="28" borderId="3" xfId="121" applyFont="1" applyFill="1" applyBorder="1" applyAlignment="1">
      <alignment horizontal="center" vertical="center" wrapText="1"/>
    </xf>
    <xf numFmtId="0" fontId="40" fillId="28" borderId="8" xfId="121" applyFont="1" applyFill="1" applyBorder="1" applyAlignment="1">
      <alignment horizontal="center" vertical="center" wrapText="1"/>
    </xf>
    <xf numFmtId="0" fontId="75" fillId="4" borderId="0" xfId="304" applyFont="1" applyFill="1" applyAlignment="1">
      <alignment horizontal="right" vertical="center" wrapText="1"/>
    </xf>
    <xf numFmtId="0" fontId="89" fillId="4" borderId="0" xfId="304" applyFont="1" applyFill="1" applyAlignment="1">
      <alignment horizontal="left" vertical="center"/>
    </xf>
    <xf numFmtId="0" fontId="89" fillId="4" borderId="17" xfId="304" applyFont="1" applyFill="1" applyBorder="1" applyAlignment="1">
      <alignment horizontal="left" vertical="center"/>
    </xf>
    <xf numFmtId="0" fontId="76" fillId="11" borderId="52" xfId="171" applyFont="1" applyFill="1" applyBorder="1" applyAlignment="1">
      <alignment horizontal="center" vertical="center" wrapText="1"/>
    </xf>
    <xf numFmtId="0" fontId="76" fillId="11" borderId="7" xfId="171" applyFont="1" applyFill="1" applyBorder="1" applyAlignment="1">
      <alignment horizontal="center" vertical="center" wrapText="1"/>
    </xf>
    <xf numFmtId="0" fontId="76" fillId="11" borderId="53" xfId="171" applyFont="1" applyFill="1" applyBorder="1" applyAlignment="1">
      <alignment horizontal="center" vertical="center" wrapText="1"/>
    </xf>
    <xf numFmtId="0" fontId="32" fillId="4" borderId="0" xfId="304" applyFont="1" applyFill="1" applyAlignment="1">
      <alignment horizontal="right" wrapText="1"/>
    </xf>
    <xf numFmtId="44" fontId="73" fillId="0" borderId="0" xfId="306" applyNumberFormat="1" applyFont="1"/>
  </cellXfs>
  <cellStyles count="308">
    <cellStyle name="_x000d__x000a_JournalTemplate=C:\COMFO\CTALK\JOURSTD.TPL_x000d__x000a_LbStateAddress=3 3 0 251 1 89 2 311_x000d__x000a_LbStateJou" xfId="62"/>
    <cellStyle name="20% - Ênfase1 100" xfId="1"/>
    <cellStyle name="20% - Ênfase1 2" xfId="174"/>
    <cellStyle name="20% - Ênfase1 3" xfId="175"/>
    <cellStyle name="20% - Ênfase1 4" xfId="176"/>
    <cellStyle name="20% - Ênfase2 2" xfId="177"/>
    <cellStyle name="20% - Ênfase2 3" xfId="178"/>
    <cellStyle name="20% - Ênfase2 4" xfId="179"/>
    <cellStyle name="20% - Ênfase3 2" xfId="180"/>
    <cellStyle name="20% - Ênfase3 3" xfId="181"/>
    <cellStyle name="20% - Ênfase3 4" xfId="182"/>
    <cellStyle name="20% - Ênfase4 2" xfId="183"/>
    <cellStyle name="20% - Ênfase4 3" xfId="184"/>
    <cellStyle name="20% - Ênfase4 4" xfId="185"/>
    <cellStyle name="20% - Ênfase5 2" xfId="186"/>
    <cellStyle name="20% - Ênfase5 3" xfId="187"/>
    <cellStyle name="20% - Ênfase5 4" xfId="188"/>
    <cellStyle name="20% - Ênfase6 2" xfId="189"/>
    <cellStyle name="20% - Ênfase6 3" xfId="190"/>
    <cellStyle name="20% - Ênfase6 4" xfId="191"/>
    <cellStyle name="40% - Ênfase1 2" xfId="192"/>
    <cellStyle name="40% - Ênfase1 3" xfId="193"/>
    <cellStyle name="40% - Ênfase1 4" xfId="194"/>
    <cellStyle name="40% - Ênfase2 2" xfId="195"/>
    <cellStyle name="40% - Ênfase2 3" xfId="196"/>
    <cellStyle name="40% - Ênfase2 4" xfId="197"/>
    <cellStyle name="40% - Ênfase3 2" xfId="198"/>
    <cellStyle name="40% - Ênfase3 3" xfId="199"/>
    <cellStyle name="40% - Ênfase3 4" xfId="200"/>
    <cellStyle name="40% - Ênfase4 2" xfId="201"/>
    <cellStyle name="40% - Ênfase4 3" xfId="202"/>
    <cellStyle name="40% - Ênfase4 4" xfId="203"/>
    <cellStyle name="40% - Ênfase5 2" xfId="204"/>
    <cellStyle name="40% - Ênfase5 3" xfId="205"/>
    <cellStyle name="40% - Ênfase5 4" xfId="206"/>
    <cellStyle name="40% - Ênfase6 2" xfId="207"/>
    <cellStyle name="40% - Ênfase6 3" xfId="208"/>
    <cellStyle name="40% - Ênfase6 4" xfId="209"/>
    <cellStyle name="60% - Ênfase1 2" xfId="210"/>
    <cellStyle name="60% - Ênfase1 3" xfId="211"/>
    <cellStyle name="60% - Ênfase1 4" xfId="212"/>
    <cellStyle name="60% - Ênfase2 2" xfId="213"/>
    <cellStyle name="60% - Ênfase2 3" xfId="214"/>
    <cellStyle name="60% - Ênfase2 4" xfId="215"/>
    <cellStyle name="60% - Ênfase3 2" xfId="216"/>
    <cellStyle name="60% - Ênfase3 3" xfId="217"/>
    <cellStyle name="60% - Ênfase3 4" xfId="218"/>
    <cellStyle name="60% - Ênfase4 2" xfId="219"/>
    <cellStyle name="60% - Ênfase4 3" xfId="220"/>
    <cellStyle name="60% - Ênfase4 4" xfId="221"/>
    <cellStyle name="60% - Ênfase5 2" xfId="222"/>
    <cellStyle name="60% - Ênfase5 3" xfId="223"/>
    <cellStyle name="60% - Ênfase5 4" xfId="224"/>
    <cellStyle name="60% - Ênfase6 2" xfId="225"/>
    <cellStyle name="60% - Ênfase6 3" xfId="226"/>
    <cellStyle name="60% - Ênfase6 37" xfId="2"/>
    <cellStyle name="60% - Ênfase6 4" xfId="227"/>
    <cellStyle name="Bom 2" xfId="228"/>
    <cellStyle name="Bom 3" xfId="229"/>
    <cellStyle name="Bom 4" xfId="230"/>
    <cellStyle name="Cálculo 2" xfId="231"/>
    <cellStyle name="Cálculo 3" xfId="232"/>
    <cellStyle name="Cálculo 4" xfId="233"/>
    <cellStyle name="Célula de Verificação 2" xfId="234"/>
    <cellStyle name="Célula de Verificação 3" xfId="235"/>
    <cellStyle name="Célula de Verificação 4" xfId="236"/>
    <cellStyle name="Célula Vinculada 2" xfId="237"/>
    <cellStyle name="Célula Vinculada 3" xfId="238"/>
    <cellStyle name="Célula Vinculada 4" xfId="239"/>
    <cellStyle name="Comma_Arauco Piping list" xfId="63"/>
    <cellStyle name="Comma0" xfId="64"/>
    <cellStyle name="CORES" xfId="65"/>
    <cellStyle name="Currency [0]_Arauco Piping list" xfId="66"/>
    <cellStyle name="Currency_Arauco Piping list" xfId="67"/>
    <cellStyle name="Currency0" xfId="68"/>
    <cellStyle name="Data" xfId="69"/>
    <cellStyle name="Date" xfId="70"/>
    <cellStyle name="Ênfase1 2" xfId="240"/>
    <cellStyle name="Ênfase1 3" xfId="241"/>
    <cellStyle name="Ênfase1 4" xfId="242"/>
    <cellStyle name="Ênfase2 2" xfId="243"/>
    <cellStyle name="Ênfase2 3" xfId="244"/>
    <cellStyle name="Ênfase2 4" xfId="245"/>
    <cellStyle name="Ênfase3 2" xfId="246"/>
    <cellStyle name="Ênfase3 3" xfId="247"/>
    <cellStyle name="Ênfase3 4" xfId="248"/>
    <cellStyle name="Ênfase4 2" xfId="249"/>
    <cellStyle name="Ênfase4 3" xfId="250"/>
    <cellStyle name="Ênfase4 4" xfId="251"/>
    <cellStyle name="Ênfase5 2" xfId="252"/>
    <cellStyle name="Ênfase5 3" xfId="253"/>
    <cellStyle name="Ênfase5 4" xfId="254"/>
    <cellStyle name="Ênfase6 2" xfId="255"/>
    <cellStyle name="Ênfase6 3" xfId="256"/>
    <cellStyle name="Ênfase6 4" xfId="257"/>
    <cellStyle name="Entrada 2" xfId="258"/>
    <cellStyle name="Entrada 3" xfId="259"/>
    <cellStyle name="Entrada 4" xfId="260"/>
    <cellStyle name="Excel Built-in Excel Built-in Excel Built-in Excel Built-in Excel Built-in Excel Built-in Excel Built-in Excel Built-in Separador de milhares 4" xfId="3"/>
    <cellStyle name="Excel Built-in Excel Built-in Excel Built-in Excel Built-in Excel Built-in Excel Built-in Excel Built-in Separador de milhares 4" xfId="4"/>
    <cellStyle name="Excel Built-in Normal" xfId="5"/>
    <cellStyle name="Excel Built-in Normal 1" xfId="6"/>
    <cellStyle name="Excel Built-in Normal 2" xfId="30"/>
    <cellStyle name="Excel Built-in Normal 3" xfId="41"/>
    <cellStyle name="Excel_BuiltIn_Comma" xfId="7"/>
    <cellStyle name="Fixed" xfId="71"/>
    <cellStyle name="Fixo" xfId="72"/>
    <cellStyle name="Followed Hyperlink" xfId="73"/>
    <cellStyle name="Grey" xfId="74"/>
    <cellStyle name="Heading" xfId="8"/>
    <cellStyle name="Heading 1" xfId="75"/>
    <cellStyle name="Heading 2" xfId="76"/>
    <cellStyle name="Heading1" xfId="9"/>
    <cellStyle name="Hiperlink 2" xfId="31"/>
    <cellStyle name="Indefinido" xfId="77"/>
    <cellStyle name="Input [yellow]" xfId="78"/>
    <cellStyle name="material" xfId="79"/>
    <cellStyle name="MINIPG" xfId="80"/>
    <cellStyle name="Moeda 2" xfId="32"/>
    <cellStyle name="Moeda 2 2" xfId="131"/>
    <cellStyle name="Moeda 2 2 2" xfId="137"/>
    <cellStyle name="Moeda 2 3" xfId="128"/>
    <cellStyle name="Moeda 2 4" xfId="134"/>
    <cellStyle name="Moeda 2 5" xfId="148"/>
    <cellStyle name="Moeda 2 6" xfId="125"/>
    <cellStyle name="Moeda 3" xfId="129"/>
    <cellStyle name="Moeda 3 2" xfId="135"/>
    <cellStyle name="Moeda 4" xfId="126"/>
    <cellStyle name="Moeda 5" xfId="132"/>
    <cellStyle name="Moeda 6" xfId="123"/>
    <cellStyle name="Moeda 7" xfId="301"/>
    <cellStyle name="Moeda 8" xfId="305"/>
    <cellStyle name="Moeda 9" xfId="307"/>
    <cellStyle name="Normal" xfId="0" builtinId="0"/>
    <cellStyle name="Normal - Style1" xfId="81"/>
    <cellStyle name="Normal 10" xfId="46"/>
    <cellStyle name="Normal 11" xfId="51"/>
    <cellStyle name="Normal 11 2" xfId="120"/>
    <cellStyle name="Normal 12" xfId="48"/>
    <cellStyle name="Normal 13" xfId="49"/>
    <cellStyle name="Normal 13 2" xfId="156"/>
    <cellStyle name="Normal 14" xfId="52"/>
    <cellStyle name="Normal 14 2" xfId="158"/>
    <cellStyle name="Normal 15" xfId="60"/>
    <cellStyle name="Normal 15 2" xfId="165"/>
    <cellStyle name="Normal 16" xfId="95"/>
    <cellStyle name="Normal 16 2" xfId="166"/>
    <cellStyle name="Normal 17" xfId="105"/>
    <cellStyle name="Normal 18" xfId="109"/>
    <cellStyle name="Normal 19" xfId="101"/>
    <cellStyle name="Normal 2" xfId="10"/>
    <cellStyle name="Normal 2 2" xfId="17"/>
    <cellStyle name="Normal 2 3" xfId="171"/>
    <cellStyle name="Normal 2 3 2" xfId="261"/>
    <cellStyle name="Normal 2 4" xfId="262"/>
    <cellStyle name="Normal 20" xfId="103"/>
    <cellStyle name="Normal 21" xfId="106"/>
    <cellStyle name="Normal 22" xfId="99"/>
    <cellStyle name="Normal 23" xfId="97"/>
    <cellStyle name="Normal 24" xfId="98"/>
    <cellStyle name="Normal 25" xfId="111"/>
    <cellStyle name="Normal 26" xfId="115"/>
    <cellStyle name="Normal 27" xfId="113"/>
    <cellStyle name="Normal 28" xfId="112"/>
    <cellStyle name="Normal 29" xfId="107"/>
    <cellStyle name="Normal 3" xfId="18"/>
    <cellStyle name="Normal 3 2" xfId="19"/>
    <cellStyle name="Normal 3 3" xfId="27"/>
    <cellStyle name="Normal 3 4" xfId="263"/>
    <cellStyle name="Normal 30" xfId="96"/>
    <cellStyle name="Normal 31" xfId="110"/>
    <cellStyle name="Normal 32" xfId="100"/>
    <cellStyle name="Normal 33" xfId="104"/>
    <cellStyle name="Normal 34" xfId="114"/>
    <cellStyle name="Normal 35" xfId="108"/>
    <cellStyle name="Normal 36" xfId="102"/>
    <cellStyle name="Normal 37" xfId="119"/>
    <cellStyle name="Normal 37 2" xfId="169"/>
    <cellStyle name="Normal 38" xfId="138"/>
    <cellStyle name="Normal 39" xfId="139"/>
    <cellStyle name="Normal 4" xfId="20"/>
    <cellStyle name="Normal 4 2" xfId="264"/>
    <cellStyle name="Normal 40" xfId="122"/>
    <cellStyle name="Normal 41" xfId="172"/>
    <cellStyle name="Normal 42" xfId="300"/>
    <cellStyle name="Normal 43" xfId="303"/>
    <cellStyle name="Normal 44" xfId="304"/>
    <cellStyle name="Normal 45" xfId="306"/>
    <cellStyle name="Normal 5" xfId="23"/>
    <cellStyle name="Normal 5 2" xfId="53"/>
    <cellStyle name="Normal 5 2 2" xfId="159"/>
    <cellStyle name="Normal 5 3" xfId="144"/>
    <cellStyle name="Normal 5 4" xfId="265"/>
    <cellStyle name="Normal 6" xfId="24"/>
    <cellStyle name="Normal 6 2" xfId="42"/>
    <cellStyle name="Normal 6 2 2" xfId="54"/>
    <cellStyle name="Normal 6 2 2 2" xfId="160"/>
    <cellStyle name="Normal 6 2 3" xfId="153"/>
    <cellStyle name="Normal 6 3" xfId="55"/>
    <cellStyle name="Normal 6 3 2" xfId="161"/>
    <cellStyle name="Normal 6 4" xfId="145"/>
    <cellStyle name="Normal 6 5" xfId="173"/>
    <cellStyle name="Normal 7" xfId="25"/>
    <cellStyle name="Normal 7 2" xfId="39"/>
    <cellStyle name="Normal 8" xfId="40"/>
    <cellStyle name="Normal 8 2" xfId="56"/>
    <cellStyle name="Normal 9" xfId="47"/>
    <cellStyle name="Normal_Pesquisa no referencial 10 de maio de 2013" xfId="121"/>
    <cellStyle name="Normal1" xfId="82"/>
    <cellStyle name="Normal2" xfId="83"/>
    <cellStyle name="Normal3" xfId="84"/>
    <cellStyle name="Nota 2" xfId="266"/>
    <cellStyle name="Nota 3" xfId="267"/>
    <cellStyle name="Nota 4" xfId="268"/>
    <cellStyle name="Percent [2]" xfId="85"/>
    <cellStyle name="Percent_Sheet1" xfId="86"/>
    <cellStyle name="Percentual" xfId="87"/>
    <cellStyle name="Ponto" xfId="88"/>
    <cellStyle name="Porcentagem 2" xfId="11"/>
    <cellStyle name="Porcentagem 2 2" xfId="269"/>
    <cellStyle name="Porcentagem 2 3" xfId="270"/>
    <cellStyle name="Porcentagem 2 4" xfId="271"/>
    <cellStyle name="Porcentagem 3" xfId="33"/>
    <cellStyle name="Porcentagem 3 2" xfId="43"/>
    <cellStyle name="Porcentagem 4" xfId="29"/>
    <cellStyle name="Porcentagem 4 2" xfId="34"/>
    <cellStyle name="Porcentagem 5" xfId="61"/>
    <cellStyle name="Porcentagem 6" xfId="116"/>
    <cellStyle name="Porcentagem 6 2" xfId="167"/>
    <cellStyle name="Porcentagem 7" xfId="170"/>
    <cellStyle name="Porcentagem 8" xfId="302"/>
    <cellStyle name="Result" xfId="12"/>
    <cellStyle name="Result2" xfId="13"/>
    <cellStyle name="Saída 2" xfId="272"/>
    <cellStyle name="Saída 3" xfId="273"/>
    <cellStyle name="Saída 4" xfId="274"/>
    <cellStyle name="Sep. milhar [0]" xfId="89"/>
    <cellStyle name="Separador de m" xfId="90"/>
    <cellStyle name="Separador de milhares 2" xfId="15"/>
    <cellStyle name="Separador de milhares 2 2" xfId="21"/>
    <cellStyle name="Separador de milhares 2 2 2" xfId="142"/>
    <cellStyle name="Separador de milhares 2 3" xfId="141"/>
    <cellStyle name="Separador de milhares 3" xfId="22"/>
    <cellStyle name="Separador de milhares 3 2" xfId="143"/>
    <cellStyle name="Separador de milhares 3 3" xfId="275"/>
    <cellStyle name="Separador de milhares 4" xfId="16"/>
    <cellStyle name="Sepavador de milhares [0]_Pasta2" xfId="91"/>
    <cellStyle name="Standard_RP100_01 (metr.)" xfId="92"/>
    <cellStyle name="Texto de Aviso 2" xfId="276"/>
    <cellStyle name="Texto de Aviso 3" xfId="277"/>
    <cellStyle name="Texto de Aviso 4" xfId="278"/>
    <cellStyle name="Texto Explicativo 2" xfId="279"/>
    <cellStyle name="Texto Explicativo 3" xfId="280"/>
    <cellStyle name="Texto Explicativo 4" xfId="281"/>
    <cellStyle name="Título 1 2" xfId="282"/>
    <cellStyle name="Título 1 3" xfId="283"/>
    <cellStyle name="Título 1 4" xfId="284"/>
    <cellStyle name="Título 2 2" xfId="285"/>
    <cellStyle name="Título 2 3" xfId="286"/>
    <cellStyle name="Título 2 4" xfId="287"/>
    <cellStyle name="Título 3 2" xfId="288"/>
    <cellStyle name="Título 3 3" xfId="289"/>
    <cellStyle name="Título 3 4" xfId="290"/>
    <cellStyle name="Título 4 2" xfId="291"/>
    <cellStyle name="Título 4 3" xfId="292"/>
    <cellStyle name="Título 4 4" xfId="293"/>
    <cellStyle name="Título 5" xfId="294"/>
    <cellStyle name="Titulo1" xfId="93"/>
    <cellStyle name="Titulo2" xfId="94"/>
    <cellStyle name="Total 2" xfId="295"/>
    <cellStyle name="Total 3" xfId="296"/>
    <cellStyle name="Total 4" xfId="297"/>
    <cellStyle name="Vírgula" xfId="14" builtinId="3"/>
    <cellStyle name="Vírgula 10" xfId="117"/>
    <cellStyle name="Vírgula 10 2" xfId="168"/>
    <cellStyle name="Vírgula 11" xfId="118"/>
    <cellStyle name="Vírgula 12" xfId="140"/>
    <cellStyle name="Vírgula 2" xfId="26"/>
    <cellStyle name="Vírgula 2 2" xfId="45"/>
    <cellStyle name="Vírgula 2 2 2" xfId="136"/>
    <cellStyle name="Vírgula 2 2 3" xfId="155"/>
    <cellStyle name="Vírgula 2 2 4" xfId="130"/>
    <cellStyle name="Vírgula 2 3" xfId="127"/>
    <cellStyle name="Vírgula 2 4" xfId="133"/>
    <cellStyle name="Vírgula 2 5" xfId="146"/>
    <cellStyle name="Vírgula 2 6" xfId="124"/>
    <cellStyle name="Vírgula 2 7" xfId="298"/>
    <cellStyle name="Vírgula 3" xfId="35"/>
    <cellStyle name="Vírgula 3 2" xfId="36"/>
    <cellStyle name="Vírgula 3 2 2" xfId="150"/>
    <cellStyle name="Vírgula 3 3" xfId="149"/>
    <cellStyle name="Vírgula 4" xfId="37"/>
    <cellStyle name="Vírgula 4 2" xfId="151"/>
    <cellStyle name="Vírgula 5" xfId="28"/>
    <cellStyle name="Vírgula 5 2" xfId="38"/>
    <cellStyle name="Vírgula 5 2 2" xfId="152"/>
    <cellStyle name="Vírgula 5 3" xfId="147"/>
    <cellStyle name="Vírgula 5 4" xfId="299"/>
    <cellStyle name="Vírgula 6" xfId="44"/>
    <cellStyle name="Vírgula 6 2" xfId="57"/>
    <cellStyle name="Vírgula 6 2 2" xfId="162"/>
    <cellStyle name="Vírgula 6 3" xfId="154"/>
    <cellStyle name="Vírgula 7" xfId="50"/>
    <cellStyle name="Vírgula 7 2" xfId="157"/>
    <cellStyle name="Vírgula 8" xfId="58"/>
    <cellStyle name="Vírgula 8 2" xfId="163"/>
    <cellStyle name="Vírgula 9" xfId="59"/>
    <cellStyle name="Vírgula 9 2" xfId="164"/>
  </cellStyles>
  <dxfs count="32">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s>
  <tableStyles count="0" defaultTableStyle="TableStyleMedium9" defaultPivotStyle="PivotStyleLight16"/>
  <colors>
    <mruColors>
      <color rgb="FF0000FF"/>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15</xdr:col>
      <xdr:colOff>247650</xdr:colOff>
      <xdr:row>1</xdr:row>
      <xdr:rowOff>3358</xdr:rowOff>
    </xdr:from>
    <xdr:to>
      <xdr:col>17</xdr:col>
      <xdr:colOff>278947</xdr:colOff>
      <xdr:row>4</xdr:row>
      <xdr:rowOff>65193</xdr:rowOff>
    </xdr:to>
    <xdr:pic>
      <xdr:nvPicPr>
        <xdr:cNvPr id="2" name="Imagem 1">
          <a:extLst>
            <a:ext uri="{FF2B5EF4-FFF2-40B4-BE49-F238E27FC236}">
              <a16:creationId xmlns:a16="http://schemas.microsoft.com/office/drawing/2014/main" id="{98C8C9FF-D03E-48E7-946F-8E2ED519A35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042821" y="188415"/>
          <a:ext cx="1642383" cy="61700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670560</xdr:colOff>
      <xdr:row>1</xdr:row>
      <xdr:rowOff>198120</xdr:rowOff>
    </xdr:from>
    <xdr:to>
      <xdr:col>7</xdr:col>
      <xdr:colOff>925829</xdr:colOff>
      <xdr:row>5</xdr:row>
      <xdr:rowOff>94584</xdr:rowOff>
    </xdr:to>
    <xdr:pic>
      <xdr:nvPicPr>
        <xdr:cNvPr id="2" name="Imagem 1">
          <a:extLst>
            <a:ext uri="{FF2B5EF4-FFF2-40B4-BE49-F238E27FC236}">
              <a16:creationId xmlns:a16="http://schemas.microsoft.com/office/drawing/2014/main" id="{3B19E480-9A2B-4D31-B635-2E26B92136D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988040" y="259080"/>
          <a:ext cx="1939289" cy="77276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309730</xdr:colOff>
      <xdr:row>1</xdr:row>
      <xdr:rowOff>38099</xdr:rowOff>
    </xdr:from>
    <xdr:to>
      <xdr:col>15</xdr:col>
      <xdr:colOff>1010770</xdr:colOff>
      <xdr:row>5</xdr:row>
      <xdr:rowOff>252734</xdr:rowOff>
    </xdr:to>
    <xdr:pic>
      <xdr:nvPicPr>
        <xdr:cNvPr id="2" name="Imagem 1">
          <a:extLst>
            <a:ext uri="{FF2B5EF4-FFF2-40B4-BE49-F238E27FC236}">
              <a16:creationId xmlns:a16="http://schemas.microsoft.com/office/drawing/2014/main" id="{D1E42F3A-86B1-4FC5-B0E4-FA81DBDC375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936954" y="154640"/>
          <a:ext cx="2027816" cy="9856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1233054</xdr:colOff>
      <xdr:row>1</xdr:row>
      <xdr:rowOff>124691</xdr:rowOff>
    </xdr:from>
    <xdr:to>
      <xdr:col>6</xdr:col>
      <xdr:colOff>332233</xdr:colOff>
      <xdr:row>6</xdr:row>
      <xdr:rowOff>96982</xdr:rowOff>
    </xdr:to>
    <xdr:pic>
      <xdr:nvPicPr>
        <xdr:cNvPr id="2" name="Imagem 1">
          <a:extLst>
            <a:ext uri="{FF2B5EF4-FFF2-40B4-BE49-F238E27FC236}">
              <a16:creationId xmlns:a16="http://schemas.microsoft.com/office/drawing/2014/main" id="{C774C62F-9F0A-4452-8C99-ABBA8DBBA27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513127" y="304800"/>
          <a:ext cx="2659798" cy="110836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Felipe\Desktop\Prefeitura\Reforma%20Subsolo%20Prefeitura\Planilha%20Or&#231;amentaria%20e%20Cronograma_Rev0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amento por Sala"/>
      <sheetName val="Memória de Cálculo"/>
      <sheetName val="Orçamento Geral"/>
      <sheetName val="Composições"/>
      <sheetName val="Cronograma"/>
      <sheetName val="Memoria de Calculo"/>
    </sheetNames>
    <sheetDataSet>
      <sheetData sheetId="0">
        <row r="2">
          <cell r="C2" t="str">
            <v>PREFEITURA TAQUARI - SUBSOLO</v>
          </cell>
        </row>
        <row r="3">
          <cell r="C3" t="str">
            <v>RUA OSVALDO ARANHA, 1790 - BAIRRO CENTRO - TAQUARI/RS</v>
          </cell>
        </row>
        <row r="4">
          <cell r="C4" t="str">
            <v>SINAPI - RIO GRANDE DO SUL DEZEMBRO/2025 NÃO DESONERADO</v>
          </cell>
        </row>
        <row r="5">
          <cell r="C5" t="str">
            <v>ORSE - NOVEMBRO/2025</v>
          </cell>
        </row>
      </sheetData>
      <sheetData sheetId="1"/>
      <sheetData sheetId="2"/>
      <sheetData sheetId="3"/>
      <sheetData sheetId="4"/>
      <sheetData sheetId="5"/>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71"/>
  <sheetViews>
    <sheetView showGridLines="0" topLeftCell="A2" zoomScale="90" zoomScaleNormal="90" zoomScaleSheetLayoutView="85" workbookViewId="0">
      <pane ySplit="9" topLeftCell="A20" activePane="bottomLeft" state="frozen"/>
      <selection activeCell="A2" sqref="A2"/>
      <selection pane="bottomLeft" activeCell="D20" sqref="D20"/>
    </sheetView>
  </sheetViews>
  <sheetFormatPr defaultColWidth="9" defaultRowHeight="12.75" outlineLevelRow="1"/>
  <cols>
    <col min="1" max="1" width="1.375" style="24" customWidth="1"/>
    <col min="2" max="2" width="7" style="35" customWidth="1"/>
    <col min="3" max="3" width="7.625" style="24" customWidth="1"/>
    <col min="4" max="4" width="70.75" style="28" customWidth="1"/>
    <col min="5" max="5" width="6.75" style="24" bestFit="1" customWidth="1"/>
    <col min="6" max="6" width="9" style="45" customWidth="1"/>
    <col min="7" max="7" width="11.625" style="39" customWidth="1"/>
    <col min="8" max="8" width="11.625" style="37" customWidth="1"/>
    <col min="9" max="11" width="11.625" style="40" customWidth="1"/>
    <col min="12" max="12" width="10.5" style="40" customWidth="1"/>
    <col min="13" max="13" width="15.875" style="129" customWidth="1"/>
    <col min="14" max="14" width="12.625" style="121" customWidth="1"/>
    <col min="15" max="15" width="14" style="20" bestFit="1" customWidth="1"/>
    <col min="16" max="16" width="3.5" style="20" customWidth="1"/>
    <col min="17" max="21" width="9" style="20"/>
    <col min="22" max="22" width="10.75" style="20" customWidth="1"/>
    <col min="23" max="23" width="9" style="20"/>
    <col min="24" max="24" width="10.75" style="20" customWidth="1"/>
    <col min="25" max="27" width="9" style="20"/>
    <col min="28" max="28" width="11.25" style="20" customWidth="1"/>
    <col min="29" max="29" width="10.5" style="20" customWidth="1"/>
    <col min="30" max="16384" width="9" style="20"/>
  </cols>
  <sheetData>
    <row r="1" spans="1:19" ht="12.75" customHeight="1">
      <c r="A1" s="27"/>
      <c r="B1" s="20"/>
      <c r="E1" s="20"/>
      <c r="F1" s="24"/>
      <c r="G1" s="20"/>
      <c r="H1" s="20"/>
      <c r="I1" s="20"/>
      <c r="J1" s="20"/>
      <c r="K1" s="20"/>
      <c r="L1" s="20"/>
      <c r="M1" s="121"/>
    </row>
    <row r="2" spans="1:19" ht="17.25" customHeight="1">
      <c r="A2" s="20"/>
      <c r="B2" s="371" t="s">
        <v>17</v>
      </c>
      <c r="C2" s="371"/>
      <c r="D2" s="371"/>
      <c r="E2" s="371"/>
      <c r="F2" s="371"/>
      <c r="G2" s="371"/>
      <c r="H2" s="371"/>
      <c r="I2" s="371"/>
      <c r="J2" s="371"/>
      <c r="K2" s="371"/>
      <c r="L2" s="371"/>
      <c r="M2" s="371"/>
      <c r="N2" s="371"/>
      <c r="O2" s="371"/>
    </row>
    <row r="3" spans="1:19" ht="15">
      <c r="A3" s="20"/>
      <c r="B3" s="1" t="s">
        <v>270</v>
      </c>
      <c r="D3" s="15"/>
      <c r="E3" s="2"/>
      <c r="F3" s="19"/>
      <c r="G3" s="4"/>
      <c r="H3" s="2"/>
      <c r="I3" s="14"/>
      <c r="J3" s="14"/>
      <c r="K3" s="14"/>
      <c r="L3" s="14"/>
      <c r="M3" s="122"/>
      <c r="N3" s="122"/>
      <c r="O3" s="2"/>
    </row>
    <row r="4" spans="1:19" ht="15">
      <c r="A4" s="20"/>
      <c r="B4" s="1" t="s">
        <v>163</v>
      </c>
      <c r="D4" s="15"/>
      <c r="E4" s="2"/>
      <c r="F4" s="19"/>
      <c r="G4" s="4"/>
      <c r="H4" s="2"/>
      <c r="I4" s="14"/>
      <c r="J4" s="14"/>
      <c r="K4" s="14"/>
      <c r="L4" s="14"/>
      <c r="M4" s="122"/>
      <c r="N4" s="122"/>
      <c r="O4" s="2"/>
    </row>
    <row r="5" spans="1:19" ht="15">
      <c r="A5" s="6"/>
      <c r="B5" s="1" t="s">
        <v>191</v>
      </c>
      <c r="C5" s="73"/>
      <c r="D5" s="74"/>
      <c r="E5" s="2"/>
      <c r="F5" s="19"/>
      <c r="G5" s="4"/>
      <c r="H5" s="2"/>
      <c r="I5" s="14"/>
      <c r="J5" s="14"/>
      <c r="K5" s="14"/>
      <c r="L5" s="14"/>
      <c r="M5" s="122"/>
      <c r="N5" s="130" t="s">
        <v>18</v>
      </c>
      <c r="O5" s="30">
        <v>0.2034</v>
      </c>
    </row>
    <row r="6" spans="1:19" ht="15">
      <c r="B6" s="1" t="s">
        <v>192</v>
      </c>
      <c r="C6" s="73"/>
      <c r="D6" s="74"/>
      <c r="E6" s="2"/>
      <c r="F6" s="19"/>
      <c r="G6" s="4"/>
      <c r="H6" s="2"/>
      <c r="I6" s="14"/>
      <c r="J6" s="14"/>
      <c r="K6" s="14"/>
      <c r="L6" s="14"/>
      <c r="M6" s="122"/>
    </row>
    <row r="7" spans="1:19" ht="15">
      <c r="A7" s="7"/>
      <c r="B7" s="1" t="s">
        <v>193</v>
      </c>
      <c r="D7" s="135"/>
      <c r="E7" s="20"/>
      <c r="F7" s="24"/>
      <c r="G7" s="20"/>
      <c r="H7" s="20"/>
      <c r="I7" s="20"/>
      <c r="J7" s="20"/>
      <c r="K7" s="20"/>
      <c r="L7" s="20"/>
      <c r="M7" s="121"/>
    </row>
    <row r="8" spans="1:19" ht="15.75" customHeight="1">
      <c r="A8" s="7"/>
      <c r="B8" s="20"/>
      <c r="E8" s="7"/>
      <c r="F8" s="44"/>
      <c r="G8" s="31"/>
      <c r="H8" s="32"/>
      <c r="I8" s="33"/>
      <c r="J8" s="33"/>
      <c r="K8" s="33"/>
      <c r="L8" s="33"/>
      <c r="M8" s="123"/>
    </row>
    <row r="9" spans="1:19" ht="21.75" customHeight="1">
      <c r="A9" s="7"/>
      <c r="B9" s="7"/>
      <c r="C9" s="12"/>
      <c r="D9" s="6"/>
      <c r="E9" s="7"/>
      <c r="F9" s="44"/>
      <c r="G9" s="372" t="s">
        <v>132</v>
      </c>
      <c r="H9" s="372"/>
      <c r="I9" s="372"/>
      <c r="J9" s="372" t="s">
        <v>134</v>
      </c>
      <c r="K9" s="372"/>
      <c r="L9" s="372"/>
      <c r="M9" s="373" t="s">
        <v>133</v>
      </c>
      <c r="N9" s="374"/>
      <c r="O9" s="375"/>
    </row>
    <row r="10" spans="1:19" s="24" customFormat="1" ht="39" customHeight="1">
      <c r="B10" s="5" t="s">
        <v>0</v>
      </c>
      <c r="C10" s="10" t="s">
        <v>9</v>
      </c>
      <c r="D10" s="5" t="s">
        <v>1</v>
      </c>
      <c r="E10" s="5" t="s">
        <v>2</v>
      </c>
      <c r="F10" s="8" t="s">
        <v>3</v>
      </c>
      <c r="G10" s="9" t="s">
        <v>117</v>
      </c>
      <c r="H10" s="10" t="s">
        <v>118</v>
      </c>
      <c r="I10" s="10" t="s">
        <v>119</v>
      </c>
      <c r="J10" s="9" t="s">
        <v>117</v>
      </c>
      <c r="K10" s="10" t="s">
        <v>118</v>
      </c>
      <c r="L10" s="10" t="s">
        <v>119</v>
      </c>
      <c r="M10" s="124" t="s">
        <v>117</v>
      </c>
      <c r="N10" s="124" t="s">
        <v>118</v>
      </c>
      <c r="O10" s="10" t="s">
        <v>119</v>
      </c>
    </row>
    <row r="11" spans="1:19" s="21" customFormat="1" outlineLevel="1">
      <c r="A11" s="7"/>
      <c r="B11" s="11">
        <v>1</v>
      </c>
      <c r="C11" s="56"/>
      <c r="D11" s="25" t="s">
        <v>19</v>
      </c>
      <c r="E11" s="25"/>
      <c r="F11" s="25"/>
      <c r="G11" s="25"/>
      <c r="H11" s="25"/>
      <c r="I11" s="25"/>
      <c r="J11" s="25"/>
      <c r="K11" s="25"/>
      <c r="L11" s="25"/>
      <c r="M11" s="125"/>
      <c r="N11" s="125"/>
      <c r="O11" s="26"/>
      <c r="P11" s="20"/>
      <c r="Q11" s="20"/>
    </row>
    <row r="12" spans="1:19" s="21" customFormat="1" ht="25.5" outlineLevel="1">
      <c r="A12" s="65"/>
      <c r="B12" s="63" t="s">
        <v>213</v>
      </c>
      <c r="C12" s="96">
        <v>99059</v>
      </c>
      <c r="D12" s="136" t="s">
        <v>29</v>
      </c>
      <c r="E12" s="103" t="s">
        <v>4</v>
      </c>
      <c r="F12" s="156">
        <v>103.89</v>
      </c>
      <c r="G12" s="100">
        <f>I12-H12</f>
        <v>18.860000000000003</v>
      </c>
      <c r="H12" s="99">
        <v>17.84</v>
      </c>
      <c r="I12" s="98">
        <v>36.700000000000003</v>
      </c>
      <c r="J12" s="76">
        <f t="shared" ref="J12" si="0">G12*(1+$O$5)</f>
        <v>22.696124000000005</v>
      </c>
      <c r="K12" s="64">
        <f t="shared" ref="K12" si="1">H12*(1+$O$5)</f>
        <v>21.468655999999999</v>
      </c>
      <c r="L12" s="77">
        <f t="shared" ref="L12" si="2">J12+K12</f>
        <v>44.164780000000007</v>
      </c>
      <c r="M12" s="64">
        <f>F12*J12</f>
        <v>2357.9003223600007</v>
      </c>
      <c r="N12" s="64">
        <f>F12*K12</f>
        <v>2230.3786718400002</v>
      </c>
      <c r="O12" s="64">
        <f t="shared" ref="O12" si="3">M12+N12</f>
        <v>4588.2789942000009</v>
      </c>
      <c r="P12" s="66"/>
      <c r="Q12" s="66"/>
      <c r="R12" s="66"/>
      <c r="S12" s="66"/>
    </row>
    <row r="13" spans="1:19" s="21" customFormat="1" ht="12.75" customHeight="1" outlineLevel="1">
      <c r="A13" s="7"/>
      <c r="B13" s="369" t="s">
        <v>66</v>
      </c>
      <c r="C13" s="370"/>
      <c r="D13" s="370"/>
      <c r="E13" s="370"/>
      <c r="F13" s="370"/>
      <c r="G13" s="370"/>
      <c r="H13" s="370"/>
      <c r="I13" s="370"/>
      <c r="J13" s="62"/>
      <c r="K13" s="62"/>
      <c r="L13" s="62"/>
      <c r="M13" s="78">
        <f>SUM(M12:M12)</f>
        <v>2357.9003223600007</v>
      </c>
      <c r="N13" s="78">
        <f>SUM(N12:N12)</f>
        <v>2230.3786718400002</v>
      </c>
      <c r="O13" s="138">
        <f>SUM(O12:O12)</f>
        <v>4588.2789942000009</v>
      </c>
      <c r="P13" s="20"/>
      <c r="Q13" s="20"/>
    </row>
    <row r="14" spans="1:19" s="21" customFormat="1" outlineLevel="1">
      <c r="A14" s="7"/>
      <c r="B14" s="34">
        <v>2</v>
      </c>
      <c r="C14" s="57"/>
      <c r="D14" s="25" t="s">
        <v>27</v>
      </c>
      <c r="E14" s="25"/>
      <c r="F14" s="25"/>
      <c r="G14" s="25"/>
      <c r="H14" s="25"/>
      <c r="I14" s="25"/>
      <c r="J14" s="25"/>
      <c r="K14" s="25"/>
      <c r="L14" s="25"/>
      <c r="M14" s="125"/>
      <c r="N14" s="125"/>
      <c r="O14" s="26"/>
      <c r="P14" s="20"/>
      <c r="Q14" s="20"/>
    </row>
    <row r="15" spans="1:19" s="21" customFormat="1" ht="38.25" outlineLevel="1">
      <c r="A15" s="65"/>
      <c r="B15" s="63" t="s">
        <v>214</v>
      </c>
      <c r="C15" s="96" t="s">
        <v>165</v>
      </c>
      <c r="D15" s="97" t="str">
        <f>Composição!C11</f>
        <v>ESTACA ESCAVADA MECANICAMENTE, SEM FLUIDO ESTABILIZANTE, COM 30CM DE DIÂMETRO, CONCRETO LANÇADO POR CAMINHÃO BETONEIRA (EXCLUSIVE MOBILIZAÇÃO E DESMOBILIZAÇÃO)</v>
      </c>
      <c r="E15" s="103" t="s">
        <v>4</v>
      </c>
      <c r="F15" s="156">
        <v>48</v>
      </c>
      <c r="G15" s="100">
        <f>Composição!E9</f>
        <v>66.009999999999991</v>
      </c>
      <c r="H15" s="99">
        <f>Composição!E10</f>
        <v>6.1899999999999995</v>
      </c>
      <c r="I15" s="98">
        <f>Composição!G9</f>
        <v>72.199999999999989</v>
      </c>
      <c r="J15" s="76">
        <f t="shared" ref="J15:J21" si="4">G15*(1+$O$5)</f>
        <v>79.436433999999991</v>
      </c>
      <c r="K15" s="64">
        <f t="shared" ref="K15:K21" si="5">H15*(1+$O$5)</f>
        <v>7.4490459999999992</v>
      </c>
      <c r="L15" s="77">
        <f t="shared" ref="L15:L21" si="6">J15+K15</f>
        <v>86.885479999999987</v>
      </c>
      <c r="M15" s="64">
        <f t="shared" ref="M15:M21" si="7">TRUNC(J15*F15,2)</f>
        <v>3812.94</v>
      </c>
      <c r="N15" s="64">
        <f t="shared" ref="N15:N21" si="8">TRUNC(K15*F15,2)</f>
        <v>357.55</v>
      </c>
      <c r="O15" s="64">
        <f t="shared" ref="O15:O21" si="9">M15+N15</f>
        <v>4170.49</v>
      </c>
      <c r="P15" s="66"/>
      <c r="Q15" s="66"/>
      <c r="R15" s="66"/>
      <c r="S15" s="66"/>
    </row>
    <row r="16" spans="1:19" s="21" customFormat="1" ht="25.5" outlineLevel="1">
      <c r="A16" s="65"/>
      <c r="B16" s="63" t="s">
        <v>215</v>
      </c>
      <c r="C16" s="96">
        <v>96543</v>
      </c>
      <c r="D16" s="97" t="s">
        <v>87</v>
      </c>
      <c r="E16" s="103" t="s">
        <v>6</v>
      </c>
      <c r="F16" s="156">
        <v>73.319999999999993</v>
      </c>
      <c r="G16" s="100">
        <f>I16-H16</f>
        <v>12.47</v>
      </c>
      <c r="H16" s="99">
        <v>8.7200000000000006</v>
      </c>
      <c r="I16" s="98">
        <v>21.19</v>
      </c>
      <c r="J16" s="76">
        <f t="shared" si="4"/>
        <v>15.006398000000001</v>
      </c>
      <c r="K16" s="64">
        <f t="shared" si="5"/>
        <v>10.493648</v>
      </c>
      <c r="L16" s="77">
        <f t="shared" si="6"/>
        <v>25.500046000000001</v>
      </c>
      <c r="M16" s="64">
        <f t="shared" si="7"/>
        <v>1100.26</v>
      </c>
      <c r="N16" s="64">
        <f t="shared" si="8"/>
        <v>769.39</v>
      </c>
      <c r="O16" s="64">
        <f t="shared" si="9"/>
        <v>1869.65</v>
      </c>
      <c r="P16" s="66"/>
      <c r="Q16" s="66"/>
      <c r="R16" s="66"/>
      <c r="S16" s="66"/>
    </row>
    <row r="17" spans="1:19" s="21" customFormat="1" ht="25.5" outlineLevel="1">
      <c r="A17" s="65"/>
      <c r="B17" s="63" t="s">
        <v>216</v>
      </c>
      <c r="C17" s="96">
        <v>96546</v>
      </c>
      <c r="D17" s="97" t="s">
        <v>88</v>
      </c>
      <c r="E17" s="103" t="s">
        <v>6</v>
      </c>
      <c r="F17" s="156">
        <v>148.19999999999999</v>
      </c>
      <c r="G17" s="100">
        <f>I17-H17</f>
        <v>11.459999999999999</v>
      </c>
      <c r="H17" s="99">
        <v>3.47</v>
      </c>
      <c r="I17" s="98">
        <v>14.93</v>
      </c>
      <c r="J17" s="76">
        <f t="shared" si="4"/>
        <v>13.790963999999999</v>
      </c>
      <c r="K17" s="64">
        <f t="shared" si="5"/>
        <v>4.1757980000000003</v>
      </c>
      <c r="L17" s="77">
        <f t="shared" si="6"/>
        <v>17.966761999999999</v>
      </c>
      <c r="M17" s="64">
        <f t="shared" si="7"/>
        <v>2043.82</v>
      </c>
      <c r="N17" s="64">
        <f t="shared" si="8"/>
        <v>618.85</v>
      </c>
      <c r="O17" s="64">
        <f t="shared" si="9"/>
        <v>2662.67</v>
      </c>
      <c r="P17" s="66"/>
      <c r="Q17" s="66"/>
      <c r="R17" s="66"/>
      <c r="S17" s="66"/>
    </row>
    <row r="18" spans="1:19" s="21" customFormat="1" ht="38.25" outlineLevel="1">
      <c r="A18" s="65"/>
      <c r="B18" s="63" t="s">
        <v>126</v>
      </c>
      <c r="C18" s="96" t="s">
        <v>122</v>
      </c>
      <c r="D18" s="136" t="s">
        <v>93</v>
      </c>
      <c r="E18" s="103" t="s">
        <v>5</v>
      </c>
      <c r="F18" s="156">
        <v>48.08</v>
      </c>
      <c r="G18" s="100">
        <f>I18-H18</f>
        <v>24.209999999999997</v>
      </c>
      <c r="H18" s="99">
        <v>29.69</v>
      </c>
      <c r="I18" s="98">
        <v>53.9</v>
      </c>
      <c r="J18" s="76">
        <f t="shared" si="4"/>
        <v>29.134313999999996</v>
      </c>
      <c r="K18" s="64">
        <f t="shared" si="5"/>
        <v>35.728946000000001</v>
      </c>
      <c r="L18" s="77">
        <f t="shared" si="6"/>
        <v>64.863259999999997</v>
      </c>
      <c r="M18" s="64">
        <f>F18*J18</f>
        <v>1400.7778171199998</v>
      </c>
      <c r="N18" s="64">
        <f>F18*K18</f>
        <v>1717.8477236799999</v>
      </c>
      <c r="O18" s="64">
        <f t="shared" si="9"/>
        <v>3118.6255407999997</v>
      </c>
      <c r="P18" s="66"/>
      <c r="Q18" s="66"/>
      <c r="R18" s="66"/>
      <c r="S18" s="66"/>
    </row>
    <row r="19" spans="1:19" s="21" customFormat="1" ht="14.25" outlineLevel="1">
      <c r="A19" s="65"/>
      <c r="B19" s="63" t="s">
        <v>217</v>
      </c>
      <c r="C19" s="96" t="s">
        <v>187</v>
      </c>
      <c r="D19" s="139" t="s">
        <v>182</v>
      </c>
      <c r="E19" s="103" t="s">
        <v>5</v>
      </c>
      <c r="F19" s="156">
        <v>5.55</v>
      </c>
      <c r="G19" s="100">
        <f>I19-H19</f>
        <v>83.800000000000011</v>
      </c>
      <c r="H19" s="99">
        <v>52.5</v>
      </c>
      <c r="I19" s="98">
        <v>136.30000000000001</v>
      </c>
      <c r="J19" s="76">
        <f t="shared" si="4"/>
        <v>100.84492000000002</v>
      </c>
      <c r="K19" s="64">
        <f t="shared" si="5"/>
        <v>63.1785</v>
      </c>
      <c r="L19" s="77">
        <f t="shared" si="6"/>
        <v>164.02342000000002</v>
      </c>
      <c r="M19" s="64">
        <f>F19*J19</f>
        <v>559.6893060000001</v>
      </c>
      <c r="N19" s="64">
        <f>F19*K19</f>
        <v>350.64067499999999</v>
      </c>
      <c r="O19" s="64">
        <f t="shared" si="9"/>
        <v>910.32998100000009</v>
      </c>
      <c r="P19" s="66"/>
      <c r="Q19" s="66"/>
      <c r="R19" s="66"/>
      <c r="S19" s="66"/>
    </row>
    <row r="20" spans="1:19" s="21" customFormat="1" ht="25.5" outlineLevel="1">
      <c r="A20" s="65"/>
      <c r="B20" s="63" t="s">
        <v>218</v>
      </c>
      <c r="C20" s="96" t="s">
        <v>122</v>
      </c>
      <c r="D20" s="97" t="str">
        <f>Composição!C22</f>
        <v>CONCRETAGEM DE BLOCOS DE VIGAS BALDRAMES, FCK 25 MPA, COM USO DE BOMBA LANÇAMENTO, ADENSAMENTO E ACABAMENTO. AF_06/2017</v>
      </c>
      <c r="E20" s="103" t="s">
        <v>11</v>
      </c>
      <c r="F20" s="156">
        <v>3.61</v>
      </c>
      <c r="G20" s="100">
        <f>Composição!E20</f>
        <v>682.27</v>
      </c>
      <c r="H20" s="99">
        <v>23.89</v>
      </c>
      <c r="I20" s="98">
        <f>Composição!G20</f>
        <v>706.16</v>
      </c>
      <c r="J20" s="76">
        <f t="shared" si="4"/>
        <v>821.04371800000001</v>
      </c>
      <c r="K20" s="64">
        <f t="shared" si="5"/>
        <v>28.749226</v>
      </c>
      <c r="L20" s="77">
        <f t="shared" si="6"/>
        <v>849.79294400000003</v>
      </c>
      <c r="M20" s="64">
        <f t="shared" si="7"/>
        <v>2963.96</v>
      </c>
      <c r="N20" s="64">
        <f t="shared" si="8"/>
        <v>103.78</v>
      </c>
      <c r="O20" s="64">
        <f t="shared" si="9"/>
        <v>3067.7400000000002</v>
      </c>
      <c r="P20" s="66"/>
      <c r="Q20" s="66"/>
      <c r="R20" s="66"/>
      <c r="S20" s="66"/>
    </row>
    <row r="21" spans="1:19" s="21" customFormat="1" ht="25.5" outlineLevel="1">
      <c r="A21" s="65"/>
      <c r="B21" s="63" t="s">
        <v>219</v>
      </c>
      <c r="C21" s="96">
        <v>96624</v>
      </c>
      <c r="D21" s="97" t="s">
        <v>37</v>
      </c>
      <c r="E21" s="103" t="s">
        <v>11</v>
      </c>
      <c r="F21" s="156">
        <v>9.01</v>
      </c>
      <c r="G21" s="100">
        <f>I21-H21</f>
        <v>126.79</v>
      </c>
      <c r="H21" s="99">
        <v>46.45</v>
      </c>
      <c r="I21" s="98">
        <v>173.24</v>
      </c>
      <c r="J21" s="76">
        <f t="shared" si="4"/>
        <v>152.57908600000002</v>
      </c>
      <c r="K21" s="64">
        <f t="shared" si="5"/>
        <v>55.897930000000002</v>
      </c>
      <c r="L21" s="77">
        <f t="shared" si="6"/>
        <v>208.47701600000002</v>
      </c>
      <c r="M21" s="64">
        <f t="shared" si="7"/>
        <v>1374.73</v>
      </c>
      <c r="N21" s="64">
        <f t="shared" si="8"/>
        <v>503.64</v>
      </c>
      <c r="O21" s="64">
        <f t="shared" si="9"/>
        <v>1878.37</v>
      </c>
      <c r="P21" s="66"/>
      <c r="Q21" s="66"/>
      <c r="R21" s="66"/>
      <c r="S21" s="66"/>
    </row>
    <row r="22" spans="1:19" s="21" customFormat="1" ht="13.15" customHeight="1" outlineLevel="1">
      <c r="A22" s="7"/>
      <c r="B22" s="369" t="s">
        <v>67</v>
      </c>
      <c r="C22" s="370"/>
      <c r="D22" s="370"/>
      <c r="E22" s="370"/>
      <c r="F22" s="370"/>
      <c r="G22" s="370"/>
      <c r="H22" s="370"/>
      <c r="I22" s="370"/>
      <c r="J22" s="62"/>
      <c r="K22" s="62"/>
      <c r="L22" s="62"/>
      <c r="M22" s="78">
        <f>SUM(M15:M21)</f>
        <v>13256.17712312</v>
      </c>
      <c r="N22" s="78">
        <f>SUM(N15:N21)</f>
        <v>4421.6983986800005</v>
      </c>
      <c r="O22" s="138">
        <f>SUM(O15:O21)</f>
        <v>17677.875521800001</v>
      </c>
      <c r="P22" s="20"/>
      <c r="Q22" s="20"/>
    </row>
    <row r="23" spans="1:19" s="21" customFormat="1" outlineLevel="1">
      <c r="A23" s="7"/>
      <c r="B23" s="11">
        <v>3</v>
      </c>
      <c r="C23" s="58"/>
      <c r="D23" s="25" t="s">
        <v>20</v>
      </c>
      <c r="E23" s="25"/>
      <c r="F23" s="25"/>
      <c r="G23" s="25"/>
      <c r="H23" s="25"/>
      <c r="I23" s="25"/>
      <c r="J23" s="25"/>
      <c r="K23" s="25"/>
      <c r="L23" s="25"/>
      <c r="M23" s="125"/>
      <c r="N23" s="125"/>
      <c r="O23" s="26"/>
      <c r="P23" s="20"/>
      <c r="Q23" s="20"/>
    </row>
    <row r="24" spans="1:19" s="21" customFormat="1" ht="25.5" outlineLevel="1">
      <c r="A24" s="65"/>
      <c r="B24" s="63" t="s">
        <v>220</v>
      </c>
      <c r="C24" s="96">
        <v>98562</v>
      </c>
      <c r="D24" s="101" t="s">
        <v>271</v>
      </c>
      <c r="E24" s="103" t="s">
        <v>5</v>
      </c>
      <c r="F24" s="156">
        <v>57.1</v>
      </c>
      <c r="G24" s="104">
        <f>I24-H24</f>
        <v>23.720000000000002</v>
      </c>
      <c r="H24" s="99">
        <v>29.48</v>
      </c>
      <c r="I24" s="105">
        <v>53.2</v>
      </c>
      <c r="J24" s="76">
        <f t="shared" ref="J24:J25" si="10">G24*(1+$O$5)</f>
        <v>28.544648000000002</v>
      </c>
      <c r="K24" s="64">
        <f t="shared" ref="K24:K25" si="11">H24*(1+$O$5)</f>
        <v>35.476232000000003</v>
      </c>
      <c r="L24" s="77">
        <f t="shared" ref="L24:L25" si="12">J24+K24</f>
        <v>64.020880000000005</v>
      </c>
      <c r="M24" s="64">
        <f t="shared" ref="M24" si="13">TRUNC(J24*F24,2)</f>
        <v>1629.89</v>
      </c>
      <c r="N24" s="64">
        <f t="shared" ref="N24" si="14">TRUNC(K24*F24,2)</f>
        <v>2025.69</v>
      </c>
      <c r="O24" s="64">
        <f t="shared" ref="O24" si="15">M24+N24</f>
        <v>3655.58</v>
      </c>
      <c r="P24" s="66"/>
      <c r="Q24" s="66"/>
      <c r="R24" s="66"/>
      <c r="S24" s="66"/>
    </row>
    <row r="25" spans="1:19" s="21" customFormat="1" ht="38.25" outlineLevel="1">
      <c r="A25" s="65"/>
      <c r="B25" s="63" t="s">
        <v>221</v>
      </c>
      <c r="C25" s="96" t="s">
        <v>122</v>
      </c>
      <c r="D25" s="137" t="s">
        <v>151</v>
      </c>
      <c r="E25" s="103" t="s">
        <v>5</v>
      </c>
      <c r="F25" s="156">
        <v>58.72</v>
      </c>
      <c r="G25" s="104">
        <f>I25-H25</f>
        <v>14</v>
      </c>
      <c r="H25" s="99">
        <v>23</v>
      </c>
      <c r="I25" s="105">
        <v>37</v>
      </c>
      <c r="J25" s="76">
        <f t="shared" si="10"/>
        <v>16.8476</v>
      </c>
      <c r="K25" s="64">
        <f t="shared" si="11"/>
        <v>27.6782</v>
      </c>
      <c r="L25" s="77">
        <f t="shared" si="12"/>
        <v>44.525800000000004</v>
      </c>
      <c r="M25" s="64">
        <f>F25*J25</f>
        <v>989.29107199999999</v>
      </c>
      <c r="N25" s="64">
        <f>TRUNC(K25*F25,2)</f>
        <v>1625.26</v>
      </c>
      <c r="O25" s="64">
        <f>M25+N25</f>
        <v>2614.5510720000002</v>
      </c>
      <c r="P25" s="66"/>
      <c r="Q25" s="66"/>
      <c r="R25" s="66"/>
      <c r="S25" s="66"/>
    </row>
    <row r="26" spans="1:19" s="21" customFormat="1" ht="13.15" customHeight="1" outlineLevel="1">
      <c r="A26" s="7"/>
      <c r="B26" s="378" t="s">
        <v>68</v>
      </c>
      <c r="C26" s="379"/>
      <c r="D26" s="379"/>
      <c r="E26" s="379"/>
      <c r="F26" s="379"/>
      <c r="G26" s="379"/>
      <c r="H26" s="379"/>
      <c r="I26" s="379"/>
      <c r="J26" s="62"/>
      <c r="K26" s="62"/>
      <c r="L26" s="62"/>
      <c r="M26" s="78">
        <f>SUM(M24:M25)</f>
        <v>2619.1810720000003</v>
      </c>
      <c r="N26" s="78">
        <f>SUM(N24:N25)</f>
        <v>3650.95</v>
      </c>
      <c r="O26" s="138">
        <f>SUM(O24:O25)</f>
        <v>6270.1310720000001</v>
      </c>
      <c r="P26" s="20"/>
      <c r="Q26" s="20"/>
    </row>
    <row r="27" spans="1:19" s="21" customFormat="1" outlineLevel="1">
      <c r="A27" s="7"/>
      <c r="B27" s="34">
        <v>4</v>
      </c>
      <c r="C27" s="58"/>
      <c r="D27" s="25" t="s">
        <v>135</v>
      </c>
      <c r="E27" s="25"/>
      <c r="F27" s="25"/>
      <c r="G27" s="25"/>
      <c r="H27" s="25"/>
      <c r="I27" s="25"/>
      <c r="J27" s="25"/>
      <c r="K27" s="25"/>
      <c r="L27" s="25"/>
      <c r="M27" s="125"/>
      <c r="N27" s="125"/>
      <c r="O27" s="26"/>
      <c r="P27" s="20"/>
      <c r="Q27" s="20"/>
    </row>
    <row r="28" spans="1:19" s="21" customFormat="1" ht="38.25" outlineLevel="1">
      <c r="A28" s="65"/>
      <c r="B28" s="63" t="s">
        <v>194</v>
      </c>
      <c r="C28" s="96">
        <v>92759</v>
      </c>
      <c r="D28" s="97" t="s">
        <v>28</v>
      </c>
      <c r="E28" s="103" t="s">
        <v>6</v>
      </c>
      <c r="F28" s="156">
        <v>60.16</v>
      </c>
      <c r="G28" s="100">
        <f>I28-H28</f>
        <v>10.91</v>
      </c>
      <c r="H28" s="99">
        <v>4.01</v>
      </c>
      <c r="I28" s="98">
        <v>14.92</v>
      </c>
      <c r="J28" s="76">
        <f t="shared" ref="J28:J32" si="16">G28*(1+$O$5)</f>
        <v>13.129094</v>
      </c>
      <c r="K28" s="64">
        <f t="shared" ref="K28:K32" si="17">H28*(1+$O$5)</f>
        <v>4.825634</v>
      </c>
      <c r="L28" s="77">
        <f t="shared" ref="L28:L32" si="18">J28+K28</f>
        <v>17.954727999999999</v>
      </c>
      <c r="M28" s="64">
        <f t="shared" ref="M28:M32" si="19">TRUNC(J28*F28,2)</f>
        <v>789.84</v>
      </c>
      <c r="N28" s="64">
        <f t="shared" ref="N28:N32" si="20">TRUNC(K28*F28,2)</f>
        <v>290.31</v>
      </c>
      <c r="O28" s="64">
        <f t="shared" ref="O28:O32" si="21">M28+N28</f>
        <v>1080.1500000000001</v>
      </c>
      <c r="P28" s="66"/>
      <c r="Q28" s="66"/>
      <c r="R28" s="66"/>
      <c r="S28" s="66"/>
    </row>
    <row r="29" spans="1:19" s="21" customFormat="1" ht="38.25" outlineLevel="1">
      <c r="A29" s="65"/>
      <c r="B29" s="63" t="s">
        <v>86</v>
      </c>
      <c r="C29" s="96">
        <v>92761</v>
      </c>
      <c r="D29" s="97" t="s">
        <v>95</v>
      </c>
      <c r="E29" s="103" t="s">
        <v>6</v>
      </c>
      <c r="F29" s="156">
        <v>95.8</v>
      </c>
      <c r="G29" s="100">
        <f t="shared" ref="G29:G32" si="22">I29-H29</f>
        <v>11.46</v>
      </c>
      <c r="H29" s="99">
        <v>1.71</v>
      </c>
      <c r="I29" s="98">
        <v>13.17</v>
      </c>
      <c r="J29" s="76">
        <f t="shared" si="16"/>
        <v>13.790964000000001</v>
      </c>
      <c r="K29" s="64">
        <f t="shared" si="17"/>
        <v>2.057814</v>
      </c>
      <c r="L29" s="77">
        <f t="shared" si="18"/>
        <v>15.848778000000001</v>
      </c>
      <c r="M29" s="64">
        <f t="shared" si="19"/>
        <v>1321.17</v>
      </c>
      <c r="N29" s="64">
        <f t="shared" si="20"/>
        <v>197.13</v>
      </c>
      <c r="O29" s="64">
        <f t="shared" si="21"/>
        <v>1518.3000000000002</v>
      </c>
      <c r="P29" s="66"/>
      <c r="Q29" s="66"/>
      <c r="R29" s="66"/>
      <c r="S29" s="66"/>
    </row>
    <row r="30" spans="1:19" s="21" customFormat="1" ht="25.5" outlineLevel="1">
      <c r="A30" s="65"/>
      <c r="B30" s="63" t="s">
        <v>195</v>
      </c>
      <c r="C30" s="96">
        <v>103674</v>
      </c>
      <c r="D30" s="97" t="s">
        <v>147</v>
      </c>
      <c r="E30" s="103" t="s">
        <v>11</v>
      </c>
      <c r="F30" s="156">
        <v>2.7</v>
      </c>
      <c r="G30" s="100">
        <f t="shared" si="22"/>
        <v>672.36999999999989</v>
      </c>
      <c r="H30" s="99">
        <v>49.44</v>
      </c>
      <c r="I30" s="98">
        <v>721.81</v>
      </c>
      <c r="J30" s="76">
        <f t="shared" si="16"/>
        <v>809.13005799999985</v>
      </c>
      <c r="K30" s="64">
        <f t="shared" si="17"/>
        <v>59.496096000000001</v>
      </c>
      <c r="L30" s="77">
        <f t="shared" si="18"/>
        <v>868.62615399999981</v>
      </c>
      <c r="M30" s="64">
        <f t="shared" si="19"/>
        <v>2184.65</v>
      </c>
      <c r="N30" s="64">
        <f t="shared" si="20"/>
        <v>160.63</v>
      </c>
      <c r="O30" s="64">
        <f t="shared" si="21"/>
        <v>2345.2800000000002</v>
      </c>
      <c r="P30" s="66"/>
      <c r="Q30" s="66"/>
      <c r="R30" s="66"/>
      <c r="S30" s="66"/>
    </row>
    <row r="31" spans="1:19" s="21" customFormat="1" outlineLevel="1">
      <c r="A31" s="65"/>
      <c r="B31" s="63"/>
      <c r="C31" s="96"/>
      <c r="D31" s="97" t="s">
        <v>272</v>
      </c>
      <c r="E31" s="103" t="s">
        <v>5</v>
      </c>
      <c r="F31" s="156">
        <v>6.93</v>
      </c>
      <c r="G31" s="100"/>
      <c r="H31" s="99"/>
      <c r="I31" s="98"/>
      <c r="J31" s="76"/>
      <c r="K31" s="64"/>
      <c r="L31" s="77"/>
      <c r="M31" s="64"/>
      <c r="N31" s="64"/>
      <c r="O31" s="64"/>
      <c r="P31" s="66"/>
      <c r="Q31" s="66"/>
      <c r="R31" s="66"/>
      <c r="S31" s="66"/>
    </row>
    <row r="32" spans="1:19" s="21" customFormat="1" ht="51" outlineLevel="1">
      <c r="A32" s="65"/>
      <c r="B32" s="63" t="s">
        <v>89</v>
      </c>
      <c r="C32" s="96">
        <v>92447</v>
      </c>
      <c r="D32" s="97" t="s">
        <v>203</v>
      </c>
      <c r="E32" s="103" t="s">
        <v>5</v>
      </c>
      <c r="F32" s="156">
        <v>36.06</v>
      </c>
      <c r="G32" s="100">
        <f t="shared" si="22"/>
        <v>127.86</v>
      </c>
      <c r="H32" s="99">
        <v>77.77</v>
      </c>
      <c r="I32" s="98">
        <v>205.63</v>
      </c>
      <c r="J32" s="76">
        <f t="shared" si="16"/>
        <v>153.866724</v>
      </c>
      <c r="K32" s="64">
        <f t="shared" si="17"/>
        <v>93.58841799999999</v>
      </c>
      <c r="L32" s="77">
        <f t="shared" si="18"/>
        <v>247.455142</v>
      </c>
      <c r="M32" s="64">
        <f t="shared" si="19"/>
        <v>5548.43</v>
      </c>
      <c r="N32" s="64">
        <f t="shared" si="20"/>
        <v>3374.79</v>
      </c>
      <c r="O32" s="64">
        <f t="shared" si="21"/>
        <v>8923.2200000000012</v>
      </c>
      <c r="P32" s="66"/>
      <c r="Q32" s="66"/>
      <c r="R32" s="66"/>
      <c r="S32" s="66"/>
    </row>
    <row r="33" spans="1:19" s="21" customFormat="1" ht="13.15" customHeight="1" outlineLevel="1">
      <c r="A33" s="7"/>
      <c r="B33" s="369" t="s">
        <v>69</v>
      </c>
      <c r="C33" s="370"/>
      <c r="D33" s="370"/>
      <c r="E33" s="370"/>
      <c r="F33" s="370"/>
      <c r="G33" s="370"/>
      <c r="H33" s="370"/>
      <c r="I33" s="370"/>
      <c r="J33" s="62"/>
      <c r="K33" s="62"/>
      <c r="L33" s="62"/>
      <c r="M33" s="78">
        <f>SUM(M28:M32)</f>
        <v>9844.09</v>
      </c>
      <c r="N33" s="78">
        <f>SUM(N28:N32)</f>
        <v>4022.8599999999997</v>
      </c>
      <c r="O33" s="138">
        <f>SUM(O28:O32)</f>
        <v>13866.95</v>
      </c>
      <c r="P33" s="20"/>
      <c r="Q33" s="20"/>
    </row>
    <row r="34" spans="1:19" s="21" customFormat="1" outlineLevel="1">
      <c r="A34" s="7"/>
      <c r="B34" s="34">
        <v>5</v>
      </c>
      <c r="C34" s="58"/>
      <c r="D34" s="46" t="s">
        <v>30</v>
      </c>
      <c r="E34" s="48"/>
      <c r="F34" s="49"/>
      <c r="G34" s="50"/>
      <c r="H34" s="51"/>
      <c r="I34" s="52"/>
      <c r="J34" s="52"/>
      <c r="K34" s="52"/>
      <c r="L34" s="52"/>
      <c r="M34" s="126"/>
      <c r="N34" s="126"/>
      <c r="O34" s="53"/>
      <c r="P34" s="20"/>
      <c r="Q34" s="20"/>
    </row>
    <row r="35" spans="1:19" s="21" customFormat="1" outlineLevel="1">
      <c r="A35" s="65"/>
      <c r="B35" s="63" t="s">
        <v>127</v>
      </c>
      <c r="C35" s="157" t="s">
        <v>122</v>
      </c>
      <c r="D35" s="158" t="s">
        <v>279</v>
      </c>
      <c r="E35" s="103" t="s">
        <v>5</v>
      </c>
      <c r="F35" s="156">
        <v>195.15</v>
      </c>
      <c r="G35" s="100">
        <f>I35-H35</f>
        <v>23.599999999999994</v>
      </c>
      <c r="H35" s="99">
        <v>37.200000000000003</v>
      </c>
      <c r="I35" s="98">
        <v>60.8</v>
      </c>
      <c r="J35" s="76">
        <f t="shared" ref="J35:J37" si="23">G35*(1+$O$5)</f>
        <v>28.400239999999993</v>
      </c>
      <c r="K35" s="64">
        <f t="shared" ref="K35:K37" si="24">H35*(1+$O$5)</f>
        <v>44.766480000000001</v>
      </c>
      <c r="L35" s="77">
        <f t="shared" ref="L35:L37" si="25">J35+K35</f>
        <v>73.166719999999998</v>
      </c>
      <c r="M35" s="64">
        <f>F35*J35</f>
        <v>5542.3068359999988</v>
      </c>
      <c r="N35" s="64">
        <f>F35*K35</f>
        <v>8736.1785720000007</v>
      </c>
      <c r="O35" s="64">
        <f t="shared" ref="O35:O37" si="26">M35+N35</f>
        <v>14278.485408</v>
      </c>
      <c r="P35" s="66"/>
      <c r="Q35" s="66"/>
      <c r="R35" s="66"/>
      <c r="S35" s="66"/>
    </row>
    <row r="36" spans="1:19" s="21" customFormat="1" outlineLevel="1">
      <c r="A36" s="65"/>
      <c r="B36" s="63" t="s">
        <v>136</v>
      </c>
      <c r="C36" s="96">
        <v>105024</v>
      </c>
      <c r="D36" s="106" t="s">
        <v>168</v>
      </c>
      <c r="E36" s="103" t="s">
        <v>4</v>
      </c>
      <c r="F36" s="156">
        <v>19.2</v>
      </c>
      <c r="G36" s="100">
        <f>I36-H36</f>
        <v>37.14</v>
      </c>
      <c r="H36" s="99">
        <v>17.18</v>
      </c>
      <c r="I36" s="98">
        <v>54.32</v>
      </c>
      <c r="J36" s="76">
        <f t="shared" si="23"/>
        <v>44.694276000000002</v>
      </c>
      <c r="K36" s="64">
        <f t="shared" si="24"/>
        <v>20.674412</v>
      </c>
      <c r="L36" s="77">
        <f t="shared" si="25"/>
        <v>65.368688000000006</v>
      </c>
      <c r="M36" s="64">
        <f t="shared" ref="M36:M37" si="27">TRUNC(J36*F36,2)</f>
        <v>858.13</v>
      </c>
      <c r="N36" s="64">
        <f t="shared" ref="N36:N37" si="28">TRUNC(K36*F36,2)</f>
        <v>396.94</v>
      </c>
      <c r="O36" s="64">
        <f t="shared" si="26"/>
        <v>1255.07</v>
      </c>
      <c r="P36" s="66"/>
      <c r="Q36" s="66"/>
      <c r="R36" s="66"/>
      <c r="S36" s="66"/>
    </row>
    <row r="37" spans="1:19" s="21" customFormat="1" ht="25.5" outlineLevel="1">
      <c r="A37" s="65"/>
      <c r="B37" s="63" t="s">
        <v>222</v>
      </c>
      <c r="C37" s="96">
        <v>105030</v>
      </c>
      <c r="D37" s="102" t="s">
        <v>167</v>
      </c>
      <c r="E37" s="103" t="s">
        <v>4</v>
      </c>
      <c r="F37" s="156">
        <v>11.6</v>
      </c>
      <c r="G37" s="100">
        <f>I37-H37</f>
        <v>31.479999999999997</v>
      </c>
      <c r="H37" s="99">
        <v>11.07</v>
      </c>
      <c r="I37" s="98">
        <v>42.55</v>
      </c>
      <c r="J37" s="76">
        <f t="shared" si="23"/>
        <v>37.883032</v>
      </c>
      <c r="K37" s="64">
        <f t="shared" si="24"/>
        <v>13.321638</v>
      </c>
      <c r="L37" s="77">
        <f t="shared" si="25"/>
        <v>51.20467</v>
      </c>
      <c r="M37" s="64">
        <f t="shared" si="27"/>
        <v>439.44</v>
      </c>
      <c r="N37" s="64">
        <f t="shared" si="28"/>
        <v>154.53</v>
      </c>
      <c r="O37" s="64">
        <f t="shared" si="26"/>
        <v>593.97</v>
      </c>
      <c r="P37" s="66"/>
      <c r="Q37" s="66"/>
      <c r="R37" s="66"/>
      <c r="S37" s="66"/>
    </row>
    <row r="38" spans="1:19" s="21" customFormat="1" ht="13.15" customHeight="1" outlineLevel="1">
      <c r="A38" s="7"/>
      <c r="B38" s="369" t="s">
        <v>70</v>
      </c>
      <c r="C38" s="370"/>
      <c r="D38" s="370"/>
      <c r="E38" s="370"/>
      <c r="F38" s="370"/>
      <c r="G38" s="370"/>
      <c r="H38" s="370"/>
      <c r="I38" s="370"/>
      <c r="J38" s="62"/>
      <c r="K38" s="62"/>
      <c r="L38" s="62"/>
      <c r="M38" s="78">
        <f>SUM(M35:M37)</f>
        <v>6839.8768359999985</v>
      </c>
      <c r="N38" s="78">
        <f>SUM(N35:N37)</f>
        <v>9287.6485720000019</v>
      </c>
      <c r="O38" s="138">
        <f>SUM(O35:O37)</f>
        <v>16127.525408</v>
      </c>
      <c r="P38" s="20"/>
      <c r="Q38" s="20"/>
    </row>
    <row r="39" spans="1:19" s="21" customFormat="1" outlineLevel="1">
      <c r="A39" s="7"/>
      <c r="B39" s="34">
        <v>6</v>
      </c>
      <c r="C39" s="58"/>
      <c r="D39" s="46" t="s">
        <v>21</v>
      </c>
      <c r="E39" s="48"/>
      <c r="F39" s="49"/>
      <c r="G39" s="50"/>
      <c r="H39" s="51"/>
      <c r="I39" s="52"/>
      <c r="J39" s="52"/>
      <c r="K39" s="52"/>
      <c r="L39" s="52"/>
      <c r="M39" s="126"/>
      <c r="N39" s="126"/>
      <c r="O39" s="53"/>
      <c r="P39" s="20"/>
      <c r="Q39" s="20"/>
    </row>
    <row r="40" spans="1:19" s="21" customFormat="1" ht="38.25" outlineLevel="1">
      <c r="A40" s="65"/>
      <c r="B40" s="63" t="s">
        <v>114</v>
      </c>
      <c r="C40" s="96" t="s">
        <v>122</v>
      </c>
      <c r="D40" s="136" t="s">
        <v>159</v>
      </c>
      <c r="E40" s="103" t="s">
        <v>34</v>
      </c>
      <c r="F40" s="156">
        <v>6</v>
      </c>
      <c r="G40" s="100">
        <f>I40-H40</f>
        <v>195</v>
      </c>
      <c r="H40" s="99">
        <v>248</v>
      </c>
      <c r="I40" s="98">
        <v>443</v>
      </c>
      <c r="J40" s="76">
        <f t="shared" ref="J40" si="29">G40*(1+$O$5)</f>
        <v>234.66300000000001</v>
      </c>
      <c r="K40" s="64">
        <f t="shared" ref="K40" si="30">H40*(1+$O$5)</f>
        <v>298.44319999999999</v>
      </c>
      <c r="L40" s="77">
        <f t="shared" ref="L40" si="31">J40+K40</f>
        <v>533.10619999999994</v>
      </c>
      <c r="M40" s="64">
        <f>F40*J40</f>
        <v>1407.9780000000001</v>
      </c>
      <c r="N40" s="64">
        <f>F40*K40</f>
        <v>1790.6592000000001</v>
      </c>
      <c r="O40" s="64">
        <f t="shared" ref="O40" si="32">M40+N40</f>
        <v>3198.6372000000001</v>
      </c>
      <c r="P40" s="66"/>
      <c r="Q40" s="66"/>
      <c r="R40" s="66"/>
      <c r="S40" s="66"/>
    </row>
    <row r="41" spans="1:19" s="21" customFormat="1" ht="38.25" outlineLevel="1">
      <c r="A41" s="65"/>
      <c r="B41" s="63" t="s">
        <v>196</v>
      </c>
      <c r="C41" s="96" t="s">
        <v>122</v>
      </c>
      <c r="D41" s="136" t="s">
        <v>33</v>
      </c>
      <c r="E41" s="103" t="s">
        <v>5</v>
      </c>
      <c r="F41" s="156">
        <v>89.97</v>
      </c>
      <c r="G41" s="100">
        <f t="shared" ref="G41:G45" si="33">I41-H41</f>
        <v>1.5499999999999998</v>
      </c>
      <c r="H41" s="99">
        <v>2.5</v>
      </c>
      <c r="I41" s="98">
        <v>4.05</v>
      </c>
      <c r="J41" s="76">
        <f>G41*(1+$O$5)</f>
        <v>1.8652699999999998</v>
      </c>
      <c r="K41" s="64">
        <f>H41*(1+$O$5)</f>
        <v>3.0085000000000002</v>
      </c>
      <c r="L41" s="77">
        <f>J41+K41</f>
        <v>4.8737700000000004</v>
      </c>
      <c r="M41" s="64">
        <f>F41*J41</f>
        <v>167.81834189999998</v>
      </c>
      <c r="N41" s="64">
        <f>TRUNC(K41*F41,2)</f>
        <v>270.67</v>
      </c>
      <c r="O41" s="64">
        <f>M41+N41</f>
        <v>438.48834190000002</v>
      </c>
      <c r="P41" s="66"/>
      <c r="Q41" s="66"/>
      <c r="R41" s="66"/>
      <c r="S41" s="66"/>
    </row>
    <row r="42" spans="1:19" s="21" customFormat="1" ht="51" outlineLevel="1">
      <c r="A42" s="65"/>
      <c r="B42" s="63" t="s">
        <v>115</v>
      </c>
      <c r="C42" s="96" t="s">
        <v>122</v>
      </c>
      <c r="D42" s="136" t="s">
        <v>31</v>
      </c>
      <c r="E42" s="103" t="s">
        <v>5</v>
      </c>
      <c r="F42" s="156">
        <v>89.97</v>
      </c>
      <c r="G42" s="100">
        <f t="shared" si="33"/>
        <v>30.6</v>
      </c>
      <c r="H42" s="99">
        <v>5</v>
      </c>
      <c r="I42" s="98">
        <v>35.6</v>
      </c>
      <c r="J42" s="76">
        <f t="shared" ref="J42" si="34">G42*(1+$O$5)</f>
        <v>36.824040000000004</v>
      </c>
      <c r="K42" s="64">
        <f t="shared" ref="K42" si="35">H42*(1+$O$5)</f>
        <v>6.0170000000000003</v>
      </c>
      <c r="L42" s="77">
        <f t="shared" ref="L42" si="36">J42+K42</f>
        <v>42.841040000000007</v>
      </c>
      <c r="M42" s="64">
        <f>F42*J42</f>
        <v>3313.0588788000005</v>
      </c>
      <c r="N42" s="64">
        <f t="shared" ref="N42" si="37">TRUNC(K42*F42,2)</f>
        <v>541.34</v>
      </c>
      <c r="O42" s="64">
        <f t="shared" ref="O42" si="38">M42+N42</f>
        <v>3854.3988788000006</v>
      </c>
      <c r="P42" s="66"/>
      <c r="Q42" s="66"/>
      <c r="R42" s="66"/>
      <c r="S42" s="66"/>
    </row>
    <row r="43" spans="1:19" s="21" customFormat="1" ht="25.5" outlineLevel="1">
      <c r="A43" s="65"/>
      <c r="B43" s="63" t="s">
        <v>197</v>
      </c>
      <c r="C43" s="96" t="s">
        <v>122</v>
      </c>
      <c r="D43" s="136" t="s">
        <v>153</v>
      </c>
      <c r="E43" s="103" t="s">
        <v>4</v>
      </c>
      <c r="F43" s="156">
        <v>8.3000000000000007</v>
      </c>
      <c r="G43" s="100">
        <f t="shared" si="33"/>
        <v>46.3</v>
      </c>
      <c r="H43" s="99">
        <v>2.67</v>
      </c>
      <c r="I43" s="98">
        <v>48.97</v>
      </c>
      <c r="J43" s="76">
        <f t="shared" ref="J43:J44" si="39">G43*(1+$O$5)</f>
        <v>55.717419999999997</v>
      </c>
      <c r="K43" s="64">
        <f t="shared" ref="K43:K44" si="40">H43*(1+$O$5)</f>
        <v>3.2130779999999999</v>
      </c>
      <c r="L43" s="77">
        <f t="shared" ref="L43:L44" si="41">J43+K43</f>
        <v>58.930498</v>
      </c>
      <c r="M43" s="64">
        <f>F43*J43</f>
        <v>462.45458600000001</v>
      </c>
      <c r="N43" s="64">
        <f t="shared" ref="N43:N44" si="42">TRUNC(K43*F43,2)</f>
        <v>26.66</v>
      </c>
      <c r="O43" s="64">
        <f t="shared" ref="O43:O44" si="43">M43+N43</f>
        <v>489.11458600000003</v>
      </c>
      <c r="P43" s="66"/>
      <c r="Q43" s="66"/>
      <c r="R43" s="66"/>
      <c r="S43" s="66"/>
    </row>
    <row r="44" spans="1:19" s="21" customFormat="1" ht="25.5" outlineLevel="1">
      <c r="A44" s="65"/>
      <c r="B44" s="63" t="s">
        <v>223</v>
      </c>
      <c r="C44" s="96">
        <v>96111</v>
      </c>
      <c r="D44" s="137" t="s">
        <v>189</v>
      </c>
      <c r="E44" s="103" t="s">
        <v>5</v>
      </c>
      <c r="F44" s="156">
        <v>51.07</v>
      </c>
      <c r="G44" s="100">
        <f>I44-H44</f>
        <v>59.79</v>
      </c>
      <c r="H44" s="99">
        <v>19.46</v>
      </c>
      <c r="I44" s="98">
        <v>79.25</v>
      </c>
      <c r="J44" s="76">
        <f t="shared" si="39"/>
        <v>71.951285999999996</v>
      </c>
      <c r="K44" s="64">
        <f t="shared" si="40"/>
        <v>23.418164000000001</v>
      </c>
      <c r="L44" s="77">
        <f t="shared" si="41"/>
        <v>95.369450000000001</v>
      </c>
      <c r="M44" s="64">
        <f t="shared" ref="M44" si="44">TRUNC(J44*F44,2)</f>
        <v>3674.55</v>
      </c>
      <c r="N44" s="64">
        <f t="shared" si="42"/>
        <v>1195.96</v>
      </c>
      <c r="O44" s="64">
        <f t="shared" si="43"/>
        <v>4870.51</v>
      </c>
      <c r="P44" s="66"/>
      <c r="Q44" s="66"/>
      <c r="R44" s="66"/>
      <c r="S44" s="66"/>
    </row>
    <row r="45" spans="1:19" s="21" customFormat="1" ht="25.5" outlineLevel="1">
      <c r="A45" s="65"/>
      <c r="B45" s="63" t="s">
        <v>224</v>
      </c>
      <c r="C45" s="96">
        <v>94231</v>
      </c>
      <c r="D45" s="97" t="s">
        <v>121</v>
      </c>
      <c r="E45" s="103" t="s">
        <v>4</v>
      </c>
      <c r="F45" s="156">
        <v>5.4</v>
      </c>
      <c r="G45" s="100">
        <f t="shared" si="33"/>
        <v>52.3</v>
      </c>
      <c r="H45" s="99">
        <v>6.92</v>
      </c>
      <c r="I45" s="98">
        <v>59.22</v>
      </c>
      <c r="J45" s="76">
        <f>G45*(1+$O$5)</f>
        <v>62.937819999999995</v>
      </c>
      <c r="K45" s="64">
        <f>H45*(1+$O$5)</f>
        <v>8.3275280000000009</v>
      </c>
      <c r="L45" s="77">
        <f>J45+K45</f>
        <v>71.265347999999989</v>
      </c>
      <c r="M45" s="64">
        <f>TRUNC(J45*F45,2)</f>
        <v>339.86</v>
      </c>
      <c r="N45" s="64">
        <f>TRUNC(K45*F45,2)</f>
        <v>44.96</v>
      </c>
      <c r="O45" s="64">
        <f>M45+N45</f>
        <v>384.82</v>
      </c>
      <c r="P45" s="66"/>
      <c r="Q45" s="66"/>
      <c r="R45" s="66"/>
      <c r="S45" s="66"/>
    </row>
    <row r="46" spans="1:19" s="21" customFormat="1" ht="13.15" customHeight="1" outlineLevel="1">
      <c r="A46" s="7"/>
      <c r="B46" s="369" t="s">
        <v>71</v>
      </c>
      <c r="C46" s="370"/>
      <c r="D46" s="370"/>
      <c r="E46" s="370"/>
      <c r="F46" s="370"/>
      <c r="G46" s="370"/>
      <c r="H46" s="370"/>
      <c r="I46" s="370"/>
      <c r="J46" s="62"/>
      <c r="K46" s="62"/>
      <c r="L46" s="62"/>
      <c r="M46" s="78">
        <f>SUM(M40:M45)</f>
        <v>9365.7198067000008</v>
      </c>
      <c r="N46" s="78">
        <f>SUM(N40:N45)</f>
        <v>3870.2492000000002</v>
      </c>
      <c r="O46" s="138">
        <f>SUM(O40:O45)</f>
        <v>13235.969006700001</v>
      </c>
      <c r="P46" s="20"/>
      <c r="Q46" s="20"/>
    </row>
    <row r="47" spans="1:19" s="21" customFormat="1" outlineLevel="1">
      <c r="A47" s="7"/>
      <c r="B47" s="34">
        <v>7</v>
      </c>
      <c r="C47" s="58"/>
      <c r="D47" s="46" t="s">
        <v>35</v>
      </c>
      <c r="E47" s="48"/>
      <c r="F47" s="49"/>
      <c r="G47" s="50"/>
      <c r="H47" s="51"/>
      <c r="I47" s="52"/>
      <c r="J47" s="52"/>
      <c r="K47" s="52"/>
      <c r="L47" s="52"/>
      <c r="M47" s="126"/>
      <c r="N47" s="126"/>
      <c r="O47" s="53"/>
      <c r="P47" s="20"/>
      <c r="Q47" s="20"/>
    </row>
    <row r="48" spans="1:19" s="21" customFormat="1" ht="38.25" outlineLevel="1">
      <c r="A48" s="65"/>
      <c r="B48" s="63" t="s">
        <v>225</v>
      </c>
      <c r="C48" s="96">
        <v>101502</v>
      </c>
      <c r="D48" s="101" t="s">
        <v>188</v>
      </c>
      <c r="E48" s="103" t="s">
        <v>34</v>
      </c>
      <c r="F48" s="156">
        <v>1</v>
      </c>
      <c r="G48" s="100">
        <f>I48-H48</f>
        <v>1550.66</v>
      </c>
      <c r="H48" s="99">
        <v>460.83</v>
      </c>
      <c r="I48" s="98">
        <v>2011.49</v>
      </c>
      <c r="J48" s="117">
        <f>G48*(1+$O$5)</f>
        <v>1866.0642440000001</v>
      </c>
      <c r="K48" s="118">
        <f t="shared" ref="K48:K67" si="45">H48*(1+$O$5)</f>
        <v>554.56282199999998</v>
      </c>
      <c r="L48" s="119">
        <f>J48+K48</f>
        <v>2420.627066</v>
      </c>
      <c r="M48" s="118">
        <f>TRUNC(J48*F48,2)</f>
        <v>1866.06</v>
      </c>
      <c r="N48" s="118">
        <f t="shared" ref="N48:N67" si="46">TRUNC(K48*F48,2)</f>
        <v>554.55999999999995</v>
      </c>
      <c r="O48" s="118">
        <f t="shared" ref="O48:O67" si="47">M48+N48</f>
        <v>2420.62</v>
      </c>
      <c r="P48" s="66"/>
      <c r="Q48" s="66"/>
      <c r="R48" s="66"/>
      <c r="S48" s="66"/>
    </row>
    <row r="49" spans="1:19" s="21" customFormat="1" outlineLevel="1">
      <c r="A49" s="65"/>
      <c r="B49" s="63" t="s">
        <v>226</v>
      </c>
      <c r="C49" s="96">
        <v>5044</v>
      </c>
      <c r="D49" s="115" t="s">
        <v>101</v>
      </c>
      <c r="E49" s="103" t="s">
        <v>34</v>
      </c>
      <c r="F49" s="156">
        <v>1</v>
      </c>
      <c r="G49" s="100">
        <f>I49-H49</f>
        <v>1108.21</v>
      </c>
      <c r="H49" s="99">
        <v>46.42</v>
      </c>
      <c r="I49" s="98">
        <v>1154.6300000000001</v>
      </c>
      <c r="J49" s="117">
        <f>G49*(1+$O$5)</f>
        <v>1333.6199140000001</v>
      </c>
      <c r="K49" s="118">
        <f t="shared" si="45"/>
        <v>55.861828000000003</v>
      </c>
      <c r="L49" s="119">
        <f>J49+K49</f>
        <v>1389.4817420000002</v>
      </c>
      <c r="M49" s="118">
        <f>TRUNC(J49*F49,2)</f>
        <v>1333.61</v>
      </c>
      <c r="N49" s="118">
        <f t="shared" si="46"/>
        <v>55.86</v>
      </c>
      <c r="O49" s="118">
        <f t="shared" si="47"/>
        <v>1389.4699999999998</v>
      </c>
      <c r="P49" s="66"/>
      <c r="Q49" s="66"/>
      <c r="R49" s="66"/>
      <c r="S49" s="66"/>
    </row>
    <row r="50" spans="1:19" s="21" customFormat="1" ht="25.5" outlineLevel="1">
      <c r="A50" s="65"/>
      <c r="B50" s="63" t="s">
        <v>227</v>
      </c>
      <c r="C50" s="96" t="s">
        <v>122</v>
      </c>
      <c r="D50" s="136" t="s">
        <v>103</v>
      </c>
      <c r="E50" s="103" t="s">
        <v>4</v>
      </c>
      <c r="F50" s="156">
        <v>559.20000000000005</v>
      </c>
      <c r="G50" s="100">
        <f>I50-H50</f>
        <v>1.98</v>
      </c>
      <c r="H50" s="99">
        <v>1.31</v>
      </c>
      <c r="I50" s="98">
        <v>3.29</v>
      </c>
      <c r="J50" s="76">
        <f t="shared" ref="J50:J67" si="48">G50*(1+$O$5)</f>
        <v>2.3827319999999999</v>
      </c>
      <c r="K50" s="64">
        <f t="shared" si="45"/>
        <v>1.576454</v>
      </c>
      <c r="L50" s="77">
        <f t="shared" ref="L50:L67" si="49">J50+K50</f>
        <v>3.9591859999999999</v>
      </c>
      <c r="M50" s="64">
        <f>F50*J50</f>
        <v>1332.4237344000001</v>
      </c>
      <c r="N50" s="64">
        <f>TRUNC(K50*F50,2)</f>
        <v>881.55</v>
      </c>
      <c r="O50" s="64">
        <f t="shared" si="47"/>
        <v>2213.9737344</v>
      </c>
      <c r="P50" s="66"/>
      <c r="Q50" s="66"/>
      <c r="R50" s="66"/>
      <c r="S50" s="66"/>
    </row>
    <row r="51" spans="1:19" s="21" customFormat="1" outlineLevel="1">
      <c r="A51" s="65"/>
      <c r="B51" s="63" t="s">
        <v>228</v>
      </c>
      <c r="C51" s="96" t="s">
        <v>122</v>
      </c>
      <c r="D51" s="159" t="s">
        <v>278</v>
      </c>
      <c r="E51" s="103" t="s">
        <v>4</v>
      </c>
      <c r="F51" s="156">
        <v>300</v>
      </c>
      <c r="G51" s="100">
        <f t="shared" ref="G51" si="50">I51-H51</f>
        <v>4.7</v>
      </c>
      <c r="H51" s="99">
        <v>2.5</v>
      </c>
      <c r="I51" s="98">
        <v>7.2</v>
      </c>
      <c r="J51" s="76">
        <f t="shared" si="48"/>
        <v>5.6559800000000005</v>
      </c>
      <c r="K51" s="64">
        <f t="shared" si="45"/>
        <v>3.0085000000000002</v>
      </c>
      <c r="L51" s="77">
        <f t="shared" si="49"/>
        <v>8.6644800000000011</v>
      </c>
      <c r="M51" s="64">
        <f>F51*J51</f>
        <v>1696.7940000000001</v>
      </c>
      <c r="N51" s="64">
        <f t="shared" si="46"/>
        <v>902.55</v>
      </c>
      <c r="O51" s="64">
        <f t="shared" si="47"/>
        <v>2599.3440000000001</v>
      </c>
      <c r="P51" s="66"/>
      <c r="Q51" s="66"/>
      <c r="R51" s="66"/>
      <c r="S51" s="66"/>
    </row>
    <row r="52" spans="1:19" s="21" customFormat="1" ht="25.5" outlineLevel="1">
      <c r="A52" s="65"/>
      <c r="B52" s="63" t="s">
        <v>229</v>
      </c>
      <c r="C52" s="96" t="s">
        <v>122</v>
      </c>
      <c r="D52" s="160" t="s">
        <v>104</v>
      </c>
      <c r="E52" s="103" t="s">
        <v>4</v>
      </c>
      <c r="F52" s="156">
        <v>3.2</v>
      </c>
      <c r="G52" s="100">
        <f>I52-H52</f>
        <v>3.75</v>
      </c>
      <c r="H52" s="99">
        <v>6.75</v>
      </c>
      <c r="I52" s="98">
        <v>10.5</v>
      </c>
      <c r="J52" s="76">
        <f t="shared" si="48"/>
        <v>4.5127500000000005</v>
      </c>
      <c r="K52" s="64">
        <f t="shared" si="45"/>
        <v>8.1229499999999994</v>
      </c>
      <c r="L52" s="77">
        <f t="shared" si="49"/>
        <v>12.6357</v>
      </c>
      <c r="M52" s="64">
        <f>F52*J52</f>
        <v>14.440800000000003</v>
      </c>
      <c r="N52" s="64">
        <f t="shared" si="46"/>
        <v>25.99</v>
      </c>
      <c r="O52" s="64">
        <f t="shared" si="47"/>
        <v>40.430800000000005</v>
      </c>
      <c r="P52" s="66"/>
      <c r="Q52" s="66"/>
      <c r="R52" s="66"/>
      <c r="S52" s="66"/>
    </row>
    <row r="53" spans="1:19" s="21" customFormat="1" outlineLevel="1">
      <c r="A53" s="65"/>
      <c r="B53" s="63"/>
      <c r="C53" s="96"/>
      <c r="D53" s="160" t="s">
        <v>276</v>
      </c>
      <c r="E53" s="103" t="s">
        <v>4</v>
      </c>
      <c r="F53" s="156">
        <v>59.8</v>
      </c>
      <c r="G53" s="100"/>
      <c r="H53" s="99"/>
      <c r="I53" s="98"/>
      <c r="J53" s="76"/>
      <c r="K53" s="64"/>
      <c r="L53" s="77"/>
      <c r="M53" s="64"/>
      <c r="N53" s="64"/>
      <c r="O53" s="64"/>
      <c r="P53" s="66"/>
      <c r="Q53" s="66"/>
      <c r="R53" s="66"/>
      <c r="S53" s="66"/>
    </row>
    <row r="54" spans="1:19" s="21" customFormat="1" outlineLevel="1">
      <c r="A54" s="65"/>
      <c r="B54" s="63"/>
      <c r="C54" s="96"/>
      <c r="D54" s="160" t="s">
        <v>277</v>
      </c>
      <c r="E54" s="103" t="s">
        <v>4</v>
      </c>
      <c r="F54" s="156">
        <v>6.2</v>
      </c>
      <c r="G54" s="100"/>
      <c r="H54" s="99"/>
      <c r="I54" s="98"/>
      <c r="J54" s="76"/>
      <c r="K54" s="64"/>
      <c r="L54" s="77"/>
      <c r="M54" s="64"/>
      <c r="N54" s="64"/>
      <c r="O54" s="64"/>
      <c r="P54" s="66"/>
      <c r="Q54" s="66"/>
      <c r="R54" s="66"/>
      <c r="S54" s="66"/>
    </row>
    <row r="55" spans="1:19" s="21" customFormat="1" ht="25.5" outlineLevel="1">
      <c r="A55" s="65"/>
      <c r="B55" s="63" t="s">
        <v>230</v>
      </c>
      <c r="C55" s="96">
        <v>90447</v>
      </c>
      <c r="D55" s="136" t="s">
        <v>105</v>
      </c>
      <c r="E55" s="103" t="s">
        <v>4</v>
      </c>
      <c r="F55" s="156">
        <v>44.9</v>
      </c>
      <c r="G55" s="100">
        <f>I55-H55</f>
        <v>1.92</v>
      </c>
      <c r="H55" s="99">
        <v>7.18</v>
      </c>
      <c r="I55" s="98">
        <v>9.1</v>
      </c>
      <c r="J55" s="76">
        <f t="shared" si="48"/>
        <v>2.3105280000000001</v>
      </c>
      <c r="K55" s="64">
        <f t="shared" si="45"/>
        <v>8.6404119999999995</v>
      </c>
      <c r="L55" s="77">
        <f t="shared" si="49"/>
        <v>10.950939999999999</v>
      </c>
      <c r="M55" s="64">
        <f t="shared" ref="M55" si="51">TRUNC(J55*F55,2)</f>
        <v>103.74</v>
      </c>
      <c r="N55" s="64">
        <f t="shared" si="46"/>
        <v>387.95</v>
      </c>
      <c r="O55" s="64">
        <f t="shared" si="47"/>
        <v>491.69</v>
      </c>
      <c r="P55" s="66"/>
      <c r="Q55" s="66"/>
      <c r="R55" s="66"/>
      <c r="S55" s="66"/>
    </row>
    <row r="56" spans="1:19" s="21" customFormat="1" ht="25.5" outlineLevel="1">
      <c r="A56" s="65"/>
      <c r="B56" s="63" t="s">
        <v>231</v>
      </c>
      <c r="C56" s="96" t="s">
        <v>122</v>
      </c>
      <c r="D56" s="136" t="s">
        <v>106</v>
      </c>
      <c r="E56" s="103" t="s">
        <v>34</v>
      </c>
      <c r="F56" s="156">
        <v>6</v>
      </c>
      <c r="G56" s="100">
        <f t="shared" ref="G56:G61" si="52">I56-H56</f>
        <v>4.6300000000000008</v>
      </c>
      <c r="H56" s="99">
        <v>15.87</v>
      </c>
      <c r="I56" s="98">
        <v>20.5</v>
      </c>
      <c r="J56" s="76">
        <f t="shared" si="48"/>
        <v>5.5717420000000013</v>
      </c>
      <c r="K56" s="64">
        <f t="shared" si="45"/>
        <v>19.097957999999998</v>
      </c>
      <c r="L56" s="77">
        <f t="shared" si="49"/>
        <v>24.669699999999999</v>
      </c>
      <c r="M56" s="64">
        <f t="shared" ref="M56:M67" si="53">F56*J56</f>
        <v>33.43045200000001</v>
      </c>
      <c r="N56" s="64">
        <f t="shared" si="46"/>
        <v>114.58</v>
      </c>
      <c r="O56" s="64">
        <f t="shared" si="47"/>
        <v>148.01045200000002</v>
      </c>
      <c r="P56" s="66"/>
      <c r="Q56" s="66"/>
      <c r="R56" s="66"/>
      <c r="S56" s="66"/>
    </row>
    <row r="57" spans="1:19" s="21" customFormat="1" ht="25.5" outlineLevel="1">
      <c r="A57" s="65"/>
      <c r="B57" s="63" t="s">
        <v>232</v>
      </c>
      <c r="C57" s="96" t="s">
        <v>122</v>
      </c>
      <c r="D57" s="136" t="s">
        <v>107</v>
      </c>
      <c r="E57" s="103" t="s">
        <v>34</v>
      </c>
      <c r="F57" s="156">
        <v>1</v>
      </c>
      <c r="G57" s="100">
        <f t="shared" si="52"/>
        <v>23.7</v>
      </c>
      <c r="H57" s="99">
        <v>30.8</v>
      </c>
      <c r="I57" s="98">
        <v>54.5</v>
      </c>
      <c r="J57" s="76">
        <f t="shared" si="48"/>
        <v>28.520579999999999</v>
      </c>
      <c r="K57" s="64">
        <f t="shared" si="45"/>
        <v>37.064720000000001</v>
      </c>
      <c r="L57" s="77">
        <f t="shared" si="49"/>
        <v>65.585300000000004</v>
      </c>
      <c r="M57" s="64">
        <f t="shared" si="53"/>
        <v>28.520579999999999</v>
      </c>
      <c r="N57" s="64">
        <f t="shared" si="46"/>
        <v>37.06</v>
      </c>
      <c r="O57" s="64">
        <f t="shared" si="47"/>
        <v>65.580579999999998</v>
      </c>
      <c r="P57" s="66"/>
      <c r="Q57" s="66"/>
      <c r="R57" s="66"/>
      <c r="S57" s="66"/>
    </row>
    <row r="58" spans="1:19" s="21" customFormat="1" ht="25.5" outlineLevel="1">
      <c r="A58" s="65"/>
      <c r="B58" s="63" t="s">
        <v>233</v>
      </c>
      <c r="C58" s="96" t="s">
        <v>122</v>
      </c>
      <c r="D58" s="136" t="s">
        <v>108</v>
      </c>
      <c r="E58" s="103" t="s">
        <v>34</v>
      </c>
      <c r="F58" s="156">
        <v>2</v>
      </c>
      <c r="G58" s="100">
        <f t="shared" si="52"/>
        <v>7.4400000000000013</v>
      </c>
      <c r="H58" s="99">
        <v>27.06</v>
      </c>
      <c r="I58" s="98">
        <v>34.5</v>
      </c>
      <c r="J58" s="76">
        <f t="shared" si="48"/>
        <v>8.9532960000000017</v>
      </c>
      <c r="K58" s="64">
        <f t="shared" si="45"/>
        <v>32.564003999999997</v>
      </c>
      <c r="L58" s="77">
        <f t="shared" si="49"/>
        <v>41.517299999999999</v>
      </c>
      <c r="M58" s="64">
        <f t="shared" si="53"/>
        <v>17.906592000000003</v>
      </c>
      <c r="N58" s="64">
        <f t="shared" si="46"/>
        <v>65.12</v>
      </c>
      <c r="O58" s="64">
        <f t="shared" si="47"/>
        <v>83.026592000000008</v>
      </c>
      <c r="P58" s="66"/>
      <c r="Q58" s="66"/>
      <c r="R58" s="66"/>
      <c r="S58" s="66"/>
    </row>
    <row r="59" spans="1:19" s="21" customFormat="1" ht="25.5" outlineLevel="1">
      <c r="A59" s="65"/>
      <c r="B59" s="63" t="s">
        <v>234</v>
      </c>
      <c r="C59" s="96" t="s">
        <v>122</v>
      </c>
      <c r="D59" s="136" t="s">
        <v>109</v>
      </c>
      <c r="E59" s="103" t="s">
        <v>34</v>
      </c>
      <c r="F59" s="156">
        <v>3</v>
      </c>
      <c r="G59" s="100">
        <f t="shared" si="52"/>
        <v>4.0100000000000016</v>
      </c>
      <c r="H59" s="99">
        <v>16.29</v>
      </c>
      <c r="I59" s="98">
        <v>20.3</v>
      </c>
      <c r="J59" s="76">
        <f t="shared" si="48"/>
        <v>4.8256340000000018</v>
      </c>
      <c r="K59" s="64">
        <f t="shared" si="45"/>
        <v>19.603386</v>
      </c>
      <c r="L59" s="77">
        <f t="shared" si="49"/>
        <v>24.429020000000001</v>
      </c>
      <c r="M59" s="64">
        <f t="shared" si="53"/>
        <v>14.476902000000006</v>
      </c>
      <c r="N59" s="64">
        <f t="shared" si="46"/>
        <v>58.81</v>
      </c>
      <c r="O59" s="64">
        <f t="shared" si="47"/>
        <v>73.286902000000012</v>
      </c>
      <c r="P59" s="66"/>
      <c r="Q59" s="66"/>
      <c r="R59" s="66"/>
      <c r="S59" s="66"/>
    </row>
    <row r="60" spans="1:19" s="21" customFormat="1" ht="25.5" outlineLevel="1">
      <c r="A60" s="65"/>
      <c r="B60" s="63" t="s">
        <v>235</v>
      </c>
      <c r="C60" s="96" t="s">
        <v>122</v>
      </c>
      <c r="D60" s="136" t="s">
        <v>110</v>
      </c>
      <c r="E60" s="103" t="s">
        <v>34</v>
      </c>
      <c r="F60" s="156">
        <v>12</v>
      </c>
      <c r="G60" s="100">
        <f t="shared" si="52"/>
        <v>4.07</v>
      </c>
      <c r="H60" s="99">
        <v>19.63</v>
      </c>
      <c r="I60" s="98">
        <v>23.7</v>
      </c>
      <c r="J60" s="76">
        <f t="shared" si="48"/>
        <v>4.8978380000000001</v>
      </c>
      <c r="K60" s="64">
        <f t="shared" si="45"/>
        <v>23.622741999999999</v>
      </c>
      <c r="L60" s="77">
        <f t="shared" si="49"/>
        <v>28.520579999999999</v>
      </c>
      <c r="M60" s="64">
        <f t="shared" si="53"/>
        <v>58.774056000000002</v>
      </c>
      <c r="N60" s="64">
        <f t="shared" si="46"/>
        <v>283.47000000000003</v>
      </c>
      <c r="O60" s="64">
        <f t="shared" si="47"/>
        <v>342.244056</v>
      </c>
      <c r="P60" s="66"/>
      <c r="Q60" s="66"/>
      <c r="R60" s="66"/>
      <c r="S60" s="66"/>
    </row>
    <row r="61" spans="1:19" s="21" customFormat="1" ht="25.5" outlineLevel="1">
      <c r="A61" s="65"/>
      <c r="B61" s="63" t="s">
        <v>236</v>
      </c>
      <c r="C61" s="96" t="s">
        <v>122</v>
      </c>
      <c r="D61" s="137" t="s">
        <v>181</v>
      </c>
      <c r="E61" s="103" t="s">
        <v>34</v>
      </c>
      <c r="F61" s="156">
        <v>2</v>
      </c>
      <c r="G61" s="100">
        <f t="shared" si="52"/>
        <v>4.8500000000000014</v>
      </c>
      <c r="H61" s="99">
        <v>24.15</v>
      </c>
      <c r="I61" s="98">
        <v>29</v>
      </c>
      <c r="J61" s="76">
        <f t="shared" si="48"/>
        <v>5.8364900000000022</v>
      </c>
      <c r="K61" s="64">
        <f t="shared" si="45"/>
        <v>29.062110000000001</v>
      </c>
      <c r="L61" s="77">
        <f t="shared" si="49"/>
        <v>34.898600000000002</v>
      </c>
      <c r="M61" s="64">
        <f t="shared" si="53"/>
        <v>11.672980000000004</v>
      </c>
      <c r="N61" s="64">
        <f t="shared" si="46"/>
        <v>58.12</v>
      </c>
      <c r="O61" s="64">
        <f t="shared" si="47"/>
        <v>69.79298</v>
      </c>
      <c r="P61" s="66"/>
      <c r="Q61" s="66"/>
      <c r="R61" s="66"/>
      <c r="S61" s="66"/>
    </row>
    <row r="62" spans="1:19" s="21" customFormat="1" ht="25.5" outlineLevel="1">
      <c r="A62" s="65"/>
      <c r="B62" s="63" t="s">
        <v>237</v>
      </c>
      <c r="C62" s="96" t="s">
        <v>122</v>
      </c>
      <c r="D62" s="136" t="s">
        <v>111</v>
      </c>
      <c r="E62" s="103" t="s">
        <v>34</v>
      </c>
      <c r="F62" s="156">
        <v>4</v>
      </c>
      <c r="G62" s="100">
        <f>I62-H62</f>
        <v>7.3900000000000006</v>
      </c>
      <c r="H62" s="99">
        <v>1.59</v>
      </c>
      <c r="I62" s="98">
        <v>8.98</v>
      </c>
      <c r="J62" s="76">
        <f t="shared" si="48"/>
        <v>8.8931260000000005</v>
      </c>
      <c r="K62" s="64">
        <f t="shared" si="45"/>
        <v>1.9134060000000002</v>
      </c>
      <c r="L62" s="77">
        <f t="shared" si="49"/>
        <v>10.806532000000001</v>
      </c>
      <c r="M62" s="64">
        <f t="shared" si="53"/>
        <v>35.572504000000002</v>
      </c>
      <c r="N62" s="64">
        <f t="shared" si="46"/>
        <v>7.65</v>
      </c>
      <c r="O62" s="64">
        <f t="shared" si="47"/>
        <v>43.222504000000001</v>
      </c>
      <c r="P62" s="66"/>
      <c r="Q62" s="66"/>
      <c r="R62" s="66"/>
      <c r="S62" s="66"/>
    </row>
    <row r="63" spans="1:19" s="21" customFormat="1" ht="25.5" outlineLevel="1">
      <c r="A63" s="65"/>
      <c r="B63" s="63" t="s">
        <v>238</v>
      </c>
      <c r="C63" s="96" t="s">
        <v>122</v>
      </c>
      <c r="D63" s="136" t="s">
        <v>112</v>
      </c>
      <c r="E63" s="103" t="s">
        <v>34</v>
      </c>
      <c r="F63" s="156">
        <v>1</v>
      </c>
      <c r="G63" s="100">
        <f t="shared" ref="G63:G64" si="54">I63-H63</f>
        <v>10.33</v>
      </c>
      <c r="H63" s="99">
        <v>2.11</v>
      </c>
      <c r="I63" s="98">
        <v>12.44</v>
      </c>
      <c r="J63" s="76">
        <f t="shared" si="48"/>
        <v>12.431122</v>
      </c>
      <c r="K63" s="64">
        <f t="shared" si="45"/>
        <v>2.539174</v>
      </c>
      <c r="L63" s="77">
        <f t="shared" si="49"/>
        <v>14.970296000000001</v>
      </c>
      <c r="M63" s="64">
        <f t="shared" si="53"/>
        <v>12.431122</v>
      </c>
      <c r="N63" s="64">
        <f t="shared" si="46"/>
        <v>2.5299999999999998</v>
      </c>
      <c r="O63" s="64">
        <f t="shared" si="47"/>
        <v>14.961122</v>
      </c>
      <c r="P63" s="66"/>
      <c r="Q63" s="66"/>
      <c r="R63" s="66"/>
      <c r="S63" s="66"/>
    </row>
    <row r="64" spans="1:19" s="21" customFormat="1" ht="25.5" outlineLevel="1">
      <c r="A64" s="65"/>
      <c r="B64" s="63" t="s">
        <v>239</v>
      </c>
      <c r="C64" s="96" t="s">
        <v>122</v>
      </c>
      <c r="D64" s="136" t="s">
        <v>113</v>
      </c>
      <c r="E64" s="103" t="s">
        <v>34</v>
      </c>
      <c r="F64" s="156">
        <v>1</v>
      </c>
      <c r="G64" s="100">
        <f t="shared" si="54"/>
        <v>7.379999999999999</v>
      </c>
      <c r="H64" s="99">
        <v>3.97</v>
      </c>
      <c r="I64" s="98">
        <v>11.35</v>
      </c>
      <c r="J64" s="76">
        <f t="shared" si="48"/>
        <v>8.8810919999999989</v>
      </c>
      <c r="K64" s="64">
        <f t="shared" si="45"/>
        <v>4.7774980000000005</v>
      </c>
      <c r="L64" s="77">
        <f t="shared" si="49"/>
        <v>13.65859</v>
      </c>
      <c r="M64" s="64">
        <f t="shared" si="53"/>
        <v>8.8810919999999989</v>
      </c>
      <c r="N64" s="64">
        <f t="shared" si="46"/>
        <v>4.7699999999999996</v>
      </c>
      <c r="O64" s="64">
        <f t="shared" si="47"/>
        <v>13.651091999999998</v>
      </c>
      <c r="P64" s="66"/>
      <c r="Q64" s="66"/>
      <c r="R64" s="66"/>
      <c r="S64" s="66"/>
    </row>
    <row r="65" spans="1:19" s="21" customFormat="1" ht="38.25" outlineLevel="1">
      <c r="A65" s="65"/>
      <c r="B65" s="63" t="s">
        <v>240</v>
      </c>
      <c r="C65" s="96" t="s">
        <v>122</v>
      </c>
      <c r="D65" s="137" t="s">
        <v>190</v>
      </c>
      <c r="E65" s="103" t="s">
        <v>34</v>
      </c>
      <c r="F65" s="156">
        <v>1</v>
      </c>
      <c r="G65" s="100">
        <f t="shared" ref="G65:G67" si="55">I65-H65</f>
        <v>282.39999999999998</v>
      </c>
      <c r="H65" s="99">
        <v>68.3</v>
      </c>
      <c r="I65" s="98">
        <v>350.7</v>
      </c>
      <c r="J65" s="76">
        <f t="shared" si="48"/>
        <v>339.84015999999997</v>
      </c>
      <c r="K65" s="64">
        <f t="shared" si="45"/>
        <v>82.192219999999992</v>
      </c>
      <c r="L65" s="77">
        <f t="shared" si="49"/>
        <v>422.03237999999999</v>
      </c>
      <c r="M65" s="64">
        <f t="shared" si="53"/>
        <v>339.84015999999997</v>
      </c>
      <c r="N65" s="64">
        <f t="shared" si="46"/>
        <v>82.19</v>
      </c>
      <c r="O65" s="64">
        <f t="shared" si="47"/>
        <v>422.03015999999997</v>
      </c>
      <c r="P65" s="66"/>
      <c r="Q65" s="66"/>
      <c r="R65" s="66"/>
      <c r="S65" s="66"/>
    </row>
    <row r="66" spans="1:19" s="21" customFormat="1" outlineLevel="1">
      <c r="A66" s="65" t="s">
        <v>124</v>
      </c>
      <c r="B66" s="63" t="s">
        <v>241</v>
      </c>
      <c r="C66" s="96" t="s">
        <v>122</v>
      </c>
      <c r="D66" s="136" t="s">
        <v>141</v>
      </c>
      <c r="E66" s="103" t="s">
        <v>34</v>
      </c>
      <c r="F66" s="156">
        <v>11</v>
      </c>
      <c r="G66" s="100">
        <f t="shared" si="55"/>
        <v>16.53</v>
      </c>
      <c r="H66" s="99">
        <v>22.67</v>
      </c>
      <c r="I66" s="98">
        <v>39.200000000000003</v>
      </c>
      <c r="J66" s="76">
        <f t="shared" si="48"/>
        <v>19.892202000000001</v>
      </c>
      <c r="K66" s="64">
        <f t="shared" si="45"/>
        <v>27.281078000000004</v>
      </c>
      <c r="L66" s="77">
        <f t="shared" si="49"/>
        <v>47.173280000000005</v>
      </c>
      <c r="M66" s="64">
        <f t="shared" si="53"/>
        <v>218.814222</v>
      </c>
      <c r="N66" s="64">
        <f t="shared" si="46"/>
        <v>300.08999999999997</v>
      </c>
      <c r="O66" s="64">
        <f t="shared" si="47"/>
        <v>518.904222</v>
      </c>
      <c r="P66" s="66"/>
      <c r="Q66" s="66"/>
      <c r="R66" s="66"/>
      <c r="S66" s="66"/>
    </row>
    <row r="67" spans="1:19" s="21" customFormat="1" ht="25.5" outlineLevel="1">
      <c r="A67" s="65"/>
      <c r="B67" s="63" t="s">
        <v>242</v>
      </c>
      <c r="C67" s="96" t="s">
        <v>122</v>
      </c>
      <c r="D67" s="137" t="s">
        <v>180</v>
      </c>
      <c r="E67" s="103" t="s">
        <v>34</v>
      </c>
      <c r="F67" s="156">
        <v>5</v>
      </c>
      <c r="G67" s="100">
        <f t="shared" si="55"/>
        <v>16.57</v>
      </c>
      <c r="H67" s="99">
        <v>14.83</v>
      </c>
      <c r="I67" s="98">
        <v>31.4</v>
      </c>
      <c r="J67" s="76">
        <f t="shared" si="48"/>
        <v>19.940338000000001</v>
      </c>
      <c r="K67" s="64">
        <f t="shared" si="45"/>
        <v>17.846422</v>
      </c>
      <c r="L67" s="77">
        <f t="shared" si="49"/>
        <v>37.786760000000001</v>
      </c>
      <c r="M67" s="64">
        <f t="shared" si="53"/>
        <v>99.701689999999999</v>
      </c>
      <c r="N67" s="64">
        <f t="shared" si="46"/>
        <v>89.23</v>
      </c>
      <c r="O67" s="64">
        <f t="shared" si="47"/>
        <v>188.93169</v>
      </c>
      <c r="P67" s="66"/>
      <c r="Q67" s="66"/>
      <c r="R67" s="66"/>
      <c r="S67" s="66"/>
    </row>
    <row r="68" spans="1:19" s="21" customFormat="1" ht="13.15" customHeight="1" outlineLevel="1">
      <c r="A68" s="7"/>
      <c r="B68" s="369" t="s">
        <v>72</v>
      </c>
      <c r="C68" s="370"/>
      <c r="D68" s="370"/>
      <c r="E68" s="370"/>
      <c r="F68" s="370"/>
      <c r="G68" s="370"/>
      <c r="H68" s="370"/>
      <c r="I68" s="370"/>
      <c r="J68" s="62"/>
      <c r="K68" s="62"/>
      <c r="L68" s="62"/>
      <c r="M68" s="78">
        <f>SUM(M48:M67)</f>
        <v>7227.0908864000003</v>
      </c>
      <c r="N68" s="78">
        <f>SUM(N48:N67)</f>
        <v>3912.0799999999995</v>
      </c>
      <c r="O68" s="138">
        <f>SUM(O48:O67)</f>
        <v>11139.170886399999</v>
      </c>
      <c r="P68" s="20"/>
      <c r="Q68" s="20"/>
      <c r="R68" s="20"/>
    </row>
    <row r="69" spans="1:19" s="21" customFormat="1" outlineLevel="1">
      <c r="A69" s="7"/>
      <c r="B69" s="34">
        <v>8</v>
      </c>
      <c r="C69" s="58"/>
      <c r="D69" s="46" t="s">
        <v>36</v>
      </c>
      <c r="E69" s="48"/>
      <c r="F69" s="49"/>
      <c r="G69" s="50"/>
      <c r="H69" s="51"/>
      <c r="I69" s="52"/>
      <c r="J69" s="52"/>
      <c r="K69" s="52"/>
      <c r="L69" s="52"/>
      <c r="M69" s="126"/>
      <c r="N69" s="126"/>
      <c r="O69" s="53"/>
      <c r="P69" s="20"/>
      <c r="Q69" s="20"/>
      <c r="R69" s="20"/>
    </row>
    <row r="70" spans="1:19" s="21" customFormat="1" ht="25.5" outlineLevel="1">
      <c r="A70" s="65"/>
      <c r="B70" s="63" t="s">
        <v>128</v>
      </c>
      <c r="C70" s="96">
        <v>96525</v>
      </c>
      <c r="D70" s="97" t="s">
        <v>100</v>
      </c>
      <c r="E70" s="103" t="s">
        <v>11</v>
      </c>
      <c r="F70" s="156">
        <v>2.7</v>
      </c>
      <c r="G70" s="100">
        <f>I70-H70</f>
        <v>38.75</v>
      </c>
      <c r="H70" s="99">
        <v>20.82</v>
      </c>
      <c r="I70" s="98">
        <v>59.57</v>
      </c>
      <c r="J70" s="76">
        <f t="shared" ref="J70:J84" si="56">G70*(1+$O$5)</f>
        <v>46.631750000000004</v>
      </c>
      <c r="K70" s="64">
        <f t="shared" ref="K70:K84" si="57">H70*(1+$O$5)</f>
        <v>25.054788000000002</v>
      </c>
      <c r="L70" s="77">
        <f t="shared" ref="L70:L84" si="58">J70+K70</f>
        <v>71.686538000000013</v>
      </c>
      <c r="M70" s="64">
        <f t="shared" ref="M70:M77" si="59">TRUNC(J70*F70,2)</f>
        <v>125.9</v>
      </c>
      <c r="N70" s="64">
        <f t="shared" ref="N70:N84" si="60">TRUNC(K70*F70,2)</f>
        <v>67.64</v>
      </c>
      <c r="O70" s="64">
        <f t="shared" ref="O70:O84" si="61">M70+N70</f>
        <v>193.54000000000002</v>
      </c>
      <c r="P70" s="66"/>
      <c r="Q70" s="66"/>
      <c r="R70" s="66"/>
      <c r="S70" s="66"/>
    </row>
    <row r="71" spans="1:19" s="21" customFormat="1" ht="51" outlineLevel="1">
      <c r="A71" s="65"/>
      <c r="B71" s="63" t="s">
        <v>198</v>
      </c>
      <c r="C71" s="96">
        <v>93369</v>
      </c>
      <c r="D71" s="97" t="s">
        <v>102</v>
      </c>
      <c r="E71" s="103" t="s">
        <v>11</v>
      </c>
      <c r="F71" s="156">
        <v>2</v>
      </c>
      <c r="G71" s="100">
        <f>I71-H71</f>
        <v>12.370000000000001</v>
      </c>
      <c r="H71" s="99">
        <v>7.84</v>
      </c>
      <c r="I71" s="98">
        <v>20.21</v>
      </c>
      <c r="J71" s="76">
        <f t="shared" si="56"/>
        <v>14.886058000000002</v>
      </c>
      <c r="K71" s="64">
        <f t="shared" si="57"/>
        <v>9.4346560000000004</v>
      </c>
      <c r="L71" s="77">
        <f t="shared" si="58"/>
        <v>24.320714000000002</v>
      </c>
      <c r="M71" s="64">
        <f t="shared" si="59"/>
        <v>29.77</v>
      </c>
      <c r="N71" s="64">
        <f t="shared" si="60"/>
        <v>18.86</v>
      </c>
      <c r="O71" s="64">
        <f t="shared" si="61"/>
        <v>48.629999999999995</v>
      </c>
      <c r="P71" s="66"/>
      <c r="Q71" s="66"/>
      <c r="R71" s="66"/>
      <c r="S71" s="66"/>
    </row>
    <row r="72" spans="1:19" s="21" customFormat="1" ht="38.25" outlineLevel="1">
      <c r="A72" s="65"/>
      <c r="B72" s="63" t="s">
        <v>129</v>
      </c>
      <c r="C72" s="96">
        <v>97901</v>
      </c>
      <c r="D72" s="97" t="s">
        <v>50</v>
      </c>
      <c r="E72" s="103" t="s">
        <v>34</v>
      </c>
      <c r="F72" s="156">
        <v>5</v>
      </c>
      <c r="G72" s="100">
        <f>I72-H72</f>
        <v>169.67999999999998</v>
      </c>
      <c r="H72" s="99">
        <v>142.97</v>
      </c>
      <c r="I72" s="98">
        <v>312.64999999999998</v>
      </c>
      <c r="J72" s="76">
        <f t="shared" si="56"/>
        <v>204.19291199999998</v>
      </c>
      <c r="K72" s="64">
        <f t="shared" si="57"/>
        <v>172.05009799999999</v>
      </c>
      <c r="L72" s="77">
        <f t="shared" si="58"/>
        <v>376.24300999999997</v>
      </c>
      <c r="M72" s="64">
        <f t="shared" si="59"/>
        <v>1020.96</v>
      </c>
      <c r="N72" s="64">
        <f t="shared" si="60"/>
        <v>860.25</v>
      </c>
      <c r="O72" s="64">
        <f t="shared" si="61"/>
        <v>1881.21</v>
      </c>
      <c r="P72" s="66"/>
      <c r="Q72" s="66"/>
      <c r="R72" s="66"/>
      <c r="S72" s="66"/>
    </row>
    <row r="73" spans="1:19" s="21" customFormat="1" ht="25.5" outlineLevel="1">
      <c r="A73" s="65"/>
      <c r="B73" s="63" t="s">
        <v>243</v>
      </c>
      <c r="C73" s="96" t="s">
        <v>122</v>
      </c>
      <c r="D73" s="136" t="s">
        <v>116</v>
      </c>
      <c r="E73" s="103" t="s">
        <v>34</v>
      </c>
      <c r="F73" s="156">
        <v>6</v>
      </c>
      <c r="G73" s="100">
        <f t="shared" ref="G73" si="62">I73-H73</f>
        <v>13.219999999999999</v>
      </c>
      <c r="H73" s="99">
        <v>17.18</v>
      </c>
      <c r="I73" s="98">
        <v>30.4</v>
      </c>
      <c r="J73" s="76">
        <f t="shared" si="56"/>
        <v>15.908947999999999</v>
      </c>
      <c r="K73" s="64">
        <f t="shared" si="57"/>
        <v>20.674412</v>
      </c>
      <c r="L73" s="77">
        <f t="shared" si="58"/>
        <v>36.583359999999999</v>
      </c>
      <c r="M73" s="64">
        <f>F73*J73</f>
        <v>95.453688</v>
      </c>
      <c r="N73" s="64">
        <f t="shared" si="60"/>
        <v>124.04</v>
      </c>
      <c r="O73" s="64">
        <f t="shared" si="61"/>
        <v>219.49368800000002</v>
      </c>
      <c r="P73" s="66"/>
      <c r="Q73" s="66"/>
      <c r="R73" s="66"/>
      <c r="S73" s="66"/>
    </row>
    <row r="74" spans="1:19" s="21" customFormat="1" ht="38.25" outlineLevel="1">
      <c r="A74" s="65"/>
      <c r="B74" s="63" t="s">
        <v>244</v>
      </c>
      <c r="C74" s="96" t="s">
        <v>122</v>
      </c>
      <c r="D74" s="140" t="s">
        <v>175</v>
      </c>
      <c r="E74" s="103" t="s">
        <v>34</v>
      </c>
      <c r="F74" s="156">
        <v>1</v>
      </c>
      <c r="G74" s="100">
        <f>I74-H74</f>
        <v>313</v>
      </c>
      <c r="H74" s="99">
        <v>685</v>
      </c>
      <c r="I74" s="98">
        <v>998</v>
      </c>
      <c r="J74" s="76">
        <f t="shared" si="56"/>
        <v>376.66419999999999</v>
      </c>
      <c r="K74" s="64">
        <f t="shared" si="57"/>
        <v>824.32900000000006</v>
      </c>
      <c r="L74" s="77">
        <f t="shared" si="58"/>
        <v>1200.9932000000001</v>
      </c>
      <c r="M74" s="64">
        <f>F74*J74</f>
        <v>376.66419999999999</v>
      </c>
      <c r="N74" s="64">
        <f>F74*K74</f>
        <v>824.32900000000006</v>
      </c>
      <c r="O74" s="64">
        <f t="shared" si="61"/>
        <v>1200.9932000000001</v>
      </c>
      <c r="P74" s="66"/>
      <c r="Q74" s="66"/>
      <c r="R74" s="66"/>
      <c r="S74" s="66"/>
    </row>
    <row r="75" spans="1:19" s="21" customFormat="1" ht="38.25" outlineLevel="1">
      <c r="A75" s="65"/>
      <c r="B75" s="63" t="s">
        <v>245</v>
      </c>
      <c r="C75" s="96" t="s">
        <v>122</v>
      </c>
      <c r="D75" s="137" t="s">
        <v>176</v>
      </c>
      <c r="E75" s="103" t="s">
        <v>34</v>
      </c>
      <c r="F75" s="156">
        <v>1</v>
      </c>
      <c r="G75" s="100">
        <f>I75-H75</f>
        <v>1288</v>
      </c>
      <c r="H75" s="99">
        <v>582</v>
      </c>
      <c r="I75" s="98">
        <v>1870</v>
      </c>
      <c r="J75" s="76">
        <f t="shared" si="56"/>
        <v>1549.9792</v>
      </c>
      <c r="K75" s="64">
        <f t="shared" si="57"/>
        <v>700.37880000000007</v>
      </c>
      <c r="L75" s="77">
        <f t="shared" si="58"/>
        <v>2250.3580000000002</v>
      </c>
      <c r="M75" s="64">
        <f>F75*J75</f>
        <v>1549.9792</v>
      </c>
      <c r="N75" s="64">
        <f>F75*K75</f>
        <v>700.37880000000007</v>
      </c>
      <c r="O75" s="64">
        <f t="shared" si="61"/>
        <v>2250.3580000000002</v>
      </c>
      <c r="P75" s="66"/>
      <c r="Q75" s="66"/>
      <c r="R75" s="66"/>
      <c r="S75" s="66"/>
    </row>
    <row r="76" spans="1:19" s="21" customFormat="1" ht="42.75" customHeight="1" outlineLevel="1">
      <c r="A76" s="65"/>
      <c r="B76" s="63" t="s">
        <v>246</v>
      </c>
      <c r="C76" s="96" t="s">
        <v>122</v>
      </c>
      <c r="D76" s="140" t="s">
        <v>177</v>
      </c>
      <c r="E76" s="103" t="s">
        <v>34</v>
      </c>
      <c r="F76" s="156">
        <v>1</v>
      </c>
      <c r="G76" s="100">
        <f>I76-H76</f>
        <v>250</v>
      </c>
      <c r="H76" s="99">
        <v>416</v>
      </c>
      <c r="I76" s="98">
        <v>666</v>
      </c>
      <c r="J76" s="76">
        <f t="shared" si="56"/>
        <v>300.85000000000002</v>
      </c>
      <c r="K76" s="64">
        <f t="shared" si="57"/>
        <v>500.61439999999999</v>
      </c>
      <c r="L76" s="77">
        <f t="shared" si="58"/>
        <v>801.46440000000007</v>
      </c>
      <c r="M76" s="64">
        <f>F76*J76</f>
        <v>300.85000000000002</v>
      </c>
      <c r="N76" s="64">
        <v>500</v>
      </c>
      <c r="O76" s="64">
        <f t="shared" si="61"/>
        <v>800.85</v>
      </c>
      <c r="P76" s="66"/>
      <c r="Q76" s="66"/>
      <c r="R76" s="66"/>
      <c r="S76" s="66"/>
    </row>
    <row r="77" spans="1:19" s="21" customFormat="1" ht="25.5" outlineLevel="1">
      <c r="A77" s="65"/>
      <c r="B77" s="63" t="s">
        <v>247</v>
      </c>
      <c r="C77" s="96">
        <v>90443</v>
      </c>
      <c r="D77" s="97" t="s">
        <v>123</v>
      </c>
      <c r="E77" s="103" t="s">
        <v>4</v>
      </c>
      <c r="F77" s="156">
        <v>1.8</v>
      </c>
      <c r="G77" s="100">
        <f>I77-H77</f>
        <v>1.62</v>
      </c>
      <c r="H77" s="99">
        <v>6.81</v>
      </c>
      <c r="I77" s="98">
        <v>8.43</v>
      </c>
      <c r="J77" s="76">
        <f t="shared" si="56"/>
        <v>1.9495080000000002</v>
      </c>
      <c r="K77" s="64">
        <f t="shared" si="57"/>
        <v>8.1951540000000005</v>
      </c>
      <c r="L77" s="77">
        <f t="shared" si="58"/>
        <v>10.144662</v>
      </c>
      <c r="M77" s="64">
        <f t="shared" si="59"/>
        <v>3.5</v>
      </c>
      <c r="N77" s="64">
        <f t="shared" si="60"/>
        <v>14.75</v>
      </c>
      <c r="O77" s="64">
        <f t="shared" si="61"/>
        <v>18.25</v>
      </c>
      <c r="P77" s="66"/>
      <c r="Q77" s="66"/>
      <c r="R77" s="66"/>
      <c r="S77" s="66"/>
    </row>
    <row r="78" spans="1:19" s="21" customFormat="1" ht="25.5" outlineLevel="1">
      <c r="A78" s="65"/>
      <c r="B78" s="63" t="s">
        <v>248</v>
      </c>
      <c r="C78" s="96" t="s">
        <v>122</v>
      </c>
      <c r="D78" s="136" t="s">
        <v>45</v>
      </c>
      <c r="E78" s="103" t="s">
        <v>4</v>
      </c>
      <c r="F78" s="156">
        <v>17.399999999999999</v>
      </c>
      <c r="G78" s="100">
        <f t="shared" ref="G78:G84" si="63">I78-H78</f>
        <v>7.4400000000000013</v>
      </c>
      <c r="H78" s="99">
        <v>13.91</v>
      </c>
      <c r="I78" s="98">
        <v>21.35</v>
      </c>
      <c r="J78" s="76">
        <f t="shared" si="56"/>
        <v>8.9532960000000017</v>
      </c>
      <c r="K78" s="64">
        <f t="shared" si="57"/>
        <v>16.739294000000001</v>
      </c>
      <c r="L78" s="77">
        <f t="shared" si="58"/>
        <v>25.692590000000003</v>
      </c>
      <c r="M78" s="64">
        <f t="shared" ref="M78:M84" si="64">F78*J78</f>
        <v>155.78735040000001</v>
      </c>
      <c r="N78" s="64">
        <f t="shared" si="60"/>
        <v>291.26</v>
      </c>
      <c r="O78" s="64">
        <f t="shared" si="61"/>
        <v>447.04735040000003</v>
      </c>
      <c r="P78" s="66"/>
      <c r="Q78" s="66"/>
      <c r="R78" s="66"/>
      <c r="S78" s="66"/>
    </row>
    <row r="79" spans="1:19" s="21" customFormat="1" ht="25.5" outlineLevel="1">
      <c r="A79" s="65"/>
      <c r="B79" s="63" t="s">
        <v>249</v>
      </c>
      <c r="C79" s="96" t="s">
        <v>122</v>
      </c>
      <c r="D79" s="136" t="s">
        <v>44</v>
      </c>
      <c r="E79" s="103" t="s">
        <v>4</v>
      </c>
      <c r="F79" s="156">
        <v>11</v>
      </c>
      <c r="G79" s="100">
        <f t="shared" si="63"/>
        <v>12.079999999999998</v>
      </c>
      <c r="H79" s="99">
        <v>19.3</v>
      </c>
      <c r="I79" s="98">
        <v>31.38</v>
      </c>
      <c r="J79" s="76">
        <f t="shared" si="56"/>
        <v>14.537071999999998</v>
      </c>
      <c r="K79" s="64">
        <f t="shared" si="57"/>
        <v>23.225620000000003</v>
      </c>
      <c r="L79" s="77">
        <f t="shared" si="58"/>
        <v>37.762692000000001</v>
      </c>
      <c r="M79" s="64">
        <f t="shared" si="64"/>
        <v>159.90779199999997</v>
      </c>
      <c r="N79" s="64">
        <f t="shared" si="60"/>
        <v>255.48</v>
      </c>
      <c r="O79" s="64">
        <f t="shared" si="61"/>
        <v>415.38779199999999</v>
      </c>
      <c r="P79" s="66"/>
      <c r="Q79" s="66"/>
      <c r="R79" s="66"/>
      <c r="S79" s="66"/>
    </row>
    <row r="80" spans="1:19" s="21" customFormat="1" ht="38.25" outlineLevel="1">
      <c r="A80" s="65"/>
      <c r="B80" s="63" t="s">
        <v>250</v>
      </c>
      <c r="C80" s="96" t="s">
        <v>122</v>
      </c>
      <c r="D80" s="141" t="s">
        <v>142</v>
      </c>
      <c r="E80" s="103" t="s">
        <v>34</v>
      </c>
      <c r="F80" s="156">
        <v>1</v>
      </c>
      <c r="G80" s="100">
        <f t="shared" si="63"/>
        <v>4.9300000000000015</v>
      </c>
      <c r="H80" s="99">
        <v>8.3699999999999992</v>
      </c>
      <c r="I80" s="98">
        <v>13.3</v>
      </c>
      <c r="J80" s="76">
        <f t="shared" si="56"/>
        <v>5.9327620000000021</v>
      </c>
      <c r="K80" s="64">
        <f t="shared" si="57"/>
        <v>10.072457999999999</v>
      </c>
      <c r="L80" s="77">
        <f t="shared" si="58"/>
        <v>16.005220000000001</v>
      </c>
      <c r="M80" s="64">
        <f t="shared" si="64"/>
        <v>5.9327620000000021</v>
      </c>
      <c r="N80" s="64">
        <f t="shared" si="60"/>
        <v>10.07</v>
      </c>
      <c r="O80" s="64">
        <f t="shared" si="61"/>
        <v>16.002762000000004</v>
      </c>
      <c r="P80" s="66"/>
      <c r="Q80" s="66"/>
      <c r="R80" s="66"/>
      <c r="S80" s="66"/>
    </row>
    <row r="81" spans="1:19" s="21" customFormat="1" ht="38.25" outlineLevel="1">
      <c r="A81" s="65"/>
      <c r="B81" s="63" t="s">
        <v>251</v>
      </c>
      <c r="C81" s="96" t="s">
        <v>122</v>
      </c>
      <c r="D81" s="136" t="s">
        <v>51</v>
      </c>
      <c r="E81" s="103" t="s">
        <v>34</v>
      </c>
      <c r="F81" s="156">
        <v>4</v>
      </c>
      <c r="G81" s="100">
        <f t="shared" si="63"/>
        <v>2.0900000000000007</v>
      </c>
      <c r="H81" s="99">
        <v>5.97</v>
      </c>
      <c r="I81" s="98">
        <v>8.06</v>
      </c>
      <c r="J81" s="76">
        <f t="shared" si="56"/>
        <v>2.5151060000000007</v>
      </c>
      <c r="K81" s="64">
        <f t="shared" si="57"/>
        <v>7.1842980000000001</v>
      </c>
      <c r="L81" s="77">
        <f t="shared" si="58"/>
        <v>9.6994040000000012</v>
      </c>
      <c r="M81" s="64">
        <f t="shared" si="64"/>
        <v>10.060424000000003</v>
      </c>
      <c r="N81" s="64">
        <f t="shared" si="60"/>
        <v>28.73</v>
      </c>
      <c r="O81" s="64">
        <f t="shared" si="61"/>
        <v>38.790424000000002</v>
      </c>
      <c r="P81" s="66"/>
      <c r="Q81" s="66"/>
      <c r="R81" s="66"/>
      <c r="S81" s="66"/>
    </row>
    <row r="82" spans="1:19" s="21" customFormat="1" ht="38.25" outlineLevel="1">
      <c r="A82" s="65"/>
      <c r="B82" s="63" t="s">
        <v>252</v>
      </c>
      <c r="C82" s="96" t="s">
        <v>122</v>
      </c>
      <c r="D82" s="137" t="s">
        <v>178</v>
      </c>
      <c r="E82" s="103" t="s">
        <v>34</v>
      </c>
      <c r="F82" s="156">
        <v>1</v>
      </c>
      <c r="G82" s="100">
        <f t="shared" si="63"/>
        <v>15.67</v>
      </c>
      <c r="H82" s="99">
        <v>10.130000000000001</v>
      </c>
      <c r="I82" s="98">
        <v>25.8</v>
      </c>
      <c r="J82" s="76">
        <f t="shared" si="56"/>
        <v>18.857278000000001</v>
      </c>
      <c r="K82" s="64">
        <f t="shared" si="57"/>
        <v>12.190442000000001</v>
      </c>
      <c r="L82" s="77">
        <f t="shared" si="58"/>
        <v>31.047720000000002</v>
      </c>
      <c r="M82" s="64">
        <f t="shared" si="64"/>
        <v>18.857278000000001</v>
      </c>
      <c r="N82" s="64">
        <f t="shared" si="60"/>
        <v>12.19</v>
      </c>
      <c r="O82" s="64">
        <f t="shared" si="61"/>
        <v>31.047277999999999</v>
      </c>
      <c r="P82" s="66"/>
      <c r="Q82" s="66"/>
      <c r="R82" s="66"/>
      <c r="S82" s="66"/>
    </row>
    <row r="83" spans="1:19" s="21" customFormat="1" ht="38.25" outlineLevel="1">
      <c r="A83" s="65"/>
      <c r="B83" s="63" t="s">
        <v>253</v>
      </c>
      <c r="C83" s="96" t="s">
        <v>122</v>
      </c>
      <c r="D83" s="136" t="s">
        <v>52</v>
      </c>
      <c r="E83" s="103" t="s">
        <v>34</v>
      </c>
      <c r="F83" s="156">
        <v>2</v>
      </c>
      <c r="G83" s="100">
        <f t="shared" si="63"/>
        <v>2.91</v>
      </c>
      <c r="H83" s="99">
        <v>4.01</v>
      </c>
      <c r="I83" s="98">
        <v>6.92</v>
      </c>
      <c r="J83" s="76">
        <f t="shared" si="56"/>
        <v>3.5018940000000001</v>
      </c>
      <c r="K83" s="64">
        <f t="shared" si="57"/>
        <v>4.825634</v>
      </c>
      <c r="L83" s="77">
        <f t="shared" si="58"/>
        <v>8.3275280000000009</v>
      </c>
      <c r="M83" s="64">
        <f t="shared" si="64"/>
        <v>7.0037880000000001</v>
      </c>
      <c r="N83" s="64">
        <f t="shared" si="60"/>
        <v>9.65</v>
      </c>
      <c r="O83" s="64">
        <f t="shared" si="61"/>
        <v>16.653787999999999</v>
      </c>
      <c r="P83" s="66"/>
      <c r="Q83" s="66"/>
      <c r="R83" s="66"/>
      <c r="S83" s="66"/>
    </row>
    <row r="84" spans="1:19" s="21" customFormat="1" ht="38.25" outlineLevel="1">
      <c r="A84" s="65"/>
      <c r="B84" s="63" t="s">
        <v>254</v>
      </c>
      <c r="C84" s="96" t="s">
        <v>122</v>
      </c>
      <c r="D84" s="136" t="s">
        <v>53</v>
      </c>
      <c r="E84" s="103" t="s">
        <v>34</v>
      </c>
      <c r="F84" s="156">
        <v>2</v>
      </c>
      <c r="G84" s="100">
        <f t="shared" si="63"/>
        <v>5.6400000000000006</v>
      </c>
      <c r="H84" s="99">
        <v>5.66</v>
      </c>
      <c r="I84" s="98">
        <v>11.3</v>
      </c>
      <c r="J84" s="76">
        <f t="shared" si="56"/>
        <v>6.7871760000000005</v>
      </c>
      <c r="K84" s="64">
        <f t="shared" si="57"/>
        <v>6.8112440000000003</v>
      </c>
      <c r="L84" s="77">
        <f t="shared" si="58"/>
        <v>13.598420000000001</v>
      </c>
      <c r="M84" s="64">
        <f t="shared" si="64"/>
        <v>13.574352000000001</v>
      </c>
      <c r="N84" s="64">
        <f t="shared" si="60"/>
        <v>13.62</v>
      </c>
      <c r="O84" s="64">
        <f t="shared" si="61"/>
        <v>27.194352000000002</v>
      </c>
      <c r="P84" s="66"/>
      <c r="Q84" s="66"/>
      <c r="R84" s="66"/>
      <c r="S84" s="66"/>
    </row>
    <row r="85" spans="1:19" s="21" customFormat="1" ht="13.15" customHeight="1" outlineLevel="1">
      <c r="A85" s="7"/>
      <c r="B85" s="369" t="s">
        <v>73</v>
      </c>
      <c r="C85" s="370"/>
      <c r="D85" s="370"/>
      <c r="E85" s="370"/>
      <c r="F85" s="370"/>
      <c r="G85" s="370"/>
      <c r="H85" s="370"/>
      <c r="I85" s="370"/>
      <c r="J85" s="62"/>
      <c r="K85" s="62"/>
      <c r="L85" s="62"/>
      <c r="M85" s="78">
        <f>SUM(M70:M84)</f>
        <v>3874.2008343999996</v>
      </c>
      <c r="N85" s="78">
        <f>SUM(N70:N84)</f>
        <v>3731.2478000000006</v>
      </c>
      <c r="O85" s="138">
        <f>SUM(O70:O84)</f>
        <v>7605.4486344000006</v>
      </c>
      <c r="P85" s="20"/>
      <c r="Q85" s="20"/>
      <c r="R85" s="20"/>
    </row>
    <row r="86" spans="1:19" s="21" customFormat="1" outlineLevel="1">
      <c r="A86" s="7"/>
      <c r="B86" s="34">
        <v>9</v>
      </c>
      <c r="C86" s="58"/>
      <c r="D86" s="46" t="s">
        <v>40</v>
      </c>
      <c r="E86" s="48"/>
      <c r="F86" s="49"/>
      <c r="G86" s="50"/>
      <c r="H86" s="51"/>
      <c r="I86" s="52"/>
      <c r="J86" s="52"/>
      <c r="K86" s="52"/>
      <c r="L86" s="52"/>
      <c r="M86" s="126"/>
      <c r="N86" s="126"/>
      <c r="O86" s="53"/>
      <c r="P86" s="20"/>
      <c r="Q86" s="20"/>
      <c r="R86" s="20"/>
    </row>
    <row r="87" spans="1:19" s="21" customFormat="1" ht="25.5" outlineLevel="1">
      <c r="A87" s="65"/>
      <c r="B87" s="63" t="s">
        <v>199</v>
      </c>
      <c r="C87" s="96">
        <v>90443</v>
      </c>
      <c r="D87" s="97" t="s">
        <v>123</v>
      </c>
      <c r="E87" s="103" t="s">
        <v>4</v>
      </c>
      <c r="F87" s="156">
        <v>9.65</v>
      </c>
      <c r="G87" s="100">
        <f>I87-H87</f>
        <v>1.62</v>
      </c>
      <c r="H87" s="99">
        <v>6.81</v>
      </c>
      <c r="I87" s="98">
        <v>8.43</v>
      </c>
      <c r="J87" s="76">
        <f t="shared" ref="J87:J97" si="65">G87*(1+$O$5)</f>
        <v>1.9495080000000002</v>
      </c>
      <c r="K87" s="64">
        <f t="shared" ref="K87:K97" si="66">H87*(1+$O$5)</f>
        <v>8.1951540000000005</v>
      </c>
      <c r="L87" s="77">
        <f t="shared" ref="L87:L97" si="67">J87+K87</f>
        <v>10.144662</v>
      </c>
      <c r="M87" s="64">
        <f t="shared" ref="M87" si="68">TRUNC(J87*F87,2)</f>
        <v>18.809999999999999</v>
      </c>
      <c r="N87" s="64">
        <f t="shared" ref="N87:N97" si="69">TRUNC(K87*F87,2)</f>
        <v>79.08</v>
      </c>
      <c r="O87" s="64">
        <f t="shared" ref="O87:O97" si="70">M87+N87</f>
        <v>97.89</v>
      </c>
      <c r="P87" s="66"/>
      <c r="Q87" s="66"/>
      <c r="R87" s="66"/>
      <c r="S87" s="66"/>
    </row>
    <row r="88" spans="1:19" s="21" customFormat="1" ht="25.5" outlineLevel="1">
      <c r="A88" s="65"/>
      <c r="B88" s="63" t="s">
        <v>130</v>
      </c>
      <c r="C88" s="96" t="s">
        <v>122</v>
      </c>
      <c r="D88" s="136" t="s">
        <v>145</v>
      </c>
      <c r="E88" s="103" t="s">
        <v>34</v>
      </c>
      <c r="F88" s="156">
        <v>1</v>
      </c>
      <c r="G88" s="100">
        <f t="shared" ref="G88:G93" si="71">I88-H88</f>
        <v>66.390000000000015</v>
      </c>
      <c r="H88" s="99">
        <v>67.41</v>
      </c>
      <c r="I88" s="98">
        <v>133.80000000000001</v>
      </c>
      <c r="J88" s="76">
        <f t="shared" si="65"/>
        <v>79.893726000000015</v>
      </c>
      <c r="K88" s="64">
        <f t="shared" si="66"/>
        <v>81.121194000000003</v>
      </c>
      <c r="L88" s="77">
        <f t="shared" si="67"/>
        <v>161.01492000000002</v>
      </c>
      <c r="M88" s="64">
        <f t="shared" ref="M88:M97" si="72">F88*J88</f>
        <v>79.893726000000015</v>
      </c>
      <c r="N88" s="64">
        <f t="shared" si="69"/>
        <v>81.12</v>
      </c>
      <c r="O88" s="64">
        <f t="shared" si="70"/>
        <v>161.01372600000002</v>
      </c>
      <c r="P88" s="66"/>
      <c r="Q88" s="66"/>
      <c r="R88" s="66"/>
      <c r="S88" s="66"/>
    </row>
    <row r="89" spans="1:19" s="21" customFormat="1" ht="25.5" outlineLevel="1">
      <c r="A89" s="65"/>
      <c r="B89" s="63" t="s">
        <v>200</v>
      </c>
      <c r="C89" s="96" t="s">
        <v>122</v>
      </c>
      <c r="D89" s="136" t="s">
        <v>46</v>
      </c>
      <c r="E89" s="103" t="s">
        <v>4</v>
      </c>
      <c r="F89" s="156">
        <v>70</v>
      </c>
      <c r="G89" s="100">
        <f t="shared" si="71"/>
        <v>3.0300000000000011</v>
      </c>
      <c r="H89" s="99">
        <v>16.579999999999998</v>
      </c>
      <c r="I89" s="98">
        <v>19.61</v>
      </c>
      <c r="J89" s="76">
        <f t="shared" si="65"/>
        <v>3.6463020000000013</v>
      </c>
      <c r="K89" s="64">
        <f t="shared" si="66"/>
        <v>19.952371999999997</v>
      </c>
      <c r="L89" s="77">
        <f t="shared" si="67"/>
        <v>23.598673999999999</v>
      </c>
      <c r="M89" s="64">
        <f t="shared" si="72"/>
        <v>255.24114000000009</v>
      </c>
      <c r="N89" s="64">
        <f t="shared" si="69"/>
        <v>1396.66</v>
      </c>
      <c r="O89" s="64">
        <f t="shared" si="70"/>
        <v>1651.9011400000002</v>
      </c>
      <c r="P89" s="66"/>
      <c r="Q89" s="66"/>
      <c r="R89" s="66"/>
      <c r="S89" s="66"/>
    </row>
    <row r="90" spans="1:19" s="21" customFormat="1" outlineLevel="1">
      <c r="A90" s="65"/>
      <c r="B90" s="63"/>
      <c r="C90" s="96"/>
      <c r="D90" s="136" t="s">
        <v>274</v>
      </c>
      <c r="E90" s="103"/>
      <c r="F90" s="156">
        <v>120</v>
      </c>
      <c r="G90" s="100"/>
      <c r="H90" s="99"/>
      <c r="I90" s="98"/>
      <c r="J90" s="76"/>
      <c r="K90" s="64"/>
      <c r="L90" s="77"/>
      <c r="M90" s="64"/>
      <c r="N90" s="64"/>
      <c r="O90" s="64"/>
      <c r="P90" s="66"/>
      <c r="Q90" s="66"/>
      <c r="R90" s="66"/>
      <c r="S90" s="66"/>
    </row>
    <row r="91" spans="1:19" s="21" customFormat="1" ht="25.5" outlineLevel="1">
      <c r="A91" s="65"/>
      <c r="B91" s="63" t="s">
        <v>152</v>
      </c>
      <c r="C91" s="96" t="s">
        <v>122</v>
      </c>
      <c r="D91" s="136" t="s">
        <v>47</v>
      </c>
      <c r="E91" s="103" t="s">
        <v>34</v>
      </c>
      <c r="F91" s="156">
        <v>5</v>
      </c>
      <c r="G91" s="100">
        <f t="shared" si="71"/>
        <v>0.62999999999999989</v>
      </c>
      <c r="H91" s="99">
        <v>6.62</v>
      </c>
      <c r="I91" s="98">
        <v>7.25</v>
      </c>
      <c r="J91" s="76">
        <f t="shared" si="65"/>
        <v>0.75814199999999987</v>
      </c>
      <c r="K91" s="64">
        <f t="shared" si="66"/>
        <v>7.9665080000000001</v>
      </c>
      <c r="L91" s="77">
        <f t="shared" si="67"/>
        <v>8.7246500000000005</v>
      </c>
      <c r="M91" s="64">
        <f t="shared" si="72"/>
        <v>3.7907099999999994</v>
      </c>
      <c r="N91" s="64">
        <f t="shared" si="69"/>
        <v>39.83</v>
      </c>
      <c r="O91" s="64">
        <f t="shared" si="70"/>
        <v>43.620709999999995</v>
      </c>
      <c r="P91" s="66"/>
      <c r="Q91" s="66"/>
      <c r="R91" s="66"/>
      <c r="S91" s="66"/>
    </row>
    <row r="92" spans="1:19" s="21" customFormat="1" ht="51" outlineLevel="1">
      <c r="A92" s="65"/>
      <c r="B92" s="63" t="s">
        <v>131</v>
      </c>
      <c r="C92" s="96" t="s">
        <v>122</v>
      </c>
      <c r="D92" s="136" t="s">
        <v>144</v>
      </c>
      <c r="E92" s="103" t="s">
        <v>34</v>
      </c>
      <c r="F92" s="156">
        <v>1</v>
      </c>
      <c r="G92" s="100">
        <f t="shared" si="71"/>
        <v>8.23</v>
      </c>
      <c r="H92" s="99">
        <v>5.82</v>
      </c>
      <c r="I92" s="98">
        <v>14.05</v>
      </c>
      <c r="J92" s="76">
        <f t="shared" si="65"/>
        <v>9.903982000000001</v>
      </c>
      <c r="K92" s="64">
        <f t="shared" si="66"/>
        <v>7.0037880000000001</v>
      </c>
      <c r="L92" s="77">
        <f t="shared" si="67"/>
        <v>16.907769999999999</v>
      </c>
      <c r="M92" s="64">
        <f t="shared" si="72"/>
        <v>9.903982000000001</v>
      </c>
      <c r="N92" s="64">
        <f t="shared" si="69"/>
        <v>7</v>
      </c>
      <c r="O92" s="64">
        <f t="shared" si="70"/>
        <v>16.903981999999999</v>
      </c>
      <c r="P92" s="66"/>
      <c r="Q92" s="66"/>
      <c r="R92" s="66"/>
      <c r="S92" s="66"/>
    </row>
    <row r="93" spans="1:19" s="21" customFormat="1" ht="38.25" outlineLevel="1">
      <c r="A93" s="65"/>
      <c r="B93" s="63" t="s">
        <v>160</v>
      </c>
      <c r="C93" s="96" t="s">
        <v>122</v>
      </c>
      <c r="D93" s="136" t="s">
        <v>48</v>
      </c>
      <c r="E93" s="103" t="s">
        <v>34</v>
      </c>
      <c r="F93" s="156">
        <v>4</v>
      </c>
      <c r="G93" s="100">
        <f t="shared" si="71"/>
        <v>6.23</v>
      </c>
      <c r="H93" s="99">
        <v>6.35</v>
      </c>
      <c r="I93" s="98">
        <v>12.58</v>
      </c>
      <c r="J93" s="76">
        <f t="shared" si="65"/>
        <v>7.4971820000000005</v>
      </c>
      <c r="K93" s="64">
        <f t="shared" si="66"/>
        <v>7.6415899999999999</v>
      </c>
      <c r="L93" s="77">
        <f t="shared" si="67"/>
        <v>15.138771999999999</v>
      </c>
      <c r="M93" s="64">
        <f t="shared" si="72"/>
        <v>29.988728000000002</v>
      </c>
      <c r="N93" s="64">
        <f t="shared" si="69"/>
        <v>30.56</v>
      </c>
      <c r="O93" s="64">
        <f t="shared" si="70"/>
        <v>60.548727999999997</v>
      </c>
      <c r="P93" s="66"/>
      <c r="Q93" s="66"/>
      <c r="R93" s="66"/>
      <c r="S93" s="66"/>
    </row>
    <row r="94" spans="1:19" s="21" customFormat="1" ht="38.25" outlineLevel="1">
      <c r="A94" s="65"/>
      <c r="B94" s="63" t="s">
        <v>255</v>
      </c>
      <c r="C94" s="96" t="s">
        <v>122</v>
      </c>
      <c r="D94" s="136" t="s">
        <v>49</v>
      </c>
      <c r="E94" s="103" t="s">
        <v>34</v>
      </c>
      <c r="F94" s="156">
        <v>1</v>
      </c>
      <c r="G94" s="100">
        <f>I94-H94</f>
        <v>6.5600000000000005</v>
      </c>
      <c r="H94" s="99">
        <v>7.84</v>
      </c>
      <c r="I94" s="98">
        <v>14.4</v>
      </c>
      <c r="J94" s="76">
        <f t="shared" si="65"/>
        <v>7.8943040000000009</v>
      </c>
      <c r="K94" s="64">
        <f t="shared" si="66"/>
        <v>9.4346560000000004</v>
      </c>
      <c r="L94" s="77">
        <f t="shared" si="67"/>
        <v>17.328960000000002</v>
      </c>
      <c r="M94" s="64">
        <f t="shared" si="72"/>
        <v>7.8943040000000009</v>
      </c>
      <c r="N94" s="64">
        <f t="shared" si="69"/>
        <v>9.43</v>
      </c>
      <c r="O94" s="64">
        <f t="shared" si="70"/>
        <v>17.324304000000001</v>
      </c>
      <c r="P94" s="66"/>
      <c r="Q94" s="66"/>
      <c r="R94" s="66"/>
      <c r="S94" s="66"/>
    </row>
    <row r="95" spans="1:19" s="21" customFormat="1" ht="25.5" outlineLevel="1">
      <c r="A95" s="65"/>
      <c r="B95" s="63" t="s">
        <v>256</v>
      </c>
      <c r="C95" s="96" t="s">
        <v>122</v>
      </c>
      <c r="D95" s="140" t="s">
        <v>179</v>
      </c>
      <c r="E95" s="103" t="s">
        <v>34</v>
      </c>
      <c r="F95" s="156">
        <v>3</v>
      </c>
      <c r="G95" s="100">
        <f t="shared" ref="G95:G97" si="73">I95-H95</f>
        <v>64.27</v>
      </c>
      <c r="H95" s="99">
        <v>9.73</v>
      </c>
      <c r="I95" s="98">
        <v>74</v>
      </c>
      <c r="J95" s="76">
        <f t="shared" si="65"/>
        <v>77.342517999999998</v>
      </c>
      <c r="K95" s="64">
        <f t="shared" si="66"/>
        <v>11.709082</v>
      </c>
      <c r="L95" s="77">
        <f t="shared" si="67"/>
        <v>89.051599999999993</v>
      </c>
      <c r="M95" s="64">
        <f t="shared" si="72"/>
        <v>232.02755400000001</v>
      </c>
      <c r="N95" s="64">
        <f t="shared" si="69"/>
        <v>35.119999999999997</v>
      </c>
      <c r="O95" s="64">
        <f t="shared" si="70"/>
        <v>267.14755400000001</v>
      </c>
      <c r="P95" s="66"/>
      <c r="Q95" s="66"/>
      <c r="R95" s="66"/>
      <c r="S95" s="66"/>
    </row>
    <row r="96" spans="1:19" s="21" customFormat="1" ht="25.5" outlineLevel="1">
      <c r="A96" s="65"/>
      <c r="B96" s="63" t="s">
        <v>257</v>
      </c>
      <c r="C96" s="96" t="s">
        <v>122</v>
      </c>
      <c r="D96" s="137" t="s">
        <v>143</v>
      </c>
      <c r="E96" s="103" t="s">
        <v>34</v>
      </c>
      <c r="F96" s="156">
        <v>1</v>
      </c>
      <c r="G96" s="100">
        <f t="shared" si="73"/>
        <v>11.47</v>
      </c>
      <c r="H96" s="99">
        <v>8.08</v>
      </c>
      <c r="I96" s="98">
        <v>19.55</v>
      </c>
      <c r="J96" s="76">
        <f t="shared" si="65"/>
        <v>13.802998000000001</v>
      </c>
      <c r="K96" s="64">
        <f t="shared" si="66"/>
        <v>9.723472000000001</v>
      </c>
      <c r="L96" s="77">
        <f t="shared" si="67"/>
        <v>23.526470000000003</v>
      </c>
      <c r="M96" s="64">
        <f t="shared" si="72"/>
        <v>13.802998000000001</v>
      </c>
      <c r="N96" s="64">
        <f t="shared" si="69"/>
        <v>9.7200000000000006</v>
      </c>
      <c r="O96" s="64">
        <f t="shared" si="70"/>
        <v>23.522998000000001</v>
      </c>
      <c r="P96" s="66"/>
      <c r="Q96" s="66"/>
      <c r="R96" s="66"/>
      <c r="S96" s="66"/>
    </row>
    <row r="97" spans="1:19" s="21" customFormat="1" ht="25.5" outlineLevel="1">
      <c r="A97" s="65"/>
      <c r="B97" s="63" t="s">
        <v>258</v>
      </c>
      <c r="C97" s="96" t="s">
        <v>122</v>
      </c>
      <c r="D97" s="158" t="s">
        <v>273</v>
      </c>
      <c r="E97" s="103" t="s">
        <v>34</v>
      </c>
      <c r="F97" s="156">
        <v>1</v>
      </c>
      <c r="G97" s="100">
        <f t="shared" si="73"/>
        <v>232.63</v>
      </c>
      <c r="H97" s="99">
        <v>4.47</v>
      </c>
      <c r="I97" s="98">
        <v>237.1</v>
      </c>
      <c r="J97" s="76">
        <f t="shared" si="65"/>
        <v>279.94694199999998</v>
      </c>
      <c r="K97" s="64">
        <f t="shared" si="66"/>
        <v>5.3791979999999997</v>
      </c>
      <c r="L97" s="77">
        <f t="shared" si="67"/>
        <v>285.32613999999995</v>
      </c>
      <c r="M97" s="64">
        <f t="shared" si="72"/>
        <v>279.94694199999998</v>
      </c>
      <c r="N97" s="64">
        <f t="shared" si="69"/>
        <v>5.37</v>
      </c>
      <c r="O97" s="64">
        <f t="shared" si="70"/>
        <v>285.31694199999998</v>
      </c>
      <c r="P97" s="66"/>
      <c r="Q97" s="66"/>
      <c r="R97" s="66"/>
      <c r="S97" s="66"/>
    </row>
    <row r="98" spans="1:19" s="21" customFormat="1" ht="13.15" customHeight="1" outlineLevel="1">
      <c r="A98" s="7"/>
      <c r="B98" s="369" t="s">
        <v>65</v>
      </c>
      <c r="C98" s="370"/>
      <c r="D98" s="370"/>
      <c r="E98" s="370"/>
      <c r="F98" s="370"/>
      <c r="G98" s="370"/>
      <c r="H98" s="370"/>
      <c r="I98" s="370"/>
      <c r="J98" s="62"/>
      <c r="K98" s="62"/>
      <c r="L98" s="62"/>
      <c r="M98" s="78">
        <f>SUM(M87:M97)</f>
        <v>931.30008399999997</v>
      </c>
      <c r="N98" s="78">
        <f>SUM(N87:N97)</f>
        <v>1693.8899999999999</v>
      </c>
      <c r="O98" s="138">
        <f>SUM(O87:O97)</f>
        <v>2625.1900840000003</v>
      </c>
      <c r="P98" s="20"/>
      <c r="Q98" s="20"/>
      <c r="R98" s="20"/>
    </row>
    <row r="99" spans="1:19" s="21" customFormat="1" outlineLevel="1">
      <c r="A99" s="7"/>
      <c r="B99" s="34">
        <v>10</v>
      </c>
      <c r="C99" s="58"/>
      <c r="D99" s="46" t="s">
        <v>137</v>
      </c>
      <c r="E99" s="48"/>
      <c r="F99" s="49"/>
      <c r="G99" s="50"/>
      <c r="H99" s="51"/>
      <c r="I99" s="52"/>
      <c r="J99" s="52"/>
      <c r="K99" s="52"/>
      <c r="L99" s="52"/>
      <c r="M99" s="126"/>
      <c r="N99" s="126"/>
      <c r="O99" s="53"/>
      <c r="P99" s="20"/>
      <c r="Q99" s="20"/>
      <c r="R99" s="20"/>
    </row>
    <row r="100" spans="1:19" s="21" customFormat="1" ht="38.25" outlineLevel="1">
      <c r="A100" s="65"/>
      <c r="B100" s="63" t="s">
        <v>60</v>
      </c>
      <c r="C100" s="96" t="s">
        <v>122</v>
      </c>
      <c r="D100" s="137" t="s">
        <v>41</v>
      </c>
      <c r="E100" s="103" t="s">
        <v>34</v>
      </c>
      <c r="F100" s="156">
        <v>1</v>
      </c>
      <c r="G100" s="100">
        <f>I100-H100</f>
        <v>664.17</v>
      </c>
      <c r="H100" s="99">
        <v>31.33</v>
      </c>
      <c r="I100" s="98">
        <v>695.5</v>
      </c>
      <c r="J100" s="76">
        <f t="shared" ref="J100:J105" si="74">G100*(1+$O$5)</f>
        <v>799.26217799999995</v>
      </c>
      <c r="K100" s="64">
        <f t="shared" ref="K100:K105" si="75">H100*(1+$O$5)</f>
        <v>37.702522000000002</v>
      </c>
      <c r="L100" s="77">
        <f t="shared" ref="L100:L105" si="76">J100+K100</f>
        <v>836.96469999999999</v>
      </c>
      <c r="M100" s="64">
        <f>F100*J100</f>
        <v>799.26217799999995</v>
      </c>
      <c r="N100" s="64">
        <f t="shared" ref="N100:N105" si="77">TRUNC(K100*F100,2)</f>
        <v>37.700000000000003</v>
      </c>
      <c r="O100" s="64">
        <f t="shared" ref="O100:O105" si="78">M100+N100</f>
        <v>836.96217799999999</v>
      </c>
      <c r="P100" s="66"/>
      <c r="Q100" s="66"/>
      <c r="R100" s="66"/>
      <c r="S100" s="66"/>
    </row>
    <row r="101" spans="1:19" s="21" customFormat="1" outlineLevel="1">
      <c r="A101" s="65"/>
      <c r="B101" s="63" t="s">
        <v>61</v>
      </c>
      <c r="C101" s="96" t="s">
        <v>122</v>
      </c>
      <c r="D101" s="136" t="s">
        <v>42</v>
      </c>
      <c r="E101" s="103" t="s">
        <v>34</v>
      </c>
      <c r="F101" s="156">
        <v>1</v>
      </c>
      <c r="G101" s="100">
        <f t="shared" ref="G101" si="79">I101-H101</f>
        <v>38.909999999999997</v>
      </c>
      <c r="H101" s="99">
        <v>4.38</v>
      </c>
      <c r="I101" s="98">
        <v>43.29</v>
      </c>
      <c r="J101" s="76">
        <f t="shared" si="74"/>
        <v>46.824293999999995</v>
      </c>
      <c r="K101" s="64">
        <f t="shared" si="75"/>
        <v>5.2708919999999999</v>
      </c>
      <c r="L101" s="77">
        <f t="shared" si="76"/>
        <v>52.095185999999998</v>
      </c>
      <c r="M101" s="64">
        <f>F101*J101</f>
        <v>46.824293999999995</v>
      </c>
      <c r="N101" s="64">
        <f t="shared" si="77"/>
        <v>5.27</v>
      </c>
      <c r="O101" s="64">
        <f t="shared" si="78"/>
        <v>52.094293999999991</v>
      </c>
      <c r="P101" s="66"/>
      <c r="Q101" s="66"/>
      <c r="R101" s="66"/>
      <c r="S101" s="66"/>
    </row>
    <row r="102" spans="1:19" s="21" customFormat="1" ht="25.5" outlineLevel="1">
      <c r="A102" s="65"/>
      <c r="B102" s="63" t="s">
        <v>62</v>
      </c>
      <c r="C102" s="96" t="s">
        <v>122</v>
      </c>
      <c r="D102" s="136" t="s">
        <v>149</v>
      </c>
      <c r="E102" s="103" t="s">
        <v>34</v>
      </c>
      <c r="F102" s="156">
        <v>3</v>
      </c>
      <c r="G102" s="100">
        <f>I102-H102</f>
        <v>141.15</v>
      </c>
      <c r="H102" s="99">
        <v>2.95</v>
      </c>
      <c r="I102" s="98">
        <v>144.1</v>
      </c>
      <c r="J102" s="76">
        <f>G102*(1+$O$5)</f>
        <v>169.85991000000001</v>
      </c>
      <c r="K102" s="64">
        <f t="shared" si="75"/>
        <v>3.5500300000000005</v>
      </c>
      <c r="L102" s="77">
        <f t="shared" si="76"/>
        <v>173.40994000000001</v>
      </c>
      <c r="M102" s="64">
        <f>F102*J102</f>
        <v>509.57973000000004</v>
      </c>
      <c r="N102" s="64">
        <f t="shared" si="77"/>
        <v>10.65</v>
      </c>
      <c r="O102" s="64">
        <f t="shared" si="78"/>
        <v>520.22973000000002</v>
      </c>
      <c r="P102" s="66"/>
      <c r="Q102" s="66"/>
      <c r="R102" s="66"/>
      <c r="S102" s="66"/>
    </row>
    <row r="103" spans="1:19" s="21" customFormat="1" outlineLevel="1">
      <c r="A103" s="65"/>
      <c r="B103" s="63"/>
      <c r="C103" s="96"/>
      <c r="D103" s="136" t="s">
        <v>291</v>
      </c>
      <c r="E103" s="103" t="s">
        <v>2</v>
      </c>
      <c r="F103" s="156">
        <v>6</v>
      </c>
      <c r="G103" s="100"/>
      <c r="H103" s="99"/>
      <c r="I103" s="98"/>
      <c r="J103" s="76"/>
      <c r="K103" s="64"/>
      <c r="L103" s="77"/>
      <c r="M103" s="64"/>
      <c r="N103" s="64"/>
      <c r="O103" s="64"/>
      <c r="P103" s="66"/>
      <c r="Q103" s="66"/>
      <c r="R103" s="66"/>
      <c r="S103" s="66"/>
    </row>
    <row r="104" spans="1:19" s="21" customFormat="1" ht="38.25" outlineLevel="1">
      <c r="A104" s="65"/>
      <c r="B104" s="63" t="s">
        <v>63</v>
      </c>
      <c r="C104" s="96" t="s">
        <v>122</v>
      </c>
      <c r="D104" s="140" t="s">
        <v>172</v>
      </c>
      <c r="E104" s="103" t="s">
        <v>34</v>
      </c>
      <c r="F104" s="156">
        <v>1</v>
      </c>
      <c r="G104" s="100">
        <f>I104-H104</f>
        <v>373.93</v>
      </c>
      <c r="H104" s="99">
        <v>41.57</v>
      </c>
      <c r="I104" s="98">
        <v>415.5</v>
      </c>
      <c r="J104" s="76">
        <f>G104*(1+$O$5)</f>
        <v>449.98736200000002</v>
      </c>
      <c r="K104" s="64">
        <f t="shared" si="75"/>
        <v>50.025337999999998</v>
      </c>
      <c r="L104" s="77">
        <f t="shared" si="76"/>
        <v>500.0127</v>
      </c>
      <c r="M104" s="64">
        <f>F104*J104</f>
        <v>449.98736200000002</v>
      </c>
      <c r="N104" s="64">
        <f t="shared" si="77"/>
        <v>50.02</v>
      </c>
      <c r="O104" s="64">
        <f t="shared" si="78"/>
        <v>500.007362</v>
      </c>
      <c r="P104" s="66"/>
      <c r="Q104" s="66"/>
      <c r="R104" s="66"/>
      <c r="S104" s="66"/>
    </row>
    <row r="105" spans="1:19" s="21" customFormat="1" ht="51" outlineLevel="1">
      <c r="A105" s="65">
        <v>13</v>
      </c>
      <c r="B105" s="63" t="s">
        <v>64</v>
      </c>
      <c r="C105" s="96" t="s">
        <v>122</v>
      </c>
      <c r="D105" s="137" t="s">
        <v>171</v>
      </c>
      <c r="E105" s="103" t="s">
        <v>34</v>
      </c>
      <c r="F105" s="156">
        <v>1</v>
      </c>
      <c r="G105" s="100">
        <f>I105-H105</f>
        <v>146.47</v>
      </c>
      <c r="H105" s="99">
        <v>27.53</v>
      </c>
      <c r="I105" s="98">
        <v>174</v>
      </c>
      <c r="J105" s="76">
        <f t="shared" si="74"/>
        <v>176.26199800000001</v>
      </c>
      <c r="K105" s="64">
        <f t="shared" si="75"/>
        <v>33.129602000000006</v>
      </c>
      <c r="L105" s="77">
        <f t="shared" si="76"/>
        <v>209.39160000000001</v>
      </c>
      <c r="M105" s="64">
        <f>F105*J105</f>
        <v>176.26199800000001</v>
      </c>
      <c r="N105" s="64">
        <f t="shared" si="77"/>
        <v>33.119999999999997</v>
      </c>
      <c r="O105" s="64">
        <f t="shared" si="78"/>
        <v>209.38199800000001</v>
      </c>
      <c r="P105" s="66"/>
      <c r="Q105" s="66"/>
      <c r="R105" s="66"/>
      <c r="S105" s="66"/>
    </row>
    <row r="106" spans="1:19" s="21" customFormat="1" ht="13.15" customHeight="1" outlineLevel="1">
      <c r="A106" s="7"/>
      <c r="B106" s="369"/>
      <c r="C106" s="370"/>
      <c r="D106" s="370"/>
      <c r="E106" s="370"/>
      <c r="F106" s="370"/>
      <c r="G106" s="370"/>
      <c r="H106" s="370"/>
      <c r="I106" s="370"/>
      <c r="J106" s="62"/>
      <c r="K106" s="62"/>
      <c r="L106" s="62"/>
      <c r="M106" s="78">
        <f>SUM(M100:M105)</f>
        <v>1981.9155619999999</v>
      </c>
      <c r="N106" s="78">
        <f>SUM(N100:N105)</f>
        <v>136.76</v>
      </c>
      <c r="O106" s="138">
        <f>SUM(O100:O105)</f>
        <v>2118.6755619999999</v>
      </c>
      <c r="P106" s="20"/>
      <c r="Q106" s="20"/>
      <c r="R106" s="20"/>
    </row>
    <row r="107" spans="1:19" s="21" customFormat="1" outlineLevel="1">
      <c r="A107" s="7"/>
      <c r="B107" s="34">
        <v>11</v>
      </c>
      <c r="C107" s="58"/>
      <c r="D107" s="46" t="s">
        <v>22</v>
      </c>
      <c r="E107" s="48"/>
      <c r="F107" s="49"/>
      <c r="G107" s="50"/>
      <c r="H107" s="51"/>
      <c r="I107" s="52"/>
      <c r="J107" s="52"/>
      <c r="K107" s="52"/>
      <c r="L107" s="52"/>
      <c r="M107" s="126"/>
      <c r="N107" s="126"/>
      <c r="O107" s="53"/>
      <c r="P107" s="20"/>
      <c r="Q107" s="20"/>
      <c r="R107" s="20"/>
    </row>
    <row r="108" spans="1:19" s="21" customFormat="1" ht="38.25" outlineLevel="1">
      <c r="A108" s="65"/>
      <c r="B108" s="63" t="s">
        <v>56</v>
      </c>
      <c r="C108" s="96" t="s">
        <v>122</v>
      </c>
      <c r="D108" s="136" t="s">
        <v>154</v>
      </c>
      <c r="E108" s="103" t="s">
        <v>5</v>
      </c>
      <c r="F108" s="156">
        <v>58.72</v>
      </c>
      <c r="G108" s="100">
        <f>I108-H108</f>
        <v>37.409999999999997</v>
      </c>
      <c r="H108" s="99">
        <v>8.84</v>
      </c>
      <c r="I108" s="98">
        <v>46.25</v>
      </c>
      <c r="J108" s="76">
        <f>G108*(1+$O$5)</f>
        <v>45.019193999999999</v>
      </c>
      <c r="K108" s="64">
        <f>H108*(1+$O$5)</f>
        <v>10.638056000000001</v>
      </c>
      <c r="L108" s="77">
        <f>J108+K108</f>
        <v>55.657249999999998</v>
      </c>
      <c r="M108" s="64">
        <f>TRUNC(J108*F108,2)</f>
        <v>2643.52</v>
      </c>
      <c r="N108" s="64">
        <f>TRUNC(K108*F108,2)</f>
        <v>624.66</v>
      </c>
      <c r="O108" s="64">
        <f>M108+N108</f>
        <v>3268.18</v>
      </c>
      <c r="P108" s="66"/>
      <c r="Q108" s="75"/>
      <c r="R108" s="66"/>
      <c r="S108" s="66"/>
    </row>
    <row r="109" spans="1:19" s="21" customFormat="1" ht="38.25" outlineLevel="1">
      <c r="A109" s="65"/>
      <c r="B109" s="63" t="s">
        <v>57</v>
      </c>
      <c r="C109" s="96" t="s">
        <v>122</v>
      </c>
      <c r="D109" s="137" t="s">
        <v>164</v>
      </c>
      <c r="E109" s="103" t="s">
        <v>5</v>
      </c>
      <c r="F109" s="156">
        <v>58.72</v>
      </c>
      <c r="G109" s="100">
        <f t="shared" ref="G109:G111" si="80">I109-H109</f>
        <v>58.690000000000005</v>
      </c>
      <c r="H109" s="99">
        <v>8.65</v>
      </c>
      <c r="I109" s="98">
        <v>67.34</v>
      </c>
      <c r="J109" s="76">
        <f t="shared" ref="J109:J111" si="81">G109*(1+$O$5)</f>
        <v>70.627546000000009</v>
      </c>
      <c r="K109" s="64">
        <f t="shared" ref="K109:K111" si="82">H109*(1+$O$5)</f>
        <v>10.409410000000001</v>
      </c>
      <c r="L109" s="77">
        <f t="shared" ref="L109:L111" si="83">J109+K109</f>
        <v>81.036956000000004</v>
      </c>
      <c r="M109" s="64">
        <f>F109*J109</f>
        <v>4147.2495011200008</v>
      </c>
      <c r="N109" s="64">
        <f t="shared" ref="N109:N110" si="84">TRUNC(K109*F109,2)</f>
        <v>611.24</v>
      </c>
      <c r="O109" s="64">
        <f t="shared" ref="O109:O111" si="85">M109+N109</f>
        <v>4758.4895011200006</v>
      </c>
      <c r="P109" s="66"/>
      <c r="Q109" s="66"/>
      <c r="R109" s="66"/>
      <c r="S109" s="66"/>
    </row>
    <row r="110" spans="1:19" s="21" customFormat="1" ht="25.5" outlineLevel="1">
      <c r="A110" s="65"/>
      <c r="B110" s="63" t="s">
        <v>58</v>
      </c>
      <c r="C110" s="96" t="s">
        <v>122</v>
      </c>
      <c r="D110" s="97" t="s">
        <v>43</v>
      </c>
      <c r="E110" s="103" t="s">
        <v>4</v>
      </c>
      <c r="F110" s="156">
        <v>43.95</v>
      </c>
      <c r="G110" s="100">
        <f t="shared" si="80"/>
        <v>10.139999999999999</v>
      </c>
      <c r="H110" s="99">
        <v>2.4700000000000002</v>
      </c>
      <c r="I110" s="98">
        <v>12.61</v>
      </c>
      <c r="J110" s="76">
        <f t="shared" si="81"/>
        <v>12.202475999999999</v>
      </c>
      <c r="K110" s="64">
        <f t="shared" si="82"/>
        <v>2.9723980000000001</v>
      </c>
      <c r="L110" s="77">
        <f t="shared" si="83"/>
        <v>15.174873999999999</v>
      </c>
      <c r="M110" s="64">
        <f t="shared" ref="M110" si="86">TRUNC(J110*F110,2)</f>
        <v>536.29</v>
      </c>
      <c r="N110" s="64">
        <f t="shared" si="84"/>
        <v>130.63</v>
      </c>
      <c r="O110" s="64">
        <f t="shared" si="85"/>
        <v>666.92</v>
      </c>
      <c r="P110" s="66"/>
      <c r="Q110" s="66"/>
      <c r="R110" s="66"/>
      <c r="S110" s="66"/>
    </row>
    <row r="111" spans="1:19" s="21" customFormat="1" outlineLevel="1">
      <c r="A111" s="65"/>
      <c r="B111" s="63" t="s">
        <v>59</v>
      </c>
      <c r="C111" s="96" t="s">
        <v>122</v>
      </c>
      <c r="D111" s="136" t="s">
        <v>38</v>
      </c>
      <c r="E111" s="103" t="s">
        <v>4</v>
      </c>
      <c r="F111" s="156">
        <v>1.9</v>
      </c>
      <c r="G111" s="100">
        <f t="shared" si="80"/>
        <v>102.44999999999999</v>
      </c>
      <c r="H111" s="99">
        <v>15.93</v>
      </c>
      <c r="I111" s="98">
        <v>118.38</v>
      </c>
      <c r="J111" s="76">
        <f t="shared" si="81"/>
        <v>123.28832999999999</v>
      </c>
      <c r="K111" s="64">
        <f t="shared" si="82"/>
        <v>19.170162000000001</v>
      </c>
      <c r="L111" s="77">
        <f t="shared" si="83"/>
        <v>142.45849199999998</v>
      </c>
      <c r="M111" s="64">
        <f>F111*J111</f>
        <v>234.24782699999997</v>
      </c>
      <c r="N111" s="64">
        <f>F111*K111</f>
        <v>36.423307800000003</v>
      </c>
      <c r="O111" s="64">
        <f t="shared" si="85"/>
        <v>270.6711348</v>
      </c>
      <c r="P111" s="66"/>
      <c r="Q111" s="66"/>
      <c r="R111" s="66"/>
      <c r="S111" s="66"/>
    </row>
    <row r="112" spans="1:19" s="21" customFormat="1" ht="13.15" customHeight="1" outlineLevel="1">
      <c r="A112" s="7"/>
      <c r="B112" s="369" t="s">
        <v>74</v>
      </c>
      <c r="C112" s="370"/>
      <c r="D112" s="370"/>
      <c r="E112" s="370"/>
      <c r="F112" s="370"/>
      <c r="G112" s="370"/>
      <c r="H112" s="370"/>
      <c r="I112" s="370"/>
      <c r="J112" s="62"/>
      <c r="K112" s="62"/>
      <c r="L112" s="62"/>
      <c r="M112" s="78">
        <f>SUM(M108:M111)</f>
        <v>7561.3073281200013</v>
      </c>
      <c r="N112" s="78">
        <f>SUM(N108:N111)</f>
        <v>1402.9533078000002</v>
      </c>
      <c r="O112" s="138">
        <f>SUM(O108:O111)</f>
        <v>8964.2606359200017</v>
      </c>
      <c r="P112" s="20"/>
      <c r="Q112" s="20"/>
      <c r="R112" s="20"/>
    </row>
    <row r="113" spans="1:19" s="21" customFormat="1" outlineLevel="1">
      <c r="A113" s="7"/>
      <c r="B113" s="34">
        <v>12</v>
      </c>
      <c r="C113" s="58"/>
      <c r="D113" s="46" t="s">
        <v>23</v>
      </c>
      <c r="E113" s="48"/>
      <c r="F113" s="49"/>
      <c r="G113" s="50"/>
      <c r="H113" s="51"/>
      <c r="I113" s="52"/>
      <c r="J113" s="52"/>
      <c r="K113" s="52"/>
      <c r="L113" s="52"/>
      <c r="M113" s="126"/>
      <c r="N113" s="126"/>
      <c r="O113" s="53"/>
      <c r="P113" s="20"/>
      <c r="Q113" s="20"/>
      <c r="R113" s="20"/>
      <c r="S113" s="20"/>
    </row>
    <row r="114" spans="1:19" s="21" customFormat="1" ht="38.25" outlineLevel="1">
      <c r="A114" s="65"/>
      <c r="B114" s="63" t="s">
        <v>54</v>
      </c>
      <c r="C114" s="96" t="s">
        <v>122</v>
      </c>
      <c r="D114" s="136" t="s">
        <v>148</v>
      </c>
      <c r="E114" s="103" t="s">
        <v>5</v>
      </c>
      <c r="F114" s="156">
        <v>223.9</v>
      </c>
      <c r="G114" s="100">
        <f>I114-H114</f>
        <v>2.89</v>
      </c>
      <c r="H114" s="99">
        <v>2.48</v>
      </c>
      <c r="I114" s="98">
        <v>5.37</v>
      </c>
      <c r="J114" s="76">
        <f t="shared" ref="J114" si="87">G114*(1+$O$5)</f>
        <v>3.4778260000000003</v>
      </c>
      <c r="K114" s="64">
        <f t="shared" ref="K114" si="88">H114*(1+$O$5)</f>
        <v>2.984432</v>
      </c>
      <c r="L114" s="77">
        <f t="shared" ref="L114" si="89">J114+K114</f>
        <v>6.4622580000000003</v>
      </c>
      <c r="M114" s="64">
        <f>F114*J114</f>
        <v>778.68524140000011</v>
      </c>
      <c r="N114" s="64">
        <f>F114*K114</f>
        <v>668.21432479999999</v>
      </c>
      <c r="O114" s="64">
        <f t="shared" ref="O114" si="90">M114+N114</f>
        <v>1446.8995662000002</v>
      </c>
      <c r="P114" s="66"/>
      <c r="Q114" s="66"/>
      <c r="R114" s="66"/>
      <c r="S114" s="66"/>
    </row>
    <row r="115" spans="1:19" s="21" customFormat="1" ht="51" outlineLevel="1">
      <c r="A115" s="65"/>
      <c r="B115" s="63" t="s">
        <v>155</v>
      </c>
      <c r="C115" s="96" t="s">
        <v>122</v>
      </c>
      <c r="D115" s="136" t="s">
        <v>39</v>
      </c>
      <c r="E115" s="103" t="s">
        <v>5</v>
      </c>
      <c r="F115" s="156">
        <v>223.9</v>
      </c>
      <c r="G115" s="100">
        <f t="shared" ref="G115:G117" si="91">I115-H115</f>
        <v>10.3</v>
      </c>
      <c r="H115" s="99">
        <v>16.5</v>
      </c>
      <c r="I115" s="98">
        <v>26.8</v>
      </c>
      <c r="J115" s="76">
        <f t="shared" ref="J115:J117" si="92">G115*(1+$O$5)</f>
        <v>12.395020000000001</v>
      </c>
      <c r="K115" s="64">
        <f t="shared" ref="K115:K117" si="93">H115*(1+$O$5)</f>
        <v>19.856100000000001</v>
      </c>
      <c r="L115" s="77">
        <f t="shared" ref="L115:L117" si="94">J115+K115</f>
        <v>32.25112</v>
      </c>
      <c r="M115" s="64">
        <f>F115*J115</f>
        <v>2775.2449780000002</v>
      </c>
      <c r="N115" s="64">
        <f>F115*K115</f>
        <v>4445.7807900000007</v>
      </c>
      <c r="O115" s="64">
        <f t="shared" ref="O115:O117" si="95">M115+N115</f>
        <v>7221.0257680000013</v>
      </c>
      <c r="P115" s="66"/>
      <c r="Q115" s="66"/>
      <c r="R115" s="66"/>
      <c r="S115" s="66"/>
    </row>
    <row r="116" spans="1:19" s="21" customFormat="1" ht="38.25" outlineLevel="1">
      <c r="A116" s="65"/>
      <c r="B116" s="63" t="s">
        <v>55</v>
      </c>
      <c r="C116" s="96" t="s">
        <v>122</v>
      </c>
      <c r="D116" s="137" t="s">
        <v>173</v>
      </c>
      <c r="E116" s="103" t="s">
        <v>5</v>
      </c>
      <c r="F116" s="156">
        <v>102.32</v>
      </c>
      <c r="G116" s="100">
        <f t="shared" si="91"/>
        <v>63.8</v>
      </c>
      <c r="H116" s="99">
        <v>14.8</v>
      </c>
      <c r="I116" s="98">
        <v>78.599999999999994</v>
      </c>
      <c r="J116" s="76">
        <f t="shared" si="92"/>
        <v>76.776920000000004</v>
      </c>
      <c r="K116" s="64">
        <f t="shared" si="93"/>
        <v>17.810320000000001</v>
      </c>
      <c r="L116" s="77">
        <f t="shared" si="94"/>
        <v>94.587240000000008</v>
      </c>
      <c r="M116" s="64">
        <f>F116*J116</f>
        <v>7855.8144543999997</v>
      </c>
      <c r="N116" s="64">
        <f t="shared" ref="N116" si="96">TRUNC(K116*F116,2)</f>
        <v>1822.35</v>
      </c>
      <c r="O116" s="64">
        <f t="shared" si="95"/>
        <v>9678.1644543999992</v>
      </c>
      <c r="P116" s="66"/>
      <c r="Q116" s="66"/>
      <c r="R116" s="66"/>
      <c r="S116" s="66"/>
    </row>
    <row r="117" spans="1:19" s="21" customFormat="1" ht="25.5" outlineLevel="1">
      <c r="A117" s="65"/>
      <c r="B117" s="63" t="s">
        <v>201</v>
      </c>
      <c r="C117" s="96" t="s">
        <v>122</v>
      </c>
      <c r="D117" s="136" t="s">
        <v>125</v>
      </c>
      <c r="E117" s="103" t="s">
        <v>4</v>
      </c>
      <c r="F117" s="156">
        <v>8.4</v>
      </c>
      <c r="G117" s="100">
        <f t="shared" si="91"/>
        <v>60.489999999999995</v>
      </c>
      <c r="H117" s="99">
        <v>29.51</v>
      </c>
      <c r="I117" s="98">
        <v>90</v>
      </c>
      <c r="J117" s="76">
        <f t="shared" si="92"/>
        <v>72.793666000000002</v>
      </c>
      <c r="K117" s="64">
        <f t="shared" si="93"/>
        <v>35.512334000000003</v>
      </c>
      <c r="L117" s="77">
        <f t="shared" si="94"/>
        <v>108.30600000000001</v>
      </c>
      <c r="M117" s="64">
        <f>F117*J117</f>
        <v>611.46679440000003</v>
      </c>
      <c r="N117" s="64">
        <f>F117*K117</f>
        <v>298.30360560000003</v>
      </c>
      <c r="O117" s="64">
        <f t="shared" si="95"/>
        <v>909.77040000000011</v>
      </c>
      <c r="P117" s="66"/>
      <c r="Q117" s="66"/>
      <c r="R117" s="66"/>
      <c r="S117" s="66"/>
    </row>
    <row r="118" spans="1:19" s="21" customFormat="1" ht="13.15" customHeight="1" outlineLevel="1">
      <c r="A118" s="7"/>
      <c r="B118" s="369" t="s">
        <v>75</v>
      </c>
      <c r="C118" s="370"/>
      <c r="D118" s="370"/>
      <c r="E118" s="370"/>
      <c r="F118" s="370"/>
      <c r="G118" s="370"/>
      <c r="H118" s="370"/>
      <c r="I118" s="370"/>
      <c r="J118" s="62"/>
      <c r="K118" s="62"/>
      <c r="L118" s="62"/>
      <c r="M118" s="78">
        <f>SUM(M114:M117)</f>
        <v>12021.211468199999</v>
      </c>
      <c r="N118" s="78">
        <f>SUM(N114:N117)</f>
        <v>7234.6487204000005</v>
      </c>
      <c r="O118" s="138">
        <f>SUM(O114:O117)</f>
        <v>19255.860188600003</v>
      </c>
      <c r="P118" s="20"/>
      <c r="Q118" s="20"/>
      <c r="R118" s="20"/>
      <c r="S118" s="20"/>
    </row>
    <row r="119" spans="1:19" s="21" customFormat="1" outlineLevel="1">
      <c r="A119" s="7"/>
      <c r="B119" s="34">
        <v>13</v>
      </c>
      <c r="C119" s="58"/>
      <c r="D119" s="46" t="s">
        <v>24</v>
      </c>
      <c r="E119" s="48"/>
      <c r="F119" s="49"/>
      <c r="G119" s="50"/>
      <c r="H119" s="51"/>
      <c r="I119" s="52"/>
      <c r="J119" s="52"/>
      <c r="K119" s="52"/>
      <c r="L119" s="52"/>
      <c r="M119" s="126"/>
      <c r="N119" s="126"/>
      <c r="O119" s="53"/>
      <c r="P119" s="20"/>
      <c r="Q119" s="20"/>
      <c r="R119" s="20"/>
      <c r="S119" s="20"/>
    </row>
    <row r="120" spans="1:19" s="21" customFormat="1" outlineLevel="1">
      <c r="A120" s="65"/>
      <c r="B120" s="63" t="s">
        <v>259</v>
      </c>
      <c r="C120" s="96" t="s">
        <v>122</v>
      </c>
      <c r="D120" s="136" t="s">
        <v>280</v>
      </c>
      <c r="E120" s="103" t="s">
        <v>2</v>
      </c>
      <c r="F120" s="156">
        <v>2</v>
      </c>
      <c r="G120" s="100">
        <f>I120-H120</f>
        <v>804</v>
      </c>
      <c r="H120" s="99">
        <v>28</v>
      </c>
      <c r="I120" s="98">
        <v>832</v>
      </c>
      <c r="J120" s="76">
        <f t="shared" ref="J120:K123" si="97">G120*(1+$O$5)</f>
        <v>967.53359999999998</v>
      </c>
      <c r="K120" s="64">
        <f t="shared" si="97"/>
        <v>33.6952</v>
      </c>
      <c r="L120" s="77">
        <f>J120+K120</f>
        <v>1001.2288</v>
      </c>
      <c r="M120" s="64">
        <f t="shared" ref="M120:M128" si="98">F120*J120</f>
        <v>1935.0672</v>
      </c>
      <c r="N120" s="64">
        <f t="shared" ref="N120:N128" si="99">F120*K120</f>
        <v>67.3904</v>
      </c>
      <c r="O120" s="64">
        <f>M120+N120</f>
        <v>2002.4576</v>
      </c>
      <c r="P120" s="66"/>
      <c r="Q120" s="66"/>
      <c r="R120" s="66"/>
      <c r="S120" s="66"/>
    </row>
    <row r="121" spans="1:19" s="21" customFormat="1" outlineLevel="1">
      <c r="A121" s="65"/>
      <c r="B121" s="63" t="s">
        <v>260</v>
      </c>
      <c r="C121" s="96" t="s">
        <v>122</v>
      </c>
      <c r="D121" s="140" t="s">
        <v>281</v>
      </c>
      <c r="E121" s="103" t="s">
        <v>2</v>
      </c>
      <c r="F121" s="156">
        <v>3</v>
      </c>
      <c r="G121" s="100">
        <f t="shared" ref="G121:G125" si="100">I121-H121</f>
        <v>1575</v>
      </c>
      <c r="H121" s="99">
        <v>45</v>
      </c>
      <c r="I121" s="98">
        <v>1620</v>
      </c>
      <c r="J121" s="76">
        <f t="shared" si="97"/>
        <v>1895.355</v>
      </c>
      <c r="K121" s="64">
        <f t="shared" si="97"/>
        <v>54.152999999999999</v>
      </c>
      <c r="L121" s="77">
        <f t="shared" ref="L121:L122" si="101">J121+K121</f>
        <v>1949.508</v>
      </c>
      <c r="M121" s="64">
        <f t="shared" si="98"/>
        <v>5686.0650000000005</v>
      </c>
      <c r="N121" s="64">
        <f t="shared" si="99"/>
        <v>162.459</v>
      </c>
      <c r="O121" s="64">
        <f t="shared" ref="O121:O122" si="102">M121+N121</f>
        <v>5848.5240000000003</v>
      </c>
      <c r="P121" s="66"/>
      <c r="Q121" s="66"/>
      <c r="R121" s="66"/>
      <c r="S121" s="66"/>
    </row>
    <row r="122" spans="1:19" s="21" customFormat="1" outlineLevel="1">
      <c r="A122" s="65"/>
      <c r="B122" s="63" t="s">
        <v>261</v>
      </c>
      <c r="C122" s="96" t="s">
        <v>122</v>
      </c>
      <c r="D122" s="140" t="s">
        <v>282</v>
      </c>
      <c r="E122" s="103" t="s">
        <v>2</v>
      </c>
      <c r="F122" s="156">
        <v>1</v>
      </c>
      <c r="G122" s="100">
        <f t="shared" si="100"/>
        <v>682.5</v>
      </c>
      <c r="H122" s="99">
        <v>22.5</v>
      </c>
      <c r="I122" s="98">
        <v>705</v>
      </c>
      <c r="J122" s="76">
        <f t="shared" si="97"/>
        <v>821.32050000000004</v>
      </c>
      <c r="K122" s="64">
        <f t="shared" si="97"/>
        <v>27.076499999999999</v>
      </c>
      <c r="L122" s="77">
        <f t="shared" si="101"/>
        <v>848.39700000000005</v>
      </c>
      <c r="M122" s="64">
        <f t="shared" si="98"/>
        <v>821.32050000000004</v>
      </c>
      <c r="N122" s="64">
        <f t="shared" si="99"/>
        <v>27.076499999999999</v>
      </c>
      <c r="O122" s="64">
        <f t="shared" si="102"/>
        <v>848.39700000000005</v>
      </c>
      <c r="P122" s="66"/>
      <c r="Q122" s="66"/>
      <c r="R122" s="66"/>
      <c r="S122" s="66"/>
    </row>
    <row r="123" spans="1:19" s="21" customFormat="1" outlineLevel="1">
      <c r="A123" s="65"/>
      <c r="B123" s="63" t="s">
        <v>262</v>
      </c>
      <c r="C123" s="96" t="s">
        <v>122</v>
      </c>
      <c r="D123" s="140" t="s">
        <v>283</v>
      </c>
      <c r="E123" s="103" t="s">
        <v>2</v>
      </c>
      <c r="F123" s="156">
        <v>2</v>
      </c>
      <c r="G123" s="100">
        <f t="shared" si="100"/>
        <v>368.5</v>
      </c>
      <c r="H123" s="99">
        <v>11.5</v>
      </c>
      <c r="I123" s="98">
        <v>380</v>
      </c>
      <c r="J123" s="76">
        <f t="shared" si="97"/>
        <v>443.4529</v>
      </c>
      <c r="K123" s="64">
        <f t="shared" si="97"/>
        <v>13.8391</v>
      </c>
      <c r="L123" s="77">
        <f>J123+K123</f>
        <v>457.29199999999997</v>
      </c>
      <c r="M123" s="64">
        <f t="shared" si="98"/>
        <v>886.9058</v>
      </c>
      <c r="N123" s="64">
        <f t="shared" si="99"/>
        <v>27.6782</v>
      </c>
      <c r="O123" s="64">
        <f>M123+N123</f>
        <v>914.58399999999995</v>
      </c>
      <c r="P123" s="66"/>
      <c r="Q123" s="66"/>
      <c r="R123" s="66"/>
      <c r="S123" s="66"/>
    </row>
    <row r="124" spans="1:19" s="21" customFormat="1" outlineLevel="1">
      <c r="A124" s="65"/>
      <c r="B124" s="63" t="s">
        <v>263</v>
      </c>
      <c r="C124" s="96" t="s">
        <v>122</v>
      </c>
      <c r="D124" s="137" t="s">
        <v>284</v>
      </c>
      <c r="E124" s="103" t="s">
        <v>2</v>
      </c>
      <c r="F124" s="156">
        <v>1</v>
      </c>
      <c r="G124" s="100">
        <f t="shared" si="100"/>
        <v>774</v>
      </c>
      <c r="H124" s="99">
        <v>36</v>
      </c>
      <c r="I124" s="98">
        <v>810</v>
      </c>
      <c r="J124" s="76">
        <f t="shared" ref="J124:J125" si="103">G124*(1+$O$5)</f>
        <v>931.4316</v>
      </c>
      <c r="K124" s="64">
        <f t="shared" ref="K124:K125" si="104">H124*(1+$O$5)</f>
        <v>43.322400000000002</v>
      </c>
      <c r="L124" s="77">
        <f t="shared" ref="L124:L125" si="105">J124+K124</f>
        <v>974.75400000000002</v>
      </c>
      <c r="M124" s="64">
        <f t="shared" si="98"/>
        <v>931.4316</v>
      </c>
      <c r="N124" s="64">
        <f t="shared" si="99"/>
        <v>43.322400000000002</v>
      </c>
      <c r="O124" s="64">
        <f t="shared" ref="O124:O125" si="106">M124+N124</f>
        <v>974.75400000000002</v>
      </c>
      <c r="P124" s="66"/>
      <c r="Q124" s="66"/>
      <c r="R124" s="66"/>
      <c r="S124" s="66"/>
    </row>
    <row r="125" spans="1:19" s="21" customFormat="1" outlineLevel="1">
      <c r="A125" s="65"/>
      <c r="B125" s="63" t="s">
        <v>264</v>
      </c>
      <c r="C125" s="96" t="s">
        <v>122</v>
      </c>
      <c r="D125" s="140" t="s">
        <v>285</v>
      </c>
      <c r="E125" s="103" t="s">
        <v>2</v>
      </c>
      <c r="F125" s="156">
        <v>1</v>
      </c>
      <c r="G125" s="100">
        <f t="shared" si="100"/>
        <v>784</v>
      </c>
      <c r="H125" s="99">
        <v>36</v>
      </c>
      <c r="I125" s="98">
        <v>820</v>
      </c>
      <c r="J125" s="76">
        <f t="shared" si="103"/>
        <v>943.46559999999999</v>
      </c>
      <c r="K125" s="64">
        <f t="shared" si="104"/>
        <v>43.322400000000002</v>
      </c>
      <c r="L125" s="77">
        <f t="shared" si="105"/>
        <v>986.78800000000001</v>
      </c>
      <c r="M125" s="64">
        <f t="shared" si="98"/>
        <v>943.46559999999999</v>
      </c>
      <c r="N125" s="64">
        <f t="shared" si="99"/>
        <v>43.322400000000002</v>
      </c>
      <c r="O125" s="64">
        <f t="shared" si="106"/>
        <v>986.78800000000001</v>
      </c>
      <c r="P125" s="66"/>
      <c r="Q125" s="66"/>
      <c r="R125" s="66"/>
      <c r="S125" s="66"/>
    </row>
    <row r="126" spans="1:19" s="21" customFormat="1" ht="30.75" customHeight="1" outlineLevel="1">
      <c r="A126" s="65"/>
      <c r="B126" s="63"/>
      <c r="C126" s="96"/>
      <c r="D126" s="140" t="s">
        <v>286</v>
      </c>
      <c r="E126" s="103" t="s">
        <v>2</v>
      </c>
      <c r="F126" s="156">
        <v>3</v>
      </c>
      <c r="G126" s="100"/>
      <c r="H126" s="99"/>
      <c r="I126" s="98"/>
      <c r="J126" s="76"/>
      <c r="K126" s="64"/>
      <c r="L126" s="77"/>
      <c r="M126" s="64"/>
      <c r="N126" s="64"/>
      <c r="O126" s="64"/>
      <c r="P126" s="66"/>
      <c r="Q126" s="66"/>
      <c r="R126" s="66"/>
      <c r="S126" s="66"/>
    </row>
    <row r="127" spans="1:19" s="21" customFormat="1" ht="30.75" customHeight="1" outlineLevel="1">
      <c r="A127" s="65"/>
      <c r="B127" s="63" t="s">
        <v>265</v>
      </c>
      <c r="C127" s="96" t="s">
        <v>122</v>
      </c>
      <c r="D127" s="137" t="s">
        <v>287</v>
      </c>
      <c r="E127" s="103" t="s">
        <v>2</v>
      </c>
      <c r="F127" s="156">
        <v>2</v>
      </c>
      <c r="G127" s="100">
        <v>0</v>
      </c>
      <c r="H127" s="99">
        <v>36</v>
      </c>
      <c r="I127" s="98">
        <v>1065</v>
      </c>
      <c r="J127" s="76">
        <f t="shared" ref="J127" si="107">G127*(1+$O$5)</f>
        <v>0</v>
      </c>
      <c r="K127" s="64">
        <f t="shared" ref="K127" si="108">H127*(1+$O$5)</f>
        <v>43.322400000000002</v>
      </c>
      <c r="L127" s="77">
        <f t="shared" ref="L127" si="109">J127+K127</f>
        <v>43.322400000000002</v>
      </c>
      <c r="M127" s="64">
        <f t="shared" ref="M127" si="110">F127*J127</f>
        <v>0</v>
      </c>
      <c r="N127" s="64">
        <f t="shared" ref="N127" si="111">F127*K127</f>
        <v>86.644800000000004</v>
      </c>
      <c r="O127" s="64">
        <f t="shared" ref="O127" si="112">M127+N127</f>
        <v>86.644800000000004</v>
      </c>
      <c r="P127" s="66"/>
      <c r="Q127" s="66"/>
      <c r="R127" s="66"/>
      <c r="S127" s="66"/>
    </row>
    <row r="128" spans="1:19" s="21" customFormat="1" outlineLevel="1">
      <c r="A128" s="65"/>
      <c r="B128" s="63"/>
      <c r="C128" s="96"/>
      <c r="D128" s="140" t="s">
        <v>290</v>
      </c>
      <c r="E128" s="103" t="s">
        <v>2</v>
      </c>
      <c r="F128" s="156">
        <v>8</v>
      </c>
      <c r="G128" s="100">
        <v>0</v>
      </c>
      <c r="H128" s="99">
        <v>36</v>
      </c>
      <c r="I128" s="98">
        <v>1065</v>
      </c>
      <c r="J128" s="76">
        <f t="shared" ref="J128" si="113">G128*(1+$O$5)</f>
        <v>0</v>
      </c>
      <c r="K128" s="64">
        <f t="shared" ref="K128" si="114">H128*(1+$O$5)</f>
        <v>43.322400000000002</v>
      </c>
      <c r="L128" s="77">
        <f t="shared" ref="L128" si="115">J128+K128</f>
        <v>43.322400000000002</v>
      </c>
      <c r="M128" s="64">
        <f t="shared" si="98"/>
        <v>0</v>
      </c>
      <c r="N128" s="64">
        <f t="shared" si="99"/>
        <v>346.57920000000001</v>
      </c>
      <c r="O128" s="64">
        <f t="shared" ref="O128" si="116">M128+N128</f>
        <v>346.57920000000001</v>
      </c>
      <c r="P128" s="66"/>
      <c r="Q128" s="66"/>
      <c r="R128" s="66"/>
      <c r="S128" s="66"/>
    </row>
    <row r="129" spans="1:19" s="21" customFormat="1" ht="13.15" customHeight="1" outlineLevel="1">
      <c r="A129" s="7"/>
      <c r="B129" s="369" t="s">
        <v>76</v>
      </c>
      <c r="C129" s="370"/>
      <c r="D129" s="370"/>
      <c r="E129" s="370"/>
      <c r="F129" s="370"/>
      <c r="G129" s="370"/>
      <c r="H129" s="370"/>
      <c r="I129" s="370"/>
      <c r="J129" s="62"/>
      <c r="K129" s="62"/>
      <c r="L129" s="62"/>
      <c r="M129" s="78">
        <f>SUM(M120:M128)</f>
        <v>11204.2557</v>
      </c>
      <c r="N129" s="78">
        <f>SUM(N120:N128)</f>
        <v>804.4729000000001</v>
      </c>
      <c r="O129" s="138">
        <f>SUM(O120:O128)</f>
        <v>12008.728600000002</v>
      </c>
      <c r="P129" s="20"/>
      <c r="Q129" s="20"/>
      <c r="R129" s="20"/>
      <c r="S129" s="20"/>
    </row>
    <row r="130" spans="1:19" s="21" customFormat="1" outlineLevel="1">
      <c r="A130" s="7"/>
      <c r="B130" s="34">
        <v>14</v>
      </c>
      <c r="C130" s="58"/>
      <c r="D130" s="46" t="s">
        <v>25</v>
      </c>
      <c r="E130" s="48"/>
      <c r="F130" s="49"/>
      <c r="G130" s="50"/>
      <c r="H130" s="51"/>
      <c r="I130" s="52"/>
      <c r="J130" s="52"/>
      <c r="K130" s="52"/>
      <c r="L130" s="52"/>
      <c r="M130" s="126"/>
      <c r="N130" s="126"/>
      <c r="O130" s="53"/>
      <c r="P130" s="20"/>
      <c r="Q130" s="20"/>
      <c r="R130" s="20"/>
      <c r="S130" s="20"/>
    </row>
    <row r="131" spans="1:19" s="21" customFormat="1" outlineLevel="1">
      <c r="A131" s="65"/>
      <c r="B131" s="63" t="s">
        <v>266</v>
      </c>
      <c r="C131" s="96">
        <v>88485</v>
      </c>
      <c r="D131" s="136" t="s">
        <v>26</v>
      </c>
      <c r="E131" s="103" t="s">
        <v>5</v>
      </c>
      <c r="F131" s="156">
        <v>121.6</v>
      </c>
      <c r="G131" s="100">
        <f>I131-H131</f>
        <v>2.2199999999999998</v>
      </c>
      <c r="H131" s="99">
        <v>1.68</v>
      </c>
      <c r="I131" s="98">
        <v>3.9</v>
      </c>
      <c r="J131" s="76">
        <f t="shared" ref="J131:J132" si="117">G131*(1+$O$5)</f>
        <v>2.6715479999999996</v>
      </c>
      <c r="K131" s="64">
        <f t="shared" ref="K131:K132" si="118">H131*(1+$O$5)</f>
        <v>2.021712</v>
      </c>
      <c r="L131" s="77">
        <f t="shared" ref="L131:L132" si="119">J131+K131</f>
        <v>4.6932599999999995</v>
      </c>
      <c r="M131" s="64">
        <f>F131*J131</f>
        <v>324.86023679999994</v>
      </c>
      <c r="N131" s="64">
        <f t="shared" ref="N131:N132" si="120">TRUNC(K131*F131,2)</f>
        <v>245.84</v>
      </c>
      <c r="O131" s="64">
        <f t="shared" ref="O131:O132" si="121">M131+N131</f>
        <v>570.70023679999997</v>
      </c>
      <c r="P131" s="66"/>
      <c r="Q131" s="66"/>
      <c r="R131" s="66"/>
      <c r="S131" s="66"/>
    </row>
    <row r="132" spans="1:19" s="21" customFormat="1" ht="25.5" outlineLevel="1">
      <c r="A132" s="65"/>
      <c r="B132" s="162" t="s">
        <v>267</v>
      </c>
      <c r="C132" s="163">
        <v>104642</v>
      </c>
      <c r="D132" s="137" t="s">
        <v>174</v>
      </c>
      <c r="E132" s="164" t="s">
        <v>5</v>
      </c>
      <c r="F132" s="165">
        <v>121.6</v>
      </c>
      <c r="G132" s="166">
        <f>I132-H132</f>
        <v>7.9</v>
      </c>
      <c r="H132" s="167">
        <v>3.68</v>
      </c>
      <c r="I132" s="168">
        <v>11.58</v>
      </c>
      <c r="J132" s="169">
        <f t="shared" si="117"/>
        <v>9.5068600000000014</v>
      </c>
      <c r="K132" s="170">
        <f t="shared" si="118"/>
        <v>4.4285120000000004</v>
      </c>
      <c r="L132" s="171">
        <f t="shared" si="119"/>
        <v>13.935372000000001</v>
      </c>
      <c r="M132" s="170">
        <f>F132*J132</f>
        <v>1156.0341760000001</v>
      </c>
      <c r="N132" s="64">
        <f t="shared" si="120"/>
        <v>538.5</v>
      </c>
      <c r="O132" s="64">
        <f t="shared" si="121"/>
        <v>1694.5341760000001</v>
      </c>
      <c r="P132" s="66"/>
      <c r="Q132" s="66"/>
      <c r="R132" s="66"/>
      <c r="S132" s="66"/>
    </row>
    <row r="133" spans="1:19" s="21" customFormat="1" outlineLevel="1">
      <c r="A133" s="65"/>
      <c r="B133" s="63"/>
      <c r="C133" s="96"/>
      <c r="D133" s="140" t="s">
        <v>275</v>
      </c>
      <c r="E133" s="103" t="s">
        <v>5</v>
      </c>
      <c r="F133" s="156">
        <v>136.35</v>
      </c>
      <c r="G133" s="100"/>
      <c r="H133" s="99"/>
      <c r="I133" s="98"/>
      <c r="J133" s="76"/>
      <c r="K133" s="64"/>
      <c r="L133" s="77"/>
      <c r="M133" s="64"/>
      <c r="N133" s="161"/>
      <c r="O133" s="161"/>
      <c r="P133" s="66"/>
      <c r="Q133" s="66"/>
      <c r="R133" s="66"/>
      <c r="S133" s="66"/>
    </row>
    <row r="134" spans="1:19" s="21" customFormat="1" ht="13.15" customHeight="1" outlineLevel="1">
      <c r="A134" s="7"/>
      <c r="B134" s="369" t="s">
        <v>77</v>
      </c>
      <c r="C134" s="370"/>
      <c r="D134" s="370"/>
      <c r="E134" s="370"/>
      <c r="F134" s="370"/>
      <c r="G134" s="370"/>
      <c r="H134" s="370"/>
      <c r="I134" s="370"/>
      <c r="J134" s="62"/>
      <c r="K134" s="62"/>
      <c r="L134" s="62"/>
      <c r="M134" s="78">
        <f>SUM(M131:M132)</f>
        <v>1480.8944128000001</v>
      </c>
      <c r="N134" s="78">
        <f>SUM(N131:N132)</f>
        <v>784.34</v>
      </c>
      <c r="O134" s="138">
        <f>SUM(O131:O132)</f>
        <v>2265.2344128</v>
      </c>
      <c r="P134" s="20"/>
      <c r="Q134" s="20"/>
      <c r="R134" s="20"/>
      <c r="S134" s="20"/>
    </row>
    <row r="135" spans="1:19" s="21" customFormat="1" ht="12.75" customHeight="1" outlineLevel="1">
      <c r="A135" s="7"/>
      <c r="B135" s="93"/>
      <c r="C135" s="93"/>
      <c r="D135" s="93"/>
      <c r="E135" s="93"/>
      <c r="F135" s="93"/>
      <c r="G135" s="93"/>
      <c r="H135" s="93"/>
      <c r="I135" s="93"/>
      <c r="J135" s="93"/>
      <c r="K135" s="93"/>
      <c r="L135" s="93"/>
      <c r="M135" s="127"/>
      <c r="N135" s="127"/>
      <c r="O135" s="94"/>
      <c r="P135" s="20"/>
      <c r="Q135" s="20"/>
      <c r="R135" s="20"/>
      <c r="S135" s="20"/>
    </row>
    <row r="136" spans="1:19" ht="15">
      <c r="C136" s="54"/>
      <c r="D136" s="54"/>
      <c r="E136" s="54"/>
      <c r="F136" s="54"/>
      <c r="G136" s="54"/>
      <c r="H136" s="54"/>
      <c r="J136" s="54"/>
      <c r="L136" s="55" t="s">
        <v>10</v>
      </c>
      <c r="M136" s="60">
        <f>M13+M22+M26+M33+M38+M46+M68+M85+M98+M106+M112+M118+M129+M134</f>
        <v>90565.121436099987</v>
      </c>
      <c r="N136" s="60">
        <f>N13+N22+N26+N33+N38+N46+N68+N85+N98+N106+N112+N118+N129+N134</f>
        <v>47184.177570720007</v>
      </c>
      <c r="O136" s="60">
        <f>M136+N136</f>
        <v>137749.29900681999</v>
      </c>
    </row>
    <row r="137" spans="1:19" ht="14.25">
      <c r="C137" s="35"/>
      <c r="G137" s="376" t="s">
        <v>292</v>
      </c>
      <c r="H137" s="376"/>
      <c r="I137" s="376"/>
      <c r="J137" s="376"/>
      <c r="K137" s="376"/>
      <c r="L137" s="376"/>
      <c r="M137" s="377"/>
      <c r="N137" s="377"/>
      <c r="O137" s="377"/>
    </row>
    <row r="138" spans="1:19" ht="14.25">
      <c r="C138" s="3"/>
      <c r="D138" s="36"/>
      <c r="E138" s="37"/>
      <c r="G138" s="2"/>
      <c r="H138" s="2"/>
      <c r="I138" s="14"/>
      <c r="J138" s="14"/>
      <c r="K138" s="14"/>
      <c r="L138" s="14"/>
      <c r="M138" s="122"/>
      <c r="N138" s="122"/>
      <c r="O138" s="2"/>
    </row>
    <row r="139" spans="1:19" ht="14.25">
      <c r="D139" s="36"/>
      <c r="E139" s="37"/>
      <c r="G139" s="2"/>
      <c r="H139" s="29"/>
      <c r="I139" s="14"/>
      <c r="J139" s="14"/>
      <c r="K139" s="14"/>
      <c r="L139" s="14"/>
      <c r="M139" s="128"/>
      <c r="N139" s="131"/>
      <c r="O139" s="38"/>
    </row>
    <row r="140" spans="1:19">
      <c r="C140" s="35"/>
      <c r="D140" s="36"/>
      <c r="E140" s="37"/>
      <c r="G140" s="20"/>
      <c r="H140" s="20"/>
      <c r="I140" s="20"/>
      <c r="J140" s="20"/>
      <c r="K140" s="20"/>
      <c r="L140" s="20"/>
      <c r="M140" s="121"/>
    </row>
    <row r="141" spans="1:19" ht="14.25">
      <c r="C141" s="35"/>
      <c r="D141" s="36"/>
      <c r="E141" s="37"/>
      <c r="G141" s="376" t="s">
        <v>15</v>
      </c>
      <c r="H141" s="376"/>
      <c r="I141" s="376"/>
      <c r="J141" s="376"/>
      <c r="K141" s="376"/>
      <c r="L141" s="376"/>
      <c r="M141" s="376"/>
      <c r="N141" s="376"/>
      <c r="O141" s="376"/>
    </row>
    <row r="142" spans="1:19" ht="14.25">
      <c r="D142" s="36"/>
      <c r="E142" s="37"/>
      <c r="G142" s="20"/>
      <c r="H142" s="41"/>
      <c r="I142" s="41"/>
      <c r="J142" s="41"/>
      <c r="K142" s="41"/>
      <c r="L142" s="41"/>
      <c r="M142" s="376" t="s">
        <v>16</v>
      </c>
      <c r="N142" s="376"/>
      <c r="O142" s="376"/>
    </row>
    <row r="143" spans="1:19">
      <c r="D143" s="36"/>
      <c r="E143" s="37"/>
    </row>
    <row r="144" spans="1:19">
      <c r="A144" s="20"/>
      <c r="B144" s="20"/>
      <c r="D144" s="36"/>
      <c r="E144" s="37"/>
      <c r="F144" s="24"/>
      <c r="N144" s="132"/>
    </row>
    <row r="145" spans="1:14">
      <c r="A145" s="20"/>
      <c r="B145" s="20"/>
      <c r="C145" s="172"/>
      <c r="D145" s="173"/>
      <c r="E145" s="37"/>
      <c r="F145" s="24"/>
      <c r="N145" s="132"/>
    </row>
    <row r="146" spans="1:14">
      <c r="A146" s="20"/>
      <c r="B146" s="20"/>
      <c r="C146" s="174"/>
      <c r="D146" s="173" t="s">
        <v>288</v>
      </c>
      <c r="E146" s="37"/>
      <c r="N146" s="133"/>
    </row>
    <row r="147" spans="1:14">
      <c r="C147" s="172"/>
      <c r="D147" s="175" t="s">
        <v>289</v>
      </c>
    </row>
    <row r="166" spans="1:14">
      <c r="A166" s="20"/>
      <c r="B166" s="20"/>
      <c r="F166" s="24"/>
      <c r="N166" s="134"/>
    </row>
    <row r="171" spans="1:14">
      <c r="A171" s="20"/>
      <c r="B171" s="20"/>
      <c r="F171" s="24"/>
      <c r="N171" s="134"/>
    </row>
  </sheetData>
  <mergeCells count="21">
    <mergeCell ref="B2:O2"/>
    <mergeCell ref="G9:I9"/>
    <mergeCell ref="M9:O9"/>
    <mergeCell ref="J9:L9"/>
    <mergeCell ref="M142:O142"/>
    <mergeCell ref="G141:O141"/>
    <mergeCell ref="G137:O137"/>
    <mergeCell ref="B33:I33"/>
    <mergeCell ref="B38:I38"/>
    <mergeCell ref="B46:I46"/>
    <mergeCell ref="B68:I68"/>
    <mergeCell ref="B85:I85"/>
    <mergeCell ref="B98:I98"/>
    <mergeCell ref="B106:I106"/>
    <mergeCell ref="B112:I112"/>
    <mergeCell ref="B26:I26"/>
    <mergeCell ref="B22:I22"/>
    <mergeCell ref="B13:I13"/>
    <mergeCell ref="B118:I118"/>
    <mergeCell ref="B134:I134"/>
    <mergeCell ref="B129:I129"/>
  </mergeCells>
  <phoneticPr fontId="32" type="noConversion"/>
  <conditionalFormatting sqref="D19">
    <cfRule type="expression" dxfId="31" priority="1" stopIfTrue="1">
      <formula>AND(#REF!&lt;&gt;"COMPOSICAO",#REF!&lt;&gt;"INSUMO",#REF!&lt;&gt;"")</formula>
    </cfRule>
    <cfRule type="expression" dxfId="30" priority="2" stopIfTrue="1">
      <formula>AND(OR(#REF!="COMPOSICAO",#REF!="INSUMO",#REF!&lt;&gt;""),#REF!&lt;&gt;"")</formula>
    </cfRule>
  </conditionalFormatting>
  <printOptions horizontalCentered="1"/>
  <pageMargins left="0" right="0" top="0.39370078740157483" bottom="0.39370078740157483" header="0" footer="0"/>
  <pageSetup paperSize="9" scale="48"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78"/>
  <sheetViews>
    <sheetView showGridLines="0" zoomScale="89" zoomScaleNormal="89" workbookViewId="0">
      <pane ySplit="10" topLeftCell="A143" activePane="bottomLeft" state="frozen"/>
      <selection pane="bottomLeft" activeCell="G177" sqref="G177"/>
    </sheetView>
  </sheetViews>
  <sheetFormatPr defaultColWidth="8.75" defaultRowHeight="15"/>
  <cols>
    <col min="1" max="1" width="9.875" style="181" customWidth="1"/>
    <col min="2" max="2" width="10" style="181" customWidth="1"/>
    <col min="3" max="3" width="5.375" style="184" customWidth="1"/>
    <col min="4" max="4" width="67.125" style="184" customWidth="1"/>
    <col min="5" max="5" width="9.625" style="184" customWidth="1"/>
    <col min="6" max="6" width="6.875" style="184" customWidth="1"/>
    <col min="7" max="7" width="9.875" style="184" customWidth="1"/>
    <col min="8" max="8" width="10.5" style="184" customWidth="1"/>
    <col min="9" max="9" width="10.75" style="184" customWidth="1"/>
    <col min="10" max="10" width="9.875" style="184" customWidth="1"/>
    <col min="11" max="11" width="10.5" style="184" customWidth="1"/>
    <col min="12" max="12" width="10.75" style="184" customWidth="1"/>
    <col min="13" max="13" width="14.875" style="184" customWidth="1"/>
    <col min="14" max="14" width="13.625" style="184" customWidth="1"/>
    <col min="15" max="15" width="15.75" style="184" customWidth="1"/>
    <col min="16" max="16" width="11.625" style="181" customWidth="1"/>
    <col min="17" max="17" width="9.625" style="181" bestFit="1" customWidth="1"/>
    <col min="18" max="18" width="8.75" style="181" bestFit="1" customWidth="1"/>
    <col min="19" max="19" width="8.75" style="180"/>
    <col min="20" max="16384" width="8.75" style="181"/>
  </cols>
  <sheetData>
    <row r="1" spans="1:21">
      <c r="A1" s="176"/>
      <c r="B1" s="177"/>
      <c r="C1" s="178"/>
      <c r="D1" s="402"/>
      <c r="E1" s="402"/>
      <c r="F1" s="402"/>
      <c r="G1" s="402"/>
      <c r="H1" s="402"/>
      <c r="I1" s="402"/>
      <c r="J1" s="402"/>
      <c r="K1" s="402"/>
      <c r="L1" s="402"/>
      <c r="M1" s="402"/>
      <c r="N1" s="402"/>
      <c r="O1" s="402"/>
      <c r="P1" s="177"/>
      <c r="Q1" s="177"/>
      <c r="R1" s="179"/>
    </row>
    <row r="2" spans="1:21">
      <c r="A2" s="182" t="s">
        <v>293</v>
      </c>
      <c r="B2" s="183"/>
      <c r="C2" s="403" t="s">
        <v>494</v>
      </c>
      <c r="D2" s="403"/>
      <c r="F2" s="185"/>
      <c r="I2" s="185"/>
      <c r="J2" s="185"/>
      <c r="K2" s="185"/>
      <c r="L2" s="185"/>
      <c r="M2" s="185"/>
      <c r="N2" s="185"/>
      <c r="O2" s="185"/>
      <c r="P2" s="186"/>
      <c r="Q2" s="186"/>
      <c r="R2" s="187"/>
      <c r="U2" s="181" t="str">
        <f>C2</f>
        <v>CANIL COMUNITÁRIO</v>
      </c>
    </row>
    <row r="3" spans="1:21">
      <c r="A3" s="182" t="s">
        <v>294</v>
      </c>
      <c r="B3" s="183"/>
      <c r="C3" s="403" t="s">
        <v>325</v>
      </c>
      <c r="D3" s="403"/>
      <c r="F3" s="185"/>
      <c r="I3" s="185"/>
      <c r="P3" s="186"/>
      <c r="Q3" s="186"/>
      <c r="R3" s="187"/>
      <c r="U3" s="181" t="str">
        <f>C3</f>
        <v>RUA ORFELINO BIZARRO MARTINS - TAQUARI/RS</v>
      </c>
    </row>
    <row r="4" spans="1:21">
      <c r="A4" s="188" t="s">
        <v>295</v>
      </c>
      <c r="B4" s="183"/>
      <c r="C4" s="403" t="s">
        <v>326</v>
      </c>
      <c r="D4" s="403"/>
      <c r="F4" s="185"/>
      <c r="I4" s="189"/>
      <c r="P4" s="186"/>
      <c r="Q4" s="186"/>
      <c r="R4" s="187"/>
      <c r="U4" s="181" t="str">
        <f t="shared" ref="U4:U5" si="0">C4</f>
        <v>SINAPI - RIO GRANDE DO SUL JANEIRO/2026 NÃO DESONERADO</v>
      </c>
    </row>
    <row r="5" spans="1:21">
      <c r="A5" s="188"/>
      <c r="B5" s="183"/>
      <c r="C5" s="403" t="s">
        <v>327</v>
      </c>
      <c r="D5" s="403"/>
      <c r="F5" s="185"/>
      <c r="I5" s="189"/>
      <c r="P5" s="186"/>
      <c r="Q5" s="186"/>
      <c r="R5" s="187"/>
      <c r="U5" s="181" t="str">
        <f t="shared" si="0"/>
        <v>ORSE - JANEIRO/2026</v>
      </c>
    </row>
    <row r="6" spans="1:21">
      <c r="A6" s="182" t="s">
        <v>296</v>
      </c>
      <c r="B6" s="183"/>
      <c r="C6" s="400">
        <v>0.2034</v>
      </c>
      <c r="D6" s="400"/>
      <c r="F6" s="185"/>
      <c r="M6" s="401" t="s">
        <v>297</v>
      </c>
      <c r="N6" s="401"/>
      <c r="O6" s="311" t="s">
        <v>298</v>
      </c>
      <c r="P6" s="312">
        <v>1.1194999999999999</v>
      </c>
      <c r="Q6" s="313" t="s">
        <v>299</v>
      </c>
      <c r="R6" s="314">
        <v>0.69289999999999996</v>
      </c>
    </row>
    <row r="7" spans="1:21" ht="18.600000000000001" customHeight="1">
      <c r="A7" s="389" t="s">
        <v>300</v>
      </c>
      <c r="B7" s="390"/>
      <c r="C7" s="390"/>
      <c r="D7" s="390"/>
      <c r="E7" s="390"/>
      <c r="F7" s="390"/>
      <c r="G7" s="390"/>
      <c r="H7" s="390"/>
      <c r="I7" s="390"/>
      <c r="J7" s="390"/>
      <c r="K7" s="390"/>
      <c r="L7" s="390"/>
      <c r="M7" s="390"/>
      <c r="N7" s="390"/>
      <c r="O7" s="390"/>
      <c r="P7" s="390"/>
      <c r="Q7" s="390"/>
      <c r="R7" s="391"/>
    </row>
    <row r="8" spans="1:21">
      <c r="A8" s="389"/>
      <c r="B8" s="390"/>
      <c r="C8" s="390"/>
      <c r="D8" s="390"/>
      <c r="E8" s="390"/>
      <c r="F8" s="390"/>
      <c r="G8" s="390"/>
      <c r="H8" s="390"/>
      <c r="I8" s="390"/>
      <c r="J8" s="390"/>
      <c r="K8" s="390"/>
      <c r="L8" s="390"/>
      <c r="M8" s="390"/>
      <c r="N8" s="390"/>
      <c r="O8" s="390"/>
      <c r="P8" s="390"/>
      <c r="Q8" s="390"/>
      <c r="R8" s="391"/>
    </row>
    <row r="9" spans="1:21" s="190" customFormat="1" ht="15.6" customHeight="1">
      <c r="A9" s="392" t="s">
        <v>18</v>
      </c>
      <c r="B9" s="392" t="s">
        <v>297</v>
      </c>
      <c r="C9" s="392" t="s">
        <v>0</v>
      </c>
      <c r="D9" s="392" t="s">
        <v>301</v>
      </c>
      <c r="E9" s="392" t="s">
        <v>302</v>
      </c>
      <c r="F9" s="394" t="s">
        <v>303</v>
      </c>
      <c r="G9" s="396" t="s">
        <v>304</v>
      </c>
      <c r="H9" s="392"/>
      <c r="I9" s="394"/>
      <c r="J9" s="396" t="s">
        <v>305</v>
      </c>
      <c r="K9" s="392"/>
      <c r="L9" s="394"/>
      <c r="M9" s="397" t="s">
        <v>306</v>
      </c>
      <c r="N9" s="398"/>
      <c r="O9" s="399"/>
      <c r="P9" s="382" t="s">
        <v>307</v>
      </c>
      <c r="Q9" s="382" t="s">
        <v>308</v>
      </c>
      <c r="R9" s="382" t="s">
        <v>309</v>
      </c>
    </row>
    <row r="10" spans="1:21" s="194" customFormat="1" ht="19.149999999999999" customHeight="1">
      <c r="A10" s="393"/>
      <c r="B10" s="393"/>
      <c r="C10" s="393"/>
      <c r="D10" s="393"/>
      <c r="E10" s="393"/>
      <c r="F10" s="395"/>
      <c r="G10" s="191" t="s">
        <v>310</v>
      </c>
      <c r="H10" s="192" t="s">
        <v>311</v>
      </c>
      <c r="I10" s="193" t="s">
        <v>312</v>
      </c>
      <c r="J10" s="191" t="s">
        <v>310</v>
      </c>
      <c r="K10" s="192" t="s">
        <v>311</v>
      </c>
      <c r="L10" s="193" t="s">
        <v>312</v>
      </c>
      <c r="M10" s="191" t="s">
        <v>310</v>
      </c>
      <c r="N10" s="192" t="s">
        <v>311</v>
      </c>
      <c r="O10" s="193" t="s">
        <v>313</v>
      </c>
      <c r="P10" s="383"/>
      <c r="Q10" s="383"/>
      <c r="R10" s="383"/>
    </row>
    <row r="11" spans="1:21">
      <c r="A11" s="195"/>
      <c r="B11" s="195"/>
      <c r="C11" s="195">
        <v>1</v>
      </c>
      <c r="D11" s="196" t="s">
        <v>19</v>
      </c>
      <c r="E11" s="197"/>
      <c r="F11" s="197"/>
      <c r="G11" s="198"/>
      <c r="H11" s="199"/>
      <c r="I11" s="200"/>
      <c r="J11" s="199"/>
      <c r="K11" s="199"/>
      <c r="L11" s="199"/>
      <c r="M11" s="201"/>
      <c r="N11" s="202"/>
      <c r="O11" s="203"/>
      <c r="P11" s="197"/>
      <c r="Q11" s="197"/>
      <c r="R11" s="197"/>
    </row>
    <row r="12" spans="1:21" s="215" customFormat="1" ht="23.25">
      <c r="A12" s="204">
        <v>0.2034</v>
      </c>
      <c r="B12" s="315">
        <v>0.69289999999999996</v>
      </c>
      <c r="C12" s="205" t="s">
        <v>213</v>
      </c>
      <c r="D12" s="354" t="s">
        <v>503</v>
      </c>
      <c r="E12" s="349" t="s">
        <v>5</v>
      </c>
      <c r="F12" s="350">
        <v>4.5</v>
      </c>
      <c r="G12" s="208">
        <f>I12-H12</f>
        <v>414.83842000000004</v>
      </c>
      <c r="H12" s="351">
        <f>I12*0.099</f>
        <v>45.581580000000002</v>
      </c>
      <c r="I12" s="352">
        <v>460.42</v>
      </c>
      <c r="J12" s="211">
        <f>G12*(1+$C$6)</f>
        <v>499.21655462800004</v>
      </c>
      <c r="K12" s="212">
        <f>H12*(1+$C$6)</f>
        <v>54.852873372000005</v>
      </c>
      <c r="L12" s="210">
        <f>J12+K12</f>
        <v>554.06942800000002</v>
      </c>
      <c r="M12" s="208">
        <f>TRUNC(J12*F12,2)</f>
        <v>2246.4699999999998</v>
      </c>
      <c r="N12" s="208">
        <f>TRUNC(K12*F12,2)</f>
        <v>246.83</v>
      </c>
      <c r="O12" s="210">
        <f>M12+N12</f>
        <v>2493.2999999999997</v>
      </c>
      <c r="P12" s="349" t="s">
        <v>504</v>
      </c>
      <c r="Q12" s="349">
        <v>103689</v>
      </c>
      <c r="R12" s="353">
        <v>46023</v>
      </c>
      <c r="S12" s="214"/>
    </row>
    <row r="13" spans="1:21" s="222" customFormat="1">
      <c r="A13" s="216"/>
      <c r="B13" s="216"/>
      <c r="C13" s="216"/>
      <c r="D13" s="216"/>
      <c r="E13" s="216"/>
      <c r="F13" s="216"/>
      <c r="G13" s="217"/>
      <c r="H13" s="218"/>
      <c r="I13" s="219"/>
      <c r="J13" s="218"/>
      <c r="K13" s="218"/>
      <c r="L13" s="220" t="s">
        <v>314</v>
      </c>
      <c r="M13" s="219">
        <f t="shared" ref="M13:N13" si="1">SUM(M12:M12)</f>
        <v>2246.4699999999998</v>
      </c>
      <c r="N13" s="219">
        <f t="shared" si="1"/>
        <v>246.83</v>
      </c>
      <c r="O13" s="219">
        <f>SUM(O12:O12)</f>
        <v>2493.2999999999997</v>
      </c>
      <c r="P13" s="216"/>
      <c r="Q13" s="216"/>
      <c r="R13" s="216"/>
      <c r="S13" s="221"/>
    </row>
    <row r="14" spans="1:21">
      <c r="A14" s="195"/>
      <c r="B14" s="195"/>
      <c r="C14" s="195">
        <v>2</v>
      </c>
      <c r="D14" s="196" t="s">
        <v>27</v>
      </c>
      <c r="E14" s="197"/>
      <c r="F14" s="197"/>
      <c r="G14" s="198"/>
      <c r="H14" s="199"/>
      <c r="I14" s="200"/>
      <c r="J14" s="199"/>
      <c r="K14" s="199"/>
      <c r="L14" s="199"/>
      <c r="M14" s="201"/>
      <c r="N14" s="202"/>
      <c r="O14" s="203"/>
      <c r="P14" s="197"/>
      <c r="Q14" s="197"/>
      <c r="R14" s="197"/>
    </row>
    <row r="15" spans="1:21" s="215" customFormat="1" ht="22.5">
      <c r="A15" s="204">
        <v>0.2034</v>
      </c>
      <c r="B15" s="315">
        <v>0.69289999999999996</v>
      </c>
      <c r="C15" s="205" t="s">
        <v>214</v>
      </c>
      <c r="D15" s="206" t="str">
        <f>Composições!C9</f>
        <v>ESTACA ESCAVADA MECANICAMENTE, SEM FLUIDO ESTABILIZANTE, COM 30CM DE DIÂMETRO, CONCRETO LANÇADO POR CAMINHÃO BETONEIRA</v>
      </c>
      <c r="E15" s="205" t="str">
        <f>Composições!B9</f>
        <v>M</v>
      </c>
      <c r="F15" s="207">
        <v>33</v>
      </c>
      <c r="G15" s="208">
        <f>Composições!F9</f>
        <v>64.78</v>
      </c>
      <c r="H15" s="209">
        <f>Composições!F10</f>
        <v>6.3500000000000005</v>
      </c>
      <c r="I15" s="210">
        <f>Composições!H9</f>
        <v>71.13</v>
      </c>
      <c r="J15" s="211">
        <f t="shared" ref="J15:J19" si="2">G15*(1+$C$6)</f>
        <v>77.956252000000006</v>
      </c>
      <c r="K15" s="212">
        <f t="shared" ref="K15:K19" si="3">H15*(1+$C$6)</f>
        <v>7.6415900000000008</v>
      </c>
      <c r="L15" s="210">
        <f t="shared" ref="L15:L19" si="4">J15+K15</f>
        <v>85.597842000000014</v>
      </c>
      <c r="M15" s="208">
        <f t="shared" ref="M15:M19" si="5">TRUNC(J15*F15,2)</f>
        <v>2572.5500000000002</v>
      </c>
      <c r="N15" s="208">
        <f t="shared" ref="N15:N19" si="6">TRUNC(K15*F15,2)</f>
        <v>252.17</v>
      </c>
      <c r="O15" s="210">
        <f t="shared" ref="O15:O19" si="7">M15+N15</f>
        <v>2824.7200000000003</v>
      </c>
      <c r="P15" s="205" t="s">
        <v>315</v>
      </c>
      <c r="Q15" s="223" t="s">
        <v>318</v>
      </c>
      <c r="R15" s="213">
        <v>46023</v>
      </c>
      <c r="S15" s="214"/>
    </row>
    <row r="16" spans="1:21" s="215" customFormat="1">
      <c r="A16" s="204">
        <v>0.2034</v>
      </c>
      <c r="B16" s="315">
        <v>0.69289999999999996</v>
      </c>
      <c r="C16" s="205" t="s">
        <v>215</v>
      </c>
      <c r="D16" s="206" t="s">
        <v>328</v>
      </c>
      <c r="E16" s="205" t="s">
        <v>6</v>
      </c>
      <c r="F16" s="207">
        <v>69.56</v>
      </c>
      <c r="G16" s="208">
        <f t="shared" ref="G16:G18" si="8">I16-H16</f>
        <v>8.819032</v>
      </c>
      <c r="H16" s="209">
        <f>I16*0.5756</f>
        <v>11.960968000000001</v>
      </c>
      <c r="I16" s="210">
        <v>20.78</v>
      </c>
      <c r="J16" s="211">
        <f t="shared" si="2"/>
        <v>10.612823108800001</v>
      </c>
      <c r="K16" s="212">
        <f t="shared" si="3"/>
        <v>14.393828891200002</v>
      </c>
      <c r="L16" s="210">
        <f t="shared" si="4"/>
        <v>25.006652000000003</v>
      </c>
      <c r="M16" s="208">
        <f t="shared" si="5"/>
        <v>738.22</v>
      </c>
      <c r="N16" s="208">
        <f t="shared" si="6"/>
        <v>1001.23</v>
      </c>
      <c r="O16" s="210">
        <f t="shared" si="7"/>
        <v>1739.45</v>
      </c>
      <c r="P16" s="205" t="s">
        <v>9</v>
      </c>
      <c r="Q16" s="205">
        <v>96543</v>
      </c>
      <c r="R16" s="213">
        <v>46023</v>
      </c>
      <c r="S16" s="214"/>
    </row>
    <row r="17" spans="1:19" s="215" customFormat="1">
      <c r="A17" s="204">
        <v>0.2034</v>
      </c>
      <c r="B17" s="315">
        <v>0.69289999999999996</v>
      </c>
      <c r="C17" s="205" t="s">
        <v>216</v>
      </c>
      <c r="D17" s="206" t="s">
        <v>329</v>
      </c>
      <c r="E17" s="205" t="s">
        <v>6</v>
      </c>
      <c r="F17" s="207">
        <v>138.62</v>
      </c>
      <c r="G17" s="208">
        <f t="shared" si="8"/>
        <v>9.5094940000000001</v>
      </c>
      <c r="H17" s="209">
        <f>I17*0.3387</f>
        <v>4.8705060000000007</v>
      </c>
      <c r="I17" s="210">
        <v>14.38</v>
      </c>
      <c r="J17" s="211">
        <f t="shared" si="2"/>
        <v>11.4437250796</v>
      </c>
      <c r="K17" s="212">
        <f t="shared" si="3"/>
        <v>5.8611669204000005</v>
      </c>
      <c r="L17" s="210">
        <f t="shared" si="4"/>
        <v>17.304892000000002</v>
      </c>
      <c r="M17" s="208">
        <f t="shared" si="5"/>
        <v>1586.32</v>
      </c>
      <c r="N17" s="208">
        <f t="shared" si="6"/>
        <v>812.47</v>
      </c>
      <c r="O17" s="210">
        <f t="shared" si="7"/>
        <v>2398.79</v>
      </c>
      <c r="P17" s="205" t="s">
        <v>9</v>
      </c>
      <c r="Q17" s="205">
        <v>96546</v>
      </c>
      <c r="R17" s="213">
        <v>46023</v>
      </c>
      <c r="S17" s="214"/>
    </row>
    <row r="18" spans="1:19" s="215" customFormat="1" ht="22.5">
      <c r="A18" s="204">
        <v>0.2034</v>
      </c>
      <c r="B18" s="315">
        <v>0.69289999999999996</v>
      </c>
      <c r="C18" s="205" t="s">
        <v>126</v>
      </c>
      <c r="D18" s="206" t="s">
        <v>330</v>
      </c>
      <c r="E18" s="205" t="s">
        <v>5</v>
      </c>
      <c r="F18" s="207">
        <v>46.76</v>
      </c>
      <c r="G18" s="208">
        <f t="shared" si="8"/>
        <v>20.522237999999994</v>
      </c>
      <c r="H18" s="209">
        <f>I18*0.6942</f>
        <v>46.587762000000005</v>
      </c>
      <c r="I18" s="210">
        <v>67.11</v>
      </c>
      <c r="J18" s="211">
        <f t="shared" si="2"/>
        <v>24.696461209199995</v>
      </c>
      <c r="K18" s="212">
        <f t="shared" si="3"/>
        <v>56.063712790800004</v>
      </c>
      <c r="L18" s="210">
        <f t="shared" si="4"/>
        <v>80.760174000000006</v>
      </c>
      <c r="M18" s="208">
        <f t="shared" si="5"/>
        <v>1154.8</v>
      </c>
      <c r="N18" s="208">
        <f t="shared" si="6"/>
        <v>2621.53</v>
      </c>
      <c r="O18" s="210">
        <f t="shared" si="7"/>
        <v>3776.33</v>
      </c>
      <c r="P18" s="205" t="s">
        <v>9</v>
      </c>
      <c r="Q18" s="205">
        <v>96536</v>
      </c>
      <c r="R18" s="213">
        <v>46023</v>
      </c>
      <c r="S18" s="214"/>
    </row>
    <row r="19" spans="1:19" s="215" customFormat="1">
      <c r="A19" s="204">
        <v>0.2034</v>
      </c>
      <c r="B19" s="315">
        <v>0.69289999999999996</v>
      </c>
      <c r="C19" s="205" t="s">
        <v>217</v>
      </c>
      <c r="D19" s="206" t="str">
        <f>Composições!C31</f>
        <v>MURO BLOCO GRES - ARGAM. CI-AR 1:6</v>
      </c>
      <c r="E19" s="205" t="str">
        <f>Composições!B31</f>
        <v>M2</v>
      </c>
      <c r="F19" s="207">
        <v>4.9000000000000004</v>
      </c>
      <c r="G19" s="208">
        <f>Composições!F31</f>
        <v>149.65</v>
      </c>
      <c r="H19" s="209">
        <f>Composições!F32</f>
        <v>55.79</v>
      </c>
      <c r="I19" s="210">
        <f>Composições!H31</f>
        <v>205.44</v>
      </c>
      <c r="J19" s="211">
        <f t="shared" si="2"/>
        <v>180.08881000000002</v>
      </c>
      <c r="K19" s="212">
        <f t="shared" si="3"/>
        <v>67.137686000000002</v>
      </c>
      <c r="L19" s="210">
        <f t="shared" si="4"/>
        <v>247.22649600000003</v>
      </c>
      <c r="M19" s="208">
        <f t="shared" si="5"/>
        <v>882.43</v>
      </c>
      <c r="N19" s="208">
        <f t="shared" si="6"/>
        <v>328.97</v>
      </c>
      <c r="O19" s="210">
        <f t="shared" si="7"/>
        <v>1211.4000000000001</v>
      </c>
      <c r="P19" s="205" t="s">
        <v>315</v>
      </c>
      <c r="Q19" s="223" t="s">
        <v>420</v>
      </c>
      <c r="R19" s="213">
        <v>46023</v>
      </c>
      <c r="S19" s="214"/>
    </row>
    <row r="20" spans="1:19" s="215" customFormat="1" ht="22.5">
      <c r="A20" s="204">
        <v>0.2034</v>
      </c>
      <c r="B20" s="315">
        <v>0.69289999999999996</v>
      </c>
      <c r="C20" s="205" t="s">
        <v>218</v>
      </c>
      <c r="D20" s="206" t="str">
        <f>Composições!C21</f>
        <v>CONCRETAGEM DE BLOCOS DE VIGAS BALDRAMES, FCK 25 MPA, COM USO DE BOMBA LANÇAMENTO, ADENSAMENTO E ACABAMENTO. AF_06/2017</v>
      </c>
      <c r="E20" s="205" t="str">
        <f>Composições!B21</f>
        <v>M3</v>
      </c>
      <c r="F20" s="207">
        <v>3.31</v>
      </c>
      <c r="G20" s="208">
        <f>Composições!F21</f>
        <v>691.89</v>
      </c>
      <c r="H20" s="209">
        <f>Composições!F22</f>
        <v>24.34</v>
      </c>
      <c r="I20" s="210">
        <f>Composições!H21</f>
        <v>716.23</v>
      </c>
      <c r="J20" s="211">
        <f t="shared" ref="J20:J21" si="9">G20*(1+$C$6)</f>
        <v>832.62042599999995</v>
      </c>
      <c r="K20" s="212">
        <f t="shared" ref="K20:K21" si="10">H20*(1+$C$6)</f>
        <v>29.290756000000002</v>
      </c>
      <c r="L20" s="210">
        <f t="shared" ref="L20:L21" si="11">J20+K20</f>
        <v>861.91118199999994</v>
      </c>
      <c r="M20" s="208">
        <f t="shared" ref="M20:M21" si="12">TRUNC(J20*F20,2)</f>
        <v>2755.97</v>
      </c>
      <c r="N20" s="208">
        <f t="shared" ref="N20:N21" si="13">TRUNC(K20*F20,2)</f>
        <v>96.95</v>
      </c>
      <c r="O20" s="210">
        <f t="shared" ref="O20:O21" si="14">M20+N20</f>
        <v>2852.9199999999996</v>
      </c>
      <c r="P20" s="205" t="s">
        <v>315</v>
      </c>
      <c r="Q20" s="223" t="s">
        <v>319</v>
      </c>
      <c r="R20" s="213">
        <v>46023</v>
      </c>
      <c r="S20" s="214"/>
    </row>
    <row r="21" spans="1:19" s="215" customFormat="1" ht="22.5">
      <c r="A21" s="204">
        <v>0.2034</v>
      </c>
      <c r="B21" s="315">
        <v>0.69289999999999996</v>
      </c>
      <c r="C21" s="205" t="s">
        <v>219</v>
      </c>
      <c r="D21" s="346" t="s">
        <v>331</v>
      </c>
      <c r="E21" s="205" t="s">
        <v>11</v>
      </c>
      <c r="F21" s="207">
        <v>5.43</v>
      </c>
      <c r="G21" s="208">
        <f t="shared" ref="G21" si="15">I21-H21</f>
        <v>113.74041499999998</v>
      </c>
      <c r="H21" s="209">
        <f>I21*0.3515</f>
        <v>61.649584999999995</v>
      </c>
      <c r="I21" s="210">
        <v>175.39</v>
      </c>
      <c r="J21" s="211">
        <f t="shared" si="9"/>
        <v>136.87521541099997</v>
      </c>
      <c r="K21" s="212">
        <f t="shared" si="10"/>
        <v>74.189110588999995</v>
      </c>
      <c r="L21" s="210">
        <f t="shared" si="11"/>
        <v>211.06432599999997</v>
      </c>
      <c r="M21" s="208">
        <f t="shared" si="12"/>
        <v>743.23</v>
      </c>
      <c r="N21" s="208">
        <f t="shared" si="13"/>
        <v>402.84</v>
      </c>
      <c r="O21" s="210">
        <f t="shared" si="14"/>
        <v>1146.07</v>
      </c>
      <c r="P21" s="205" t="s">
        <v>9</v>
      </c>
      <c r="Q21" s="205">
        <v>96624</v>
      </c>
      <c r="R21" s="213">
        <v>46023</v>
      </c>
      <c r="S21" s="214"/>
    </row>
    <row r="22" spans="1:19" s="222" customFormat="1">
      <c r="A22" s="216"/>
      <c r="B22" s="216"/>
      <c r="C22" s="216"/>
      <c r="D22" s="216"/>
      <c r="E22" s="216"/>
      <c r="F22" s="216"/>
      <c r="G22" s="217"/>
      <c r="H22" s="218"/>
      <c r="I22" s="219"/>
      <c r="J22" s="218"/>
      <c r="K22" s="218"/>
      <c r="L22" s="220" t="s">
        <v>314</v>
      </c>
      <c r="M22" s="219">
        <f t="shared" ref="M22:N22" si="16">SUM(M15:M21)</f>
        <v>10433.52</v>
      </c>
      <c r="N22" s="219">
        <f t="shared" si="16"/>
        <v>5516.16</v>
      </c>
      <c r="O22" s="219">
        <f>SUM(O15:O21)</f>
        <v>15949.68</v>
      </c>
      <c r="P22" s="216"/>
      <c r="Q22" s="216"/>
      <c r="R22" s="216"/>
      <c r="S22" s="221"/>
    </row>
    <row r="23" spans="1:19">
      <c r="A23" s="195"/>
      <c r="B23" s="195"/>
      <c r="C23" s="195">
        <v>3</v>
      </c>
      <c r="D23" s="196" t="s">
        <v>20</v>
      </c>
      <c r="E23" s="197"/>
      <c r="F23" s="197"/>
      <c r="G23" s="198"/>
      <c r="H23" s="199"/>
      <c r="I23" s="200"/>
      <c r="J23" s="199"/>
      <c r="K23" s="199"/>
      <c r="L23" s="199"/>
      <c r="M23" s="201"/>
      <c r="N23" s="202"/>
      <c r="O23" s="203"/>
      <c r="P23" s="197"/>
      <c r="Q23" s="197"/>
      <c r="R23" s="197"/>
    </row>
    <row r="24" spans="1:19" s="215" customFormat="1" ht="22.5">
      <c r="A24" s="204">
        <v>0.2034</v>
      </c>
      <c r="B24" s="315">
        <v>0.69289999999999996</v>
      </c>
      <c r="C24" s="205" t="s">
        <v>220</v>
      </c>
      <c r="D24" s="206" t="s">
        <v>271</v>
      </c>
      <c r="E24" s="205" t="s">
        <v>5</v>
      </c>
      <c r="F24" s="207">
        <v>43</v>
      </c>
      <c r="G24" s="208">
        <f t="shared" ref="G24" si="17">I24-H24</f>
        <v>15.760949000000004</v>
      </c>
      <c r="H24" s="209">
        <f>I24*0.7071</f>
        <v>38.049050999999999</v>
      </c>
      <c r="I24" s="210">
        <v>53.81</v>
      </c>
      <c r="J24" s="211">
        <f t="shared" ref="J24" si="18">G24*(1+$C$6)</f>
        <v>18.966726026600004</v>
      </c>
      <c r="K24" s="212">
        <f t="shared" ref="K24" si="19">H24*(1+$C$6)</f>
        <v>45.788227973399998</v>
      </c>
      <c r="L24" s="210">
        <f t="shared" ref="L24" si="20">J24+K24</f>
        <v>64.754953999999998</v>
      </c>
      <c r="M24" s="208">
        <f t="shared" ref="M24" si="21">TRUNC(J24*F24,2)</f>
        <v>815.56</v>
      </c>
      <c r="N24" s="208">
        <f t="shared" ref="N24" si="22">TRUNC(K24*F24,2)</f>
        <v>1968.89</v>
      </c>
      <c r="O24" s="210">
        <f t="shared" ref="O24" si="23">M24+N24</f>
        <v>2784.45</v>
      </c>
      <c r="P24" s="205" t="s">
        <v>9</v>
      </c>
      <c r="Q24" s="205">
        <v>98562</v>
      </c>
      <c r="R24" s="213">
        <v>46023</v>
      </c>
      <c r="S24" s="214"/>
    </row>
    <row r="25" spans="1:19" s="222" customFormat="1">
      <c r="A25" s="216"/>
      <c r="B25" s="216"/>
      <c r="C25" s="216"/>
      <c r="D25" s="216"/>
      <c r="E25" s="216"/>
      <c r="F25" s="216"/>
      <c r="G25" s="217"/>
      <c r="H25" s="218"/>
      <c r="I25" s="219"/>
      <c r="J25" s="218"/>
      <c r="K25" s="218"/>
      <c r="L25" s="220" t="s">
        <v>314</v>
      </c>
      <c r="M25" s="219">
        <f t="shared" ref="M25:N25" si="24">SUM(M24:M24)</f>
        <v>815.56</v>
      </c>
      <c r="N25" s="219">
        <f t="shared" si="24"/>
        <v>1968.89</v>
      </c>
      <c r="O25" s="219">
        <f>SUM(O24:O24)</f>
        <v>2784.45</v>
      </c>
      <c r="P25" s="216"/>
      <c r="Q25" s="216"/>
      <c r="R25" s="216"/>
      <c r="S25" s="221"/>
    </row>
    <row r="26" spans="1:19">
      <c r="A26" s="195"/>
      <c r="B26" s="195"/>
      <c r="C26" s="195">
        <v>4</v>
      </c>
      <c r="D26" s="196" t="s">
        <v>135</v>
      </c>
      <c r="E26" s="197"/>
      <c r="F26" s="197"/>
      <c r="G26" s="198"/>
      <c r="H26" s="199"/>
      <c r="I26" s="200"/>
      <c r="J26" s="199"/>
      <c r="K26" s="199"/>
      <c r="L26" s="199"/>
      <c r="M26" s="201"/>
      <c r="N26" s="202"/>
      <c r="O26" s="203"/>
      <c r="P26" s="197"/>
      <c r="Q26" s="197"/>
      <c r="R26" s="197"/>
    </row>
    <row r="27" spans="1:19" s="215" customFormat="1" ht="23.25">
      <c r="A27" s="204">
        <v>0.2034</v>
      </c>
      <c r="B27" s="315">
        <v>0.69289999999999996</v>
      </c>
      <c r="C27" s="205" t="s">
        <v>194</v>
      </c>
      <c r="D27" s="354" t="s">
        <v>505</v>
      </c>
      <c r="E27" s="205" t="s">
        <v>5</v>
      </c>
      <c r="F27" s="207">
        <v>35.799999999999997</v>
      </c>
      <c r="G27" s="208">
        <f>I27-H27</f>
        <v>41.363199999999999</v>
      </c>
      <c r="H27" s="209">
        <f>I27*0.4112</f>
        <v>28.886800000000001</v>
      </c>
      <c r="I27" s="210">
        <v>70.25</v>
      </c>
      <c r="J27" s="211">
        <f>G27*(1+$C$6)</f>
        <v>49.776474880000002</v>
      </c>
      <c r="K27" s="212">
        <f>H27*(1+$C$6)</f>
        <v>34.762375120000002</v>
      </c>
      <c r="L27" s="210">
        <f>J27+K27</f>
        <v>84.538849999999996</v>
      </c>
      <c r="M27" s="208">
        <f>TRUNC(J27*F27,2)</f>
        <v>1781.99</v>
      </c>
      <c r="N27" s="208">
        <f>TRUNC(K27*F27,2)</f>
        <v>1244.49</v>
      </c>
      <c r="O27" s="210">
        <f>M27+N27</f>
        <v>3026.48</v>
      </c>
      <c r="P27" s="205" t="s">
        <v>9</v>
      </c>
      <c r="Q27" s="205">
        <v>92479</v>
      </c>
      <c r="R27" s="213">
        <v>46023</v>
      </c>
      <c r="S27" s="214"/>
    </row>
    <row r="28" spans="1:19" s="215" customFormat="1" ht="22.5">
      <c r="A28" s="204">
        <v>0.2034</v>
      </c>
      <c r="B28" s="315">
        <v>0.69289999999999996</v>
      </c>
      <c r="C28" s="205" t="s">
        <v>86</v>
      </c>
      <c r="D28" s="206" t="s">
        <v>332</v>
      </c>
      <c r="E28" s="205" t="s">
        <v>6</v>
      </c>
      <c r="F28" s="207">
        <v>52.64</v>
      </c>
      <c r="G28" s="208">
        <f t="shared" ref="G28:G31" si="25">I28-H28</f>
        <v>8.82</v>
      </c>
      <c r="H28" s="209">
        <f>I28*0.3875</f>
        <v>5.58</v>
      </c>
      <c r="I28" s="210">
        <v>14.4</v>
      </c>
      <c r="J28" s="211">
        <f t="shared" ref="J28:J31" si="26">G28*(1+$C$6)</f>
        <v>10.613988000000001</v>
      </c>
      <c r="K28" s="212">
        <f t="shared" ref="K28:K31" si="27">H28*(1+$C$6)</f>
        <v>6.7149720000000004</v>
      </c>
      <c r="L28" s="210">
        <f t="shared" ref="L28:L31" si="28">J28+K28</f>
        <v>17.328960000000002</v>
      </c>
      <c r="M28" s="208">
        <f t="shared" ref="M28:M31" si="29">TRUNC(J28*F28,2)</f>
        <v>558.72</v>
      </c>
      <c r="N28" s="208">
        <f t="shared" ref="N28:N31" si="30">TRUNC(K28*F28,2)</f>
        <v>353.47</v>
      </c>
      <c r="O28" s="210">
        <f t="shared" ref="O28:O31" si="31">M28+N28</f>
        <v>912.19</v>
      </c>
      <c r="P28" s="205" t="s">
        <v>9</v>
      </c>
      <c r="Q28" s="205">
        <v>92759</v>
      </c>
      <c r="R28" s="213">
        <v>46023</v>
      </c>
      <c r="S28" s="214"/>
    </row>
    <row r="29" spans="1:19" s="215" customFormat="1" ht="22.5">
      <c r="A29" s="204">
        <v>0.2034</v>
      </c>
      <c r="B29" s="315">
        <v>0.69289999999999996</v>
      </c>
      <c r="C29" s="205" t="s">
        <v>195</v>
      </c>
      <c r="D29" s="206" t="s">
        <v>333</v>
      </c>
      <c r="E29" s="205" t="s">
        <v>6</v>
      </c>
      <c r="F29" s="207">
        <v>86.22</v>
      </c>
      <c r="G29" s="208">
        <f t="shared" si="25"/>
        <v>10.099715999999999</v>
      </c>
      <c r="H29" s="209">
        <f>I29*0.1946</f>
        <v>2.4402839999999997</v>
      </c>
      <c r="I29" s="210">
        <v>12.54</v>
      </c>
      <c r="J29" s="211">
        <f t="shared" si="26"/>
        <v>12.153998234399999</v>
      </c>
      <c r="K29" s="212">
        <f t="shared" si="27"/>
        <v>2.9366377655999996</v>
      </c>
      <c r="L29" s="210">
        <f t="shared" si="28"/>
        <v>15.090636</v>
      </c>
      <c r="M29" s="208">
        <f t="shared" si="29"/>
        <v>1047.9100000000001</v>
      </c>
      <c r="N29" s="208">
        <f t="shared" si="30"/>
        <v>253.19</v>
      </c>
      <c r="O29" s="210">
        <f t="shared" si="31"/>
        <v>1301.1000000000001</v>
      </c>
      <c r="P29" s="205" t="s">
        <v>9</v>
      </c>
      <c r="Q29" s="205">
        <v>92761</v>
      </c>
      <c r="R29" s="213">
        <v>46023</v>
      </c>
      <c r="S29" s="214"/>
    </row>
    <row r="30" spans="1:19" s="215" customFormat="1" ht="22.5">
      <c r="A30" s="204">
        <v>0.2034</v>
      </c>
      <c r="B30" s="315">
        <v>0.69289999999999996</v>
      </c>
      <c r="C30" s="205" t="s">
        <v>89</v>
      </c>
      <c r="D30" s="206" t="s">
        <v>334</v>
      </c>
      <c r="E30" s="205" t="s">
        <v>11</v>
      </c>
      <c r="F30" s="207">
        <v>2.5499999999999998</v>
      </c>
      <c r="G30" s="208">
        <f t="shared" si="25"/>
        <v>663.81182000000001</v>
      </c>
      <c r="H30" s="209">
        <f>I30*0.0935</f>
        <v>68.468180000000004</v>
      </c>
      <c r="I30" s="210">
        <v>732.28</v>
      </c>
      <c r="J30" s="211">
        <f t="shared" si="26"/>
        <v>798.83114418800005</v>
      </c>
      <c r="K30" s="212">
        <f t="shared" si="27"/>
        <v>82.394607812000004</v>
      </c>
      <c r="L30" s="210">
        <f t="shared" si="28"/>
        <v>881.22575200000006</v>
      </c>
      <c r="M30" s="208">
        <f t="shared" si="29"/>
        <v>2037.01</v>
      </c>
      <c r="N30" s="208">
        <f t="shared" si="30"/>
        <v>210.1</v>
      </c>
      <c r="O30" s="210">
        <f t="shared" si="31"/>
        <v>2247.11</v>
      </c>
      <c r="P30" s="205" t="s">
        <v>9</v>
      </c>
      <c r="Q30" s="205">
        <v>103674</v>
      </c>
      <c r="R30" s="213">
        <v>46023</v>
      </c>
      <c r="S30" s="214"/>
    </row>
    <row r="31" spans="1:19" s="215" customFormat="1" ht="22.5">
      <c r="A31" s="204">
        <v>0.2034</v>
      </c>
      <c r="B31" s="315">
        <v>0.69289999999999996</v>
      </c>
      <c r="C31" s="205" t="s">
        <v>317</v>
      </c>
      <c r="D31" s="206" t="s">
        <v>411</v>
      </c>
      <c r="E31" s="205" t="s">
        <v>5</v>
      </c>
      <c r="F31" s="357">
        <v>4.62</v>
      </c>
      <c r="G31" s="208">
        <f t="shared" si="25"/>
        <v>143.64617499999997</v>
      </c>
      <c r="H31" s="209">
        <f>I31*0.1925</f>
        <v>34.243825000000001</v>
      </c>
      <c r="I31" s="210">
        <v>177.89</v>
      </c>
      <c r="J31" s="211">
        <f t="shared" si="26"/>
        <v>172.86380699499998</v>
      </c>
      <c r="K31" s="212">
        <f t="shared" si="27"/>
        <v>41.209019005000002</v>
      </c>
      <c r="L31" s="210">
        <f t="shared" si="28"/>
        <v>214.07282599999996</v>
      </c>
      <c r="M31" s="208">
        <f t="shared" si="29"/>
        <v>798.63</v>
      </c>
      <c r="N31" s="208">
        <f t="shared" si="30"/>
        <v>190.38</v>
      </c>
      <c r="O31" s="210">
        <f t="shared" si="31"/>
        <v>989.01</v>
      </c>
      <c r="P31" s="205" t="s">
        <v>9</v>
      </c>
      <c r="Q31" s="205">
        <v>106060</v>
      </c>
      <c r="R31" s="213">
        <v>46023</v>
      </c>
      <c r="S31" s="214"/>
    </row>
    <row r="32" spans="1:19" s="222" customFormat="1">
      <c r="A32" s="216"/>
      <c r="B32" s="216"/>
      <c r="C32" s="216"/>
      <c r="D32" s="216"/>
      <c r="E32" s="216"/>
      <c r="F32" s="216"/>
      <c r="G32" s="217"/>
      <c r="H32" s="218"/>
      <c r="I32" s="219"/>
      <c r="J32" s="218"/>
      <c r="K32" s="218"/>
      <c r="L32" s="220" t="s">
        <v>314</v>
      </c>
      <c r="M32" s="219">
        <f t="shared" ref="M32:N32" si="32">SUM(M27:M31)</f>
        <v>6224.26</v>
      </c>
      <c r="N32" s="219">
        <f t="shared" si="32"/>
        <v>2251.63</v>
      </c>
      <c r="O32" s="219">
        <f>SUM(O27:O31)</f>
        <v>8475.8900000000012</v>
      </c>
      <c r="P32" s="216"/>
      <c r="Q32" s="216"/>
      <c r="R32" s="216"/>
      <c r="S32" s="221"/>
    </row>
    <row r="33" spans="1:19">
      <c r="A33" s="195"/>
      <c r="B33" s="195"/>
      <c r="C33" s="195">
        <v>5</v>
      </c>
      <c r="D33" s="196" t="s">
        <v>431</v>
      </c>
      <c r="E33" s="197"/>
      <c r="F33" s="197"/>
      <c r="G33" s="198"/>
      <c r="H33" s="199"/>
      <c r="I33" s="200"/>
      <c r="J33" s="199"/>
      <c r="K33" s="199"/>
      <c r="L33" s="199"/>
      <c r="M33" s="201"/>
      <c r="N33" s="202"/>
      <c r="O33" s="203"/>
      <c r="P33" s="197"/>
      <c r="Q33" s="197"/>
      <c r="R33" s="197"/>
    </row>
    <row r="34" spans="1:19" s="215" customFormat="1" ht="23.25">
      <c r="A34" s="204">
        <v>0.2034</v>
      </c>
      <c r="B34" s="315">
        <v>0.69289999999999996</v>
      </c>
      <c r="C34" s="205" t="s">
        <v>127</v>
      </c>
      <c r="D34" s="354" t="s">
        <v>507</v>
      </c>
      <c r="E34" s="205" t="s">
        <v>5</v>
      </c>
      <c r="F34" s="207">
        <v>189.2</v>
      </c>
      <c r="G34" s="208">
        <f t="shared" ref="G34:G38" si="33">I34-H34</f>
        <v>75.736835999999997</v>
      </c>
      <c r="H34" s="209">
        <f>I34*0.2758</f>
        <v>28.843163999999998</v>
      </c>
      <c r="I34" s="210">
        <v>104.58</v>
      </c>
      <c r="J34" s="211">
        <f t="shared" ref="J34:J38" si="34">G34*(1+$C$6)</f>
        <v>91.141708442400002</v>
      </c>
      <c r="K34" s="212">
        <f t="shared" ref="K34:K38" si="35">H34*(1+$C$6)</f>
        <v>34.709863557599995</v>
      </c>
      <c r="L34" s="210">
        <f t="shared" ref="L34:L38" si="36">J34+K34</f>
        <v>125.851572</v>
      </c>
      <c r="M34" s="208">
        <f t="shared" ref="M34:M38" si="37">TRUNC(J34*F34,2)</f>
        <v>17244.009999999998</v>
      </c>
      <c r="N34" s="208">
        <f t="shared" ref="N34:N38" si="38">TRUNC(K34*F34,2)</f>
        <v>6567.1</v>
      </c>
      <c r="O34" s="210">
        <f t="shared" ref="O34:O38" si="39">M34+N34</f>
        <v>23811.11</v>
      </c>
      <c r="P34" s="205" t="s">
        <v>9</v>
      </c>
      <c r="Q34" s="205">
        <v>89453</v>
      </c>
      <c r="R34" s="213">
        <v>46023</v>
      </c>
      <c r="S34" s="214"/>
    </row>
    <row r="35" spans="1:19" s="215" customFormat="1">
      <c r="A35" s="204">
        <v>0.2034</v>
      </c>
      <c r="B35" s="315">
        <v>0.69289999999999996</v>
      </c>
      <c r="C35" s="205" t="s">
        <v>136</v>
      </c>
      <c r="D35" s="206" t="s">
        <v>448</v>
      </c>
      <c r="E35" s="205" t="s">
        <v>6</v>
      </c>
      <c r="F35" s="207">
        <v>30.34</v>
      </c>
      <c r="G35" s="208">
        <f t="shared" ref="G35:G36" si="40">I35-H35</f>
        <v>8.0698480000000004</v>
      </c>
      <c r="H35" s="209">
        <f>I35*0.2637</f>
        <v>2.8901520000000001</v>
      </c>
      <c r="I35" s="210">
        <v>10.96</v>
      </c>
      <c r="J35" s="211">
        <f t="shared" ref="J35:J36" si="41">G35*(1+$C$6)</f>
        <v>9.7112550832000011</v>
      </c>
      <c r="K35" s="212">
        <f t="shared" ref="K35:K36" si="42">H35*(1+$C$6)</f>
        <v>3.4780089168000003</v>
      </c>
      <c r="L35" s="210">
        <f t="shared" ref="L35:L36" si="43">J35+K35</f>
        <v>13.189264000000001</v>
      </c>
      <c r="M35" s="208">
        <f t="shared" ref="M35:M36" si="44">TRUNC(J35*F35,2)</f>
        <v>294.63</v>
      </c>
      <c r="N35" s="208">
        <f t="shared" ref="N35:N36" si="45">TRUNC(K35*F35,2)</f>
        <v>105.52</v>
      </c>
      <c r="O35" s="210">
        <f t="shared" ref="O35:O36" si="46">M35+N35</f>
        <v>400.15</v>
      </c>
      <c r="P35" s="205" t="s">
        <v>9</v>
      </c>
      <c r="Q35" s="205">
        <v>89996</v>
      </c>
      <c r="R35" s="213">
        <v>46023</v>
      </c>
      <c r="S35" s="214"/>
    </row>
    <row r="36" spans="1:19" s="215" customFormat="1">
      <c r="A36" s="204">
        <v>0.2034</v>
      </c>
      <c r="B36" s="315">
        <v>0.69289999999999996</v>
      </c>
      <c r="C36" s="205" t="s">
        <v>222</v>
      </c>
      <c r="D36" s="206" t="s">
        <v>449</v>
      </c>
      <c r="E36" s="205" t="s">
        <v>11</v>
      </c>
      <c r="F36" s="207">
        <f>'Memória de Cálculo'!E12</f>
        <v>0.73</v>
      </c>
      <c r="G36" s="208">
        <f t="shared" si="40"/>
        <v>625.32097600000009</v>
      </c>
      <c r="H36" s="209">
        <f>I36*0.4568</f>
        <v>525.85902399999998</v>
      </c>
      <c r="I36" s="210">
        <v>1151.18</v>
      </c>
      <c r="J36" s="211">
        <f t="shared" si="41"/>
        <v>752.51126251840014</v>
      </c>
      <c r="K36" s="212">
        <f t="shared" si="42"/>
        <v>632.81874948159998</v>
      </c>
      <c r="L36" s="210">
        <f t="shared" si="43"/>
        <v>1385.3300120000001</v>
      </c>
      <c r="M36" s="208">
        <f t="shared" si="44"/>
        <v>549.33000000000004</v>
      </c>
      <c r="N36" s="208">
        <f t="shared" si="45"/>
        <v>461.95</v>
      </c>
      <c r="O36" s="210">
        <f t="shared" si="46"/>
        <v>1011.28</v>
      </c>
      <c r="P36" s="205" t="s">
        <v>9</v>
      </c>
      <c r="Q36" s="205">
        <v>89993</v>
      </c>
      <c r="R36" s="213">
        <v>46023</v>
      </c>
      <c r="S36" s="214"/>
    </row>
    <row r="37" spans="1:19" s="215" customFormat="1">
      <c r="A37" s="204">
        <v>0.2034</v>
      </c>
      <c r="B37" s="315">
        <v>0.69289999999999996</v>
      </c>
      <c r="C37" s="205" t="s">
        <v>335</v>
      </c>
      <c r="D37" s="206" t="s">
        <v>168</v>
      </c>
      <c r="E37" s="205" t="s">
        <v>4</v>
      </c>
      <c r="F37" s="207">
        <v>19.2</v>
      </c>
      <c r="G37" s="208">
        <f t="shared" si="33"/>
        <v>30.598828000000001</v>
      </c>
      <c r="H37" s="209">
        <f>I37*0.4287</f>
        <v>22.961172000000001</v>
      </c>
      <c r="I37" s="210">
        <v>53.56</v>
      </c>
      <c r="J37" s="211">
        <f t="shared" si="34"/>
        <v>36.8226296152</v>
      </c>
      <c r="K37" s="212">
        <f t="shared" si="35"/>
        <v>27.631474384800001</v>
      </c>
      <c r="L37" s="210">
        <f t="shared" si="36"/>
        <v>64.454104000000001</v>
      </c>
      <c r="M37" s="208">
        <f t="shared" si="37"/>
        <v>706.99</v>
      </c>
      <c r="N37" s="208">
        <f t="shared" si="38"/>
        <v>530.52</v>
      </c>
      <c r="O37" s="210">
        <f t="shared" si="39"/>
        <v>1237.51</v>
      </c>
      <c r="P37" s="205" t="s">
        <v>9</v>
      </c>
      <c r="Q37" s="205">
        <v>105024</v>
      </c>
      <c r="R37" s="213">
        <v>46023</v>
      </c>
      <c r="S37" s="214"/>
    </row>
    <row r="38" spans="1:19" s="215" customFormat="1">
      <c r="A38" s="204">
        <v>0.2034</v>
      </c>
      <c r="B38" s="315">
        <v>0.69289999999999996</v>
      </c>
      <c r="C38" s="205" t="s">
        <v>336</v>
      </c>
      <c r="D38" s="206" t="s">
        <v>167</v>
      </c>
      <c r="E38" s="205" t="s">
        <v>4</v>
      </c>
      <c r="F38" s="207">
        <v>11.6</v>
      </c>
      <c r="G38" s="208">
        <f t="shared" si="33"/>
        <v>26.860084999999998</v>
      </c>
      <c r="H38" s="209">
        <f>I38*0.3551</f>
        <v>14.789915000000001</v>
      </c>
      <c r="I38" s="210">
        <v>41.65</v>
      </c>
      <c r="J38" s="211">
        <f t="shared" si="34"/>
        <v>32.323426288999997</v>
      </c>
      <c r="K38" s="212">
        <f t="shared" si="35"/>
        <v>17.798183711</v>
      </c>
      <c r="L38" s="210">
        <f t="shared" si="36"/>
        <v>50.121609999999997</v>
      </c>
      <c r="M38" s="208">
        <f t="shared" si="37"/>
        <v>374.95</v>
      </c>
      <c r="N38" s="208">
        <f t="shared" si="38"/>
        <v>206.45</v>
      </c>
      <c r="O38" s="210">
        <f t="shared" si="39"/>
        <v>581.4</v>
      </c>
      <c r="P38" s="205" t="s">
        <v>9</v>
      </c>
      <c r="Q38" s="205">
        <v>105030</v>
      </c>
      <c r="R38" s="213">
        <v>46023</v>
      </c>
      <c r="S38" s="214"/>
    </row>
    <row r="39" spans="1:19" s="222" customFormat="1">
      <c r="A39" s="216"/>
      <c r="B39" s="216"/>
      <c r="C39" s="216"/>
      <c r="D39" s="216"/>
      <c r="E39" s="216"/>
      <c r="F39" s="216"/>
      <c r="G39" s="217"/>
      <c r="H39" s="218"/>
      <c r="I39" s="219"/>
      <c r="J39" s="218"/>
      <c r="K39" s="218"/>
      <c r="L39" s="220" t="s">
        <v>314</v>
      </c>
      <c r="M39" s="219">
        <f t="shared" ref="M39:N39" si="47">SUM(M34:M38)</f>
        <v>19169.910000000003</v>
      </c>
      <c r="N39" s="219">
        <f t="shared" si="47"/>
        <v>7871.54</v>
      </c>
      <c r="O39" s="219">
        <f>SUM(O34:O38)</f>
        <v>27041.45</v>
      </c>
      <c r="P39" s="216"/>
      <c r="Q39" s="216"/>
      <c r="R39" s="216"/>
      <c r="S39" s="221"/>
    </row>
    <row r="40" spans="1:19">
      <c r="A40" s="195"/>
      <c r="B40" s="195"/>
      <c r="C40" s="195">
        <v>6</v>
      </c>
      <c r="D40" s="196" t="s">
        <v>21</v>
      </c>
      <c r="E40" s="197"/>
      <c r="F40" s="197"/>
      <c r="G40" s="198"/>
      <c r="H40" s="199"/>
      <c r="I40" s="200"/>
      <c r="J40" s="199"/>
      <c r="K40" s="199"/>
      <c r="L40" s="199"/>
      <c r="M40" s="201"/>
      <c r="N40" s="202"/>
      <c r="O40" s="203"/>
      <c r="P40" s="197"/>
      <c r="Q40" s="197"/>
      <c r="R40" s="197"/>
    </row>
    <row r="41" spans="1:19" s="215" customFormat="1" ht="34.5">
      <c r="A41" s="204">
        <v>0.2034</v>
      </c>
      <c r="B41" s="315">
        <v>0.69289999999999996</v>
      </c>
      <c r="C41" s="205" t="s">
        <v>114</v>
      </c>
      <c r="D41" s="356" t="s">
        <v>506</v>
      </c>
      <c r="E41" s="205" t="s">
        <v>34</v>
      </c>
      <c r="F41" s="357">
        <v>5</v>
      </c>
      <c r="G41" s="208">
        <f t="shared" ref="G41:G42" si="48">I41-H41</f>
        <v>844.38740300000006</v>
      </c>
      <c r="H41" s="209">
        <f>I41*0.4607</f>
        <v>721.32259699999997</v>
      </c>
      <c r="I41" s="210">
        <v>1565.71</v>
      </c>
      <c r="J41" s="211">
        <f t="shared" ref="J41:J42" si="49">G41*(1+$C$6)</f>
        <v>1016.1358007702001</v>
      </c>
      <c r="K41" s="212">
        <f t="shared" ref="K41:K42" si="50">H41*(1+$C$6)</f>
        <v>868.03961322980001</v>
      </c>
      <c r="L41" s="210">
        <f t="shared" ref="L41:L42" si="51">J41+K41</f>
        <v>1884.1754140000003</v>
      </c>
      <c r="M41" s="208">
        <f t="shared" ref="M41:M42" si="52">TRUNC(J41*F41,2)</f>
        <v>5080.67</v>
      </c>
      <c r="N41" s="208">
        <f t="shared" ref="N41:N42" si="53">TRUNC(K41*F41,2)</f>
        <v>4340.1899999999996</v>
      </c>
      <c r="O41" s="210">
        <f t="shared" ref="O41:O42" si="54">M41+N41</f>
        <v>9420.86</v>
      </c>
      <c r="P41" s="205" t="s">
        <v>9</v>
      </c>
      <c r="Q41" s="205">
        <v>92612</v>
      </c>
      <c r="R41" s="213">
        <v>46023</v>
      </c>
      <c r="S41" s="214"/>
    </row>
    <row r="42" spans="1:19" s="215" customFormat="1" ht="33.75">
      <c r="A42" s="204">
        <v>0.2034</v>
      </c>
      <c r="B42" s="315">
        <v>0.69289999999999996</v>
      </c>
      <c r="C42" s="205" t="s">
        <v>196</v>
      </c>
      <c r="D42" s="206" t="s">
        <v>337</v>
      </c>
      <c r="E42" s="205" t="s">
        <v>5</v>
      </c>
      <c r="F42" s="357">
        <v>85.24</v>
      </c>
      <c r="G42" s="208">
        <f t="shared" si="48"/>
        <v>17.220112999999998</v>
      </c>
      <c r="H42" s="209">
        <f>I42*0.3359</f>
        <v>8.7098870000000002</v>
      </c>
      <c r="I42" s="210">
        <v>25.93</v>
      </c>
      <c r="J42" s="211">
        <f t="shared" si="49"/>
        <v>20.722683984199996</v>
      </c>
      <c r="K42" s="212">
        <f t="shared" si="50"/>
        <v>10.4814780158</v>
      </c>
      <c r="L42" s="210">
        <f t="shared" si="51"/>
        <v>31.204161999999997</v>
      </c>
      <c r="M42" s="208">
        <f t="shared" si="52"/>
        <v>1766.4</v>
      </c>
      <c r="N42" s="208">
        <f t="shared" si="53"/>
        <v>893.44</v>
      </c>
      <c r="O42" s="210">
        <f t="shared" si="54"/>
        <v>2659.84</v>
      </c>
      <c r="P42" s="205" t="s">
        <v>9</v>
      </c>
      <c r="Q42" s="205">
        <v>92543</v>
      </c>
      <c r="R42" s="213">
        <v>46023</v>
      </c>
      <c r="S42" s="214"/>
    </row>
    <row r="43" spans="1:19" s="215" customFormat="1" ht="33.75">
      <c r="A43" s="204">
        <v>0.2034</v>
      </c>
      <c r="B43" s="315">
        <v>0.69289999999999996</v>
      </c>
      <c r="C43" s="205" t="s">
        <v>115</v>
      </c>
      <c r="D43" s="206" t="s">
        <v>338</v>
      </c>
      <c r="E43" s="205" t="s">
        <v>5</v>
      </c>
      <c r="F43" s="357">
        <v>85.24</v>
      </c>
      <c r="G43" s="208">
        <f t="shared" ref="G43:G46" si="55">I43-H43</f>
        <v>40.449024000000001</v>
      </c>
      <c r="H43" s="209">
        <f>I43*0.1552</f>
        <v>7.4309760000000002</v>
      </c>
      <c r="I43" s="210">
        <v>47.88</v>
      </c>
      <c r="J43" s="211">
        <f t="shared" ref="J43:J46" si="56">G43*(1+$C$6)</f>
        <v>48.676355481600005</v>
      </c>
      <c r="K43" s="212">
        <f t="shared" ref="K43:K46" si="57">H43*(1+$C$6)</f>
        <v>8.942436518400001</v>
      </c>
      <c r="L43" s="210">
        <f t="shared" ref="L43:L46" si="58">J43+K43</f>
        <v>57.618792000000006</v>
      </c>
      <c r="M43" s="208">
        <f t="shared" ref="M43:M46" si="59">TRUNC(J43*F43,2)</f>
        <v>4149.17</v>
      </c>
      <c r="N43" s="208">
        <f t="shared" ref="N43:N46" si="60">TRUNC(K43*F43,2)</f>
        <v>762.25</v>
      </c>
      <c r="O43" s="210">
        <f t="shared" ref="O43:O46" si="61">M43+N43</f>
        <v>4911.42</v>
      </c>
      <c r="P43" s="205" t="s">
        <v>9</v>
      </c>
      <c r="Q43" s="205">
        <v>94207</v>
      </c>
      <c r="R43" s="213">
        <v>46023</v>
      </c>
      <c r="S43" s="214"/>
    </row>
    <row r="44" spans="1:19" s="215" customFormat="1" ht="22.5">
      <c r="A44" s="204">
        <v>0.2034</v>
      </c>
      <c r="B44" s="315">
        <v>0.69289999999999996</v>
      </c>
      <c r="C44" s="205" t="s">
        <v>197</v>
      </c>
      <c r="D44" s="206" t="s">
        <v>153</v>
      </c>
      <c r="E44" s="205" t="s">
        <v>4</v>
      </c>
      <c r="F44" s="357">
        <v>8.3000000000000007</v>
      </c>
      <c r="G44" s="208">
        <f t="shared" si="55"/>
        <v>75.553728000000007</v>
      </c>
      <c r="H44" s="209">
        <f>I44*0.0464</f>
        <v>3.676272</v>
      </c>
      <c r="I44" s="210">
        <v>79.23</v>
      </c>
      <c r="J44" s="211">
        <f t="shared" si="56"/>
        <v>90.921356275200012</v>
      </c>
      <c r="K44" s="212">
        <f t="shared" si="57"/>
        <v>4.4240257247999999</v>
      </c>
      <c r="L44" s="210">
        <f t="shared" si="58"/>
        <v>95.345382000000015</v>
      </c>
      <c r="M44" s="208">
        <f t="shared" si="59"/>
        <v>754.64</v>
      </c>
      <c r="N44" s="208">
        <f t="shared" si="60"/>
        <v>36.71</v>
      </c>
      <c r="O44" s="210">
        <f t="shared" si="61"/>
        <v>791.35</v>
      </c>
      <c r="P44" s="205" t="s">
        <v>9</v>
      </c>
      <c r="Q44" s="205">
        <v>94223</v>
      </c>
      <c r="R44" s="213">
        <v>46023</v>
      </c>
      <c r="S44" s="214"/>
    </row>
    <row r="45" spans="1:19" s="215" customFormat="1" ht="22.5">
      <c r="A45" s="204">
        <v>0.2034</v>
      </c>
      <c r="B45" s="315">
        <v>0.69289999999999996</v>
      </c>
      <c r="C45" s="205" t="s">
        <v>223</v>
      </c>
      <c r="D45" s="206" t="s">
        <v>189</v>
      </c>
      <c r="E45" s="205" t="s">
        <v>5</v>
      </c>
      <c r="F45" s="357">
        <v>48.65</v>
      </c>
      <c r="G45" s="208">
        <f t="shared" si="55"/>
        <v>54.513480000000001</v>
      </c>
      <c r="H45" s="209">
        <f>I45*0.2846</f>
        <v>21.686520000000002</v>
      </c>
      <c r="I45" s="210">
        <v>76.2</v>
      </c>
      <c r="J45" s="211">
        <f t="shared" si="56"/>
        <v>65.601521832000003</v>
      </c>
      <c r="K45" s="212">
        <f t="shared" si="57"/>
        <v>26.097558168000003</v>
      </c>
      <c r="L45" s="210">
        <f t="shared" si="58"/>
        <v>91.699080000000009</v>
      </c>
      <c r="M45" s="208">
        <f t="shared" si="59"/>
        <v>3191.51</v>
      </c>
      <c r="N45" s="208">
        <f t="shared" si="60"/>
        <v>1269.6400000000001</v>
      </c>
      <c r="O45" s="210">
        <f t="shared" si="61"/>
        <v>4461.1500000000005</v>
      </c>
      <c r="P45" s="205" t="s">
        <v>9</v>
      </c>
      <c r="Q45" s="205">
        <v>96111</v>
      </c>
      <c r="R45" s="213">
        <v>46023</v>
      </c>
      <c r="S45" s="214"/>
    </row>
    <row r="46" spans="1:19" s="215" customFormat="1" ht="22.5">
      <c r="A46" s="204">
        <v>0.2034</v>
      </c>
      <c r="B46" s="315">
        <v>0.69289999999999996</v>
      </c>
      <c r="C46" s="205" t="s">
        <v>224</v>
      </c>
      <c r="D46" s="206" t="s">
        <v>339</v>
      </c>
      <c r="E46" s="205" t="s">
        <v>4</v>
      </c>
      <c r="F46" s="357">
        <v>5.4</v>
      </c>
      <c r="G46" s="208">
        <f t="shared" si="55"/>
        <v>51.262464000000001</v>
      </c>
      <c r="H46" s="209">
        <f>I46*0.1552</f>
        <v>9.4175360000000001</v>
      </c>
      <c r="I46" s="210">
        <v>60.68</v>
      </c>
      <c r="J46" s="211">
        <f t="shared" si="56"/>
        <v>61.689249177600004</v>
      </c>
      <c r="K46" s="212">
        <f t="shared" si="57"/>
        <v>11.333062822400001</v>
      </c>
      <c r="L46" s="210">
        <f t="shared" si="58"/>
        <v>73.022311999999999</v>
      </c>
      <c r="M46" s="208">
        <f t="shared" si="59"/>
        <v>333.12</v>
      </c>
      <c r="N46" s="208">
        <f t="shared" si="60"/>
        <v>61.19</v>
      </c>
      <c r="O46" s="210">
        <f t="shared" si="61"/>
        <v>394.31</v>
      </c>
      <c r="P46" s="205" t="s">
        <v>9</v>
      </c>
      <c r="Q46" s="205">
        <v>94231</v>
      </c>
      <c r="R46" s="213">
        <v>46023</v>
      </c>
      <c r="S46" s="214"/>
    </row>
    <row r="47" spans="1:19" s="222" customFormat="1">
      <c r="A47" s="216"/>
      <c r="B47" s="216"/>
      <c r="C47" s="216"/>
      <c r="D47" s="216"/>
      <c r="E47" s="216"/>
      <c r="F47" s="216"/>
      <c r="G47" s="217"/>
      <c r="H47" s="218"/>
      <c r="I47" s="219"/>
      <c r="J47" s="218"/>
      <c r="K47" s="218"/>
      <c r="L47" s="220" t="s">
        <v>314</v>
      </c>
      <c r="M47" s="219">
        <f t="shared" ref="M47:N47" si="62">SUM(M41:M46)</f>
        <v>15275.51</v>
      </c>
      <c r="N47" s="219">
        <f t="shared" si="62"/>
        <v>7363.4199999999992</v>
      </c>
      <c r="O47" s="219">
        <f>SUM(O41:O46)</f>
        <v>22638.930000000004</v>
      </c>
      <c r="P47" s="216"/>
      <c r="Q47" s="216"/>
      <c r="R47" s="216"/>
      <c r="S47" s="221"/>
    </row>
    <row r="48" spans="1:19">
      <c r="A48" s="195"/>
      <c r="B48" s="195"/>
      <c r="C48" s="195">
        <v>7</v>
      </c>
      <c r="D48" s="196" t="s">
        <v>340</v>
      </c>
      <c r="E48" s="197"/>
      <c r="F48" s="197"/>
      <c r="G48" s="198"/>
      <c r="H48" s="199"/>
      <c r="I48" s="200"/>
      <c r="J48" s="199"/>
      <c r="K48" s="199"/>
      <c r="L48" s="199"/>
      <c r="M48" s="201"/>
      <c r="N48" s="202"/>
      <c r="O48" s="203"/>
      <c r="P48" s="197"/>
      <c r="Q48" s="197"/>
      <c r="R48" s="197"/>
    </row>
    <row r="49" spans="1:19" s="215" customFormat="1" ht="22.5">
      <c r="A49" s="204">
        <v>0.2034</v>
      </c>
      <c r="B49" s="315">
        <v>0.69289999999999996</v>
      </c>
      <c r="C49" s="205" t="s">
        <v>225</v>
      </c>
      <c r="D49" s="206" t="s">
        <v>345</v>
      </c>
      <c r="E49" s="205" t="s">
        <v>34</v>
      </c>
      <c r="F49" s="207">
        <v>1</v>
      </c>
      <c r="G49" s="208">
        <f t="shared" ref="G49:G54" si="63">I49-H49</f>
        <v>1457.1781780000001</v>
      </c>
      <c r="H49" s="209">
        <f>I49*0.2859</f>
        <v>583.40182199999992</v>
      </c>
      <c r="I49" s="210">
        <v>2040.58</v>
      </c>
      <c r="J49" s="211">
        <f t="shared" ref="J49:J54" si="64">G49*(1+$C$6)</f>
        <v>1753.5682194052001</v>
      </c>
      <c r="K49" s="212">
        <f t="shared" ref="K49:K54" si="65">H49*(1+$C$6)</f>
        <v>702.06575259479996</v>
      </c>
      <c r="L49" s="210">
        <f t="shared" ref="L49:L54" si="66">J49+K49</f>
        <v>2455.6339720000001</v>
      </c>
      <c r="M49" s="208">
        <f t="shared" ref="M49:M54" si="67">TRUNC(J49*F49,2)</f>
        <v>1753.56</v>
      </c>
      <c r="N49" s="208">
        <f t="shared" ref="N49:N54" si="68">TRUNC(K49*F49,2)</f>
        <v>702.06</v>
      </c>
      <c r="O49" s="210">
        <f t="shared" ref="O49:O54" si="69">M49+N49</f>
        <v>2455.62</v>
      </c>
      <c r="P49" s="205" t="s">
        <v>9</v>
      </c>
      <c r="Q49" s="205">
        <v>101502</v>
      </c>
      <c r="R49" s="213">
        <v>46023</v>
      </c>
      <c r="S49" s="214"/>
    </row>
    <row r="50" spans="1:19" s="215" customFormat="1" ht="22.5">
      <c r="A50" s="204">
        <v>0.2034</v>
      </c>
      <c r="B50" s="315">
        <v>0.69289999999999996</v>
      </c>
      <c r="C50" s="205" t="s">
        <v>226</v>
      </c>
      <c r="D50" s="206" t="s">
        <v>346</v>
      </c>
      <c r="E50" s="205" t="s">
        <v>4</v>
      </c>
      <c r="F50" s="207">
        <v>574.20000000000005</v>
      </c>
      <c r="G50" s="208">
        <f>I50-H50</f>
        <v>2.9300040000000003</v>
      </c>
      <c r="H50" s="209">
        <f>I50*0.3658</f>
        <v>1.6899960000000001</v>
      </c>
      <c r="I50" s="210">
        <v>4.62</v>
      </c>
      <c r="J50" s="211">
        <f>G50*(1+$C$6)</f>
        <v>3.5259668136000002</v>
      </c>
      <c r="K50" s="212">
        <f>H50*(1+$C$6)</f>
        <v>2.0337411863999999</v>
      </c>
      <c r="L50" s="210">
        <f>J50+K50</f>
        <v>5.5597080000000005</v>
      </c>
      <c r="M50" s="208">
        <f>TRUNC(J50*F50,2)</f>
        <v>2024.61</v>
      </c>
      <c r="N50" s="208">
        <f>TRUNC(K50*F50,2)</f>
        <v>1167.77</v>
      </c>
      <c r="O50" s="210">
        <f>M50+N50</f>
        <v>3192.38</v>
      </c>
      <c r="P50" s="205" t="s">
        <v>9</v>
      </c>
      <c r="Q50" s="205">
        <v>91926</v>
      </c>
      <c r="R50" s="213">
        <v>46023</v>
      </c>
      <c r="S50" s="214"/>
    </row>
    <row r="51" spans="1:19" s="215" customFormat="1" ht="22.5">
      <c r="A51" s="204">
        <v>0.2034</v>
      </c>
      <c r="B51" s="315">
        <v>0.69289999999999996</v>
      </c>
      <c r="C51" s="205" t="s">
        <v>227</v>
      </c>
      <c r="D51" s="206" t="s">
        <v>493</v>
      </c>
      <c r="E51" s="205" t="s">
        <v>4</v>
      </c>
      <c r="F51" s="207">
        <v>45</v>
      </c>
      <c r="G51" s="208">
        <f>I51-H51</f>
        <v>5.32</v>
      </c>
      <c r="H51" s="209">
        <f>I51*0.3</f>
        <v>2.2799999999999998</v>
      </c>
      <c r="I51" s="210">
        <v>7.6</v>
      </c>
      <c r="J51" s="211">
        <f>G51*(1+$C$6)</f>
        <v>6.4020880000000009</v>
      </c>
      <c r="K51" s="212">
        <f>H51*(1+$C$6)</f>
        <v>2.7437519999999997</v>
      </c>
      <c r="L51" s="210">
        <f>J51+K51</f>
        <v>9.1458399999999997</v>
      </c>
      <c r="M51" s="208">
        <f>TRUNC(J51*F51,2)</f>
        <v>288.08999999999997</v>
      </c>
      <c r="N51" s="208">
        <f>TRUNC(K51*F51,2)</f>
        <v>123.46</v>
      </c>
      <c r="O51" s="210">
        <f>M51+N51</f>
        <v>411.54999999999995</v>
      </c>
      <c r="P51" s="205" t="s">
        <v>9</v>
      </c>
      <c r="Q51" s="205">
        <v>91929</v>
      </c>
      <c r="R51" s="213">
        <v>46023</v>
      </c>
      <c r="S51" s="214"/>
    </row>
    <row r="52" spans="1:19" s="215" customFormat="1" ht="22.5">
      <c r="A52" s="204">
        <v>0.2034</v>
      </c>
      <c r="B52" s="315">
        <v>0.69289999999999996</v>
      </c>
      <c r="C52" s="205" t="s">
        <v>524</v>
      </c>
      <c r="D52" s="206" t="s">
        <v>492</v>
      </c>
      <c r="E52" s="205" t="s">
        <v>4</v>
      </c>
      <c r="F52" s="207">
        <v>300</v>
      </c>
      <c r="G52" s="208">
        <f t="shared" si="63"/>
        <v>9.7447499999999998</v>
      </c>
      <c r="H52" s="209">
        <f>I52*0.085</f>
        <v>0.90525000000000011</v>
      </c>
      <c r="I52" s="210">
        <v>10.65</v>
      </c>
      <c r="J52" s="211">
        <f t="shared" si="64"/>
        <v>11.72683215</v>
      </c>
      <c r="K52" s="212">
        <f t="shared" si="65"/>
        <v>1.0893778500000002</v>
      </c>
      <c r="L52" s="210">
        <f t="shared" si="66"/>
        <v>12.81621</v>
      </c>
      <c r="M52" s="208">
        <f t="shared" si="67"/>
        <v>3518.04</v>
      </c>
      <c r="N52" s="208">
        <f t="shared" si="68"/>
        <v>326.81</v>
      </c>
      <c r="O52" s="210">
        <f t="shared" si="69"/>
        <v>3844.85</v>
      </c>
      <c r="P52" s="205" t="s">
        <v>9</v>
      </c>
      <c r="Q52" s="205">
        <v>101560</v>
      </c>
      <c r="R52" s="213">
        <v>46023</v>
      </c>
      <c r="S52" s="214"/>
    </row>
    <row r="53" spans="1:19" s="215" customFormat="1" ht="22.5">
      <c r="A53" s="204">
        <v>0.2034</v>
      </c>
      <c r="B53" s="315">
        <v>0.69289999999999996</v>
      </c>
      <c r="C53" s="205" t="s">
        <v>228</v>
      </c>
      <c r="D53" s="206" t="s">
        <v>347</v>
      </c>
      <c r="E53" s="205" t="s">
        <v>4</v>
      </c>
      <c r="F53" s="207">
        <v>3.2</v>
      </c>
      <c r="G53" s="208">
        <f t="shared" si="63"/>
        <v>11.990823000000001</v>
      </c>
      <c r="H53" s="209">
        <f>I53*0.2959</f>
        <v>5.0391770000000005</v>
      </c>
      <c r="I53" s="210">
        <v>17.03</v>
      </c>
      <c r="J53" s="211">
        <f t="shared" si="64"/>
        <v>14.4297563982</v>
      </c>
      <c r="K53" s="212">
        <f t="shared" si="65"/>
        <v>6.0641456018000008</v>
      </c>
      <c r="L53" s="210">
        <f t="shared" si="66"/>
        <v>20.493902000000002</v>
      </c>
      <c r="M53" s="208">
        <f t="shared" si="67"/>
        <v>46.17</v>
      </c>
      <c r="N53" s="208">
        <f t="shared" si="68"/>
        <v>19.399999999999999</v>
      </c>
      <c r="O53" s="210">
        <f t="shared" si="69"/>
        <v>65.569999999999993</v>
      </c>
      <c r="P53" s="205" t="s">
        <v>9</v>
      </c>
      <c r="Q53" s="205">
        <v>91847</v>
      </c>
      <c r="R53" s="213">
        <v>46023</v>
      </c>
      <c r="S53" s="214"/>
    </row>
    <row r="54" spans="1:19" s="215" customFormat="1" ht="22.5">
      <c r="A54" s="204">
        <v>0.2034</v>
      </c>
      <c r="B54" s="315">
        <v>0.69289999999999996</v>
      </c>
      <c r="C54" s="205" t="s">
        <v>341</v>
      </c>
      <c r="D54" s="206" t="s">
        <v>348</v>
      </c>
      <c r="E54" s="205" t="s">
        <v>4</v>
      </c>
      <c r="F54" s="207">
        <v>59.8</v>
      </c>
      <c r="G54" s="208">
        <f t="shared" si="63"/>
        <v>15.819639</v>
      </c>
      <c r="H54" s="209">
        <f>I54*0.4621</f>
        <v>13.590361</v>
      </c>
      <c r="I54" s="210">
        <v>29.41</v>
      </c>
      <c r="J54" s="211">
        <f t="shared" si="64"/>
        <v>19.037353572600001</v>
      </c>
      <c r="K54" s="212">
        <f t="shared" si="65"/>
        <v>16.3546404274</v>
      </c>
      <c r="L54" s="210">
        <f t="shared" si="66"/>
        <v>35.391993999999997</v>
      </c>
      <c r="M54" s="208">
        <f t="shared" si="67"/>
        <v>1138.43</v>
      </c>
      <c r="N54" s="208">
        <f t="shared" si="68"/>
        <v>978</v>
      </c>
      <c r="O54" s="210">
        <f t="shared" si="69"/>
        <v>2116.4300000000003</v>
      </c>
      <c r="P54" s="205" t="s">
        <v>9</v>
      </c>
      <c r="Q54" s="205">
        <v>91837</v>
      </c>
      <c r="R54" s="213">
        <v>46023</v>
      </c>
      <c r="S54" s="214"/>
    </row>
    <row r="55" spans="1:19" s="215" customFormat="1" ht="22.5">
      <c r="A55" s="204">
        <v>0.2034</v>
      </c>
      <c r="B55" s="315">
        <v>0.69289999999999996</v>
      </c>
      <c r="C55" s="205" t="s">
        <v>229</v>
      </c>
      <c r="D55" s="206" t="s">
        <v>349</v>
      </c>
      <c r="E55" s="205" t="s">
        <v>4</v>
      </c>
      <c r="F55" s="207">
        <v>11.2</v>
      </c>
      <c r="G55" s="208">
        <f t="shared" ref="G55:G69" si="70">I55-H55</f>
        <v>11.049108</v>
      </c>
      <c r="H55" s="209">
        <f>I55*0.4414</f>
        <v>8.7308920000000008</v>
      </c>
      <c r="I55" s="210">
        <v>19.78</v>
      </c>
      <c r="J55" s="211">
        <f t="shared" ref="J55:J69" si="71">G55*(1+$C$6)</f>
        <v>13.2964965672</v>
      </c>
      <c r="K55" s="212">
        <f t="shared" ref="K55:K69" si="72">H55*(1+$C$6)</f>
        <v>10.5067554328</v>
      </c>
      <c r="L55" s="210">
        <f t="shared" ref="L55:L69" si="73">J55+K55</f>
        <v>23.803252000000001</v>
      </c>
      <c r="M55" s="208">
        <f t="shared" ref="M55:M69" si="74">TRUNC(J55*F55,2)</f>
        <v>148.91999999999999</v>
      </c>
      <c r="N55" s="208">
        <f t="shared" ref="N55:N69" si="75">TRUNC(K55*F55,2)</f>
        <v>117.67</v>
      </c>
      <c r="O55" s="210">
        <f t="shared" ref="O55:O69" si="76">M55+N55</f>
        <v>266.58999999999997</v>
      </c>
      <c r="P55" s="205" t="s">
        <v>9</v>
      </c>
      <c r="Q55" s="205">
        <v>91857</v>
      </c>
      <c r="R55" s="213">
        <v>46023</v>
      </c>
      <c r="S55" s="214"/>
    </row>
    <row r="56" spans="1:19" s="215" customFormat="1" ht="22.5">
      <c r="A56" s="204">
        <v>0.2034</v>
      </c>
      <c r="B56" s="315">
        <v>0.69289999999999996</v>
      </c>
      <c r="C56" s="205" t="s">
        <v>230</v>
      </c>
      <c r="D56" s="206" t="s">
        <v>350</v>
      </c>
      <c r="E56" s="205" t="s">
        <v>4</v>
      </c>
      <c r="F56" s="207">
        <v>50</v>
      </c>
      <c r="G56" s="208">
        <f t="shared" si="70"/>
        <v>0</v>
      </c>
      <c r="H56" s="209">
        <f t="shared" ref="H56" si="77">I56*1</f>
        <v>9.27</v>
      </c>
      <c r="I56" s="210">
        <v>9.27</v>
      </c>
      <c r="J56" s="211">
        <f t="shared" si="71"/>
        <v>0</v>
      </c>
      <c r="K56" s="212">
        <f t="shared" si="72"/>
        <v>11.155517999999999</v>
      </c>
      <c r="L56" s="210">
        <f t="shared" si="73"/>
        <v>11.155517999999999</v>
      </c>
      <c r="M56" s="208">
        <f t="shared" si="74"/>
        <v>0</v>
      </c>
      <c r="N56" s="208">
        <f t="shared" si="75"/>
        <v>557.77</v>
      </c>
      <c r="O56" s="210">
        <f t="shared" si="76"/>
        <v>557.77</v>
      </c>
      <c r="P56" s="205" t="s">
        <v>9</v>
      </c>
      <c r="Q56" s="205">
        <v>90447</v>
      </c>
      <c r="R56" s="213">
        <v>46023</v>
      </c>
      <c r="S56" s="214"/>
    </row>
    <row r="57" spans="1:19" s="215" customFormat="1" ht="22.5">
      <c r="A57" s="204">
        <v>0.2034</v>
      </c>
      <c r="B57" s="315">
        <v>0.69289999999999996</v>
      </c>
      <c r="C57" s="205" t="s">
        <v>231</v>
      </c>
      <c r="D57" s="206" t="s">
        <v>351</v>
      </c>
      <c r="E57" s="205" t="s">
        <v>34</v>
      </c>
      <c r="F57" s="207">
        <v>6</v>
      </c>
      <c r="G57" s="208">
        <f t="shared" si="70"/>
        <v>13.508723999999997</v>
      </c>
      <c r="H57" s="209">
        <f>I57*0.6098</f>
        <v>21.111276</v>
      </c>
      <c r="I57" s="210">
        <v>34.619999999999997</v>
      </c>
      <c r="J57" s="211">
        <f t="shared" si="71"/>
        <v>16.256398461599996</v>
      </c>
      <c r="K57" s="212">
        <f t="shared" si="72"/>
        <v>25.405309538400001</v>
      </c>
      <c r="L57" s="210">
        <f t="shared" si="73"/>
        <v>41.661707999999997</v>
      </c>
      <c r="M57" s="208">
        <f t="shared" si="74"/>
        <v>97.53</v>
      </c>
      <c r="N57" s="208">
        <f t="shared" si="75"/>
        <v>152.43</v>
      </c>
      <c r="O57" s="210">
        <f t="shared" si="76"/>
        <v>249.96</v>
      </c>
      <c r="P57" s="205" t="s">
        <v>9</v>
      </c>
      <c r="Q57" s="205">
        <v>91953</v>
      </c>
      <c r="R57" s="213">
        <v>46023</v>
      </c>
      <c r="S57" s="214"/>
    </row>
    <row r="58" spans="1:19" s="215" customFormat="1" ht="22.5">
      <c r="A58" s="204">
        <v>0.2034</v>
      </c>
      <c r="B58" s="315">
        <v>0.69289999999999996</v>
      </c>
      <c r="C58" s="205" t="s">
        <v>342</v>
      </c>
      <c r="D58" s="206" t="s">
        <v>352</v>
      </c>
      <c r="E58" s="205" t="s">
        <v>34</v>
      </c>
      <c r="F58" s="207">
        <v>1</v>
      </c>
      <c r="G58" s="208">
        <f t="shared" si="70"/>
        <v>29.947799999999994</v>
      </c>
      <c r="H58" s="209">
        <f>I58*0.5782</f>
        <v>41.052200000000006</v>
      </c>
      <c r="I58" s="210">
        <v>71</v>
      </c>
      <c r="J58" s="211">
        <f t="shared" si="71"/>
        <v>36.03918251999999</v>
      </c>
      <c r="K58" s="212">
        <f t="shared" si="72"/>
        <v>49.402217480000012</v>
      </c>
      <c r="L58" s="210">
        <f t="shared" si="73"/>
        <v>85.441400000000002</v>
      </c>
      <c r="M58" s="208">
        <f t="shared" si="74"/>
        <v>36.03</v>
      </c>
      <c r="N58" s="208">
        <f t="shared" si="75"/>
        <v>49.4</v>
      </c>
      <c r="O58" s="210">
        <f t="shared" si="76"/>
        <v>85.43</v>
      </c>
      <c r="P58" s="205" t="s">
        <v>9</v>
      </c>
      <c r="Q58" s="205">
        <v>91967</v>
      </c>
      <c r="R58" s="213">
        <v>46023</v>
      </c>
      <c r="S58" s="214"/>
    </row>
    <row r="59" spans="1:19" s="215" customFormat="1" ht="22.5">
      <c r="A59" s="204">
        <v>0.2034</v>
      </c>
      <c r="B59" s="315">
        <v>0.69289999999999996</v>
      </c>
      <c r="C59" s="205" t="s">
        <v>232</v>
      </c>
      <c r="D59" s="206" t="s">
        <v>353</v>
      </c>
      <c r="E59" s="205" t="s">
        <v>34</v>
      </c>
      <c r="F59" s="207">
        <v>2</v>
      </c>
      <c r="G59" s="208">
        <f t="shared" si="70"/>
        <v>22.868991999999999</v>
      </c>
      <c r="H59" s="209">
        <f>I59*0.6116</f>
        <v>36.011008000000004</v>
      </c>
      <c r="I59" s="210">
        <v>58.88</v>
      </c>
      <c r="J59" s="211">
        <f t="shared" si="71"/>
        <v>27.5205449728</v>
      </c>
      <c r="K59" s="212">
        <f t="shared" si="72"/>
        <v>43.335647027200004</v>
      </c>
      <c r="L59" s="210">
        <f t="shared" si="73"/>
        <v>70.856192000000007</v>
      </c>
      <c r="M59" s="208">
        <f t="shared" si="74"/>
        <v>55.04</v>
      </c>
      <c r="N59" s="208">
        <f t="shared" si="75"/>
        <v>86.67</v>
      </c>
      <c r="O59" s="210">
        <f t="shared" si="76"/>
        <v>141.71</v>
      </c>
      <c r="P59" s="205" t="s">
        <v>9</v>
      </c>
      <c r="Q59" s="205">
        <v>92023</v>
      </c>
      <c r="R59" s="213">
        <v>46023</v>
      </c>
      <c r="S59" s="214"/>
    </row>
    <row r="60" spans="1:19" s="215" customFormat="1" ht="22.5">
      <c r="A60" s="204">
        <v>0.2034</v>
      </c>
      <c r="B60" s="315">
        <v>0.69289999999999996</v>
      </c>
      <c r="C60" s="205" t="s">
        <v>233</v>
      </c>
      <c r="D60" s="206" t="s">
        <v>354</v>
      </c>
      <c r="E60" s="205" t="s">
        <v>34</v>
      </c>
      <c r="F60" s="207">
        <v>3</v>
      </c>
      <c r="G60" s="208">
        <f t="shared" si="70"/>
        <v>14.648654000000001</v>
      </c>
      <c r="H60" s="209">
        <f>I60*0.5969</f>
        <v>21.691346000000003</v>
      </c>
      <c r="I60" s="210">
        <v>36.340000000000003</v>
      </c>
      <c r="J60" s="211">
        <f t="shared" si="71"/>
        <v>17.628190223600001</v>
      </c>
      <c r="K60" s="212">
        <f t="shared" si="72"/>
        <v>26.103365776400004</v>
      </c>
      <c r="L60" s="210">
        <f t="shared" si="73"/>
        <v>43.731556000000005</v>
      </c>
      <c r="M60" s="208">
        <f t="shared" si="74"/>
        <v>52.88</v>
      </c>
      <c r="N60" s="208">
        <f t="shared" si="75"/>
        <v>78.31</v>
      </c>
      <c r="O60" s="210">
        <f t="shared" si="76"/>
        <v>131.19</v>
      </c>
      <c r="P60" s="205" t="s">
        <v>9</v>
      </c>
      <c r="Q60" s="205">
        <v>92000</v>
      </c>
      <c r="R60" s="213">
        <v>46023</v>
      </c>
      <c r="S60" s="214"/>
    </row>
    <row r="61" spans="1:19" s="215" customFormat="1" ht="22.5">
      <c r="A61" s="204">
        <v>0.2034</v>
      </c>
      <c r="B61" s="315">
        <v>0.69289999999999996</v>
      </c>
      <c r="C61" s="205" t="s">
        <v>234</v>
      </c>
      <c r="D61" s="206" t="s">
        <v>355</v>
      </c>
      <c r="E61" s="205" t="s">
        <v>34</v>
      </c>
      <c r="F61" s="207">
        <v>12</v>
      </c>
      <c r="G61" s="208">
        <f t="shared" si="70"/>
        <v>14.649625</v>
      </c>
      <c r="H61" s="209">
        <f>I61*0.6405</f>
        <v>26.100375</v>
      </c>
      <c r="I61" s="210">
        <v>40.75</v>
      </c>
      <c r="J61" s="211">
        <f t="shared" si="71"/>
        <v>17.629358724999999</v>
      </c>
      <c r="K61" s="212">
        <f t="shared" si="72"/>
        <v>31.409191275000001</v>
      </c>
      <c r="L61" s="210">
        <f t="shared" si="73"/>
        <v>49.038550000000001</v>
      </c>
      <c r="M61" s="208">
        <f t="shared" si="74"/>
        <v>211.55</v>
      </c>
      <c r="N61" s="208">
        <f t="shared" si="75"/>
        <v>376.91</v>
      </c>
      <c r="O61" s="210">
        <f t="shared" si="76"/>
        <v>588.46</v>
      </c>
      <c r="P61" s="205" t="s">
        <v>9</v>
      </c>
      <c r="Q61" s="205">
        <v>91996</v>
      </c>
      <c r="R61" s="213">
        <v>46023</v>
      </c>
      <c r="S61" s="214"/>
    </row>
    <row r="62" spans="1:19" s="215" customFormat="1" ht="22.5">
      <c r="A62" s="204">
        <v>0.2034</v>
      </c>
      <c r="B62" s="315">
        <v>0.69289999999999996</v>
      </c>
      <c r="C62" s="205" t="s">
        <v>235</v>
      </c>
      <c r="D62" s="206" t="s">
        <v>181</v>
      </c>
      <c r="E62" s="205" t="s">
        <v>34</v>
      </c>
      <c r="F62" s="207">
        <v>2</v>
      </c>
      <c r="G62" s="208">
        <f t="shared" si="70"/>
        <v>24.00864</v>
      </c>
      <c r="H62" s="209">
        <f>I62*0.5728</f>
        <v>32.191360000000003</v>
      </c>
      <c r="I62" s="210">
        <v>56.2</v>
      </c>
      <c r="J62" s="211">
        <f t="shared" si="71"/>
        <v>28.891997375999999</v>
      </c>
      <c r="K62" s="212">
        <f t="shared" si="72"/>
        <v>38.739082624000005</v>
      </c>
      <c r="L62" s="210">
        <f t="shared" si="73"/>
        <v>67.631079999999997</v>
      </c>
      <c r="M62" s="208">
        <f t="shared" si="74"/>
        <v>57.78</v>
      </c>
      <c r="N62" s="208">
        <f t="shared" si="75"/>
        <v>77.47</v>
      </c>
      <c r="O62" s="210">
        <f t="shared" si="76"/>
        <v>135.25</v>
      </c>
      <c r="P62" s="205" t="s">
        <v>9</v>
      </c>
      <c r="Q62" s="205">
        <v>92008</v>
      </c>
      <c r="R62" s="213">
        <v>46023</v>
      </c>
      <c r="S62" s="214"/>
    </row>
    <row r="63" spans="1:19" s="215" customFormat="1" ht="22.5">
      <c r="A63" s="204">
        <v>0.2034</v>
      </c>
      <c r="B63" s="315">
        <v>0.69289999999999996</v>
      </c>
      <c r="C63" s="205" t="s">
        <v>343</v>
      </c>
      <c r="D63" s="206" t="s">
        <v>487</v>
      </c>
      <c r="E63" s="205" t="s">
        <v>34</v>
      </c>
      <c r="F63" s="207">
        <v>2</v>
      </c>
      <c r="G63" s="208">
        <f t="shared" ref="G63" si="78">I63-H63</f>
        <v>14.650931999999997</v>
      </c>
      <c r="H63" s="209">
        <f>I63*0.7189</f>
        <v>37.469068</v>
      </c>
      <c r="I63" s="210">
        <v>52.12</v>
      </c>
      <c r="J63" s="211">
        <f t="shared" ref="J63" si="79">G63*(1+$C$6)</f>
        <v>17.630931568799998</v>
      </c>
      <c r="K63" s="212">
        <f t="shared" ref="K63" si="80">H63*(1+$C$6)</f>
        <v>45.090276431200003</v>
      </c>
      <c r="L63" s="210">
        <f t="shared" ref="L63" si="81">J63+K63</f>
        <v>62.721208000000004</v>
      </c>
      <c r="M63" s="208">
        <f t="shared" ref="M63" si="82">TRUNC(J63*F63,2)</f>
        <v>35.26</v>
      </c>
      <c r="N63" s="208">
        <f t="shared" ref="N63" si="83">TRUNC(K63*F63,2)</f>
        <v>90.18</v>
      </c>
      <c r="O63" s="210">
        <f t="shared" ref="O63" si="84">M63+N63</f>
        <v>125.44</v>
      </c>
      <c r="P63" s="205" t="s">
        <v>9</v>
      </c>
      <c r="Q63" s="205">
        <v>91992</v>
      </c>
      <c r="R63" s="213">
        <v>46023</v>
      </c>
      <c r="S63" s="214"/>
    </row>
    <row r="64" spans="1:19" s="215" customFormat="1" ht="22.5">
      <c r="A64" s="204">
        <v>0.2034</v>
      </c>
      <c r="B64" s="315">
        <v>0.69289999999999996</v>
      </c>
      <c r="C64" s="205" t="s">
        <v>236</v>
      </c>
      <c r="D64" s="206" t="s">
        <v>356</v>
      </c>
      <c r="E64" s="205" t="s">
        <v>34</v>
      </c>
      <c r="F64" s="207">
        <v>4</v>
      </c>
      <c r="G64" s="208">
        <f t="shared" si="70"/>
        <v>9.750318</v>
      </c>
      <c r="H64" s="209">
        <f>I64*0.1751</f>
        <v>2.0696820000000002</v>
      </c>
      <c r="I64" s="210">
        <v>11.82</v>
      </c>
      <c r="J64" s="211">
        <f t="shared" si="71"/>
        <v>11.7335326812</v>
      </c>
      <c r="K64" s="212">
        <f t="shared" si="72"/>
        <v>2.4906553188000005</v>
      </c>
      <c r="L64" s="210">
        <f t="shared" si="73"/>
        <v>14.224188</v>
      </c>
      <c r="M64" s="208">
        <f t="shared" si="74"/>
        <v>46.93</v>
      </c>
      <c r="N64" s="208">
        <f t="shared" si="75"/>
        <v>9.9600000000000009</v>
      </c>
      <c r="O64" s="210">
        <f t="shared" si="76"/>
        <v>56.89</v>
      </c>
      <c r="P64" s="205" t="s">
        <v>9</v>
      </c>
      <c r="Q64" s="205">
        <v>93654</v>
      </c>
      <c r="R64" s="213">
        <v>46023</v>
      </c>
      <c r="S64" s="214"/>
    </row>
    <row r="65" spans="1:19" s="215" customFormat="1" ht="22.5">
      <c r="A65" s="204">
        <v>0.2034</v>
      </c>
      <c r="B65" s="315">
        <v>0.69289999999999996</v>
      </c>
      <c r="C65" s="205" t="s">
        <v>237</v>
      </c>
      <c r="D65" s="206" t="s">
        <v>357</v>
      </c>
      <c r="E65" s="205" t="s">
        <v>34</v>
      </c>
      <c r="F65" s="207">
        <v>1</v>
      </c>
      <c r="G65" s="208">
        <f t="shared" si="70"/>
        <v>10.110379999999999</v>
      </c>
      <c r="H65" s="209">
        <f>I65*0.2132</f>
        <v>2.7396199999999999</v>
      </c>
      <c r="I65" s="210">
        <v>12.85</v>
      </c>
      <c r="J65" s="211">
        <f t="shared" si="71"/>
        <v>12.166831291999999</v>
      </c>
      <c r="K65" s="212">
        <f t="shared" si="72"/>
        <v>3.2968587079999998</v>
      </c>
      <c r="L65" s="210">
        <f t="shared" si="73"/>
        <v>15.46369</v>
      </c>
      <c r="M65" s="208">
        <f t="shared" si="74"/>
        <v>12.16</v>
      </c>
      <c r="N65" s="208">
        <f t="shared" si="75"/>
        <v>3.29</v>
      </c>
      <c r="O65" s="210">
        <f t="shared" si="76"/>
        <v>15.45</v>
      </c>
      <c r="P65" s="205" t="s">
        <v>9</v>
      </c>
      <c r="Q65" s="205">
        <v>93655</v>
      </c>
      <c r="R65" s="213">
        <v>46023</v>
      </c>
      <c r="S65" s="214"/>
    </row>
    <row r="66" spans="1:19" s="215" customFormat="1" ht="22.5">
      <c r="A66" s="204">
        <v>0.2034</v>
      </c>
      <c r="B66" s="315">
        <v>0.69289999999999996</v>
      </c>
      <c r="C66" s="205" t="s">
        <v>238</v>
      </c>
      <c r="D66" s="206" t="s">
        <v>358</v>
      </c>
      <c r="E66" s="205" t="s">
        <v>34</v>
      </c>
      <c r="F66" s="207">
        <v>1</v>
      </c>
      <c r="G66" s="208">
        <f t="shared" si="70"/>
        <v>10.399367999999999</v>
      </c>
      <c r="H66" s="209">
        <f>I66*0.3308</f>
        <v>5.1406319999999992</v>
      </c>
      <c r="I66" s="210">
        <v>15.54</v>
      </c>
      <c r="J66" s="211">
        <f t="shared" si="71"/>
        <v>12.514599451199999</v>
      </c>
      <c r="K66" s="212">
        <f t="shared" si="72"/>
        <v>6.1862365487999993</v>
      </c>
      <c r="L66" s="210">
        <f t="shared" si="73"/>
        <v>18.700835999999999</v>
      </c>
      <c r="M66" s="208">
        <f t="shared" si="74"/>
        <v>12.51</v>
      </c>
      <c r="N66" s="208">
        <f t="shared" si="75"/>
        <v>6.18</v>
      </c>
      <c r="O66" s="210">
        <f t="shared" si="76"/>
        <v>18.689999999999998</v>
      </c>
      <c r="P66" s="205" t="s">
        <v>9</v>
      </c>
      <c r="Q66" s="205">
        <v>93657</v>
      </c>
      <c r="R66" s="213">
        <v>46023</v>
      </c>
      <c r="S66" s="214"/>
    </row>
    <row r="67" spans="1:19" s="215" customFormat="1" ht="33.75">
      <c r="A67" s="204">
        <v>0.2034</v>
      </c>
      <c r="B67" s="315">
        <v>0.69289999999999996</v>
      </c>
      <c r="C67" s="205" t="s">
        <v>239</v>
      </c>
      <c r="D67" s="206" t="s">
        <v>190</v>
      </c>
      <c r="E67" s="205" t="s">
        <v>34</v>
      </c>
      <c r="F67" s="207">
        <v>1</v>
      </c>
      <c r="G67" s="208">
        <f t="shared" si="70"/>
        <v>379.45067999999998</v>
      </c>
      <c r="H67" s="209">
        <f>I67*0.189</f>
        <v>88.429320000000004</v>
      </c>
      <c r="I67" s="210">
        <v>467.88</v>
      </c>
      <c r="J67" s="211">
        <f t="shared" si="71"/>
        <v>456.63094831199999</v>
      </c>
      <c r="K67" s="212">
        <f t="shared" si="72"/>
        <v>106.41584368800001</v>
      </c>
      <c r="L67" s="210">
        <f t="shared" si="73"/>
        <v>563.04679199999998</v>
      </c>
      <c r="M67" s="208">
        <f t="shared" si="74"/>
        <v>456.63</v>
      </c>
      <c r="N67" s="208">
        <f t="shared" si="75"/>
        <v>106.41</v>
      </c>
      <c r="O67" s="210">
        <f t="shared" si="76"/>
        <v>563.04</v>
      </c>
      <c r="P67" s="205" t="s">
        <v>9</v>
      </c>
      <c r="Q67" s="205">
        <v>101875</v>
      </c>
      <c r="R67" s="213">
        <v>46023</v>
      </c>
      <c r="S67" s="214"/>
    </row>
    <row r="68" spans="1:19" s="215" customFormat="1" ht="22.5">
      <c r="A68" s="204">
        <v>0.2034</v>
      </c>
      <c r="B68" s="315">
        <v>0.69289999999999996</v>
      </c>
      <c r="C68" s="205" t="s">
        <v>344</v>
      </c>
      <c r="D68" s="206" t="str">
        <f>Composições!C40</f>
        <v>LUMINÁRIA TIPO PLAFON QUADRADA, DE SOBREPOR, 17X17CM, COM LED DE 12 W - FORNECIMENTO E INSTALAÇÃO. AF_09/2024</v>
      </c>
      <c r="E68" s="205" t="str">
        <f>Composições!B40</f>
        <v>UN</v>
      </c>
      <c r="F68" s="207">
        <v>11</v>
      </c>
      <c r="G68" s="208">
        <f>Composições!F40</f>
        <v>17.5</v>
      </c>
      <c r="H68" s="209">
        <f>Composições!F41</f>
        <v>19.940000000000001</v>
      </c>
      <c r="I68" s="210">
        <f>Composições!H40</f>
        <v>37.44</v>
      </c>
      <c r="J68" s="211">
        <f t="shared" si="71"/>
        <v>21.0595</v>
      </c>
      <c r="K68" s="212">
        <f t="shared" si="72"/>
        <v>23.995796000000002</v>
      </c>
      <c r="L68" s="210">
        <f t="shared" si="73"/>
        <v>45.055295999999998</v>
      </c>
      <c r="M68" s="208">
        <f t="shared" si="74"/>
        <v>231.65</v>
      </c>
      <c r="N68" s="208">
        <f t="shared" si="75"/>
        <v>263.95</v>
      </c>
      <c r="O68" s="210">
        <f t="shared" si="76"/>
        <v>495.6</v>
      </c>
      <c r="P68" s="205" t="s">
        <v>315</v>
      </c>
      <c r="Q68" s="223" t="s">
        <v>316</v>
      </c>
      <c r="R68" s="213">
        <v>46023</v>
      </c>
      <c r="S68" s="214"/>
    </row>
    <row r="69" spans="1:19" s="215" customFormat="1" ht="22.5">
      <c r="A69" s="204">
        <v>0.2034</v>
      </c>
      <c r="B69" s="315">
        <v>0.69289999999999996</v>
      </c>
      <c r="C69" s="205" t="s">
        <v>486</v>
      </c>
      <c r="D69" s="206" t="s">
        <v>180</v>
      </c>
      <c r="E69" s="205" t="s">
        <v>34</v>
      </c>
      <c r="F69" s="207">
        <v>5</v>
      </c>
      <c r="G69" s="208">
        <f t="shared" si="70"/>
        <v>10.679129999999997</v>
      </c>
      <c r="H69" s="209">
        <f>I69*0.6458</f>
        <v>19.470870000000001</v>
      </c>
      <c r="I69" s="210">
        <v>30.15</v>
      </c>
      <c r="J69" s="211">
        <f t="shared" si="71"/>
        <v>12.851265041999996</v>
      </c>
      <c r="K69" s="212">
        <f t="shared" si="72"/>
        <v>23.431244958000001</v>
      </c>
      <c r="L69" s="210">
        <f t="shared" si="73"/>
        <v>36.282509999999995</v>
      </c>
      <c r="M69" s="208">
        <f t="shared" si="74"/>
        <v>64.25</v>
      </c>
      <c r="N69" s="208">
        <f t="shared" si="75"/>
        <v>117.15</v>
      </c>
      <c r="O69" s="210">
        <f t="shared" si="76"/>
        <v>181.4</v>
      </c>
      <c r="P69" s="205" t="s">
        <v>9</v>
      </c>
      <c r="Q69" s="205">
        <v>103782</v>
      </c>
      <c r="R69" s="213">
        <v>46023</v>
      </c>
      <c r="S69" s="214"/>
    </row>
    <row r="70" spans="1:19" s="222" customFormat="1">
      <c r="A70" s="216"/>
      <c r="B70" s="216"/>
      <c r="C70" s="216"/>
      <c r="D70" s="216"/>
      <c r="E70" s="216"/>
      <c r="F70" s="216"/>
      <c r="G70" s="217"/>
      <c r="H70" s="218"/>
      <c r="I70" s="219"/>
      <c r="J70" s="218"/>
      <c r="K70" s="218"/>
      <c r="L70" s="220" t="s">
        <v>314</v>
      </c>
      <c r="M70" s="219">
        <f t="shared" ref="M70:N70" si="85">SUM(M49:M69)</f>
        <v>10288.02</v>
      </c>
      <c r="N70" s="219">
        <f t="shared" si="85"/>
        <v>5411.25</v>
      </c>
      <c r="O70" s="219">
        <f>SUM(O49:O69)</f>
        <v>15699.27</v>
      </c>
      <c r="P70" s="216"/>
      <c r="Q70" s="216"/>
      <c r="R70" s="216"/>
      <c r="S70" s="221"/>
    </row>
    <row r="71" spans="1:19">
      <c r="A71" s="195"/>
      <c r="B71" s="195"/>
      <c r="C71" s="195">
        <v>8</v>
      </c>
      <c r="D71" s="196" t="s">
        <v>452</v>
      </c>
      <c r="E71" s="197"/>
      <c r="F71" s="197"/>
      <c r="G71" s="198"/>
      <c r="H71" s="199"/>
      <c r="I71" s="200"/>
      <c r="J71" s="199"/>
      <c r="K71" s="199"/>
      <c r="L71" s="199"/>
      <c r="M71" s="201"/>
      <c r="N71" s="202"/>
      <c r="O71" s="203"/>
      <c r="P71" s="197"/>
      <c r="Q71" s="197"/>
      <c r="R71" s="197"/>
    </row>
    <row r="72" spans="1:19" s="215" customFormat="1" ht="22.5">
      <c r="A72" s="204">
        <v>0.2034</v>
      </c>
      <c r="B72" s="315">
        <v>0.69289999999999996</v>
      </c>
      <c r="C72" s="205" t="s">
        <v>128</v>
      </c>
      <c r="D72" s="206" t="s">
        <v>453</v>
      </c>
      <c r="E72" s="205" t="s">
        <v>4</v>
      </c>
      <c r="F72" s="207">
        <f>1.5+1.5</f>
        <v>3</v>
      </c>
      <c r="G72" s="208">
        <f t="shared" ref="G72" si="86">I72-H72</f>
        <v>25.639700000000001</v>
      </c>
      <c r="H72" s="209">
        <f>I72*0.0924</f>
        <v>2.6103000000000001</v>
      </c>
      <c r="I72" s="210">
        <v>28.25</v>
      </c>
      <c r="J72" s="211">
        <f t="shared" ref="J72" si="87">G72*(1+$C$6)</f>
        <v>30.85481498</v>
      </c>
      <c r="K72" s="212">
        <f t="shared" ref="K72" si="88">H72*(1+$C$6)</f>
        <v>3.1412350200000003</v>
      </c>
      <c r="L72" s="210">
        <f t="shared" ref="L72" si="89">J72+K72</f>
        <v>33.996050000000004</v>
      </c>
      <c r="M72" s="208">
        <f t="shared" ref="M72" si="90">TRUNC(J72*F72,2)</f>
        <v>92.56</v>
      </c>
      <c r="N72" s="208">
        <f t="shared" ref="N72" si="91">TRUNC(K72*F72,2)</f>
        <v>9.42</v>
      </c>
      <c r="O72" s="210">
        <f t="shared" ref="O72" si="92">M72+N72</f>
        <v>101.98</v>
      </c>
      <c r="P72" s="205" t="s">
        <v>9</v>
      </c>
      <c r="Q72" s="205">
        <v>97327</v>
      </c>
      <c r="R72" s="213">
        <v>46023</v>
      </c>
      <c r="S72" s="214"/>
    </row>
    <row r="73" spans="1:19" s="215" customFormat="1" ht="22.5">
      <c r="A73" s="204">
        <v>0.2034</v>
      </c>
      <c r="B73" s="315">
        <v>0.69289999999999996</v>
      </c>
      <c r="C73" s="205" t="s">
        <v>198</v>
      </c>
      <c r="D73" s="206" t="s">
        <v>454</v>
      </c>
      <c r="E73" s="205" t="s">
        <v>4</v>
      </c>
      <c r="F73" s="207">
        <f>1.5+1.5</f>
        <v>3</v>
      </c>
      <c r="G73" s="208">
        <f t="shared" ref="G73:G77" si="93">I73-H73</f>
        <v>43.911686000000003</v>
      </c>
      <c r="H73" s="209">
        <f>I73*0.0669</f>
        <v>3.1483140000000001</v>
      </c>
      <c r="I73" s="210">
        <v>47.06</v>
      </c>
      <c r="J73" s="211">
        <f t="shared" ref="J73:J78" si="94">G73*(1+$C$6)</f>
        <v>52.843322932400007</v>
      </c>
      <c r="K73" s="212">
        <f t="shared" ref="K73:K78" si="95">H73*(1+$C$6)</f>
        <v>3.7886810676000002</v>
      </c>
      <c r="L73" s="210">
        <f t="shared" ref="L73:L78" si="96">J73+K73</f>
        <v>56.632004000000009</v>
      </c>
      <c r="M73" s="208">
        <f t="shared" ref="M73:M78" si="97">TRUNC(J73*F73,2)</f>
        <v>158.52000000000001</v>
      </c>
      <c r="N73" s="208">
        <f t="shared" ref="N73:N78" si="98">TRUNC(K73*F73,2)</f>
        <v>11.36</v>
      </c>
      <c r="O73" s="210">
        <f t="shared" ref="O73:O78" si="99">M73+N73</f>
        <v>169.88</v>
      </c>
      <c r="P73" s="205" t="s">
        <v>9</v>
      </c>
      <c r="Q73" s="205">
        <v>97328</v>
      </c>
      <c r="R73" s="213">
        <v>46023</v>
      </c>
      <c r="S73" s="214"/>
    </row>
    <row r="74" spans="1:19" s="215" customFormat="1" ht="22.5">
      <c r="A74" s="204">
        <v>0.2034</v>
      </c>
      <c r="B74" s="315">
        <v>0.69289999999999996</v>
      </c>
      <c r="C74" s="205" t="s">
        <v>129</v>
      </c>
      <c r="D74" s="206" t="s">
        <v>455</v>
      </c>
      <c r="E74" s="205" t="s">
        <v>34</v>
      </c>
      <c r="F74" s="207">
        <f>1+1</f>
        <v>2</v>
      </c>
      <c r="G74" s="208">
        <f t="shared" si="93"/>
        <v>2.2501320000000007</v>
      </c>
      <c r="H74" s="209">
        <f>I74*0.7302</f>
        <v>6.0898679999999992</v>
      </c>
      <c r="I74" s="210">
        <v>8.34</v>
      </c>
      <c r="J74" s="211">
        <f t="shared" si="94"/>
        <v>2.7078088488000009</v>
      </c>
      <c r="K74" s="212">
        <f t="shared" si="95"/>
        <v>7.3285471511999996</v>
      </c>
      <c r="L74" s="210">
        <f t="shared" si="96"/>
        <v>10.036356000000001</v>
      </c>
      <c r="M74" s="208">
        <f t="shared" si="97"/>
        <v>5.41</v>
      </c>
      <c r="N74" s="208">
        <f t="shared" si="98"/>
        <v>14.65</v>
      </c>
      <c r="O74" s="210">
        <f t="shared" si="99"/>
        <v>20.060000000000002</v>
      </c>
      <c r="P74" s="205" t="s">
        <v>9</v>
      </c>
      <c r="Q74" s="205">
        <v>89866</v>
      </c>
      <c r="R74" s="213">
        <v>46023</v>
      </c>
      <c r="S74" s="214"/>
    </row>
    <row r="75" spans="1:19" s="215" customFormat="1" ht="22.5">
      <c r="A75" s="204">
        <v>0.2034</v>
      </c>
      <c r="B75" s="315">
        <v>0.69289999999999996</v>
      </c>
      <c r="C75" s="205" t="s">
        <v>243</v>
      </c>
      <c r="D75" s="206" t="s">
        <v>350</v>
      </c>
      <c r="E75" s="205" t="s">
        <v>4</v>
      </c>
      <c r="F75" s="207">
        <f>1.5+1.5</f>
        <v>3</v>
      </c>
      <c r="G75" s="208">
        <f t="shared" ref="G75" si="100">I75-H75</f>
        <v>0</v>
      </c>
      <c r="H75" s="209">
        <f>I75*1</f>
        <v>9.27</v>
      </c>
      <c r="I75" s="210">
        <v>9.27</v>
      </c>
      <c r="J75" s="211">
        <f t="shared" ref="J75" si="101">G75*(1+$C$6)</f>
        <v>0</v>
      </c>
      <c r="K75" s="212">
        <f t="shared" ref="K75" si="102">H75*(1+$C$6)</f>
        <v>11.155517999999999</v>
      </c>
      <c r="L75" s="210">
        <f t="shared" ref="L75" si="103">J75+K75</f>
        <v>11.155517999999999</v>
      </c>
      <c r="M75" s="208">
        <f t="shared" ref="M75" si="104">TRUNC(J75*F75,2)</f>
        <v>0</v>
      </c>
      <c r="N75" s="208">
        <f t="shared" ref="N75" si="105">TRUNC(K75*F75,2)</f>
        <v>33.46</v>
      </c>
      <c r="O75" s="210">
        <f t="shared" ref="O75" si="106">M75+N75</f>
        <v>33.46</v>
      </c>
      <c r="P75" s="205" t="s">
        <v>9</v>
      </c>
      <c r="Q75" s="205">
        <v>90447</v>
      </c>
      <c r="R75" s="213">
        <v>46023</v>
      </c>
      <c r="S75" s="214"/>
    </row>
    <row r="76" spans="1:19" s="215" customFormat="1" ht="22.5">
      <c r="A76" s="204">
        <v>0.2034</v>
      </c>
      <c r="B76" s="315">
        <v>0.69289999999999996</v>
      </c>
      <c r="C76" s="205" t="s">
        <v>370</v>
      </c>
      <c r="D76" s="206" t="s">
        <v>456</v>
      </c>
      <c r="E76" s="205" t="s">
        <v>4</v>
      </c>
      <c r="F76" s="207">
        <f>2.5+2.5</f>
        <v>5</v>
      </c>
      <c r="G76" s="208">
        <f t="shared" si="93"/>
        <v>5.40015</v>
      </c>
      <c r="H76" s="209">
        <f>I76*0.7225</f>
        <v>14.059850000000001</v>
      </c>
      <c r="I76" s="210">
        <v>19.46</v>
      </c>
      <c r="J76" s="211">
        <f t="shared" si="94"/>
        <v>6.4985405099999998</v>
      </c>
      <c r="K76" s="212">
        <f t="shared" si="95"/>
        <v>16.919623490000003</v>
      </c>
      <c r="L76" s="210">
        <f t="shared" si="96"/>
        <v>23.418164000000004</v>
      </c>
      <c r="M76" s="208">
        <f t="shared" si="97"/>
        <v>32.49</v>
      </c>
      <c r="N76" s="208">
        <f t="shared" si="98"/>
        <v>84.59</v>
      </c>
      <c r="O76" s="210">
        <f t="shared" si="99"/>
        <v>117.08000000000001</v>
      </c>
      <c r="P76" s="205" t="s">
        <v>9</v>
      </c>
      <c r="Q76" s="205">
        <v>89865</v>
      </c>
      <c r="R76" s="213">
        <v>46023</v>
      </c>
      <c r="S76" s="214"/>
    </row>
    <row r="77" spans="1:19" s="215" customFormat="1" ht="22.5">
      <c r="A77" s="204">
        <v>0.2034</v>
      </c>
      <c r="B77" s="315">
        <v>0.69289999999999996</v>
      </c>
      <c r="C77" s="205" t="s">
        <v>244</v>
      </c>
      <c r="D77" s="206" t="s">
        <v>457</v>
      </c>
      <c r="E77" s="205" t="s">
        <v>4</v>
      </c>
      <c r="F77" s="207">
        <v>3</v>
      </c>
      <c r="G77" s="208">
        <f t="shared" si="93"/>
        <v>7.9402139999999992</v>
      </c>
      <c r="H77" s="209">
        <f>I77*0.6166</f>
        <v>12.769786000000002</v>
      </c>
      <c r="I77" s="210">
        <v>20.71</v>
      </c>
      <c r="J77" s="211">
        <f t="shared" si="94"/>
        <v>9.5552535275999997</v>
      </c>
      <c r="K77" s="212">
        <f t="shared" si="95"/>
        <v>15.367160472400002</v>
      </c>
      <c r="L77" s="210">
        <f t="shared" si="96"/>
        <v>24.922414000000003</v>
      </c>
      <c r="M77" s="208">
        <f t="shared" si="97"/>
        <v>28.66</v>
      </c>
      <c r="N77" s="208">
        <f t="shared" si="98"/>
        <v>46.1</v>
      </c>
      <c r="O77" s="210">
        <f t="shared" si="99"/>
        <v>74.760000000000005</v>
      </c>
      <c r="P77" s="205" t="s">
        <v>9</v>
      </c>
      <c r="Q77" s="205">
        <v>91834</v>
      </c>
      <c r="R77" s="213">
        <v>46023</v>
      </c>
      <c r="S77" s="214"/>
    </row>
    <row r="78" spans="1:19" s="215" customFormat="1">
      <c r="A78" s="204">
        <v>0.2034</v>
      </c>
      <c r="B78" s="315">
        <v>0.69289999999999996</v>
      </c>
      <c r="C78" s="205" t="s">
        <v>245</v>
      </c>
      <c r="D78" s="206" t="s">
        <v>458</v>
      </c>
      <c r="E78" s="205" t="s">
        <v>34</v>
      </c>
      <c r="F78" s="207">
        <v>2</v>
      </c>
      <c r="G78" s="208">
        <v>29.69</v>
      </c>
      <c r="H78" s="209">
        <f>17.04+19+1.37</f>
        <v>37.409999999999997</v>
      </c>
      <c r="I78" s="210">
        <f>SUM(G78:H78)</f>
        <v>67.099999999999994</v>
      </c>
      <c r="J78" s="211">
        <f t="shared" si="94"/>
        <v>35.728946000000001</v>
      </c>
      <c r="K78" s="212">
        <f t="shared" si="95"/>
        <v>45.019193999999999</v>
      </c>
      <c r="L78" s="210">
        <f t="shared" si="96"/>
        <v>80.748140000000006</v>
      </c>
      <c r="M78" s="208">
        <f t="shared" si="97"/>
        <v>71.45</v>
      </c>
      <c r="N78" s="208">
        <f t="shared" si="98"/>
        <v>90.03</v>
      </c>
      <c r="O78" s="210">
        <f t="shared" si="99"/>
        <v>161.48000000000002</v>
      </c>
      <c r="P78" s="205" t="s">
        <v>364</v>
      </c>
      <c r="Q78" s="205">
        <v>11571</v>
      </c>
      <c r="R78" s="213">
        <v>46023</v>
      </c>
      <c r="S78" s="214"/>
    </row>
    <row r="79" spans="1:19" s="222" customFormat="1">
      <c r="A79" s="216"/>
      <c r="B79" s="216"/>
      <c r="C79" s="216"/>
      <c r="D79" s="216"/>
      <c r="E79" s="216"/>
      <c r="F79" s="216"/>
      <c r="G79" s="217"/>
      <c r="H79" s="218"/>
      <c r="I79" s="219"/>
      <c r="J79" s="218"/>
      <c r="K79" s="218"/>
      <c r="L79" s="220" t="s">
        <v>314</v>
      </c>
      <c r="M79" s="219">
        <f t="shared" ref="M79:N79" si="107">SUM(M72:M78)</f>
        <v>389.09000000000003</v>
      </c>
      <c r="N79" s="219">
        <f t="shared" si="107"/>
        <v>289.61</v>
      </c>
      <c r="O79" s="219">
        <f>SUM(O72:O78)</f>
        <v>678.7</v>
      </c>
      <c r="P79" s="216"/>
      <c r="Q79" s="216"/>
      <c r="R79" s="216"/>
      <c r="S79" s="221"/>
    </row>
    <row r="80" spans="1:19">
      <c r="A80" s="195"/>
      <c r="B80" s="195"/>
      <c r="C80" s="195">
        <v>9</v>
      </c>
      <c r="D80" s="196" t="s">
        <v>36</v>
      </c>
      <c r="E80" s="197"/>
      <c r="F80" s="197"/>
      <c r="G80" s="198"/>
      <c r="H80" s="199"/>
      <c r="I80" s="200"/>
      <c r="J80" s="199"/>
      <c r="K80" s="199"/>
      <c r="L80" s="199"/>
      <c r="M80" s="201"/>
      <c r="N80" s="202"/>
      <c r="O80" s="203"/>
      <c r="P80" s="197"/>
      <c r="Q80" s="197"/>
      <c r="R80" s="197"/>
    </row>
    <row r="81" spans="1:19" s="215" customFormat="1" ht="22.5">
      <c r="A81" s="204">
        <v>0.2034</v>
      </c>
      <c r="B81" s="315">
        <v>0.69289999999999996</v>
      </c>
      <c r="C81" s="205" t="s">
        <v>199</v>
      </c>
      <c r="D81" s="206" t="s">
        <v>371</v>
      </c>
      <c r="E81" s="205" t="s">
        <v>11</v>
      </c>
      <c r="F81" s="207">
        <v>2.7</v>
      </c>
      <c r="G81" s="208">
        <f t="shared" ref="G81:G82" si="108">I81-H81</f>
        <v>34.002101999999994</v>
      </c>
      <c r="H81" s="209">
        <f>I81*0.4103</f>
        <v>23.657897999999999</v>
      </c>
      <c r="I81" s="210">
        <v>57.66</v>
      </c>
      <c r="J81" s="211">
        <f t="shared" ref="J81:J82" si="109">G81*(1+$C$6)</f>
        <v>40.918129546799996</v>
      </c>
      <c r="K81" s="212">
        <f t="shared" ref="K81:K82" si="110">H81*(1+$C$6)</f>
        <v>28.469914453200001</v>
      </c>
      <c r="L81" s="210">
        <f t="shared" ref="L81:L82" si="111">J81+K81</f>
        <v>69.388043999999994</v>
      </c>
      <c r="M81" s="208">
        <f t="shared" ref="M81:M82" si="112">TRUNC(J81*F81,2)</f>
        <v>110.47</v>
      </c>
      <c r="N81" s="208">
        <f t="shared" ref="N81:N82" si="113">TRUNC(K81*F81,2)</f>
        <v>76.86</v>
      </c>
      <c r="O81" s="210">
        <f t="shared" ref="O81:O82" si="114">M81+N81</f>
        <v>187.32999999999998</v>
      </c>
      <c r="P81" s="205" t="s">
        <v>9</v>
      </c>
      <c r="Q81" s="205">
        <v>96525</v>
      </c>
      <c r="R81" s="213">
        <v>46023</v>
      </c>
      <c r="S81" s="214"/>
    </row>
    <row r="82" spans="1:19" s="215" customFormat="1" ht="33.75">
      <c r="A82" s="204">
        <v>0.2034</v>
      </c>
      <c r="B82" s="315">
        <v>0.69289999999999996</v>
      </c>
      <c r="C82" s="205" t="s">
        <v>130</v>
      </c>
      <c r="D82" s="206" t="s">
        <v>372</v>
      </c>
      <c r="E82" s="205" t="s">
        <v>11</v>
      </c>
      <c r="F82" s="207">
        <v>2</v>
      </c>
      <c r="G82" s="208">
        <f t="shared" si="108"/>
        <v>10.200816</v>
      </c>
      <c r="H82" s="209">
        <f>I82*0.4492</f>
        <v>8.3191839999999999</v>
      </c>
      <c r="I82" s="210">
        <v>18.52</v>
      </c>
      <c r="J82" s="211">
        <f t="shared" si="109"/>
        <v>12.2756619744</v>
      </c>
      <c r="K82" s="212">
        <f t="shared" si="110"/>
        <v>10.0113060256</v>
      </c>
      <c r="L82" s="210">
        <f t="shared" si="111"/>
        <v>22.286968000000002</v>
      </c>
      <c r="M82" s="208">
        <f t="shared" si="112"/>
        <v>24.55</v>
      </c>
      <c r="N82" s="208">
        <f t="shared" si="113"/>
        <v>20.02</v>
      </c>
      <c r="O82" s="210">
        <f t="shared" si="114"/>
        <v>44.57</v>
      </c>
      <c r="P82" s="205" t="s">
        <v>9</v>
      </c>
      <c r="Q82" s="205">
        <v>93369</v>
      </c>
      <c r="R82" s="213">
        <v>46023</v>
      </c>
      <c r="S82" s="214"/>
    </row>
    <row r="83" spans="1:19" s="215" customFormat="1" ht="22.5">
      <c r="A83" s="204">
        <v>0.2034</v>
      </c>
      <c r="B83" s="315">
        <v>0.69289999999999996</v>
      </c>
      <c r="C83" s="205" t="s">
        <v>200</v>
      </c>
      <c r="D83" s="206" t="s">
        <v>50</v>
      </c>
      <c r="E83" s="205" t="s">
        <v>34</v>
      </c>
      <c r="F83" s="207">
        <v>5</v>
      </c>
      <c r="G83" s="208">
        <f t="shared" ref="G83:G95" si="115">I83-H83</f>
        <v>123.375</v>
      </c>
      <c r="H83" s="209">
        <f>I83*0.6052</f>
        <v>189.125</v>
      </c>
      <c r="I83" s="210">
        <v>312.5</v>
      </c>
      <c r="J83" s="211">
        <f t="shared" ref="J83:J95" si="116">G83*(1+$C$6)</f>
        <v>148.46947500000002</v>
      </c>
      <c r="K83" s="212">
        <f t="shared" ref="K83:K95" si="117">H83*(1+$C$6)</f>
        <v>227.59302500000001</v>
      </c>
      <c r="L83" s="210">
        <f t="shared" ref="L83:L95" si="118">J83+K83</f>
        <v>376.0625</v>
      </c>
      <c r="M83" s="208">
        <f t="shared" ref="M83:M95" si="119">TRUNC(J83*F83,2)</f>
        <v>742.34</v>
      </c>
      <c r="N83" s="208">
        <f t="shared" ref="N83:N95" si="120">TRUNC(K83*F83,2)</f>
        <v>1137.96</v>
      </c>
      <c r="O83" s="210">
        <f t="shared" ref="O83:O95" si="121">M83+N83</f>
        <v>1880.3000000000002</v>
      </c>
      <c r="P83" s="205" t="s">
        <v>9</v>
      </c>
      <c r="Q83" s="205">
        <v>97901</v>
      </c>
      <c r="R83" s="213">
        <v>46023</v>
      </c>
      <c r="S83" s="214"/>
    </row>
    <row r="84" spans="1:19" s="215" customFormat="1" ht="22.5">
      <c r="A84" s="204">
        <v>0.2034</v>
      </c>
      <c r="B84" s="315">
        <v>0.69289999999999996</v>
      </c>
      <c r="C84" s="205" t="s">
        <v>152</v>
      </c>
      <c r="D84" s="206" t="s">
        <v>373</v>
      </c>
      <c r="E84" s="205" t="s">
        <v>34</v>
      </c>
      <c r="F84" s="207">
        <v>6</v>
      </c>
      <c r="G84" s="208">
        <f t="shared" si="115"/>
        <v>34.438305</v>
      </c>
      <c r="H84" s="209">
        <f>I84*0.3895</f>
        <v>21.971695</v>
      </c>
      <c r="I84" s="210">
        <v>56.41</v>
      </c>
      <c r="J84" s="211">
        <f t="shared" si="116"/>
        <v>41.443056237</v>
      </c>
      <c r="K84" s="212">
        <f t="shared" si="117"/>
        <v>26.440737763000001</v>
      </c>
      <c r="L84" s="210">
        <f t="shared" si="118"/>
        <v>67.883793999999995</v>
      </c>
      <c r="M84" s="208">
        <f t="shared" si="119"/>
        <v>248.65</v>
      </c>
      <c r="N84" s="208">
        <f t="shared" si="120"/>
        <v>158.63999999999999</v>
      </c>
      <c r="O84" s="210">
        <f t="shared" si="121"/>
        <v>407.28999999999996</v>
      </c>
      <c r="P84" s="205" t="s">
        <v>9</v>
      </c>
      <c r="Q84" s="205">
        <v>89707</v>
      </c>
      <c r="R84" s="213">
        <v>46023</v>
      </c>
      <c r="S84" s="214"/>
    </row>
    <row r="85" spans="1:19" s="215" customFormat="1" ht="23.25">
      <c r="A85" s="204">
        <v>0.2034</v>
      </c>
      <c r="B85" s="315">
        <v>0.69289999999999996</v>
      </c>
      <c r="C85" s="205" t="s">
        <v>131</v>
      </c>
      <c r="D85" s="354" t="s">
        <v>518</v>
      </c>
      <c r="E85" s="205" t="s">
        <v>34</v>
      </c>
      <c r="F85" s="207">
        <v>1</v>
      </c>
      <c r="G85" s="208">
        <f t="shared" si="115"/>
        <v>1013.1115420000001</v>
      </c>
      <c r="H85" s="209">
        <f>I85*0.4613</f>
        <v>867.54845799999998</v>
      </c>
      <c r="I85" s="210">
        <v>1880.66</v>
      </c>
      <c r="J85" s="211">
        <f t="shared" si="116"/>
        <v>1219.1784296428002</v>
      </c>
      <c r="K85" s="212">
        <f t="shared" si="117"/>
        <v>1044.0078143572</v>
      </c>
      <c r="L85" s="210">
        <f t="shared" si="118"/>
        <v>2263.1862440000004</v>
      </c>
      <c r="M85" s="208">
        <f t="shared" si="119"/>
        <v>1219.17</v>
      </c>
      <c r="N85" s="208">
        <f t="shared" si="120"/>
        <v>1044</v>
      </c>
      <c r="O85" s="210">
        <f t="shared" si="121"/>
        <v>2263.17</v>
      </c>
      <c r="P85" s="205" t="s">
        <v>9</v>
      </c>
      <c r="Q85" s="205">
        <v>98088</v>
      </c>
      <c r="R85" s="213">
        <v>46023</v>
      </c>
      <c r="S85" s="214"/>
    </row>
    <row r="86" spans="1:19" s="215" customFormat="1" ht="22.5">
      <c r="A86" s="204">
        <v>0.2034</v>
      </c>
      <c r="B86" s="315">
        <v>0.69289999999999996</v>
      </c>
      <c r="C86" s="205" t="s">
        <v>160</v>
      </c>
      <c r="D86" s="206" t="s">
        <v>176</v>
      </c>
      <c r="E86" s="205" t="s">
        <v>34</v>
      </c>
      <c r="F86" s="207">
        <v>1</v>
      </c>
      <c r="G86" s="208">
        <f t="shared" si="115"/>
        <v>1683.8314599999999</v>
      </c>
      <c r="H86" s="209">
        <f>I86*0.4292</f>
        <v>1266.1185399999999</v>
      </c>
      <c r="I86" s="210">
        <v>2949.95</v>
      </c>
      <c r="J86" s="211">
        <f t="shared" si="116"/>
        <v>2026.322778964</v>
      </c>
      <c r="K86" s="212">
        <f t="shared" si="117"/>
        <v>1523.647051036</v>
      </c>
      <c r="L86" s="210">
        <f t="shared" si="118"/>
        <v>3549.96983</v>
      </c>
      <c r="M86" s="208">
        <f t="shared" si="119"/>
        <v>2026.32</v>
      </c>
      <c r="N86" s="208">
        <f t="shared" si="120"/>
        <v>1523.64</v>
      </c>
      <c r="O86" s="210">
        <f t="shared" si="121"/>
        <v>3549.96</v>
      </c>
      <c r="P86" s="205" t="s">
        <v>9</v>
      </c>
      <c r="Q86" s="205">
        <v>98094</v>
      </c>
      <c r="R86" s="213">
        <v>46023</v>
      </c>
      <c r="S86" s="214"/>
    </row>
    <row r="87" spans="1:19" s="215" customFormat="1" ht="23.25">
      <c r="A87" s="204">
        <v>0.2034</v>
      </c>
      <c r="B87" s="315">
        <v>0.69289999999999996</v>
      </c>
      <c r="C87" s="205" t="s">
        <v>255</v>
      </c>
      <c r="D87" s="354" t="s">
        <v>517</v>
      </c>
      <c r="E87" s="205" t="s">
        <v>34</v>
      </c>
      <c r="F87" s="207">
        <v>1</v>
      </c>
      <c r="G87" s="208">
        <f t="shared" si="115"/>
        <v>1188.50785</v>
      </c>
      <c r="H87" s="209">
        <f>I87*0.465</f>
        <v>1033.0021500000003</v>
      </c>
      <c r="I87" s="210">
        <v>2221.5100000000002</v>
      </c>
      <c r="J87" s="211">
        <f t="shared" si="116"/>
        <v>1430.25034669</v>
      </c>
      <c r="K87" s="212">
        <f t="shared" si="117"/>
        <v>1243.1147873100003</v>
      </c>
      <c r="L87" s="210">
        <f t="shared" si="118"/>
        <v>2673.3651340000006</v>
      </c>
      <c r="M87" s="208">
        <f t="shared" si="119"/>
        <v>1430.25</v>
      </c>
      <c r="N87" s="208">
        <f t="shared" si="120"/>
        <v>1243.1099999999999</v>
      </c>
      <c r="O87" s="210">
        <f t="shared" si="121"/>
        <v>2673.3599999999997</v>
      </c>
      <c r="P87" s="205" t="s">
        <v>9</v>
      </c>
      <c r="Q87" s="205">
        <v>98052</v>
      </c>
      <c r="R87" s="213">
        <v>46023</v>
      </c>
      <c r="S87" s="214"/>
    </row>
    <row r="88" spans="1:19" s="215" customFormat="1" ht="22.5">
      <c r="A88" s="204">
        <v>0.2034</v>
      </c>
      <c r="B88" s="315">
        <v>0.69289999999999996</v>
      </c>
      <c r="C88" s="205" t="s">
        <v>382</v>
      </c>
      <c r="D88" s="206" t="s">
        <v>374</v>
      </c>
      <c r="E88" s="205" t="s">
        <v>4</v>
      </c>
      <c r="F88" s="207">
        <v>1.8</v>
      </c>
      <c r="G88" s="208">
        <f t="shared" si="115"/>
        <v>0</v>
      </c>
      <c r="H88" s="209">
        <f t="shared" ref="H88" si="122">I88*1</f>
        <v>8.59</v>
      </c>
      <c r="I88" s="210">
        <v>8.59</v>
      </c>
      <c r="J88" s="211">
        <f t="shared" si="116"/>
        <v>0</v>
      </c>
      <c r="K88" s="212">
        <f t="shared" si="117"/>
        <v>10.337206</v>
      </c>
      <c r="L88" s="210">
        <f t="shared" si="118"/>
        <v>10.337206</v>
      </c>
      <c r="M88" s="208">
        <f t="shared" si="119"/>
        <v>0</v>
      </c>
      <c r="N88" s="208">
        <f t="shared" si="120"/>
        <v>18.600000000000001</v>
      </c>
      <c r="O88" s="210">
        <f t="shared" si="121"/>
        <v>18.600000000000001</v>
      </c>
      <c r="P88" s="205" t="s">
        <v>9</v>
      </c>
      <c r="Q88" s="205">
        <v>90443</v>
      </c>
      <c r="R88" s="213">
        <v>46023</v>
      </c>
      <c r="S88" s="214"/>
    </row>
    <row r="89" spans="1:19" s="215" customFormat="1" ht="22.5">
      <c r="A89" s="204">
        <v>0.2034</v>
      </c>
      <c r="B89" s="315">
        <v>0.69289999999999996</v>
      </c>
      <c r="C89" s="205" t="s">
        <v>256</v>
      </c>
      <c r="D89" s="206" t="s">
        <v>376</v>
      </c>
      <c r="E89" s="205" t="s">
        <v>4</v>
      </c>
      <c r="F89" s="207">
        <v>17.399999999999999</v>
      </c>
      <c r="G89" s="208">
        <f t="shared" si="115"/>
        <v>13.579515000000001</v>
      </c>
      <c r="H89" s="209">
        <f>I89*0.5635</f>
        <v>17.530484999999999</v>
      </c>
      <c r="I89" s="210">
        <v>31.11</v>
      </c>
      <c r="J89" s="211">
        <f t="shared" si="116"/>
        <v>16.341588351000002</v>
      </c>
      <c r="K89" s="212">
        <f t="shared" si="117"/>
        <v>21.096185648999999</v>
      </c>
      <c r="L89" s="210">
        <f t="shared" si="118"/>
        <v>37.437774000000005</v>
      </c>
      <c r="M89" s="208">
        <f t="shared" si="119"/>
        <v>284.33999999999997</v>
      </c>
      <c r="N89" s="208">
        <f t="shared" si="120"/>
        <v>367.07</v>
      </c>
      <c r="O89" s="210">
        <f t="shared" si="121"/>
        <v>651.41</v>
      </c>
      <c r="P89" s="205" t="s">
        <v>9</v>
      </c>
      <c r="Q89" s="205">
        <v>89712</v>
      </c>
      <c r="R89" s="213">
        <v>46023</v>
      </c>
      <c r="S89" s="214"/>
    </row>
    <row r="90" spans="1:19" s="215" customFormat="1" ht="22.5">
      <c r="A90" s="204">
        <v>0.2034</v>
      </c>
      <c r="B90" s="315">
        <v>0.69289999999999996</v>
      </c>
      <c r="C90" s="205" t="s">
        <v>257</v>
      </c>
      <c r="D90" s="206" t="s">
        <v>377</v>
      </c>
      <c r="E90" s="205" t="s">
        <v>4</v>
      </c>
      <c r="F90" s="207">
        <v>11</v>
      </c>
      <c r="G90" s="208">
        <f t="shared" si="115"/>
        <v>18.831188000000001</v>
      </c>
      <c r="H90" s="209">
        <f>I90*0.5652</f>
        <v>24.478812000000001</v>
      </c>
      <c r="I90" s="210">
        <v>43.31</v>
      </c>
      <c r="J90" s="211">
        <f t="shared" si="116"/>
        <v>22.661451639200003</v>
      </c>
      <c r="K90" s="212">
        <f t="shared" si="117"/>
        <v>29.457802360800002</v>
      </c>
      <c r="L90" s="210">
        <f t="shared" si="118"/>
        <v>52.119254000000005</v>
      </c>
      <c r="M90" s="208">
        <f t="shared" si="119"/>
        <v>249.27</v>
      </c>
      <c r="N90" s="208">
        <f t="shared" si="120"/>
        <v>324.02999999999997</v>
      </c>
      <c r="O90" s="210">
        <f t="shared" si="121"/>
        <v>573.29999999999995</v>
      </c>
      <c r="P90" s="205" t="s">
        <v>9</v>
      </c>
      <c r="Q90" s="205">
        <v>89714</v>
      </c>
      <c r="R90" s="213">
        <v>46023</v>
      </c>
      <c r="S90" s="214"/>
    </row>
    <row r="91" spans="1:19" s="215" customFormat="1" ht="22.5">
      <c r="A91" s="204">
        <v>0.2034</v>
      </c>
      <c r="B91" s="315">
        <v>0.69289999999999996</v>
      </c>
      <c r="C91" s="205" t="s">
        <v>258</v>
      </c>
      <c r="D91" s="206" t="s">
        <v>378</v>
      </c>
      <c r="E91" s="205" t="s">
        <v>34</v>
      </c>
      <c r="F91" s="207">
        <v>1</v>
      </c>
      <c r="G91" s="208">
        <f t="shared" si="115"/>
        <v>20.010170000000002</v>
      </c>
      <c r="H91" s="209">
        <f>I91*0.3465</f>
        <v>10.609829999999999</v>
      </c>
      <c r="I91" s="210">
        <v>30.62</v>
      </c>
      <c r="J91" s="211">
        <f t="shared" si="116"/>
        <v>24.080238578000003</v>
      </c>
      <c r="K91" s="212">
        <f t="shared" si="117"/>
        <v>12.767869421999999</v>
      </c>
      <c r="L91" s="210">
        <f t="shared" si="118"/>
        <v>36.848108000000003</v>
      </c>
      <c r="M91" s="208">
        <f t="shared" si="119"/>
        <v>24.08</v>
      </c>
      <c r="N91" s="208">
        <f t="shared" si="120"/>
        <v>12.76</v>
      </c>
      <c r="O91" s="210">
        <f t="shared" si="121"/>
        <v>36.839999999999996</v>
      </c>
      <c r="P91" s="205" t="s">
        <v>9</v>
      </c>
      <c r="Q91" s="205">
        <v>89744</v>
      </c>
      <c r="R91" s="213">
        <v>46023</v>
      </c>
      <c r="S91" s="214"/>
    </row>
    <row r="92" spans="1:19" s="215" customFormat="1" ht="22.5">
      <c r="A92" s="204">
        <v>0.2034</v>
      </c>
      <c r="B92" s="315">
        <v>0.69289999999999996</v>
      </c>
      <c r="C92" s="205" t="s">
        <v>459</v>
      </c>
      <c r="D92" s="206" t="s">
        <v>379</v>
      </c>
      <c r="E92" s="205" t="s">
        <v>34</v>
      </c>
      <c r="F92" s="207">
        <v>4</v>
      </c>
      <c r="G92" s="208">
        <f t="shared" si="115"/>
        <v>8.8306760000000004</v>
      </c>
      <c r="H92" s="209">
        <f>I92*0.4622</f>
        <v>7.5893240000000004</v>
      </c>
      <c r="I92" s="210">
        <v>16.420000000000002</v>
      </c>
      <c r="J92" s="211">
        <f t="shared" si="116"/>
        <v>10.6268354984</v>
      </c>
      <c r="K92" s="212">
        <f t="shared" si="117"/>
        <v>9.1329925016000004</v>
      </c>
      <c r="L92" s="210">
        <f t="shared" si="118"/>
        <v>19.759827999999999</v>
      </c>
      <c r="M92" s="208">
        <f t="shared" si="119"/>
        <v>42.5</v>
      </c>
      <c r="N92" s="208">
        <f t="shared" si="120"/>
        <v>36.53</v>
      </c>
      <c r="O92" s="210">
        <f t="shared" si="121"/>
        <v>79.03</v>
      </c>
      <c r="P92" s="205" t="s">
        <v>9</v>
      </c>
      <c r="Q92" s="205">
        <v>89731</v>
      </c>
      <c r="R92" s="213">
        <v>46023</v>
      </c>
      <c r="S92" s="214"/>
    </row>
    <row r="93" spans="1:19" s="215" customFormat="1" ht="33.75">
      <c r="A93" s="204">
        <v>0.2034</v>
      </c>
      <c r="B93" s="315">
        <v>0.69289999999999996</v>
      </c>
      <c r="C93" s="205" t="s">
        <v>460</v>
      </c>
      <c r="D93" s="206" t="s">
        <v>178</v>
      </c>
      <c r="E93" s="205" t="s">
        <v>34</v>
      </c>
      <c r="F93" s="207">
        <v>1</v>
      </c>
      <c r="G93" s="208">
        <f t="shared" si="115"/>
        <v>35.461447999999997</v>
      </c>
      <c r="H93" s="209">
        <f>I93*0.2652</f>
        <v>12.798551999999999</v>
      </c>
      <c r="I93" s="210">
        <v>48.26</v>
      </c>
      <c r="J93" s="211">
        <f t="shared" si="116"/>
        <v>42.674306523199995</v>
      </c>
      <c r="K93" s="212">
        <f t="shared" si="117"/>
        <v>15.4017774768</v>
      </c>
      <c r="L93" s="210">
        <f t="shared" si="118"/>
        <v>58.076083999999994</v>
      </c>
      <c r="M93" s="208">
        <f t="shared" si="119"/>
        <v>42.67</v>
      </c>
      <c r="N93" s="208">
        <f t="shared" si="120"/>
        <v>15.4</v>
      </c>
      <c r="O93" s="210">
        <f t="shared" si="121"/>
        <v>58.07</v>
      </c>
      <c r="P93" s="205" t="s">
        <v>9</v>
      </c>
      <c r="Q93" s="205">
        <v>104345</v>
      </c>
      <c r="R93" s="213">
        <v>46023</v>
      </c>
      <c r="S93" s="214"/>
    </row>
    <row r="94" spans="1:19" s="215" customFormat="1" ht="22.5">
      <c r="A94" s="204">
        <v>0.2034</v>
      </c>
      <c r="B94" s="315">
        <v>0.69289999999999996</v>
      </c>
      <c r="C94" s="205" t="s">
        <v>461</v>
      </c>
      <c r="D94" s="206" t="s">
        <v>380</v>
      </c>
      <c r="E94" s="205" t="s">
        <v>34</v>
      </c>
      <c r="F94" s="207">
        <v>2</v>
      </c>
      <c r="G94" s="208">
        <f t="shared" si="115"/>
        <v>5.6803859999999995</v>
      </c>
      <c r="H94" s="209">
        <f>I94*0.4711</f>
        <v>5.0596140000000007</v>
      </c>
      <c r="I94" s="210">
        <v>10.74</v>
      </c>
      <c r="J94" s="211">
        <f t="shared" si="116"/>
        <v>6.8357765123999998</v>
      </c>
      <c r="K94" s="212">
        <f t="shared" si="117"/>
        <v>6.0887394876000007</v>
      </c>
      <c r="L94" s="210">
        <f t="shared" si="118"/>
        <v>12.924516000000001</v>
      </c>
      <c r="M94" s="208">
        <f t="shared" si="119"/>
        <v>13.67</v>
      </c>
      <c r="N94" s="208">
        <f t="shared" si="120"/>
        <v>12.17</v>
      </c>
      <c r="O94" s="210">
        <f t="shared" si="121"/>
        <v>25.84</v>
      </c>
      <c r="P94" s="205" t="s">
        <v>9</v>
      </c>
      <c r="Q94" s="205">
        <v>89753</v>
      </c>
      <c r="R94" s="213">
        <v>46023</v>
      </c>
      <c r="S94" s="214"/>
    </row>
    <row r="95" spans="1:19" s="215" customFormat="1" ht="22.5">
      <c r="A95" s="204">
        <v>0.2034</v>
      </c>
      <c r="B95" s="315">
        <v>0.69289999999999996</v>
      </c>
      <c r="C95" s="205" t="s">
        <v>462</v>
      </c>
      <c r="D95" s="206" t="s">
        <v>381</v>
      </c>
      <c r="E95" s="205" t="s">
        <v>34</v>
      </c>
      <c r="F95" s="207">
        <v>2</v>
      </c>
      <c r="G95" s="208">
        <f t="shared" si="115"/>
        <v>13.699892</v>
      </c>
      <c r="H95" s="209">
        <f>I95*0.3404</f>
        <v>7.0701079999999994</v>
      </c>
      <c r="I95" s="210">
        <v>20.77</v>
      </c>
      <c r="J95" s="211">
        <f t="shared" si="116"/>
        <v>16.486450032800001</v>
      </c>
      <c r="K95" s="212">
        <f t="shared" si="117"/>
        <v>8.5081679671999986</v>
      </c>
      <c r="L95" s="210">
        <f t="shared" si="118"/>
        <v>24.994617999999999</v>
      </c>
      <c r="M95" s="208">
        <f t="shared" si="119"/>
        <v>32.97</v>
      </c>
      <c r="N95" s="208">
        <f t="shared" si="120"/>
        <v>17.010000000000002</v>
      </c>
      <c r="O95" s="210">
        <f t="shared" si="121"/>
        <v>49.980000000000004</v>
      </c>
      <c r="P95" s="205" t="s">
        <v>9</v>
      </c>
      <c r="Q95" s="205">
        <v>89778</v>
      </c>
      <c r="R95" s="213">
        <v>46023</v>
      </c>
      <c r="S95" s="214"/>
    </row>
    <row r="96" spans="1:19" s="222" customFormat="1">
      <c r="A96" s="216"/>
      <c r="B96" s="216"/>
      <c r="C96" s="216"/>
      <c r="D96" s="216"/>
      <c r="E96" s="216"/>
      <c r="F96" s="216"/>
      <c r="G96" s="217"/>
      <c r="H96" s="218"/>
      <c r="I96" s="219"/>
      <c r="J96" s="218"/>
      <c r="K96" s="218"/>
      <c r="L96" s="220" t="s">
        <v>314</v>
      </c>
      <c r="M96" s="219">
        <f t="shared" ref="M96:N96" si="123">SUM(M81:M95)</f>
        <v>6491.2500000000009</v>
      </c>
      <c r="N96" s="219">
        <f t="shared" si="123"/>
        <v>6007.7999999999993</v>
      </c>
      <c r="O96" s="219">
        <f>SUM(O81:O95)</f>
        <v>12499.05</v>
      </c>
      <c r="P96" s="216"/>
      <c r="Q96" s="216"/>
      <c r="R96" s="216"/>
      <c r="S96" s="221"/>
    </row>
    <row r="97" spans="1:19">
      <c r="A97" s="195"/>
      <c r="B97" s="195"/>
      <c r="C97" s="195">
        <v>10</v>
      </c>
      <c r="D97" s="196" t="s">
        <v>40</v>
      </c>
      <c r="E97" s="197"/>
      <c r="F97" s="197"/>
      <c r="G97" s="198"/>
      <c r="H97" s="199"/>
      <c r="I97" s="200"/>
      <c r="J97" s="199"/>
      <c r="K97" s="199"/>
      <c r="L97" s="199"/>
      <c r="M97" s="201"/>
      <c r="N97" s="202"/>
      <c r="O97" s="203"/>
      <c r="P97" s="197"/>
      <c r="Q97" s="197"/>
      <c r="R97" s="197"/>
    </row>
    <row r="98" spans="1:19" s="215" customFormat="1" ht="22.5">
      <c r="A98" s="204">
        <v>0.2034</v>
      </c>
      <c r="B98" s="315">
        <v>0.69289999999999996</v>
      </c>
      <c r="C98" s="205" t="s">
        <v>60</v>
      </c>
      <c r="D98" s="206" t="s">
        <v>374</v>
      </c>
      <c r="E98" s="205" t="s">
        <v>4</v>
      </c>
      <c r="F98" s="207">
        <v>9.65</v>
      </c>
      <c r="G98" s="208">
        <f t="shared" ref="G98:G116" si="124">I98-H98</f>
        <v>0</v>
      </c>
      <c r="H98" s="209">
        <f t="shared" ref="H98" si="125">I98*1</f>
        <v>8.59</v>
      </c>
      <c r="I98" s="210">
        <v>8.59</v>
      </c>
      <c r="J98" s="211">
        <f t="shared" ref="J98:J116" si="126">G98*(1+$C$6)</f>
        <v>0</v>
      </c>
      <c r="K98" s="212">
        <f t="shared" ref="K98:K116" si="127">H98*(1+$C$6)</f>
        <v>10.337206</v>
      </c>
      <c r="L98" s="210">
        <f t="shared" ref="L98:L116" si="128">J98+K98</f>
        <v>10.337206</v>
      </c>
      <c r="M98" s="208">
        <f t="shared" ref="M98:M116" si="129">TRUNC(J98*F98,2)</f>
        <v>0</v>
      </c>
      <c r="N98" s="208">
        <f t="shared" ref="N98:N116" si="130">TRUNC(K98*F98,2)</f>
        <v>99.75</v>
      </c>
      <c r="O98" s="210">
        <f t="shared" ref="O98:O116" si="131">M98+N98</f>
        <v>99.75</v>
      </c>
      <c r="P98" s="205" t="s">
        <v>9</v>
      </c>
      <c r="Q98" s="205">
        <v>90443</v>
      </c>
      <c r="R98" s="213">
        <v>46023</v>
      </c>
      <c r="S98" s="214"/>
    </row>
    <row r="99" spans="1:19" s="215" customFormat="1" ht="22.5">
      <c r="A99" s="204">
        <v>0.2034</v>
      </c>
      <c r="B99" s="315">
        <v>0.69289999999999996</v>
      </c>
      <c r="C99" s="205" t="s">
        <v>61</v>
      </c>
      <c r="D99" s="206" t="s">
        <v>383</v>
      </c>
      <c r="E99" s="205" t="s">
        <v>34</v>
      </c>
      <c r="F99" s="207">
        <v>1</v>
      </c>
      <c r="G99" s="208">
        <f t="shared" si="124"/>
        <v>172.274553</v>
      </c>
      <c r="H99" s="209">
        <f>I99*0.3229</f>
        <v>82.155447000000009</v>
      </c>
      <c r="I99" s="210">
        <v>254.43</v>
      </c>
      <c r="J99" s="211">
        <f t="shared" si="126"/>
        <v>207.31519708019999</v>
      </c>
      <c r="K99" s="212">
        <f t="shared" si="127"/>
        <v>98.865864919800018</v>
      </c>
      <c r="L99" s="210">
        <f t="shared" si="128"/>
        <v>306.181062</v>
      </c>
      <c r="M99" s="208">
        <f t="shared" si="129"/>
        <v>207.31</v>
      </c>
      <c r="N99" s="208">
        <f t="shared" si="130"/>
        <v>98.86</v>
      </c>
      <c r="O99" s="210">
        <f t="shared" si="131"/>
        <v>306.17</v>
      </c>
      <c r="P99" s="205" t="s">
        <v>9</v>
      </c>
      <c r="Q99" s="205">
        <v>95635</v>
      </c>
      <c r="R99" s="213">
        <v>46023</v>
      </c>
      <c r="S99" s="214"/>
    </row>
    <row r="100" spans="1:19" s="215" customFormat="1" ht="22.5">
      <c r="A100" s="204">
        <v>0.2034</v>
      </c>
      <c r="B100" s="315">
        <v>0.69289999999999996</v>
      </c>
      <c r="C100" s="205" t="s">
        <v>62</v>
      </c>
      <c r="D100" s="206" t="s">
        <v>384</v>
      </c>
      <c r="E100" s="205" t="s">
        <v>4</v>
      </c>
      <c r="F100" s="207">
        <v>70</v>
      </c>
      <c r="G100" s="208">
        <f t="shared" si="124"/>
        <v>5.5396160000000023</v>
      </c>
      <c r="H100" s="209">
        <f>I100*0.7908</f>
        <v>20.940383999999998</v>
      </c>
      <c r="I100" s="210">
        <v>26.48</v>
      </c>
      <c r="J100" s="211">
        <f t="shared" si="126"/>
        <v>6.6663738944000031</v>
      </c>
      <c r="K100" s="212">
        <f t="shared" si="127"/>
        <v>25.199658105599998</v>
      </c>
      <c r="L100" s="210">
        <f t="shared" si="128"/>
        <v>31.866032000000001</v>
      </c>
      <c r="M100" s="208">
        <f t="shared" si="129"/>
        <v>466.64</v>
      </c>
      <c r="N100" s="208">
        <f t="shared" si="130"/>
        <v>1763.97</v>
      </c>
      <c r="O100" s="210">
        <f t="shared" si="131"/>
        <v>2230.61</v>
      </c>
      <c r="P100" s="205" t="s">
        <v>9</v>
      </c>
      <c r="Q100" s="205">
        <v>89356</v>
      </c>
      <c r="R100" s="213">
        <v>46023</v>
      </c>
      <c r="S100" s="214"/>
    </row>
    <row r="101" spans="1:19" s="215" customFormat="1" ht="22.5">
      <c r="A101" s="204">
        <v>0.2034</v>
      </c>
      <c r="B101" s="315">
        <v>0.69289999999999996</v>
      </c>
      <c r="C101" s="205" t="s">
        <v>63</v>
      </c>
      <c r="D101" s="206" t="s">
        <v>385</v>
      </c>
      <c r="E101" s="205" t="s">
        <v>4</v>
      </c>
      <c r="F101" s="207">
        <v>120</v>
      </c>
      <c r="G101" s="208">
        <f t="shared" si="124"/>
        <v>11.303712000000001</v>
      </c>
      <c r="H101" s="209">
        <f>I101*0.6796</f>
        <v>23.976288</v>
      </c>
      <c r="I101" s="210">
        <v>35.28</v>
      </c>
      <c r="J101" s="211">
        <f t="shared" si="126"/>
        <v>13.602887020800001</v>
      </c>
      <c r="K101" s="212">
        <f t="shared" si="127"/>
        <v>28.853064979200003</v>
      </c>
      <c r="L101" s="210">
        <f t="shared" si="128"/>
        <v>42.455952000000003</v>
      </c>
      <c r="M101" s="208">
        <f t="shared" si="129"/>
        <v>1632.34</v>
      </c>
      <c r="N101" s="208">
        <f t="shared" si="130"/>
        <v>3462.36</v>
      </c>
      <c r="O101" s="210">
        <f t="shared" si="131"/>
        <v>5094.7</v>
      </c>
      <c r="P101" s="205" t="s">
        <v>9</v>
      </c>
      <c r="Q101" s="205">
        <v>89357</v>
      </c>
      <c r="R101" s="213">
        <v>46023</v>
      </c>
      <c r="S101" s="214"/>
    </row>
    <row r="102" spans="1:19" s="215" customFormat="1" ht="22.5">
      <c r="A102" s="204">
        <v>0.2034</v>
      </c>
      <c r="B102" s="315">
        <v>0.69289999999999996</v>
      </c>
      <c r="C102" s="205" t="s">
        <v>64</v>
      </c>
      <c r="D102" s="206" t="s">
        <v>386</v>
      </c>
      <c r="E102" s="205" t="s">
        <v>34</v>
      </c>
      <c r="F102" s="207">
        <v>5</v>
      </c>
      <c r="G102" s="208">
        <f t="shared" si="124"/>
        <v>2.3100839999999998</v>
      </c>
      <c r="H102" s="209">
        <f>I102*0.7837</f>
        <v>8.3699159999999999</v>
      </c>
      <c r="I102" s="210">
        <v>10.68</v>
      </c>
      <c r="J102" s="211">
        <f t="shared" si="126"/>
        <v>2.7799550855999997</v>
      </c>
      <c r="K102" s="212">
        <f t="shared" si="127"/>
        <v>10.0723569144</v>
      </c>
      <c r="L102" s="210">
        <f t="shared" si="128"/>
        <v>12.852312</v>
      </c>
      <c r="M102" s="208">
        <f t="shared" si="129"/>
        <v>13.89</v>
      </c>
      <c r="N102" s="208">
        <f t="shared" si="130"/>
        <v>50.36</v>
      </c>
      <c r="O102" s="210">
        <f t="shared" si="131"/>
        <v>64.25</v>
      </c>
      <c r="P102" s="205" t="s">
        <v>9</v>
      </c>
      <c r="Q102" s="205">
        <v>89362</v>
      </c>
      <c r="R102" s="213">
        <v>46023</v>
      </c>
      <c r="S102" s="214"/>
    </row>
    <row r="103" spans="1:19" s="215" customFormat="1" ht="22.5">
      <c r="A103" s="204">
        <v>0.2034</v>
      </c>
      <c r="B103" s="315">
        <v>0.69289999999999996</v>
      </c>
      <c r="C103" s="205" t="s">
        <v>391</v>
      </c>
      <c r="D103" s="206" t="s">
        <v>387</v>
      </c>
      <c r="E103" s="205" t="s">
        <v>34</v>
      </c>
      <c r="F103" s="207">
        <v>1</v>
      </c>
      <c r="G103" s="208">
        <f t="shared" si="124"/>
        <v>15.799623</v>
      </c>
      <c r="H103" s="209">
        <f>I103*0.3181</f>
        <v>7.3703770000000004</v>
      </c>
      <c r="I103" s="210">
        <v>23.17</v>
      </c>
      <c r="J103" s="211">
        <f t="shared" si="126"/>
        <v>19.013266318199999</v>
      </c>
      <c r="K103" s="212">
        <f t="shared" si="127"/>
        <v>8.8695116818000006</v>
      </c>
      <c r="L103" s="210">
        <f t="shared" si="128"/>
        <v>27.882778000000002</v>
      </c>
      <c r="M103" s="208">
        <f t="shared" si="129"/>
        <v>19.010000000000002</v>
      </c>
      <c r="N103" s="208">
        <f t="shared" si="130"/>
        <v>8.86</v>
      </c>
      <c r="O103" s="210">
        <f t="shared" si="131"/>
        <v>27.87</v>
      </c>
      <c r="P103" s="205" t="s">
        <v>9</v>
      </c>
      <c r="Q103" s="205">
        <v>94703</v>
      </c>
      <c r="R103" s="213">
        <v>46023</v>
      </c>
      <c r="S103" s="214"/>
    </row>
    <row r="104" spans="1:19" s="215" customFormat="1" ht="22.5">
      <c r="A104" s="204">
        <v>0.2034</v>
      </c>
      <c r="B104" s="315">
        <v>0.69289999999999996</v>
      </c>
      <c r="C104" s="205" t="s">
        <v>463</v>
      </c>
      <c r="D104" s="206" t="s">
        <v>388</v>
      </c>
      <c r="E104" s="205" t="s">
        <v>34</v>
      </c>
      <c r="F104" s="207">
        <v>4</v>
      </c>
      <c r="G104" s="208">
        <f t="shared" si="124"/>
        <v>11.119284</v>
      </c>
      <c r="H104" s="209">
        <f>I104*0.4123</f>
        <v>7.8007160000000004</v>
      </c>
      <c r="I104" s="210">
        <v>18.920000000000002</v>
      </c>
      <c r="J104" s="211">
        <f t="shared" si="126"/>
        <v>13.380946365600002</v>
      </c>
      <c r="K104" s="212">
        <f t="shared" si="127"/>
        <v>9.3873816344000005</v>
      </c>
      <c r="L104" s="210">
        <f t="shared" si="128"/>
        <v>22.768328000000004</v>
      </c>
      <c r="M104" s="208">
        <f t="shared" si="129"/>
        <v>53.52</v>
      </c>
      <c r="N104" s="208">
        <f t="shared" si="130"/>
        <v>37.54</v>
      </c>
      <c r="O104" s="210">
        <f t="shared" si="131"/>
        <v>91.06</v>
      </c>
      <c r="P104" s="205" t="s">
        <v>9</v>
      </c>
      <c r="Q104" s="205">
        <v>89366</v>
      </c>
      <c r="R104" s="213">
        <v>46023</v>
      </c>
      <c r="S104" s="214"/>
    </row>
    <row r="105" spans="1:19" s="215" customFormat="1" ht="22.5">
      <c r="A105" s="204">
        <v>0.2034</v>
      </c>
      <c r="B105" s="315">
        <v>0.69289999999999996</v>
      </c>
      <c r="C105" s="205" t="s">
        <v>464</v>
      </c>
      <c r="D105" s="206" t="s">
        <v>389</v>
      </c>
      <c r="E105" s="205" t="s">
        <v>34</v>
      </c>
      <c r="F105" s="207">
        <v>1</v>
      </c>
      <c r="G105" s="208">
        <f t="shared" si="124"/>
        <v>15.348761999999999</v>
      </c>
      <c r="H105" s="209">
        <f>I105*0.4037</f>
        <v>10.391238</v>
      </c>
      <c r="I105" s="210">
        <v>25.74</v>
      </c>
      <c r="J105" s="211">
        <f t="shared" si="126"/>
        <v>18.470700190799999</v>
      </c>
      <c r="K105" s="212">
        <f t="shared" si="127"/>
        <v>12.5048158092</v>
      </c>
      <c r="L105" s="210">
        <f t="shared" si="128"/>
        <v>30.975515999999999</v>
      </c>
      <c r="M105" s="208">
        <f t="shared" si="129"/>
        <v>18.47</v>
      </c>
      <c r="N105" s="208">
        <f t="shared" si="130"/>
        <v>12.5</v>
      </c>
      <c r="O105" s="210">
        <f t="shared" si="131"/>
        <v>30.97</v>
      </c>
      <c r="P105" s="205" t="s">
        <v>9</v>
      </c>
      <c r="Q105" s="205">
        <v>90374</v>
      </c>
      <c r="R105" s="213">
        <v>46023</v>
      </c>
      <c r="S105" s="214"/>
    </row>
    <row r="106" spans="1:19" s="215" customFormat="1" ht="22.5">
      <c r="A106" s="204">
        <v>0.2034</v>
      </c>
      <c r="B106" s="315">
        <v>0.69289999999999996</v>
      </c>
      <c r="C106" s="205" t="s">
        <v>465</v>
      </c>
      <c r="D106" s="206" t="s">
        <v>179</v>
      </c>
      <c r="E106" s="205" t="s">
        <v>34</v>
      </c>
      <c r="F106" s="207">
        <v>3</v>
      </c>
      <c r="G106" s="208">
        <f t="shared" si="124"/>
        <v>110.48886899999999</v>
      </c>
      <c r="H106" s="209">
        <f>I106*0.0993</f>
        <v>12.181131000000001</v>
      </c>
      <c r="I106" s="210">
        <v>122.67</v>
      </c>
      <c r="J106" s="211">
        <f t="shared" si="126"/>
        <v>132.9623049546</v>
      </c>
      <c r="K106" s="212">
        <f t="shared" si="127"/>
        <v>14.6587730454</v>
      </c>
      <c r="L106" s="210">
        <f t="shared" si="128"/>
        <v>147.62107800000001</v>
      </c>
      <c r="M106" s="208">
        <f t="shared" si="129"/>
        <v>398.88</v>
      </c>
      <c r="N106" s="208">
        <f t="shared" si="130"/>
        <v>43.97</v>
      </c>
      <c r="O106" s="210">
        <f t="shared" si="131"/>
        <v>442.85</v>
      </c>
      <c r="P106" s="205" t="s">
        <v>9</v>
      </c>
      <c r="Q106" s="205">
        <v>89987</v>
      </c>
      <c r="R106" s="213">
        <v>46023</v>
      </c>
      <c r="S106" s="214"/>
    </row>
    <row r="107" spans="1:19" s="215" customFormat="1" ht="22.5">
      <c r="A107" s="204">
        <v>0.2034</v>
      </c>
      <c r="B107" s="315">
        <v>0.69289999999999996</v>
      </c>
      <c r="C107" s="205" t="s">
        <v>466</v>
      </c>
      <c r="D107" s="346" t="s">
        <v>143</v>
      </c>
      <c r="E107" s="205" t="s">
        <v>34</v>
      </c>
      <c r="F107" s="207">
        <v>1</v>
      </c>
      <c r="G107" s="208">
        <f t="shared" si="124"/>
        <v>53.476956000000001</v>
      </c>
      <c r="H107" s="209">
        <f>I107*0.1639</f>
        <v>10.483044</v>
      </c>
      <c r="I107" s="210">
        <v>63.96</v>
      </c>
      <c r="J107" s="211">
        <f t="shared" si="126"/>
        <v>64.354168850400001</v>
      </c>
      <c r="K107" s="212">
        <f t="shared" si="127"/>
        <v>12.6152951496</v>
      </c>
      <c r="L107" s="210">
        <f t="shared" si="128"/>
        <v>76.969464000000002</v>
      </c>
      <c r="M107" s="208">
        <f t="shared" si="129"/>
        <v>64.349999999999994</v>
      </c>
      <c r="N107" s="208">
        <f t="shared" si="130"/>
        <v>12.61</v>
      </c>
      <c r="O107" s="210">
        <f t="shared" si="131"/>
        <v>76.959999999999994</v>
      </c>
      <c r="P107" s="205" t="s">
        <v>9</v>
      </c>
      <c r="Q107" s="205">
        <v>94796</v>
      </c>
      <c r="R107" s="213">
        <v>46023</v>
      </c>
      <c r="S107" s="214"/>
    </row>
    <row r="108" spans="1:19" s="215" customFormat="1">
      <c r="A108" s="204">
        <v>0.2034</v>
      </c>
      <c r="B108" s="315">
        <v>0.69289999999999996</v>
      </c>
      <c r="C108" s="205" t="s">
        <v>467</v>
      </c>
      <c r="D108" s="206" t="s">
        <v>390</v>
      </c>
      <c r="E108" s="205" t="s">
        <v>34</v>
      </c>
      <c r="F108" s="207">
        <v>1</v>
      </c>
      <c r="G108" s="208">
        <f t="shared" si="124"/>
        <v>279.11652999999995</v>
      </c>
      <c r="H108" s="209">
        <f>I108*0.0203</f>
        <v>5.7834699999999994</v>
      </c>
      <c r="I108" s="210">
        <v>284.89999999999998</v>
      </c>
      <c r="J108" s="211">
        <f t="shared" si="126"/>
        <v>335.88883220199995</v>
      </c>
      <c r="K108" s="212">
        <f t="shared" si="127"/>
        <v>6.9598277979999992</v>
      </c>
      <c r="L108" s="210">
        <f t="shared" si="128"/>
        <v>342.84865999999994</v>
      </c>
      <c r="M108" s="208">
        <f t="shared" si="129"/>
        <v>335.88</v>
      </c>
      <c r="N108" s="208">
        <f t="shared" si="130"/>
        <v>6.95</v>
      </c>
      <c r="O108" s="210">
        <f t="shared" si="131"/>
        <v>342.83</v>
      </c>
      <c r="P108" s="205" t="s">
        <v>9</v>
      </c>
      <c r="Q108" s="205">
        <v>102605</v>
      </c>
      <c r="R108" s="213">
        <v>46023</v>
      </c>
      <c r="S108" s="214"/>
    </row>
    <row r="109" spans="1:19" s="222" customFormat="1">
      <c r="A109" s="216"/>
      <c r="B109" s="216"/>
      <c r="C109" s="216"/>
      <c r="D109" s="216"/>
      <c r="E109" s="216"/>
      <c r="F109" s="216"/>
      <c r="G109" s="217"/>
      <c r="H109" s="218"/>
      <c r="I109" s="219"/>
      <c r="J109" s="218"/>
      <c r="K109" s="218"/>
      <c r="L109" s="220" t="s">
        <v>314</v>
      </c>
      <c r="M109" s="219">
        <f t="shared" ref="M109:N109" si="132">SUM(M98:M108)</f>
        <v>3210.29</v>
      </c>
      <c r="N109" s="219">
        <f t="shared" si="132"/>
        <v>5597.73</v>
      </c>
      <c r="O109" s="219">
        <f>SUM(O98:O108)</f>
        <v>8808.0199999999986</v>
      </c>
      <c r="P109" s="216"/>
      <c r="Q109" s="216"/>
      <c r="R109" s="216"/>
      <c r="S109" s="221"/>
    </row>
    <row r="110" spans="1:19">
      <c r="A110" s="195"/>
      <c r="B110" s="195"/>
      <c r="C110" s="195">
        <v>11</v>
      </c>
      <c r="D110" s="196" t="s">
        <v>137</v>
      </c>
      <c r="E110" s="197"/>
      <c r="F110" s="197"/>
      <c r="G110" s="198"/>
      <c r="H110" s="199"/>
      <c r="I110" s="200"/>
      <c r="J110" s="199"/>
      <c r="K110" s="199"/>
      <c r="L110" s="199"/>
      <c r="M110" s="201"/>
      <c r="N110" s="202"/>
      <c r="O110" s="203"/>
      <c r="P110" s="197"/>
      <c r="Q110" s="197"/>
      <c r="R110" s="197"/>
    </row>
    <row r="111" spans="1:19" s="215" customFormat="1" ht="22.5">
      <c r="A111" s="204">
        <v>0.2034</v>
      </c>
      <c r="B111" s="315">
        <v>0.69289999999999996</v>
      </c>
      <c r="C111" s="205" t="s">
        <v>56</v>
      </c>
      <c r="D111" s="206" t="s">
        <v>41</v>
      </c>
      <c r="E111" s="205" t="s">
        <v>34</v>
      </c>
      <c r="F111" s="207">
        <v>1</v>
      </c>
      <c r="G111" s="208">
        <f t="shared" si="124"/>
        <v>531.46011899999996</v>
      </c>
      <c r="H111" s="209">
        <f>I111*0.0691</f>
        <v>39.449880999999998</v>
      </c>
      <c r="I111" s="210">
        <v>570.91</v>
      </c>
      <c r="J111" s="211">
        <f t="shared" si="126"/>
        <v>639.55910720459997</v>
      </c>
      <c r="K111" s="212">
        <f t="shared" si="127"/>
        <v>47.473986795399995</v>
      </c>
      <c r="L111" s="210">
        <f t="shared" si="128"/>
        <v>687.03309400000001</v>
      </c>
      <c r="M111" s="208">
        <f t="shared" si="129"/>
        <v>639.54999999999995</v>
      </c>
      <c r="N111" s="208">
        <f t="shared" si="130"/>
        <v>47.47</v>
      </c>
      <c r="O111" s="210">
        <f t="shared" si="131"/>
        <v>687.02</v>
      </c>
      <c r="P111" s="205" t="s">
        <v>9</v>
      </c>
      <c r="Q111" s="205">
        <v>86931</v>
      </c>
      <c r="R111" s="213">
        <v>46023</v>
      </c>
      <c r="S111" s="214"/>
    </row>
    <row r="112" spans="1:19" s="215" customFormat="1">
      <c r="A112" s="204">
        <v>0.2034</v>
      </c>
      <c r="B112" s="315">
        <v>0.69289999999999996</v>
      </c>
      <c r="C112" s="205" t="s">
        <v>57</v>
      </c>
      <c r="D112" s="206" t="s">
        <v>42</v>
      </c>
      <c r="E112" s="205" t="s">
        <v>34</v>
      </c>
      <c r="F112" s="207">
        <v>1</v>
      </c>
      <c r="G112" s="208">
        <f t="shared" si="124"/>
        <v>33.648864000000003</v>
      </c>
      <c r="H112" s="209">
        <f>I112*0.1451</f>
        <v>5.7111359999999998</v>
      </c>
      <c r="I112" s="210">
        <v>39.36</v>
      </c>
      <c r="J112" s="211">
        <f t="shared" si="126"/>
        <v>40.493042937600002</v>
      </c>
      <c r="K112" s="212">
        <f t="shared" si="127"/>
        <v>6.8727810623999996</v>
      </c>
      <c r="L112" s="210">
        <f t="shared" si="128"/>
        <v>47.365824000000003</v>
      </c>
      <c r="M112" s="208">
        <f t="shared" si="129"/>
        <v>40.49</v>
      </c>
      <c r="N112" s="208">
        <f t="shared" si="130"/>
        <v>6.87</v>
      </c>
      <c r="O112" s="210">
        <f t="shared" si="131"/>
        <v>47.36</v>
      </c>
      <c r="P112" s="205" t="s">
        <v>9</v>
      </c>
      <c r="Q112" s="205">
        <v>100849</v>
      </c>
      <c r="R112" s="213">
        <v>46023</v>
      </c>
      <c r="S112" s="214"/>
    </row>
    <row r="113" spans="1:19" s="215" customFormat="1" ht="23.25">
      <c r="A113" s="204">
        <v>0.2034</v>
      </c>
      <c r="B113" s="315">
        <v>0.69289999999999996</v>
      </c>
      <c r="C113" s="205" t="s">
        <v>58</v>
      </c>
      <c r="D113" s="354" t="s">
        <v>515</v>
      </c>
      <c r="E113" s="205" t="s">
        <v>34</v>
      </c>
      <c r="F113" s="207">
        <v>2</v>
      </c>
      <c r="G113" s="208">
        <f t="shared" si="124"/>
        <v>94.83714999999998</v>
      </c>
      <c r="H113" s="209">
        <f>I113*0.273</f>
        <v>35.612850000000002</v>
      </c>
      <c r="I113" s="210">
        <v>130.44999999999999</v>
      </c>
      <c r="J113" s="211">
        <f t="shared" si="126"/>
        <v>114.12702630999998</v>
      </c>
      <c r="K113" s="212">
        <f t="shared" si="127"/>
        <v>42.856503690000004</v>
      </c>
      <c r="L113" s="210">
        <f t="shared" si="128"/>
        <v>156.98352999999997</v>
      </c>
      <c r="M113" s="208">
        <f t="shared" si="129"/>
        <v>228.25</v>
      </c>
      <c r="N113" s="208">
        <f t="shared" si="130"/>
        <v>85.71</v>
      </c>
      <c r="O113" s="210">
        <f t="shared" si="131"/>
        <v>313.95999999999998</v>
      </c>
      <c r="P113" s="205" t="s">
        <v>9</v>
      </c>
      <c r="Q113" s="205">
        <v>86915</v>
      </c>
      <c r="R113" s="213">
        <v>46023</v>
      </c>
      <c r="S113" s="214"/>
    </row>
    <row r="114" spans="1:19" s="215" customFormat="1">
      <c r="A114" s="204">
        <v>0.2034</v>
      </c>
      <c r="B114" s="315">
        <v>0.69289999999999996</v>
      </c>
      <c r="C114" s="205" t="s">
        <v>59</v>
      </c>
      <c r="D114" s="354" t="s">
        <v>514</v>
      </c>
      <c r="E114" s="205" t="s">
        <v>34</v>
      </c>
      <c r="F114" s="207">
        <v>5</v>
      </c>
      <c r="G114" s="208">
        <f t="shared" si="124"/>
        <v>24.640308000000001</v>
      </c>
      <c r="H114" s="209">
        <f>I114*0.02221</f>
        <v>0.55969199999999997</v>
      </c>
      <c r="I114" s="210">
        <v>25.2</v>
      </c>
      <c r="J114" s="211">
        <f>G114*(1+$C$6)</f>
        <v>29.652146647200002</v>
      </c>
      <c r="K114" s="212">
        <f>H114*(1+$C$6)</f>
        <v>0.67353335279999993</v>
      </c>
      <c r="L114" s="210">
        <f>J114+K114</f>
        <v>30.325680000000002</v>
      </c>
      <c r="M114" s="208">
        <f>TRUNC(J114*F114,2)</f>
        <v>148.26</v>
      </c>
      <c r="N114" s="208">
        <f>TRUNC(K114*F114,2)</f>
        <v>3.36</v>
      </c>
      <c r="O114" s="210">
        <f>M114+N114</f>
        <v>151.62</v>
      </c>
      <c r="P114" s="205" t="s">
        <v>9</v>
      </c>
      <c r="Q114" s="223" t="s">
        <v>513</v>
      </c>
      <c r="R114" s="213">
        <v>46023</v>
      </c>
      <c r="S114" s="214"/>
    </row>
    <row r="115" spans="1:19" s="215" customFormat="1" ht="23.25">
      <c r="A115" s="204">
        <v>0.2034</v>
      </c>
      <c r="B115" s="315">
        <v>0.69289999999999996</v>
      </c>
      <c r="C115" s="205" t="s">
        <v>468</v>
      </c>
      <c r="D115" s="354" t="s">
        <v>516</v>
      </c>
      <c r="E115" s="205" t="s">
        <v>34</v>
      </c>
      <c r="F115" s="207">
        <v>1</v>
      </c>
      <c r="G115" s="208">
        <f t="shared" si="124"/>
        <v>391.41840000000002</v>
      </c>
      <c r="H115" s="209">
        <f>I115*0.07</f>
        <v>29.461600000000004</v>
      </c>
      <c r="I115" s="210">
        <v>420.88</v>
      </c>
      <c r="J115" s="211">
        <f t="shared" si="126"/>
        <v>471.03290256000003</v>
      </c>
      <c r="K115" s="212">
        <f t="shared" si="127"/>
        <v>35.454089440000004</v>
      </c>
      <c r="L115" s="210">
        <f t="shared" si="128"/>
        <v>506.48699200000004</v>
      </c>
      <c r="M115" s="208">
        <f t="shared" si="129"/>
        <v>471.03</v>
      </c>
      <c r="N115" s="208">
        <f t="shared" si="130"/>
        <v>35.450000000000003</v>
      </c>
      <c r="O115" s="210">
        <f t="shared" si="131"/>
        <v>506.47999999999996</v>
      </c>
      <c r="P115" s="205" t="s">
        <v>9</v>
      </c>
      <c r="Q115" s="205">
        <v>86928</v>
      </c>
      <c r="R115" s="213">
        <v>46023</v>
      </c>
      <c r="S115" s="214"/>
    </row>
    <row r="116" spans="1:19" s="215" customFormat="1" ht="33.75">
      <c r="A116" s="204">
        <v>0.2034</v>
      </c>
      <c r="B116" s="315">
        <v>0.69289999999999996</v>
      </c>
      <c r="C116" s="205" t="s">
        <v>469</v>
      </c>
      <c r="D116" s="206" t="s">
        <v>171</v>
      </c>
      <c r="E116" s="205" t="s">
        <v>34</v>
      </c>
      <c r="F116" s="207">
        <v>1</v>
      </c>
      <c r="G116" s="208">
        <f t="shared" si="124"/>
        <v>296.25321599999995</v>
      </c>
      <c r="H116" s="209">
        <f>I116*0.1003</f>
        <v>33.026783999999999</v>
      </c>
      <c r="I116" s="210">
        <v>329.28</v>
      </c>
      <c r="J116" s="211">
        <f t="shared" si="126"/>
        <v>356.51112013439996</v>
      </c>
      <c r="K116" s="212">
        <f t="shared" si="127"/>
        <v>39.744431865599999</v>
      </c>
      <c r="L116" s="210">
        <f t="shared" si="128"/>
        <v>396.25555199999997</v>
      </c>
      <c r="M116" s="208">
        <f t="shared" si="129"/>
        <v>356.51</v>
      </c>
      <c r="N116" s="208">
        <f t="shared" si="130"/>
        <v>39.74</v>
      </c>
      <c r="O116" s="210">
        <f t="shared" si="131"/>
        <v>396.25</v>
      </c>
      <c r="P116" s="205" t="s">
        <v>9</v>
      </c>
      <c r="Q116" s="205">
        <v>86943</v>
      </c>
      <c r="R116" s="213">
        <v>46023</v>
      </c>
      <c r="S116" s="214"/>
    </row>
    <row r="117" spans="1:19" s="222" customFormat="1">
      <c r="A117" s="216"/>
      <c r="B117" s="216"/>
      <c r="C117" s="216"/>
      <c r="D117" s="216"/>
      <c r="E117" s="216"/>
      <c r="F117" s="216"/>
      <c r="G117" s="217"/>
      <c r="H117" s="218"/>
      <c r="I117" s="219"/>
      <c r="J117" s="218"/>
      <c r="K117" s="218"/>
      <c r="L117" s="220" t="s">
        <v>314</v>
      </c>
      <c r="M117" s="219">
        <f t="shared" ref="M117:N117" si="133">SUM(M111:M116)</f>
        <v>1884.09</v>
      </c>
      <c r="N117" s="219">
        <f t="shared" si="133"/>
        <v>218.60000000000002</v>
      </c>
      <c r="O117" s="219">
        <f>SUM(O111:O116)</f>
        <v>2102.69</v>
      </c>
      <c r="P117" s="216"/>
      <c r="Q117" s="216"/>
      <c r="R117" s="216"/>
      <c r="S117" s="221"/>
    </row>
    <row r="118" spans="1:19">
      <c r="A118" s="195"/>
      <c r="B118" s="195"/>
      <c r="C118" s="195">
        <v>12</v>
      </c>
      <c r="D118" s="196" t="s">
        <v>22</v>
      </c>
      <c r="E118" s="197"/>
      <c r="F118" s="197"/>
      <c r="G118" s="198"/>
      <c r="H118" s="199"/>
      <c r="I118" s="200"/>
      <c r="J118" s="199"/>
      <c r="K118" s="199"/>
      <c r="L118" s="199"/>
      <c r="M118" s="201"/>
      <c r="N118" s="202"/>
      <c r="O118" s="203"/>
      <c r="P118" s="197"/>
      <c r="Q118" s="197"/>
      <c r="R118" s="197"/>
    </row>
    <row r="119" spans="1:19" s="215" customFormat="1" ht="33.75">
      <c r="A119" s="204">
        <v>0.2034</v>
      </c>
      <c r="B119" s="315">
        <v>0.69289999999999996</v>
      </c>
      <c r="C119" s="205" t="s">
        <v>54</v>
      </c>
      <c r="D119" s="346" t="s">
        <v>392</v>
      </c>
      <c r="E119" s="205" t="s">
        <v>5</v>
      </c>
      <c r="F119" s="207">
        <v>54.32</v>
      </c>
      <c r="G119" s="208">
        <f t="shared" ref="G119:G154" si="134">I119-H119</f>
        <v>26.6614</v>
      </c>
      <c r="H119" s="209">
        <f>I119*0.3885</f>
        <v>16.938600000000001</v>
      </c>
      <c r="I119" s="210">
        <v>43.6</v>
      </c>
      <c r="J119" s="211">
        <f t="shared" ref="J119:J158" si="135">G119*(1+$C$6)</f>
        <v>32.084328759999998</v>
      </c>
      <c r="K119" s="212">
        <f t="shared" ref="K119:K158" si="136">H119*(1+$C$6)</f>
        <v>20.383911240000003</v>
      </c>
      <c r="L119" s="210">
        <f t="shared" ref="L119:L158" si="137">J119+K119</f>
        <v>52.468240000000002</v>
      </c>
      <c r="M119" s="208">
        <f t="shared" ref="M119:M158" si="138">TRUNC(J119*F119,2)</f>
        <v>1742.82</v>
      </c>
      <c r="N119" s="208">
        <f t="shared" ref="N119:N158" si="139">TRUNC(K119*F119,2)</f>
        <v>1107.25</v>
      </c>
      <c r="O119" s="210">
        <f t="shared" ref="O119:O158" si="140">M119+N119</f>
        <v>2850.0699999999997</v>
      </c>
      <c r="P119" s="205" t="s">
        <v>9</v>
      </c>
      <c r="Q119" s="205">
        <v>87630</v>
      </c>
      <c r="R119" s="213">
        <v>46023</v>
      </c>
      <c r="S119" s="214"/>
    </row>
    <row r="120" spans="1:19" s="215" customFormat="1" ht="22.5">
      <c r="A120" s="204">
        <v>0.2034</v>
      </c>
      <c r="B120" s="315">
        <v>0.69289999999999996</v>
      </c>
      <c r="C120" s="205" t="s">
        <v>155</v>
      </c>
      <c r="D120" s="206" t="s">
        <v>164</v>
      </c>
      <c r="E120" s="205" t="s">
        <v>5</v>
      </c>
      <c r="F120" s="207">
        <v>54.32</v>
      </c>
      <c r="G120" s="208">
        <f t="shared" si="134"/>
        <v>55.897569000000004</v>
      </c>
      <c r="H120" s="209">
        <f>I120*0.1747</f>
        <v>11.832431</v>
      </c>
      <c r="I120" s="210">
        <v>67.73</v>
      </c>
      <c r="J120" s="211">
        <f t="shared" si="135"/>
        <v>67.267134534600004</v>
      </c>
      <c r="K120" s="212">
        <f t="shared" si="136"/>
        <v>14.2391474654</v>
      </c>
      <c r="L120" s="210">
        <f t="shared" si="137"/>
        <v>81.506281999999999</v>
      </c>
      <c r="M120" s="208">
        <f t="shared" si="138"/>
        <v>3653.95</v>
      </c>
      <c r="N120" s="208">
        <f t="shared" si="139"/>
        <v>773.47</v>
      </c>
      <c r="O120" s="210">
        <f t="shared" si="140"/>
        <v>4427.42</v>
      </c>
      <c r="P120" s="205" t="s">
        <v>9</v>
      </c>
      <c r="Q120" s="205">
        <v>87257</v>
      </c>
      <c r="R120" s="213">
        <v>46023</v>
      </c>
      <c r="S120" s="214"/>
    </row>
    <row r="121" spans="1:19" s="215" customFormat="1" ht="22.5">
      <c r="A121" s="204">
        <v>0.2034</v>
      </c>
      <c r="B121" s="315">
        <v>0.69289999999999996</v>
      </c>
      <c r="C121" s="205" t="s">
        <v>55</v>
      </c>
      <c r="D121" s="206" t="s">
        <v>393</v>
      </c>
      <c r="E121" s="205" t="s">
        <v>4</v>
      </c>
      <c r="F121" s="207">
        <v>39.549999999999997</v>
      </c>
      <c r="G121" s="208">
        <f t="shared" si="134"/>
        <v>9.4195200000000003</v>
      </c>
      <c r="H121" s="209">
        <f>I121*0.2641</f>
        <v>3.3804800000000004</v>
      </c>
      <c r="I121" s="210">
        <v>12.8</v>
      </c>
      <c r="J121" s="211">
        <f t="shared" si="135"/>
        <v>11.335450368</v>
      </c>
      <c r="K121" s="212">
        <f t="shared" si="136"/>
        <v>4.0680696320000003</v>
      </c>
      <c r="L121" s="210">
        <f t="shared" si="137"/>
        <v>15.40352</v>
      </c>
      <c r="M121" s="208">
        <f t="shared" si="138"/>
        <v>448.31</v>
      </c>
      <c r="N121" s="208">
        <f t="shared" si="139"/>
        <v>160.88999999999999</v>
      </c>
      <c r="O121" s="210">
        <f t="shared" si="140"/>
        <v>609.20000000000005</v>
      </c>
      <c r="P121" s="205" t="s">
        <v>9</v>
      </c>
      <c r="Q121" s="205">
        <v>88650</v>
      </c>
      <c r="R121" s="213">
        <v>46023</v>
      </c>
      <c r="S121" s="214"/>
    </row>
    <row r="122" spans="1:19" s="215" customFormat="1">
      <c r="A122" s="204">
        <v>0.2034</v>
      </c>
      <c r="B122" s="315">
        <v>0.69289999999999996</v>
      </c>
      <c r="C122" s="205" t="s">
        <v>201</v>
      </c>
      <c r="D122" s="206" t="s">
        <v>38</v>
      </c>
      <c r="E122" s="205" t="s">
        <v>4</v>
      </c>
      <c r="F122" s="207">
        <v>1.9</v>
      </c>
      <c r="G122" s="208">
        <f t="shared" si="134"/>
        <v>94.921857000000003</v>
      </c>
      <c r="H122" s="209">
        <f>I122*0.1951</f>
        <v>23.008143</v>
      </c>
      <c r="I122" s="210">
        <v>117.93</v>
      </c>
      <c r="J122" s="211">
        <f t="shared" si="135"/>
        <v>114.2289627138</v>
      </c>
      <c r="K122" s="212">
        <f t="shared" si="136"/>
        <v>27.6879992862</v>
      </c>
      <c r="L122" s="210">
        <f t="shared" si="137"/>
        <v>141.91696200000001</v>
      </c>
      <c r="M122" s="208">
        <f t="shared" si="138"/>
        <v>217.03</v>
      </c>
      <c r="N122" s="208">
        <f t="shared" si="139"/>
        <v>52.6</v>
      </c>
      <c r="O122" s="210">
        <f t="shared" si="140"/>
        <v>269.63</v>
      </c>
      <c r="P122" s="205" t="s">
        <v>9</v>
      </c>
      <c r="Q122" s="205">
        <v>98689</v>
      </c>
      <c r="R122" s="213">
        <v>46023</v>
      </c>
      <c r="S122" s="214"/>
    </row>
    <row r="123" spans="1:19" s="222" customFormat="1">
      <c r="A123" s="216"/>
      <c r="B123" s="216"/>
      <c r="C123" s="216"/>
      <c r="D123" s="216"/>
      <c r="E123" s="216"/>
      <c r="F123" s="216"/>
      <c r="G123" s="217"/>
      <c r="H123" s="218"/>
      <c r="I123" s="219"/>
      <c r="J123" s="218"/>
      <c r="K123" s="218"/>
      <c r="L123" s="220" t="s">
        <v>314</v>
      </c>
      <c r="M123" s="219">
        <f t="shared" ref="M123:N123" si="141">SUM(M119:M122)</f>
        <v>6062.11</v>
      </c>
      <c r="N123" s="219">
        <f t="shared" si="141"/>
        <v>2094.21</v>
      </c>
      <c r="O123" s="219">
        <f>SUM(O119:O122)</f>
        <v>8156.32</v>
      </c>
      <c r="P123" s="216"/>
      <c r="Q123" s="216"/>
      <c r="R123" s="216"/>
      <c r="S123" s="221"/>
    </row>
    <row r="124" spans="1:19">
      <c r="A124" s="195"/>
      <c r="B124" s="195"/>
      <c r="C124" s="195">
        <v>13</v>
      </c>
      <c r="D124" s="196" t="s">
        <v>23</v>
      </c>
      <c r="E124" s="197"/>
      <c r="F124" s="197"/>
      <c r="G124" s="198"/>
      <c r="H124" s="199"/>
      <c r="I124" s="200"/>
      <c r="J124" s="199"/>
      <c r="K124" s="199"/>
      <c r="L124" s="199"/>
      <c r="M124" s="201"/>
      <c r="N124" s="202"/>
      <c r="O124" s="203"/>
      <c r="P124" s="197"/>
      <c r="Q124" s="197"/>
      <c r="R124" s="197"/>
    </row>
    <row r="125" spans="1:19" s="215" customFormat="1" ht="22.5">
      <c r="A125" s="204">
        <v>0.2034</v>
      </c>
      <c r="B125" s="315">
        <v>0.69289999999999996</v>
      </c>
      <c r="C125" s="205" t="s">
        <v>259</v>
      </c>
      <c r="D125" s="206" t="s">
        <v>173</v>
      </c>
      <c r="E125" s="205" t="s">
        <v>5</v>
      </c>
      <c r="F125" s="207">
        <v>81.5</v>
      </c>
      <c r="G125" s="208">
        <f t="shared" si="134"/>
        <v>41.530098000000002</v>
      </c>
      <c r="H125" s="209">
        <f>I125*0.3517</f>
        <v>22.529902</v>
      </c>
      <c r="I125" s="210">
        <v>64.06</v>
      </c>
      <c r="J125" s="211">
        <f t="shared" si="135"/>
        <v>49.9773199332</v>
      </c>
      <c r="K125" s="212">
        <f t="shared" si="136"/>
        <v>27.1124840668</v>
      </c>
      <c r="L125" s="210">
        <f t="shared" si="137"/>
        <v>77.089804000000001</v>
      </c>
      <c r="M125" s="208">
        <f t="shared" si="138"/>
        <v>4073.15</v>
      </c>
      <c r="N125" s="208">
        <f t="shared" si="139"/>
        <v>2209.66</v>
      </c>
      <c r="O125" s="210">
        <f t="shared" si="140"/>
        <v>6282.8099999999995</v>
      </c>
      <c r="P125" s="205" t="s">
        <v>9</v>
      </c>
      <c r="Q125" s="205">
        <v>87265</v>
      </c>
      <c r="R125" s="213">
        <v>46023</v>
      </c>
      <c r="S125" s="214"/>
    </row>
    <row r="126" spans="1:19" s="215" customFormat="1" ht="22.5">
      <c r="A126" s="204">
        <v>0.2034</v>
      </c>
      <c r="B126" s="315">
        <v>0.69289999999999996</v>
      </c>
      <c r="C126" s="205" t="s">
        <v>260</v>
      </c>
      <c r="D126" s="206" t="s">
        <v>394</v>
      </c>
      <c r="E126" s="205" t="s">
        <v>4</v>
      </c>
      <c r="F126" s="207">
        <v>8.4</v>
      </c>
      <c r="G126" s="208">
        <f t="shared" si="134"/>
        <v>149.705298</v>
      </c>
      <c r="H126" s="209">
        <f>I126*0.1874</f>
        <v>34.524701999999998</v>
      </c>
      <c r="I126" s="210">
        <v>184.23</v>
      </c>
      <c r="J126" s="211">
        <f t="shared" si="135"/>
        <v>180.15535561320002</v>
      </c>
      <c r="K126" s="212">
        <f t="shared" si="136"/>
        <v>41.547026386799999</v>
      </c>
      <c r="L126" s="210">
        <f t="shared" si="137"/>
        <v>221.702382</v>
      </c>
      <c r="M126" s="208">
        <f t="shared" si="138"/>
        <v>1513.3</v>
      </c>
      <c r="N126" s="208">
        <f t="shared" si="139"/>
        <v>348.99</v>
      </c>
      <c r="O126" s="210">
        <f t="shared" si="140"/>
        <v>1862.29</v>
      </c>
      <c r="P126" s="205" t="s">
        <v>9</v>
      </c>
      <c r="Q126" s="205">
        <v>101965</v>
      </c>
      <c r="R126" s="213">
        <v>46023</v>
      </c>
      <c r="S126" s="214"/>
    </row>
    <row r="127" spans="1:19" s="222" customFormat="1">
      <c r="A127" s="216"/>
      <c r="B127" s="216"/>
      <c r="C127" s="216"/>
      <c r="D127" s="216"/>
      <c r="E127" s="216"/>
      <c r="F127" s="216"/>
      <c r="G127" s="217"/>
      <c r="H127" s="218"/>
      <c r="I127" s="219"/>
      <c r="J127" s="218"/>
      <c r="K127" s="218"/>
      <c r="L127" s="220" t="s">
        <v>314</v>
      </c>
      <c r="M127" s="219">
        <f t="shared" ref="M127:N127" si="142">SUM(M125:M126)</f>
        <v>5586.45</v>
      </c>
      <c r="N127" s="219">
        <f t="shared" si="142"/>
        <v>2558.6499999999996</v>
      </c>
      <c r="O127" s="219">
        <f>SUM(O125:O126)</f>
        <v>8145.0999999999995</v>
      </c>
      <c r="P127" s="216"/>
      <c r="Q127" s="216"/>
      <c r="R127" s="216"/>
      <c r="S127" s="221"/>
    </row>
    <row r="128" spans="1:19">
      <c r="A128" s="195"/>
      <c r="B128" s="195"/>
      <c r="C128" s="195">
        <v>14</v>
      </c>
      <c r="D128" s="196" t="s">
        <v>24</v>
      </c>
      <c r="E128" s="197"/>
      <c r="F128" s="197"/>
      <c r="G128" s="198"/>
      <c r="H128" s="199"/>
      <c r="I128" s="200"/>
      <c r="J128" s="199"/>
      <c r="K128" s="199"/>
      <c r="L128" s="199"/>
      <c r="M128" s="201"/>
      <c r="N128" s="202"/>
      <c r="O128" s="203"/>
      <c r="P128" s="197"/>
      <c r="Q128" s="197"/>
      <c r="R128" s="197"/>
    </row>
    <row r="129" spans="1:19" s="215" customFormat="1" ht="22.5">
      <c r="A129" s="204">
        <v>0.2034</v>
      </c>
      <c r="B129" s="315">
        <v>0.69289999999999996</v>
      </c>
      <c r="C129" s="205" t="s">
        <v>266</v>
      </c>
      <c r="D129" s="206" t="str">
        <f>Composições!C48</f>
        <v>JANELA DE AÇO TIPO BASCULANTE, COM VIDRO TIPO MINIBOREAL, COMPLETA, COM PINTURA ANTICORROSIVA, FIXAÇÃO COM ARGAMASSA - FORNECIMENTO E INSTALAÇÃO. AF_11/2024</v>
      </c>
      <c r="E129" s="205" t="str">
        <f>Composições!B48</f>
        <v>M2</v>
      </c>
      <c r="F129" s="207">
        <v>6.92</v>
      </c>
      <c r="G129" s="208">
        <f>Composições!F48</f>
        <v>583.84</v>
      </c>
      <c r="H129" s="209">
        <f>Composições!F49</f>
        <v>215.6</v>
      </c>
      <c r="I129" s="210">
        <f>Composições!H48</f>
        <v>799.44</v>
      </c>
      <c r="J129" s="211">
        <f t="shared" si="135"/>
        <v>702.59305600000005</v>
      </c>
      <c r="K129" s="212">
        <f t="shared" si="136"/>
        <v>259.45303999999999</v>
      </c>
      <c r="L129" s="210">
        <f t="shared" si="137"/>
        <v>962.04609600000003</v>
      </c>
      <c r="M129" s="208">
        <f t="shared" si="138"/>
        <v>4861.9399999999996</v>
      </c>
      <c r="N129" s="208">
        <f t="shared" si="139"/>
        <v>1795.41</v>
      </c>
      <c r="O129" s="210">
        <f t="shared" si="140"/>
        <v>6657.3499999999995</v>
      </c>
      <c r="P129" s="205" t="s">
        <v>315</v>
      </c>
      <c r="Q129" s="223" t="s">
        <v>421</v>
      </c>
      <c r="R129" s="213">
        <v>46023</v>
      </c>
      <c r="S129" s="214"/>
    </row>
    <row r="130" spans="1:19" s="215" customFormat="1" ht="22.5">
      <c r="A130" s="204">
        <v>0.2034</v>
      </c>
      <c r="B130" s="315">
        <v>0.69289999999999996</v>
      </c>
      <c r="C130" s="205" t="s">
        <v>267</v>
      </c>
      <c r="D130" s="206" t="str">
        <f>Composições!C58</f>
        <v>JANELA DE ALUMÍNIO TIPO VENEZIANA FIXA PARA VENTILAÇÃO, UMA FOLHA 60X60CM, COMPLETA, COM PINTURA, FIXAÇÃO COM ARGAMASSA - FORNECIMENTO E INSTALAÇÃO</v>
      </c>
      <c r="E130" s="205" t="str">
        <f>Composições!B58</f>
        <v>UN</v>
      </c>
      <c r="F130" s="207">
        <v>1</v>
      </c>
      <c r="G130" s="208">
        <f>Composições!F58</f>
        <v>322.66000000000003</v>
      </c>
      <c r="H130" s="209">
        <f>Composições!F59</f>
        <v>33.14</v>
      </c>
      <c r="I130" s="210">
        <f>Composições!H58</f>
        <v>355.8</v>
      </c>
      <c r="J130" s="211">
        <f t="shared" si="135"/>
        <v>388.28904400000005</v>
      </c>
      <c r="K130" s="212">
        <f t="shared" si="136"/>
        <v>39.880676000000001</v>
      </c>
      <c r="L130" s="210">
        <f t="shared" si="137"/>
        <v>428.16972000000004</v>
      </c>
      <c r="M130" s="208">
        <f t="shared" si="138"/>
        <v>388.28</v>
      </c>
      <c r="N130" s="208">
        <f t="shared" si="139"/>
        <v>39.880000000000003</v>
      </c>
      <c r="O130" s="210">
        <f t="shared" si="140"/>
        <v>428.15999999999997</v>
      </c>
      <c r="P130" s="205" t="s">
        <v>315</v>
      </c>
      <c r="Q130" s="223" t="s">
        <v>422</v>
      </c>
      <c r="R130" s="213">
        <v>46023</v>
      </c>
      <c r="S130" s="214"/>
    </row>
    <row r="131" spans="1:19" s="215" customFormat="1" ht="22.5">
      <c r="A131" s="204">
        <v>0.2034</v>
      </c>
      <c r="B131" s="315">
        <v>0.69289999999999996</v>
      </c>
      <c r="C131" s="205" t="s">
        <v>409</v>
      </c>
      <c r="D131" s="206" t="str">
        <f>Composições!C67</f>
        <v>PORTA EM AÇO DE ABRIR TIPO VENEZIANA COMPLETA, 100X210CM, COM PINTURA, FIXAÇÃO COM PARAFUSOS - FORNECIMENTO E INSTALAÇÃO</v>
      </c>
      <c r="E131" s="205" t="str">
        <f>Composições!B67</f>
        <v>UN</v>
      </c>
      <c r="F131" s="207">
        <v>1</v>
      </c>
      <c r="G131" s="208">
        <f>Composições!F67</f>
        <v>869.72</v>
      </c>
      <c r="H131" s="209">
        <f>Composições!F68</f>
        <v>51.78</v>
      </c>
      <c r="I131" s="210">
        <f>Composições!H67</f>
        <v>921.5</v>
      </c>
      <c r="J131" s="211">
        <f t="shared" si="135"/>
        <v>1046.621048</v>
      </c>
      <c r="K131" s="212">
        <f t="shared" si="136"/>
        <v>62.312052000000001</v>
      </c>
      <c r="L131" s="210">
        <f t="shared" si="137"/>
        <v>1108.9331</v>
      </c>
      <c r="M131" s="208">
        <f t="shared" si="138"/>
        <v>1046.6199999999999</v>
      </c>
      <c r="N131" s="208">
        <f t="shared" si="139"/>
        <v>62.31</v>
      </c>
      <c r="O131" s="210">
        <f t="shared" si="140"/>
        <v>1108.9299999999998</v>
      </c>
      <c r="P131" s="205" t="s">
        <v>315</v>
      </c>
      <c r="Q131" s="223" t="s">
        <v>423</v>
      </c>
      <c r="R131" s="213">
        <v>46023</v>
      </c>
      <c r="S131" s="214"/>
    </row>
    <row r="132" spans="1:19" s="215" customFormat="1" ht="22.5">
      <c r="A132" s="204">
        <v>0.2034</v>
      </c>
      <c r="B132" s="315">
        <v>0.69289999999999996</v>
      </c>
      <c r="C132" s="205" t="s">
        <v>470</v>
      </c>
      <c r="D132" s="206" t="s">
        <v>402</v>
      </c>
      <c r="E132" s="205" t="s">
        <v>34</v>
      </c>
      <c r="F132" s="207">
        <v>1</v>
      </c>
      <c r="G132" s="208">
        <f t="shared" si="134"/>
        <v>636.88201599999991</v>
      </c>
      <c r="H132" s="209">
        <f>I132*0.0752</f>
        <v>51.787984000000002</v>
      </c>
      <c r="I132" s="210">
        <v>688.67</v>
      </c>
      <c r="J132" s="211">
        <f t="shared" si="135"/>
        <v>766.42381805439993</v>
      </c>
      <c r="K132" s="212">
        <f t="shared" si="136"/>
        <v>62.321659945600004</v>
      </c>
      <c r="L132" s="210">
        <f t="shared" si="137"/>
        <v>828.74547799999993</v>
      </c>
      <c r="M132" s="208">
        <f t="shared" si="138"/>
        <v>766.42</v>
      </c>
      <c r="N132" s="208">
        <f t="shared" si="139"/>
        <v>62.32</v>
      </c>
      <c r="O132" s="210">
        <f t="shared" si="140"/>
        <v>828.74</v>
      </c>
      <c r="P132" s="205" t="s">
        <v>9</v>
      </c>
      <c r="Q132" s="205">
        <v>94807</v>
      </c>
      <c r="R132" s="213">
        <v>46023</v>
      </c>
      <c r="S132" s="214"/>
    </row>
    <row r="133" spans="1:19" s="215" customFormat="1" ht="34.5">
      <c r="A133" s="204">
        <v>0.2034</v>
      </c>
      <c r="B133" s="315">
        <v>0.69289999999999996</v>
      </c>
      <c r="C133" s="205" t="s">
        <v>471</v>
      </c>
      <c r="D133" s="354" t="s">
        <v>511</v>
      </c>
      <c r="E133" s="205" t="s">
        <v>34</v>
      </c>
      <c r="F133" s="207">
        <v>2</v>
      </c>
      <c r="G133" s="208">
        <f t="shared" si="134"/>
        <v>785.61112000000003</v>
      </c>
      <c r="H133" s="209">
        <f>I133*0.251</f>
        <v>263.26888000000002</v>
      </c>
      <c r="I133" s="210">
        <v>1048.8800000000001</v>
      </c>
      <c r="J133" s="211">
        <f>G133*(1+$C$6)</f>
        <v>945.40442180800005</v>
      </c>
      <c r="K133" s="212">
        <f t="shared" si="136"/>
        <v>316.81777019200001</v>
      </c>
      <c r="L133" s="210">
        <f t="shared" si="137"/>
        <v>1262.2221920000002</v>
      </c>
      <c r="M133" s="208">
        <f t="shared" si="138"/>
        <v>1890.8</v>
      </c>
      <c r="N133" s="208">
        <f t="shared" si="139"/>
        <v>633.63</v>
      </c>
      <c r="O133" s="210">
        <f t="shared" si="140"/>
        <v>2524.4299999999998</v>
      </c>
      <c r="P133" s="205" t="s">
        <v>9</v>
      </c>
      <c r="Q133" s="205">
        <v>90789</v>
      </c>
      <c r="R133" s="213">
        <v>46023</v>
      </c>
      <c r="S133" s="214"/>
    </row>
    <row r="134" spans="1:19" s="215" customFormat="1" ht="34.5">
      <c r="A134" s="204">
        <v>0.2034</v>
      </c>
      <c r="B134" s="315">
        <v>0.69289999999999996</v>
      </c>
      <c r="C134" s="205" t="s">
        <v>472</v>
      </c>
      <c r="D134" s="354" t="s">
        <v>512</v>
      </c>
      <c r="E134" s="205" t="s">
        <v>34</v>
      </c>
      <c r="F134" s="207">
        <v>2</v>
      </c>
      <c r="G134" s="208">
        <f t="shared" si="134"/>
        <v>879.03536000000008</v>
      </c>
      <c r="H134" s="209">
        <f>I134*0.248</f>
        <v>289.89464000000004</v>
      </c>
      <c r="I134" s="210">
        <v>1168.93</v>
      </c>
      <c r="J134" s="211">
        <f t="shared" si="135"/>
        <v>1057.8311522240001</v>
      </c>
      <c r="K134" s="212">
        <f t="shared" si="136"/>
        <v>348.85920977600006</v>
      </c>
      <c r="L134" s="210">
        <f t="shared" si="137"/>
        <v>1406.6903620000003</v>
      </c>
      <c r="M134" s="208">
        <f t="shared" si="138"/>
        <v>2115.66</v>
      </c>
      <c r="N134" s="208">
        <f t="shared" si="139"/>
        <v>697.71</v>
      </c>
      <c r="O134" s="210">
        <f t="shared" si="140"/>
        <v>2813.37</v>
      </c>
      <c r="P134" s="205" t="s">
        <v>9</v>
      </c>
      <c r="Q134" s="205">
        <v>100675</v>
      </c>
      <c r="R134" s="213">
        <v>46023</v>
      </c>
      <c r="S134" s="214"/>
    </row>
    <row r="135" spans="1:19" s="215" customFormat="1" ht="22.5">
      <c r="A135" s="204">
        <v>0.2034</v>
      </c>
      <c r="B135" s="315">
        <v>0.69289999999999996</v>
      </c>
      <c r="C135" s="205" t="s">
        <v>510</v>
      </c>
      <c r="D135" s="206" t="s">
        <v>498</v>
      </c>
      <c r="E135" s="205" t="s">
        <v>34</v>
      </c>
      <c r="F135" s="207">
        <v>8</v>
      </c>
      <c r="G135" s="208">
        <f>I135*0.9</f>
        <v>478.36799999999999</v>
      </c>
      <c r="H135" s="209">
        <f>I135-G135</f>
        <v>53.151999999999987</v>
      </c>
      <c r="I135" s="210">
        <v>531.52</v>
      </c>
      <c r="J135" s="211">
        <f t="shared" si="135"/>
        <v>575.66805120000004</v>
      </c>
      <c r="K135" s="212">
        <f t="shared" si="136"/>
        <v>63.963116799999987</v>
      </c>
      <c r="L135" s="210">
        <f t="shared" si="137"/>
        <v>639.631168</v>
      </c>
      <c r="M135" s="208">
        <f t="shared" si="138"/>
        <v>4605.34</v>
      </c>
      <c r="N135" s="208">
        <f t="shared" si="139"/>
        <v>511.7</v>
      </c>
      <c r="O135" s="210">
        <f t="shared" si="140"/>
        <v>5117.04</v>
      </c>
      <c r="P135" s="205" t="s">
        <v>364</v>
      </c>
      <c r="Q135" s="205">
        <v>13764</v>
      </c>
      <c r="R135" s="213">
        <v>46023</v>
      </c>
      <c r="S135" s="214"/>
    </row>
    <row r="136" spans="1:19" s="222" customFormat="1">
      <c r="A136" s="216"/>
      <c r="B136" s="216"/>
      <c r="C136" s="216"/>
      <c r="D136" s="216"/>
      <c r="E136" s="216"/>
      <c r="F136" s="216"/>
      <c r="G136" s="217"/>
      <c r="H136" s="218"/>
      <c r="I136" s="219"/>
      <c r="J136" s="218"/>
      <c r="K136" s="218"/>
      <c r="L136" s="220" t="s">
        <v>314</v>
      </c>
      <c r="M136" s="219">
        <f t="shared" ref="M136:N136" si="143">SUM(M129:M135)</f>
        <v>15675.06</v>
      </c>
      <c r="N136" s="219">
        <f t="shared" si="143"/>
        <v>3802.96</v>
      </c>
      <c r="O136" s="219">
        <f>SUM(O129:O135)</f>
        <v>19478.02</v>
      </c>
      <c r="P136" s="216"/>
      <c r="Q136" s="216"/>
      <c r="R136" s="216"/>
      <c r="S136" s="221"/>
    </row>
    <row r="137" spans="1:19">
      <c r="A137" s="195"/>
      <c r="B137" s="195"/>
      <c r="C137" s="195">
        <v>15</v>
      </c>
      <c r="D137" s="196" t="s">
        <v>25</v>
      </c>
      <c r="E137" s="197"/>
      <c r="F137" s="197"/>
      <c r="G137" s="198"/>
      <c r="H137" s="199"/>
      <c r="I137" s="200"/>
      <c r="J137" s="199"/>
      <c r="K137" s="199"/>
      <c r="L137" s="199"/>
      <c r="M137" s="201"/>
      <c r="N137" s="202"/>
      <c r="O137" s="203"/>
      <c r="P137" s="197"/>
      <c r="Q137" s="197"/>
      <c r="R137" s="197"/>
    </row>
    <row r="138" spans="1:19" s="215" customFormat="1">
      <c r="A138" s="204">
        <v>0.2034</v>
      </c>
      <c r="B138" s="315">
        <v>0.69289999999999996</v>
      </c>
      <c r="C138" s="205" t="s">
        <v>523</v>
      </c>
      <c r="D138" s="206" t="s">
        <v>410</v>
      </c>
      <c r="E138" s="205" t="s">
        <v>5</v>
      </c>
      <c r="F138" s="207">
        <v>270.42</v>
      </c>
      <c r="G138" s="208">
        <f t="shared" si="134"/>
        <v>13.740378</v>
      </c>
      <c r="H138" s="209">
        <f>I138*0.5234</f>
        <v>15.089621999999999</v>
      </c>
      <c r="I138" s="210">
        <v>28.83</v>
      </c>
      <c r="J138" s="211">
        <f t="shared" si="135"/>
        <v>16.535170885199999</v>
      </c>
      <c r="K138" s="212">
        <f t="shared" si="136"/>
        <v>18.158851114799997</v>
      </c>
      <c r="L138" s="210">
        <f t="shared" si="137"/>
        <v>34.694021999999997</v>
      </c>
      <c r="M138" s="208">
        <f t="shared" si="138"/>
        <v>4471.4399999999996</v>
      </c>
      <c r="N138" s="208">
        <f t="shared" si="139"/>
        <v>4910.51</v>
      </c>
      <c r="O138" s="210">
        <f t="shared" si="140"/>
        <v>9381.9500000000007</v>
      </c>
      <c r="P138" s="205" t="s">
        <v>9</v>
      </c>
      <c r="Q138" s="205">
        <v>102489</v>
      </c>
      <c r="R138" s="213">
        <v>46023</v>
      </c>
      <c r="S138" s="214"/>
    </row>
    <row r="139" spans="1:19" s="222" customFormat="1">
      <c r="A139" s="216"/>
      <c r="B139" s="216"/>
      <c r="C139" s="216"/>
      <c r="D139" s="216"/>
      <c r="E139" s="216"/>
      <c r="F139" s="216"/>
      <c r="G139" s="217"/>
      <c r="H139" s="218"/>
      <c r="I139" s="219"/>
      <c r="J139" s="218"/>
      <c r="K139" s="218"/>
      <c r="L139" s="220" t="s">
        <v>314</v>
      </c>
      <c r="M139" s="219">
        <f t="shared" ref="M139:N139" si="144">SUM(M138:M138)</f>
        <v>4471.4399999999996</v>
      </c>
      <c r="N139" s="219">
        <f t="shared" si="144"/>
        <v>4910.51</v>
      </c>
      <c r="O139" s="219">
        <f>SUM(O138:O138)</f>
        <v>9381.9500000000007</v>
      </c>
      <c r="P139" s="216"/>
      <c r="Q139" s="216"/>
      <c r="R139" s="216"/>
      <c r="S139" s="221"/>
    </row>
    <row r="140" spans="1:19">
      <c r="A140" s="195"/>
      <c r="B140" s="195"/>
      <c r="C140" s="195">
        <v>16</v>
      </c>
      <c r="D140" s="196" t="s">
        <v>288</v>
      </c>
      <c r="E140" s="197"/>
      <c r="F140" s="197"/>
      <c r="G140" s="198"/>
      <c r="H140" s="199"/>
      <c r="I140" s="200"/>
      <c r="J140" s="199"/>
      <c r="K140" s="199"/>
      <c r="L140" s="199"/>
      <c r="M140" s="201"/>
      <c r="N140" s="202"/>
      <c r="O140" s="203"/>
      <c r="P140" s="197"/>
      <c r="Q140" s="197"/>
      <c r="R140" s="197"/>
    </row>
    <row r="141" spans="1:19" s="215" customFormat="1">
      <c r="A141" s="204">
        <v>0.2034</v>
      </c>
      <c r="B141" s="315">
        <v>0.69289999999999996</v>
      </c>
      <c r="C141" s="205" t="s">
        <v>473</v>
      </c>
      <c r="D141" s="206" t="s">
        <v>485</v>
      </c>
      <c r="E141" s="205" t="s">
        <v>34</v>
      </c>
      <c r="F141" s="207">
        <v>4</v>
      </c>
      <c r="G141" s="208">
        <v>12.2</v>
      </c>
      <c r="H141" s="209">
        <f>1.47+1.65+0.13</f>
        <v>3.25</v>
      </c>
      <c r="I141" s="210">
        <f>SUM(G141:H141)</f>
        <v>15.45</v>
      </c>
      <c r="J141" s="211">
        <f t="shared" ref="J141:J144" si="145">G141*(1+$C$6)</f>
        <v>14.681479999999999</v>
      </c>
      <c r="K141" s="212">
        <f t="shared" ref="K141:K144" si="146">H141*(1+$C$6)</f>
        <v>3.9110499999999999</v>
      </c>
      <c r="L141" s="210">
        <f t="shared" ref="L141:L144" si="147">J141+K141</f>
        <v>18.59253</v>
      </c>
      <c r="M141" s="208">
        <f t="shared" ref="M141:M144" si="148">TRUNC(J141*F141,2)</f>
        <v>58.72</v>
      </c>
      <c r="N141" s="208">
        <f t="shared" ref="N141:N144" si="149">TRUNC(K141*F141,2)</f>
        <v>15.64</v>
      </c>
      <c r="O141" s="210">
        <f t="shared" ref="O141:O144" si="150">M141+N141</f>
        <v>74.36</v>
      </c>
      <c r="P141" s="205" t="s">
        <v>364</v>
      </c>
      <c r="Q141" s="205">
        <v>12137</v>
      </c>
      <c r="R141" s="213">
        <v>46023</v>
      </c>
      <c r="S141" s="214"/>
    </row>
    <row r="142" spans="1:19" s="215" customFormat="1">
      <c r="A142" s="204">
        <v>0.2034</v>
      </c>
      <c r="B142" s="315">
        <v>0.69289999999999996</v>
      </c>
      <c r="C142" s="205" t="s">
        <v>474</v>
      </c>
      <c r="D142" s="206" t="s">
        <v>489</v>
      </c>
      <c r="E142" s="205" t="s">
        <v>34</v>
      </c>
      <c r="F142" s="207">
        <v>2</v>
      </c>
      <c r="G142" s="208">
        <v>21.6</v>
      </c>
      <c r="H142" s="209">
        <f>1.47+1.65+0.13</f>
        <v>3.25</v>
      </c>
      <c r="I142" s="210">
        <f>SUM(G142:H142)</f>
        <v>24.85</v>
      </c>
      <c r="J142" s="211">
        <f t="shared" si="145"/>
        <v>25.993440000000003</v>
      </c>
      <c r="K142" s="212">
        <f t="shared" si="146"/>
        <v>3.9110499999999999</v>
      </c>
      <c r="L142" s="210">
        <f t="shared" si="147"/>
        <v>29.904490000000003</v>
      </c>
      <c r="M142" s="208">
        <f t="shared" si="148"/>
        <v>51.98</v>
      </c>
      <c r="N142" s="208">
        <f t="shared" si="149"/>
        <v>7.82</v>
      </c>
      <c r="O142" s="210">
        <f t="shared" si="150"/>
        <v>59.8</v>
      </c>
      <c r="P142" s="205" t="s">
        <v>364</v>
      </c>
      <c r="Q142" s="205">
        <v>12138</v>
      </c>
      <c r="R142" s="213">
        <v>46023</v>
      </c>
      <c r="S142" s="214"/>
    </row>
    <row r="143" spans="1:19" s="215" customFormat="1" ht="22.5">
      <c r="A143" s="204">
        <v>0.2034</v>
      </c>
      <c r="B143" s="315">
        <v>0.69289999999999996</v>
      </c>
      <c r="C143" s="205" t="s">
        <v>475</v>
      </c>
      <c r="D143" s="206" t="s">
        <v>490</v>
      </c>
      <c r="E143" s="205" t="s">
        <v>34</v>
      </c>
      <c r="F143" s="207">
        <v>2</v>
      </c>
      <c r="G143" s="208">
        <v>196.19</v>
      </c>
      <c r="H143" s="209">
        <f>0.74+0.82+0.07</f>
        <v>1.6300000000000001</v>
      </c>
      <c r="I143" s="210">
        <f>SUM(G143:H143)</f>
        <v>197.82</v>
      </c>
      <c r="J143" s="211">
        <f t="shared" si="145"/>
        <v>236.095046</v>
      </c>
      <c r="K143" s="212">
        <f t="shared" si="146"/>
        <v>1.9615420000000001</v>
      </c>
      <c r="L143" s="210">
        <f t="shared" si="147"/>
        <v>238.056588</v>
      </c>
      <c r="M143" s="208">
        <f t="shared" si="148"/>
        <v>472.19</v>
      </c>
      <c r="N143" s="208">
        <f t="shared" si="149"/>
        <v>3.92</v>
      </c>
      <c r="O143" s="210">
        <f t="shared" si="150"/>
        <v>476.11</v>
      </c>
      <c r="P143" s="205" t="s">
        <v>364</v>
      </c>
      <c r="Q143" s="223" t="s">
        <v>488</v>
      </c>
      <c r="R143" s="213">
        <v>46023</v>
      </c>
      <c r="S143" s="214"/>
    </row>
    <row r="144" spans="1:19" s="215" customFormat="1" ht="22.5">
      <c r="A144" s="204">
        <v>0.2034</v>
      </c>
      <c r="B144" s="315">
        <v>0.69289999999999996</v>
      </c>
      <c r="C144" s="205" t="s">
        <v>476</v>
      </c>
      <c r="D144" s="206" t="s">
        <v>491</v>
      </c>
      <c r="E144" s="205" t="s">
        <v>34</v>
      </c>
      <c r="F144" s="207">
        <v>2</v>
      </c>
      <c r="G144" s="208">
        <f t="shared" ref="G144" si="151">I144-H144</f>
        <v>11.679863999999998</v>
      </c>
      <c r="H144" s="209">
        <f>I144*0.3784</f>
        <v>7.1101359999999998</v>
      </c>
      <c r="I144" s="210">
        <v>18.79</v>
      </c>
      <c r="J144" s="211">
        <f t="shared" si="145"/>
        <v>14.055548337599998</v>
      </c>
      <c r="K144" s="212">
        <f t="shared" si="146"/>
        <v>8.5563376624000007</v>
      </c>
      <c r="L144" s="210">
        <f t="shared" si="147"/>
        <v>22.611885999999998</v>
      </c>
      <c r="M144" s="208">
        <f t="shared" si="148"/>
        <v>28.11</v>
      </c>
      <c r="N144" s="208">
        <f t="shared" si="149"/>
        <v>17.11</v>
      </c>
      <c r="O144" s="210">
        <f t="shared" si="150"/>
        <v>45.22</v>
      </c>
      <c r="P144" s="205" t="s">
        <v>9</v>
      </c>
      <c r="Q144" s="205">
        <v>97599</v>
      </c>
      <c r="R144" s="213">
        <v>46023</v>
      </c>
      <c r="S144" s="214"/>
    </row>
    <row r="145" spans="1:19" s="222" customFormat="1">
      <c r="A145" s="216"/>
      <c r="B145" s="216"/>
      <c r="C145" s="216"/>
      <c r="D145" s="216"/>
      <c r="E145" s="216"/>
      <c r="F145" s="216"/>
      <c r="G145" s="217"/>
      <c r="H145" s="218"/>
      <c r="I145" s="219"/>
      <c r="J145" s="218"/>
      <c r="K145" s="218"/>
      <c r="L145" s="220" t="s">
        <v>314</v>
      </c>
      <c r="M145" s="219">
        <f t="shared" ref="M145:N145" si="152">SUM(M141:M144)</f>
        <v>611</v>
      </c>
      <c r="N145" s="219">
        <f t="shared" si="152"/>
        <v>44.49</v>
      </c>
      <c r="O145" s="219">
        <f>SUM(O141:O144)</f>
        <v>655.49</v>
      </c>
      <c r="P145" s="216"/>
      <c r="Q145" s="216"/>
      <c r="R145" s="216"/>
      <c r="S145" s="221"/>
    </row>
    <row r="146" spans="1:19">
      <c r="A146" s="195"/>
      <c r="B146" s="195"/>
      <c r="C146" s="195">
        <v>17</v>
      </c>
      <c r="D146" s="196" t="s">
        <v>424</v>
      </c>
      <c r="E146" s="197"/>
      <c r="F146" s="197"/>
      <c r="G146" s="198"/>
      <c r="H146" s="199"/>
      <c r="I146" s="200"/>
      <c r="J146" s="199"/>
      <c r="K146" s="199"/>
      <c r="L146" s="199"/>
      <c r="M146" s="201"/>
      <c r="N146" s="202"/>
      <c r="O146" s="203"/>
      <c r="P146" s="197"/>
      <c r="Q146" s="197"/>
      <c r="R146" s="197"/>
    </row>
    <row r="147" spans="1:19" s="215" customFormat="1">
      <c r="A147" s="204">
        <v>0.2034</v>
      </c>
      <c r="B147" s="315">
        <v>0.69289999999999996</v>
      </c>
      <c r="C147" s="205" t="s">
        <v>477</v>
      </c>
      <c r="D147" s="346" t="str">
        <f>Composições!C77</f>
        <v>INSTALAÇÃO DE MOURÃO DE CONCRETO RETO, SEÇÃO QUADRADA *10 X 10* CM, H. ÚTIL = 2,00 M</v>
      </c>
      <c r="E147" s="205" t="str">
        <f>Composições!B77</f>
        <v>UN</v>
      </c>
      <c r="F147" s="357">
        <v>123</v>
      </c>
      <c r="G147" s="208">
        <f>Composições!F77</f>
        <v>40.28</v>
      </c>
      <c r="H147" s="209">
        <f>Composições!F78</f>
        <v>26.72</v>
      </c>
      <c r="I147" s="210">
        <f>Composições!H77</f>
        <v>67</v>
      </c>
      <c r="J147" s="211">
        <f t="shared" si="135"/>
        <v>48.472951999999999</v>
      </c>
      <c r="K147" s="212">
        <f t="shared" si="136"/>
        <v>32.154848000000001</v>
      </c>
      <c r="L147" s="210">
        <f t="shared" si="137"/>
        <v>80.627800000000008</v>
      </c>
      <c r="M147" s="208">
        <f t="shared" si="138"/>
        <v>5962.17</v>
      </c>
      <c r="N147" s="208">
        <f t="shared" si="139"/>
        <v>3955.04</v>
      </c>
      <c r="O147" s="210">
        <f t="shared" si="140"/>
        <v>9917.2099999999991</v>
      </c>
      <c r="P147" s="205" t="s">
        <v>315</v>
      </c>
      <c r="Q147" s="223" t="s">
        <v>430</v>
      </c>
      <c r="R147" s="213">
        <v>46023</v>
      </c>
      <c r="S147" s="214"/>
    </row>
    <row r="148" spans="1:19" s="215" customFormat="1" ht="22.5">
      <c r="A148" s="360">
        <v>0.2034</v>
      </c>
      <c r="B148" s="361">
        <v>0.69289999999999996</v>
      </c>
      <c r="C148" s="205" t="s">
        <v>478</v>
      </c>
      <c r="D148" s="346" t="s">
        <v>432</v>
      </c>
      <c r="E148" s="362" t="s">
        <v>5</v>
      </c>
      <c r="F148" s="357">
        <v>40.1</v>
      </c>
      <c r="G148" s="363">
        <f t="shared" si="134"/>
        <v>87.69</v>
      </c>
      <c r="H148" s="364">
        <f>I148*0.7077</f>
        <v>212.31</v>
      </c>
      <c r="I148" s="365">
        <v>300</v>
      </c>
      <c r="J148" s="366">
        <f t="shared" si="135"/>
        <v>105.526146</v>
      </c>
      <c r="K148" s="367">
        <f t="shared" si="136"/>
        <v>255.493854</v>
      </c>
      <c r="L148" s="365">
        <f t="shared" si="137"/>
        <v>361.02</v>
      </c>
      <c r="M148" s="363">
        <f t="shared" si="138"/>
        <v>4231.59</v>
      </c>
      <c r="N148" s="363">
        <f t="shared" si="139"/>
        <v>10245.299999999999</v>
      </c>
      <c r="O148" s="365">
        <f t="shared" si="140"/>
        <v>14476.89</v>
      </c>
      <c r="P148" s="205" t="s">
        <v>146</v>
      </c>
      <c r="Q148" s="362"/>
      <c r="R148" s="368">
        <v>46023</v>
      </c>
      <c r="S148" s="214"/>
    </row>
    <row r="149" spans="1:19" s="215" customFormat="1">
      <c r="A149" s="204">
        <v>0.2034</v>
      </c>
      <c r="B149" s="315">
        <v>0.69289999999999996</v>
      </c>
      <c r="C149" s="205" t="s">
        <v>479</v>
      </c>
      <c r="D149" s="346" t="s">
        <v>496</v>
      </c>
      <c r="E149" s="205" t="s">
        <v>5</v>
      </c>
      <c r="F149" s="357">
        <v>467.1</v>
      </c>
      <c r="G149" s="208">
        <v>5.09</v>
      </c>
      <c r="H149" s="209">
        <f>10.22+11.4+0.82</f>
        <v>22.44</v>
      </c>
      <c r="I149" s="210">
        <f>SUM(G149:H149)</f>
        <v>27.53</v>
      </c>
      <c r="J149" s="211">
        <f t="shared" si="135"/>
        <v>6.1253060000000001</v>
      </c>
      <c r="K149" s="212">
        <f t="shared" si="136"/>
        <v>27.004296000000004</v>
      </c>
      <c r="L149" s="210">
        <f t="shared" si="137"/>
        <v>33.129602000000006</v>
      </c>
      <c r="M149" s="208">
        <f t="shared" si="138"/>
        <v>2861.13</v>
      </c>
      <c r="N149" s="208">
        <f t="shared" si="139"/>
        <v>12613.7</v>
      </c>
      <c r="O149" s="210">
        <f t="shared" si="140"/>
        <v>15474.830000000002</v>
      </c>
      <c r="P149" s="205" t="s">
        <v>364</v>
      </c>
      <c r="Q149" s="223" t="s">
        <v>497</v>
      </c>
      <c r="R149" s="213">
        <v>46023</v>
      </c>
      <c r="S149" s="214"/>
    </row>
    <row r="150" spans="1:19" s="215" customFormat="1" ht="27" customHeight="1">
      <c r="A150" s="204">
        <v>0.2034</v>
      </c>
      <c r="B150" s="315">
        <v>0.69289999999999996</v>
      </c>
      <c r="C150" s="205" t="s">
        <v>480</v>
      </c>
      <c r="D150" s="346" t="s">
        <v>433</v>
      </c>
      <c r="E150" s="205" t="s">
        <v>5</v>
      </c>
      <c r="F150" s="357">
        <v>20.79</v>
      </c>
      <c r="G150" s="208">
        <f t="shared" si="134"/>
        <v>34.225692000000002</v>
      </c>
      <c r="H150" s="209">
        <f>I150*0.5172</f>
        <v>36.664307999999998</v>
      </c>
      <c r="I150" s="210">
        <v>70.89</v>
      </c>
      <c r="J150" s="211">
        <f t="shared" si="135"/>
        <v>41.187197752800003</v>
      </c>
      <c r="K150" s="212">
        <f t="shared" si="136"/>
        <v>44.1218282472</v>
      </c>
      <c r="L150" s="210">
        <f t="shared" si="137"/>
        <v>85.309026000000003</v>
      </c>
      <c r="M150" s="208">
        <f t="shared" si="138"/>
        <v>856.28</v>
      </c>
      <c r="N150" s="208">
        <f t="shared" si="139"/>
        <v>917.29</v>
      </c>
      <c r="O150" s="210">
        <f t="shared" si="140"/>
        <v>1773.57</v>
      </c>
      <c r="P150" s="205" t="s">
        <v>9</v>
      </c>
      <c r="Q150" s="205">
        <v>103368</v>
      </c>
      <c r="R150" s="213">
        <v>46023</v>
      </c>
      <c r="S150" s="214"/>
    </row>
    <row r="151" spans="1:19" s="215" customFormat="1" ht="22.5">
      <c r="A151" s="204">
        <v>0.2034</v>
      </c>
      <c r="B151" s="315">
        <v>0.69289999999999996</v>
      </c>
      <c r="C151" s="205" t="s">
        <v>481</v>
      </c>
      <c r="D151" s="346" t="s">
        <v>434</v>
      </c>
      <c r="E151" s="205" t="s">
        <v>6</v>
      </c>
      <c r="F151" s="357">
        <v>178.6</v>
      </c>
      <c r="G151" s="208">
        <f t="shared" si="134"/>
        <v>8.7708480000000009</v>
      </c>
      <c r="H151" s="209">
        <f>I151*0.4936</f>
        <v>8.5491519999999994</v>
      </c>
      <c r="I151" s="210">
        <v>17.32</v>
      </c>
      <c r="J151" s="211">
        <f t="shared" si="135"/>
        <v>10.554838483200001</v>
      </c>
      <c r="K151" s="212">
        <f t="shared" si="136"/>
        <v>10.288049516799999</v>
      </c>
      <c r="L151" s="210">
        <f t="shared" si="137"/>
        <v>20.842888000000002</v>
      </c>
      <c r="M151" s="208">
        <f t="shared" si="138"/>
        <v>1885.09</v>
      </c>
      <c r="N151" s="208">
        <f t="shared" si="139"/>
        <v>1837.44</v>
      </c>
      <c r="O151" s="210">
        <f t="shared" si="140"/>
        <v>3722.5299999999997</v>
      </c>
      <c r="P151" s="205" t="s">
        <v>9</v>
      </c>
      <c r="Q151" s="205">
        <v>104916</v>
      </c>
      <c r="R151" s="213">
        <v>46023</v>
      </c>
      <c r="S151" s="214"/>
    </row>
    <row r="152" spans="1:19" s="215" customFormat="1" ht="22.5">
      <c r="A152" s="204">
        <v>0.2034</v>
      </c>
      <c r="B152" s="315">
        <v>0.69289999999999996</v>
      </c>
      <c r="C152" s="205" t="s">
        <v>482</v>
      </c>
      <c r="D152" s="346" t="s">
        <v>435</v>
      </c>
      <c r="E152" s="205" t="s">
        <v>6</v>
      </c>
      <c r="F152" s="357">
        <v>493.37</v>
      </c>
      <c r="G152" s="208">
        <f t="shared" si="134"/>
        <v>10.069392000000001</v>
      </c>
      <c r="H152" s="209">
        <f>I152*0.3122</f>
        <v>4.570608</v>
      </c>
      <c r="I152" s="210">
        <v>14.64</v>
      </c>
      <c r="J152" s="211">
        <f t="shared" si="135"/>
        <v>12.117506332800001</v>
      </c>
      <c r="K152" s="212">
        <f t="shared" si="136"/>
        <v>5.5002696672000004</v>
      </c>
      <c r="L152" s="210">
        <f t="shared" si="137"/>
        <v>17.617776000000003</v>
      </c>
      <c r="M152" s="208">
        <f t="shared" si="138"/>
        <v>5978.41</v>
      </c>
      <c r="N152" s="208">
        <f t="shared" si="139"/>
        <v>2713.66</v>
      </c>
      <c r="O152" s="210">
        <f t="shared" si="140"/>
        <v>8692.07</v>
      </c>
      <c r="P152" s="205" t="s">
        <v>9</v>
      </c>
      <c r="Q152" s="205">
        <v>104918</v>
      </c>
      <c r="R152" s="213">
        <v>46023</v>
      </c>
      <c r="S152" s="214"/>
    </row>
    <row r="153" spans="1:19" s="215" customFormat="1" ht="22.5">
      <c r="A153" s="204">
        <v>0.2034</v>
      </c>
      <c r="B153" s="315">
        <v>0.69289999999999996</v>
      </c>
      <c r="C153" s="205" t="s">
        <v>483</v>
      </c>
      <c r="D153" s="346" t="s">
        <v>330</v>
      </c>
      <c r="E153" s="205" t="s">
        <v>5</v>
      </c>
      <c r="F153" s="357">
        <v>123.84</v>
      </c>
      <c r="G153" s="208">
        <f t="shared" si="134"/>
        <v>20.522237999999994</v>
      </c>
      <c r="H153" s="209">
        <f>I153*0.6942</f>
        <v>46.587762000000005</v>
      </c>
      <c r="I153" s="210">
        <v>67.11</v>
      </c>
      <c r="J153" s="211">
        <f t="shared" si="135"/>
        <v>24.696461209199995</v>
      </c>
      <c r="K153" s="212">
        <f t="shared" si="136"/>
        <v>56.063712790800004</v>
      </c>
      <c r="L153" s="210">
        <f t="shared" si="137"/>
        <v>80.760174000000006</v>
      </c>
      <c r="M153" s="208">
        <f t="shared" si="138"/>
        <v>3058.4</v>
      </c>
      <c r="N153" s="208">
        <f t="shared" si="139"/>
        <v>6942.93</v>
      </c>
      <c r="O153" s="210">
        <f t="shared" si="140"/>
        <v>10001.33</v>
      </c>
      <c r="P153" s="205" t="s">
        <v>9</v>
      </c>
      <c r="Q153" s="205">
        <v>96536</v>
      </c>
      <c r="R153" s="213">
        <v>46023</v>
      </c>
      <c r="S153" s="214"/>
    </row>
    <row r="154" spans="1:19" s="215" customFormat="1" ht="22.5">
      <c r="A154" s="204">
        <v>0.2034</v>
      </c>
      <c r="B154" s="315">
        <v>0.69289999999999996</v>
      </c>
      <c r="C154" s="205" t="s">
        <v>484</v>
      </c>
      <c r="D154" s="346" t="s">
        <v>436</v>
      </c>
      <c r="E154" s="205" t="s">
        <v>11</v>
      </c>
      <c r="F154" s="357">
        <v>9.3000000000000007</v>
      </c>
      <c r="G154" s="208">
        <f t="shared" si="134"/>
        <v>762.78293999999994</v>
      </c>
      <c r="H154" s="209">
        <f>I154*0.0285</f>
        <v>22.37706</v>
      </c>
      <c r="I154" s="210">
        <v>785.16</v>
      </c>
      <c r="J154" s="211">
        <f t="shared" si="135"/>
        <v>917.93298999599995</v>
      </c>
      <c r="K154" s="212">
        <f t="shared" si="136"/>
        <v>26.928554004000002</v>
      </c>
      <c r="L154" s="210">
        <f t="shared" si="137"/>
        <v>944.86154399999998</v>
      </c>
      <c r="M154" s="208">
        <f t="shared" si="138"/>
        <v>8536.77</v>
      </c>
      <c r="N154" s="208">
        <f t="shared" si="139"/>
        <v>250.43</v>
      </c>
      <c r="O154" s="210">
        <f t="shared" si="140"/>
        <v>8787.2000000000007</v>
      </c>
      <c r="P154" s="205" t="s">
        <v>9</v>
      </c>
      <c r="Q154" s="205">
        <v>96557</v>
      </c>
      <c r="R154" s="213">
        <v>46023</v>
      </c>
      <c r="S154" s="214"/>
    </row>
    <row r="155" spans="1:19" s="215" customFormat="1" ht="22.5">
      <c r="A155" s="204">
        <v>0.2034</v>
      </c>
      <c r="B155" s="315">
        <v>0.69289999999999996</v>
      </c>
      <c r="C155" s="205" t="s">
        <v>519</v>
      </c>
      <c r="D155" s="346" t="s">
        <v>499</v>
      </c>
      <c r="E155" s="205" t="s">
        <v>34</v>
      </c>
      <c r="F155" s="357">
        <v>6</v>
      </c>
      <c r="G155" s="208">
        <f>I155*0.9</f>
        <v>913.24800000000005</v>
      </c>
      <c r="H155" s="209">
        <f>I155-G155</f>
        <v>101.47199999999998</v>
      </c>
      <c r="I155" s="210">
        <v>1014.72</v>
      </c>
      <c r="J155" s="211">
        <f t="shared" ref="J155" si="153">G155*(1+$C$6)</f>
        <v>1099.0026432000002</v>
      </c>
      <c r="K155" s="212">
        <f t="shared" ref="K155" si="154">H155*(1+$C$6)</f>
        <v>122.11140479999997</v>
      </c>
      <c r="L155" s="210">
        <f t="shared" ref="L155" si="155">J155+K155</f>
        <v>1221.1140480000001</v>
      </c>
      <c r="M155" s="208">
        <f t="shared" ref="M155" si="156">TRUNC(J155*F155,2)</f>
        <v>6594.01</v>
      </c>
      <c r="N155" s="208">
        <f t="shared" ref="N155" si="157">TRUNC(K155*F155,2)</f>
        <v>732.66</v>
      </c>
      <c r="O155" s="210">
        <f t="shared" ref="O155" si="158">M155+N155</f>
        <v>7326.67</v>
      </c>
      <c r="P155" s="205" t="s">
        <v>364</v>
      </c>
      <c r="Q155" s="205">
        <v>13764</v>
      </c>
      <c r="R155" s="213">
        <v>46023</v>
      </c>
      <c r="S155" s="347"/>
    </row>
    <row r="156" spans="1:19" s="215" customFormat="1">
      <c r="A156" s="204">
        <v>0.2034</v>
      </c>
      <c r="B156" s="315">
        <v>0.69289999999999996</v>
      </c>
      <c r="C156" s="205" t="s">
        <v>520</v>
      </c>
      <c r="D156" s="346" t="s">
        <v>500</v>
      </c>
      <c r="E156" s="205" t="s">
        <v>34</v>
      </c>
      <c r="F156" s="357">
        <v>3</v>
      </c>
      <c r="G156" s="208">
        <f>I156*0.9</f>
        <v>540</v>
      </c>
      <c r="H156" s="209">
        <f>I156-G156</f>
        <v>60</v>
      </c>
      <c r="I156" s="210">
        <v>600</v>
      </c>
      <c r="J156" s="211">
        <f t="shared" ref="J156:J157" si="159">G156*(1+$C$6)</f>
        <v>649.83600000000001</v>
      </c>
      <c r="K156" s="212">
        <f t="shared" ref="K156:K157" si="160">H156*(1+$C$6)</f>
        <v>72.204000000000008</v>
      </c>
      <c r="L156" s="210">
        <f t="shared" ref="L156:L157" si="161">J156+K156</f>
        <v>722.04</v>
      </c>
      <c r="M156" s="208">
        <f t="shared" ref="M156:M157" si="162">TRUNC(J156*F156,2)</f>
        <v>1949.5</v>
      </c>
      <c r="N156" s="208">
        <f t="shared" ref="N156:N157" si="163">TRUNC(K156*F156,2)</f>
        <v>216.61</v>
      </c>
      <c r="O156" s="210">
        <f t="shared" ref="O156:O157" si="164">M156+N156</f>
        <v>2166.11</v>
      </c>
      <c r="P156" s="205" t="s">
        <v>146</v>
      </c>
      <c r="Q156" s="205"/>
      <c r="R156" s="213">
        <v>46023</v>
      </c>
      <c r="S156" s="347"/>
    </row>
    <row r="157" spans="1:19" s="215" customFormat="1" ht="22.5">
      <c r="A157" s="204">
        <v>0.2034</v>
      </c>
      <c r="B157" s="315">
        <v>0.69289999999999996</v>
      </c>
      <c r="C157" s="205" t="s">
        <v>521</v>
      </c>
      <c r="D157" s="346" t="s">
        <v>501</v>
      </c>
      <c r="E157" s="205" t="s">
        <v>34</v>
      </c>
      <c r="F157" s="357">
        <v>26</v>
      </c>
      <c r="G157" s="208">
        <f>I157*0.9</f>
        <v>442.35</v>
      </c>
      <c r="H157" s="209">
        <f>I157-G157</f>
        <v>49.149999999999977</v>
      </c>
      <c r="I157" s="210">
        <v>491.5</v>
      </c>
      <c r="J157" s="211">
        <f t="shared" si="159"/>
        <v>532.32399000000009</v>
      </c>
      <c r="K157" s="212">
        <f t="shared" si="160"/>
        <v>59.147109999999977</v>
      </c>
      <c r="L157" s="210">
        <f t="shared" si="161"/>
        <v>591.47110000000009</v>
      </c>
      <c r="M157" s="208">
        <f t="shared" si="162"/>
        <v>13840.42</v>
      </c>
      <c r="N157" s="208">
        <f t="shared" si="163"/>
        <v>1537.82</v>
      </c>
      <c r="O157" s="210">
        <f t="shared" si="164"/>
        <v>15378.24</v>
      </c>
      <c r="P157" s="205" t="s">
        <v>364</v>
      </c>
      <c r="Q157" s="205">
        <v>10000</v>
      </c>
      <c r="R157" s="213">
        <v>46023</v>
      </c>
      <c r="S157" s="347"/>
    </row>
    <row r="158" spans="1:19" s="215" customFormat="1" ht="22.5">
      <c r="A158" s="204">
        <v>0.2034</v>
      </c>
      <c r="B158" s="315">
        <v>0.69289999999999996</v>
      </c>
      <c r="C158" s="205" t="s">
        <v>522</v>
      </c>
      <c r="D158" s="346" t="s">
        <v>502</v>
      </c>
      <c r="E158" s="205" t="s">
        <v>34</v>
      </c>
      <c r="F158" s="357">
        <v>2</v>
      </c>
      <c r="G158" s="208">
        <f>I158*0.9</f>
        <v>758.3130000000001</v>
      </c>
      <c r="H158" s="209">
        <f>I158-G158</f>
        <v>84.256999999999948</v>
      </c>
      <c r="I158" s="210">
        <v>842.57</v>
      </c>
      <c r="J158" s="211">
        <f t="shared" si="135"/>
        <v>912.55386420000013</v>
      </c>
      <c r="K158" s="212">
        <f t="shared" si="136"/>
        <v>101.39487379999994</v>
      </c>
      <c r="L158" s="210">
        <f t="shared" si="137"/>
        <v>1013.948738</v>
      </c>
      <c r="M158" s="208">
        <f t="shared" si="138"/>
        <v>1825.1</v>
      </c>
      <c r="N158" s="208">
        <f t="shared" si="139"/>
        <v>202.78</v>
      </c>
      <c r="O158" s="210">
        <f t="shared" si="140"/>
        <v>2027.8799999999999</v>
      </c>
      <c r="P158" s="205" t="s">
        <v>364</v>
      </c>
      <c r="Q158" s="205">
        <v>10000</v>
      </c>
      <c r="R158" s="213">
        <v>46023</v>
      </c>
      <c r="S158" s="347"/>
    </row>
    <row r="159" spans="1:19" s="222" customFormat="1">
      <c r="A159" s="216"/>
      <c r="B159" s="216"/>
      <c r="C159" s="216"/>
      <c r="D159" s="216"/>
      <c r="E159" s="216"/>
      <c r="F159" s="216"/>
      <c r="G159" s="217"/>
      <c r="H159" s="218"/>
      <c r="I159" s="219"/>
      <c r="J159" s="218"/>
      <c r="K159" s="218"/>
      <c r="L159" s="220" t="s">
        <v>314</v>
      </c>
      <c r="M159" s="219">
        <f t="shared" ref="M159:N159" si="165">SUM(M147:M158)</f>
        <v>57578.869999999995</v>
      </c>
      <c r="N159" s="219">
        <f t="shared" si="165"/>
        <v>42165.66</v>
      </c>
      <c r="O159" s="219">
        <f>SUM(O147:O158)</f>
        <v>99744.530000000013</v>
      </c>
      <c r="P159" s="216"/>
      <c r="Q159" s="216"/>
      <c r="R159" s="216"/>
      <c r="S159" s="348"/>
    </row>
    <row r="160" spans="1:19">
      <c r="A160" s="224"/>
      <c r="B160" s="224"/>
      <c r="C160" s="224"/>
      <c r="D160" s="225"/>
      <c r="E160" s="225"/>
      <c r="F160" s="225"/>
      <c r="G160" s="225"/>
      <c r="H160" s="225"/>
      <c r="I160" s="225"/>
      <c r="J160" s="225"/>
      <c r="K160" s="384" t="s">
        <v>320</v>
      </c>
      <c r="L160" s="384"/>
      <c r="M160" s="226">
        <f t="shared" ref="M160:N160" si="166">SUM(M159,M145,M139,M136,M127,M123,M117,M109,M96,M79,M70,M47,M39,M32,M25,M22,M13)</f>
        <v>166412.89999999997</v>
      </c>
      <c r="N160" s="226">
        <f t="shared" si="166"/>
        <v>98319.94</v>
      </c>
      <c r="O160" s="226">
        <f>SUM(O159,O145,O139,O136,O127,O123,O117,O109,O96,O79,O70,O47,O39,O32,O25,O22,O13)</f>
        <v>264732.84000000003</v>
      </c>
      <c r="P160" s="197"/>
      <c r="Q160" s="197"/>
      <c r="R160" s="197"/>
    </row>
    <row r="161" spans="1:19">
      <c r="A161" s="186"/>
      <c r="B161" s="385" t="s">
        <v>321</v>
      </c>
      <c r="C161" s="385"/>
      <c r="D161" s="385"/>
      <c r="E161" s="385"/>
      <c r="F161" s="385"/>
      <c r="G161" s="385"/>
      <c r="H161" s="385"/>
      <c r="I161" s="385"/>
      <c r="J161" s="385"/>
      <c r="K161" s="385"/>
      <c r="L161" s="385"/>
      <c r="M161" s="385"/>
      <c r="N161" s="385"/>
      <c r="O161" s="385"/>
      <c r="P161" s="385"/>
      <c r="Q161" s="385"/>
      <c r="R161" s="385"/>
    </row>
    <row r="162" spans="1:19">
      <c r="A162" s="186"/>
      <c r="B162" s="355"/>
      <c r="C162" s="355"/>
      <c r="D162" s="358" t="s">
        <v>508</v>
      </c>
      <c r="E162" s="386">
        <f>O160-O159</f>
        <v>164988.31</v>
      </c>
      <c r="F162" s="386"/>
      <c r="G162" s="355"/>
      <c r="H162" s="355"/>
      <c r="I162" s="355"/>
      <c r="J162" s="355"/>
      <c r="K162" s="355"/>
      <c r="L162" s="355"/>
      <c r="M162" s="355"/>
      <c r="N162" s="355"/>
      <c r="O162" s="355"/>
      <c r="P162" s="355"/>
      <c r="Q162" s="355"/>
      <c r="R162" s="355"/>
    </row>
    <row r="163" spans="1:19">
      <c r="A163" s="186"/>
      <c r="B163" s="355"/>
      <c r="C163" s="355"/>
      <c r="D163" s="358" t="s">
        <v>509</v>
      </c>
      <c r="E163" s="386">
        <f>O159</f>
        <v>99744.530000000013</v>
      </c>
      <c r="F163" s="386"/>
      <c r="G163" s="355"/>
      <c r="H163" s="355"/>
      <c r="I163" s="355"/>
      <c r="J163" s="355"/>
      <c r="K163" s="355"/>
      <c r="L163" s="355"/>
      <c r="M163" s="355"/>
      <c r="N163" s="355"/>
      <c r="O163" s="355"/>
      <c r="P163" s="355"/>
      <c r="Q163" s="355"/>
      <c r="R163" s="355"/>
    </row>
    <row r="164" spans="1:19">
      <c r="A164" s="186"/>
      <c r="B164" s="359"/>
      <c r="C164" s="359"/>
      <c r="D164" s="358" t="s">
        <v>10</v>
      </c>
      <c r="E164" s="387">
        <f>E163+E162</f>
        <v>264732.84000000003</v>
      </c>
      <c r="F164" s="388"/>
      <c r="G164" s="359"/>
      <c r="H164" s="359"/>
      <c r="I164" s="359"/>
      <c r="J164" s="359"/>
      <c r="K164" s="359"/>
      <c r="L164" s="359"/>
      <c r="M164" s="359"/>
      <c r="N164" s="359"/>
      <c r="O164" s="359"/>
      <c r="P164" s="359"/>
      <c r="Q164" s="359"/>
      <c r="R164" s="359"/>
    </row>
    <row r="165" spans="1:19" ht="15" customHeight="1">
      <c r="A165" s="186"/>
      <c r="B165" s="381" t="s">
        <v>525</v>
      </c>
      <c r="C165" s="381"/>
      <c r="D165" s="381"/>
      <c r="E165" s="381"/>
      <c r="F165" s="381"/>
      <c r="G165" s="381"/>
      <c r="H165" s="381"/>
      <c r="I165" s="381"/>
      <c r="J165" s="381"/>
      <c r="K165" s="381"/>
      <c r="L165" s="381"/>
      <c r="M165" s="381"/>
      <c r="N165" s="381"/>
      <c r="O165" s="381"/>
      <c r="P165" s="381"/>
      <c r="Q165" s="381"/>
      <c r="R165" s="381"/>
    </row>
    <row r="166" spans="1:19" ht="15" customHeight="1">
      <c r="A166" s="186"/>
      <c r="B166" s="380" t="s">
        <v>322</v>
      </c>
      <c r="C166" s="380"/>
      <c r="D166" s="380"/>
      <c r="E166" s="380"/>
      <c r="F166" s="380"/>
      <c r="G166" s="380"/>
      <c r="H166" s="380"/>
      <c r="I166" s="380"/>
      <c r="J166" s="380"/>
      <c r="K166" s="380"/>
      <c r="L166" s="380"/>
      <c r="M166" s="380"/>
      <c r="N166" s="380"/>
      <c r="O166" s="380"/>
      <c r="P166" s="380"/>
      <c r="Q166" s="380"/>
      <c r="R166" s="380"/>
    </row>
    <row r="167" spans="1:19" hidden="1">
      <c r="A167" s="186"/>
      <c r="B167" s="380"/>
      <c r="C167" s="380"/>
      <c r="D167" s="380"/>
      <c r="E167" s="380"/>
      <c r="F167" s="380"/>
      <c r="G167" s="380"/>
      <c r="H167" s="380"/>
      <c r="I167" s="380"/>
      <c r="J167" s="380"/>
      <c r="K167" s="380"/>
      <c r="L167" s="380"/>
      <c r="M167" s="380"/>
      <c r="N167" s="380"/>
      <c r="O167" s="380"/>
      <c r="P167" s="380"/>
      <c r="Q167" s="380"/>
      <c r="R167" s="380"/>
    </row>
    <row r="168" spans="1:19">
      <c r="A168" s="186"/>
      <c r="B168" s="380"/>
      <c r="C168" s="380"/>
      <c r="D168" s="380"/>
      <c r="E168" s="380"/>
      <c r="F168" s="380"/>
      <c r="G168" s="380"/>
      <c r="H168" s="380"/>
      <c r="I168" s="380"/>
      <c r="J168" s="380"/>
      <c r="K168" s="380"/>
      <c r="L168" s="380"/>
      <c r="M168" s="380"/>
      <c r="N168" s="380"/>
      <c r="O168" s="380"/>
      <c r="P168" s="380"/>
      <c r="Q168" s="380"/>
      <c r="R168" s="380"/>
    </row>
    <row r="169" spans="1:19">
      <c r="A169" s="186"/>
      <c r="B169" s="380"/>
      <c r="C169" s="380"/>
      <c r="D169" s="380"/>
      <c r="E169" s="380"/>
      <c r="F169" s="380"/>
      <c r="G169" s="380"/>
      <c r="H169" s="380"/>
      <c r="I169" s="380"/>
      <c r="J169" s="380"/>
      <c r="K169" s="380"/>
      <c r="L169" s="380"/>
      <c r="M169" s="380"/>
      <c r="N169" s="380"/>
      <c r="O169" s="380"/>
      <c r="P169" s="380"/>
      <c r="Q169" s="380"/>
      <c r="R169" s="380"/>
    </row>
    <row r="170" spans="1:19" ht="15" customHeight="1">
      <c r="A170" s="186"/>
      <c r="B170" s="380"/>
      <c r="C170" s="380"/>
      <c r="D170" s="380"/>
      <c r="E170" s="380"/>
      <c r="F170" s="380"/>
      <c r="G170" s="380"/>
      <c r="H170" s="380"/>
      <c r="I170" s="380"/>
      <c r="J170" s="380"/>
      <c r="K170" s="380"/>
      <c r="L170" s="380"/>
      <c r="M170" s="380"/>
      <c r="N170" s="380"/>
      <c r="O170" s="380"/>
      <c r="P170" s="380"/>
      <c r="Q170" s="380"/>
      <c r="R170" s="380"/>
    </row>
    <row r="171" spans="1:19" ht="15" customHeight="1">
      <c r="A171" s="186"/>
      <c r="B171" s="381" t="s">
        <v>323</v>
      </c>
      <c r="C171" s="381"/>
      <c r="D171" s="381"/>
      <c r="E171" s="381"/>
      <c r="F171" s="381"/>
      <c r="G171" s="381"/>
      <c r="H171" s="381"/>
      <c r="I171" s="381"/>
      <c r="J171" s="381"/>
      <c r="K171" s="381"/>
      <c r="L171" s="381"/>
      <c r="M171" s="381"/>
      <c r="N171" s="381"/>
      <c r="O171" s="381"/>
      <c r="P171" s="381"/>
      <c r="Q171" s="381"/>
      <c r="R171" s="381"/>
    </row>
    <row r="172" spans="1:19" ht="14.45" customHeight="1">
      <c r="A172" s="186"/>
      <c r="B172" s="381" t="s">
        <v>324</v>
      </c>
      <c r="C172" s="381"/>
      <c r="D172" s="381"/>
      <c r="E172" s="381"/>
      <c r="F172" s="381"/>
      <c r="G172" s="381"/>
      <c r="H172" s="381"/>
      <c r="I172" s="381"/>
      <c r="J172" s="381"/>
      <c r="K172" s="381"/>
      <c r="L172" s="381"/>
      <c r="M172" s="381"/>
      <c r="N172" s="381"/>
      <c r="O172" s="381"/>
      <c r="P172" s="381"/>
      <c r="Q172" s="381"/>
      <c r="R172" s="381"/>
      <c r="S172" s="227"/>
    </row>
    <row r="178" spans="1:19" s="184" customFormat="1">
      <c r="A178" s="181"/>
      <c r="B178" s="181"/>
      <c r="P178" s="181"/>
      <c r="Q178" s="181"/>
      <c r="R178" s="181"/>
      <c r="S178" s="180"/>
    </row>
  </sheetData>
  <mergeCells count="29">
    <mergeCell ref="C6:D6"/>
    <mergeCell ref="M6:N6"/>
    <mergeCell ref="D1:O1"/>
    <mergeCell ref="C2:D2"/>
    <mergeCell ref="C3:D3"/>
    <mergeCell ref="C4:D4"/>
    <mergeCell ref="C5:D5"/>
    <mergeCell ref="A7:R8"/>
    <mergeCell ref="A9:A10"/>
    <mergeCell ref="B9:B10"/>
    <mergeCell ref="C9:C10"/>
    <mergeCell ref="D9:D10"/>
    <mergeCell ref="E9:E10"/>
    <mergeCell ref="F9:F10"/>
    <mergeCell ref="G9:I9"/>
    <mergeCell ref="J9:L9"/>
    <mergeCell ref="M9:O9"/>
    <mergeCell ref="B166:R170"/>
    <mergeCell ref="B171:R171"/>
    <mergeCell ref="B172:R172"/>
    <mergeCell ref="P9:P10"/>
    <mergeCell ref="Q9:Q10"/>
    <mergeCell ref="R9:R10"/>
    <mergeCell ref="K160:L160"/>
    <mergeCell ref="B161:R161"/>
    <mergeCell ref="B165:R165"/>
    <mergeCell ref="E162:F162"/>
    <mergeCell ref="E163:F163"/>
    <mergeCell ref="E164:F164"/>
  </mergeCells>
  <printOptions horizontalCentered="1"/>
  <pageMargins left="0.70866141732283472" right="0.70866141732283472" top="0.74803149606299213" bottom="0.74803149606299213" header="0.31496062992125984" footer="0.31496062992125984"/>
  <pageSetup paperSize="9" scale="49"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5"/>
  <sheetViews>
    <sheetView zoomScale="55" zoomScaleNormal="55" workbookViewId="0">
      <selection activeCell="A2" sqref="A2:H96"/>
    </sheetView>
  </sheetViews>
  <sheetFormatPr defaultColWidth="8.25" defaultRowHeight="15"/>
  <cols>
    <col min="1" max="1" width="22.5" style="83" customWidth="1"/>
    <col min="2" max="2" width="11.75" style="83" customWidth="1"/>
    <col min="3" max="3" width="15.875" style="83" customWidth="1"/>
    <col min="4" max="4" width="75.875" style="256" customWidth="1"/>
    <col min="5" max="5" width="9.375" style="83" bestFit="1" customWidth="1"/>
    <col min="6" max="6" width="9" style="83" customWidth="1"/>
    <col min="7" max="7" width="13.125" style="83" customWidth="1"/>
    <col min="8" max="8" width="15.25" style="83" customWidth="1"/>
    <col min="9" max="13" width="8.25" style="83"/>
    <col min="14" max="14" width="13.25" style="83" customWidth="1"/>
    <col min="15" max="16384" width="8.25" style="83"/>
  </cols>
  <sheetData>
    <row r="1" spans="1:11" ht="4.9000000000000004" customHeight="1">
      <c r="A1" s="85"/>
      <c r="B1" s="85"/>
      <c r="C1" s="85"/>
      <c r="D1" s="88"/>
      <c r="E1" s="85"/>
      <c r="F1" s="85"/>
      <c r="G1" s="85"/>
      <c r="H1" s="85"/>
    </row>
    <row r="2" spans="1:11" ht="16.5">
      <c r="A2" s="228"/>
      <c r="B2" s="229"/>
      <c r="C2" s="229"/>
      <c r="D2" s="230"/>
      <c r="E2" s="231"/>
      <c r="F2" s="229"/>
      <c r="G2" s="229"/>
      <c r="H2" s="232"/>
    </row>
    <row r="3" spans="1:11" ht="18.75" customHeight="1">
      <c r="A3" s="233" t="s">
        <v>293</v>
      </c>
      <c r="B3" s="344" t="str">
        <f>'Orçamento Geral'!U2</f>
        <v>CANIL COMUNITÁRIO</v>
      </c>
      <c r="C3" s="344"/>
      <c r="D3" s="344"/>
      <c r="E3" s="344"/>
      <c r="F3" s="234"/>
      <c r="G3" s="234"/>
      <c r="H3" s="235"/>
    </row>
    <row r="4" spans="1:11" ht="16.5">
      <c r="A4" s="233" t="s">
        <v>294</v>
      </c>
      <c r="B4" s="404" t="str">
        <f>'Orçamento Geral'!U3</f>
        <v>RUA ORFELINO BIZARRO MARTINS - TAQUARI/RS</v>
      </c>
      <c r="C4" s="404"/>
      <c r="D4" s="404"/>
      <c r="E4" s="404"/>
      <c r="F4" s="234"/>
      <c r="G4" s="234"/>
      <c r="H4" s="235"/>
    </row>
    <row r="5" spans="1:11" ht="16.5">
      <c r="A5" s="233" t="s">
        <v>295</v>
      </c>
      <c r="B5" s="404" t="str">
        <f>'Orçamento Geral'!U4</f>
        <v>SINAPI - RIO GRANDE DO SUL JANEIRO/2026 NÃO DESONERADO</v>
      </c>
      <c r="C5" s="404"/>
      <c r="D5" s="404"/>
      <c r="E5" s="404"/>
      <c r="F5" s="234"/>
      <c r="G5" s="234"/>
      <c r="H5" s="235"/>
    </row>
    <row r="6" spans="1:11" ht="16.5">
      <c r="A6" s="233"/>
      <c r="B6" s="404" t="str">
        <f>'Orçamento Geral'!U5</f>
        <v>ORSE - JANEIRO/2026</v>
      </c>
      <c r="C6" s="404"/>
      <c r="D6" s="404"/>
      <c r="E6" s="404"/>
      <c r="F6" s="234"/>
      <c r="G6" s="234"/>
      <c r="H6" s="235"/>
    </row>
    <row r="7" spans="1:11" ht="31.5" customHeight="1">
      <c r="A7" s="236"/>
      <c r="B7" s="234"/>
      <c r="C7" s="234"/>
      <c r="D7" s="405" t="s">
        <v>359</v>
      </c>
      <c r="E7" s="237"/>
      <c r="F7" s="234"/>
      <c r="G7" s="234"/>
      <c r="H7" s="235"/>
    </row>
    <row r="8" spans="1:11">
      <c r="A8" s="238"/>
      <c r="B8" s="239"/>
      <c r="C8" s="239"/>
      <c r="D8" s="406"/>
      <c r="E8" s="239"/>
      <c r="F8" s="239"/>
      <c r="G8" s="239"/>
      <c r="H8" s="240"/>
    </row>
    <row r="9" spans="1:11" s="257" customFormat="1" ht="41.25" customHeight="1">
      <c r="A9" s="411" t="s">
        <v>165</v>
      </c>
      <c r="B9" s="411" t="s">
        <v>4</v>
      </c>
      <c r="C9" s="413" t="s">
        <v>415</v>
      </c>
      <c r="D9" s="414"/>
      <c r="E9" s="263" t="s">
        <v>169</v>
      </c>
      <c r="F9" s="407">
        <f>SUM(H12,H14,H15,H17,H18)</f>
        <v>64.78</v>
      </c>
      <c r="G9" s="408"/>
      <c r="H9" s="409">
        <f>SUM(F9:G10)</f>
        <v>71.13</v>
      </c>
    </row>
    <row r="10" spans="1:11" s="257" customFormat="1" ht="37.5" customHeight="1">
      <c r="A10" s="412"/>
      <c r="B10" s="412"/>
      <c r="C10" s="415"/>
      <c r="D10" s="416"/>
      <c r="E10" s="263" t="s">
        <v>170</v>
      </c>
      <c r="F10" s="407">
        <f>SUM(H13,H16)</f>
        <v>6.3500000000000005</v>
      </c>
      <c r="G10" s="408"/>
      <c r="H10" s="410"/>
    </row>
    <row r="11" spans="1:11" s="257" customFormat="1" ht="19.5" customHeight="1">
      <c r="A11" s="267" t="s">
        <v>360</v>
      </c>
      <c r="B11" s="267" t="s">
        <v>361</v>
      </c>
      <c r="C11" s="267" t="s">
        <v>308</v>
      </c>
      <c r="D11" s="268" t="s">
        <v>301</v>
      </c>
      <c r="E11" s="267" t="s">
        <v>302</v>
      </c>
      <c r="F11" s="267" t="s">
        <v>303</v>
      </c>
      <c r="G11" s="269" t="s">
        <v>362</v>
      </c>
      <c r="H11" s="269" t="s">
        <v>10</v>
      </c>
      <c r="K11" s="258"/>
    </row>
    <row r="12" spans="1:11" s="257" customFormat="1" ht="30">
      <c r="A12" s="270" t="s">
        <v>363</v>
      </c>
      <c r="B12" s="270" t="s">
        <v>9</v>
      </c>
      <c r="C12" s="270">
        <v>38405</v>
      </c>
      <c r="D12" s="271" t="s">
        <v>412</v>
      </c>
      <c r="E12" s="270" t="s">
        <v>11</v>
      </c>
      <c r="F12" s="270">
        <v>7.7754000000000004E-2</v>
      </c>
      <c r="G12" s="272">
        <v>576.58000000000004</v>
      </c>
      <c r="H12" s="272">
        <f t="shared" ref="H12" si="0">TRUNC(F12*G12,2)</f>
        <v>44.83</v>
      </c>
      <c r="K12" s="258"/>
    </row>
    <row r="13" spans="1:11" s="257" customFormat="1">
      <c r="A13" s="270" t="s">
        <v>183</v>
      </c>
      <c r="B13" s="270" t="s">
        <v>9</v>
      </c>
      <c r="C13" s="270">
        <v>88316</v>
      </c>
      <c r="D13" s="271" t="s">
        <v>8</v>
      </c>
      <c r="E13" s="270" t="s">
        <v>7</v>
      </c>
      <c r="F13" s="270">
        <v>0.2263</v>
      </c>
      <c r="G13" s="272">
        <v>24.83</v>
      </c>
      <c r="H13" s="272">
        <f t="shared" ref="H13" si="1">TRUNC(F13*G13,2)</f>
        <v>5.61</v>
      </c>
    </row>
    <row r="14" spans="1:11" s="257" customFormat="1" ht="63" customHeight="1">
      <c r="A14" s="270" t="s">
        <v>183</v>
      </c>
      <c r="B14" s="270" t="s">
        <v>9</v>
      </c>
      <c r="C14" s="270">
        <v>90680</v>
      </c>
      <c r="D14" s="271" t="s">
        <v>79</v>
      </c>
      <c r="E14" s="270" t="s">
        <v>32</v>
      </c>
      <c r="F14" s="270">
        <v>2.47E-2</v>
      </c>
      <c r="G14" s="272">
        <v>419.48</v>
      </c>
      <c r="H14" s="272">
        <f t="shared" ref="H14:H18" si="2">TRUNC(F14*G14,2)</f>
        <v>10.36</v>
      </c>
    </row>
    <row r="15" spans="1:11" s="257" customFormat="1" ht="64.900000000000006" customHeight="1">
      <c r="A15" s="270" t="s">
        <v>183</v>
      </c>
      <c r="B15" s="270" t="s">
        <v>9</v>
      </c>
      <c r="C15" s="270">
        <v>90681</v>
      </c>
      <c r="D15" s="271" t="s">
        <v>413</v>
      </c>
      <c r="E15" s="270" t="s">
        <v>84</v>
      </c>
      <c r="F15" s="270">
        <v>4.9000000000000002E-2</v>
      </c>
      <c r="G15" s="272">
        <v>182.36</v>
      </c>
      <c r="H15" s="272">
        <f t="shared" si="2"/>
        <v>8.93</v>
      </c>
    </row>
    <row r="16" spans="1:11" s="257" customFormat="1">
      <c r="A16" s="270" t="s">
        <v>183</v>
      </c>
      <c r="B16" s="270" t="s">
        <v>9</v>
      </c>
      <c r="C16" s="270">
        <v>90778</v>
      </c>
      <c r="D16" s="271" t="s">
        <v>414</v>
      </c>
      <c r="E16" s="270" t="s">
        <v>7</v>
      </c>
      <c r="F16" s="270">
        <v>5.1000000000000004E-3</v>
      </c>
      <c r="G16" s="272">
        <v>146.28</v>
      </c>
      <c r="H16" s="272">
        <f t="shared" si="2"/>
        <v>0.74</v>
      </c>
    </row>
    <row r="17" spans="1:11" s="257" customFormat="1" ht="30">
      <c r="A17" s="270" t="s">
        <v>183</v>
      </c>
      <c r="B17" s="270" t="s">
        <v>9</v>
      </c>
      <c r="C17" s="270">
        <v>97913</v>
      </c>
      <c r="D17" s="271" t="s">
        <v>82</v>
      </c>
      <c r="E17" s="270" t="s">
        <v>85</v>
      </c>
      <c r="F17" s="270">
        <v>2.0500000000000001E-2</v>
      </c>
      <c r="G17" s="272">
        <v>3.54</v>
      </c>
      <c r="H17" s="272">
        <f t="shared" si="2"/>
        <v>7.0000000000000007E-2</v>
      </c>
    </row>
    <row r="18" spans="1:11" s="257" customFormat="1" ht="45">
      <c r="A18" s="270" t="s">
        <v>183</v>
      </c>
      <c r="B18" s="270" t="s">
        <v>9</v>
      </c>
      <c r="C18" s="270">
        <v>100973</v>
      </c>
      <c r="D18" s="271" t="s">
        <v>83</v>
      </c>
      <c r="E18" s="270" t="s">
        <v>11</v>
      </c>
      <c r="F18" s="270">
        <v>6.1400000000000003E-2</v>
      </c>
      <c r="G18" s="272">
        <v>9.7200000000000006</v>
      </c>
      <c r="H18" s="272">
        <f t="shared" si="2"/>
        <v>0.59</v>
      </c>
    </row>
    <row r="19" spans="1:11" s="257" customFormat="1">
      <c r="A19" s="264"/>
      <c r="B19" s="264"/>
      <c r="C19" s="264"/>
      <c r="D19" s="265"/>
      <c r="E19" s="264"/>
      <c r="F19" s="264"/>
      <c r="G19" s="266"/>
      <c r="H19" s="266"/>
    </row>
    <row r="20" spans="1:11" s="257" customFormat="1">
      <c r="A20" s="264"/>
      <c r="B20" s="264"/>
      <c r="C20" s="264"/>
      <c r="D20" s="265"/>
      <c r="E20" s="264"/>
      <c r="F20" s="264"/>
      <c r="G20" s="266"/>
      <c r="H20" s="266"/>
    </row>
    <row r="21" spans="1:11" s="257" customFormat="1" ht="41.25" customHeight="1">
      <c r="A21" s="411" t="s">
        <v>99</v>
      </c>
      <c r="B21" s="411" t="s">
        <v>11</v>
      </c>
      <c r="C21" s="413" t="s">
        <v>120</v>
      </c>
      <c r="D21" s="414"/>
      <c r="E21" s="263" t="s">
        <v>169</v>
      </c>
      <c r="F21" s="407">
        <f>SUM(H24,H27:H28)</f>
        <v>691.89</v>
      </c>
      <c r="G21" s="408"/>
      <c r="H21" s="409">
        <f>SUM(F21:G22)</f>
        <v>716.23</v>
      </c>
    </row>
    <row r="22" spans="1:11" s="257" customFormat="1" ht="37.5" customHeight="1">
      <c r="A22" s="412"/>
      <c r="B22" s="412"/>
      <c r="C22" s="415"/>
      <c r="D22" s="416"/>
      <c r="E22" s="263" t="s">
        <v>170</v>
      </c>
      <c r="F22" s="407">
        <f>SUM(H25:H26)</f>
        <v>24.34</v>
      </c>
      <c r="G22" s="408"/>
      <c r="H22" s="410"/>
    </row>
    <row r="23" spans="1:11" s="257" customFormat="1" ht="19.5" customHeight="1">
      <c r="A23" s="267" t="s">
        <v>360</v>
      </c>
      <c r="B23" s="267" t="s">
        <v>361</v>
      </c>
      <c r="C23" s="267" t="s">
        <v>308</v>
      </c>
      <c r="D23" s="268" t="s">
        <v>301</v>
      </c>
      <c r="E23" s="267" t="s">
        <v>302</v>
      </c>
      <c r="F23" s="267" t="s">
        <v>303</v>
      </c>
      <c r="G23" s="269" t="s">
        <v>362</v>
      </c>
      <c r="H23" s="269" t="s">
        <v>10</v>
      </c>
      <c r="K23" s="258"/>
    </row>
    <row r="24" spans="1:11" s="257" customFormat="1" ht="45">
      <c r="A24" s="270" t="s">
        <v>363</v>
      </c>
      <c r="B24" s="270" t="s">
        <v>9</v>
      </c>
      <c r="C24" s="270">
        <v>1527</v>
      </c>
      <c r="D24" s="271" t="s">
        <v>416</v>
      </c>
      <c r="E24" s="270" t="s">
        <v>11</v>
      </c>
      <c r="F24" s="270">
        <v>1.1499999999999999</v>
      </c>
      <c r="G24" s="272">
        <v>601.49</v>
      </c>
      <c r="H24" s="272">
        <f t="shared" ref="H24" si="3">TRUNC(F24*G24,2)</f>
        <v>691.71</v>
      </c>
      <c r="K24" s="258"/>
    </row>
    <row r="25" spans="1:11" s="257" customFormat="1">
      <c r="A25" s="270" t="s">
        <v>183</v>
      </c>
      <c r="B25" s="270" t="s">
        <v>9</v>
      </c>
      <c r="C25" s="270">
        <v>88309</v>
      </c>
      <c r="D25" s="271" t="s">
        <v>92</v>
      </c>
      <c r="E25" s="270" t="s">
        <v>7</v>
      </c>
      <c r="F25" s="270">
        <v>0.36299999999999999</v>
      </c>
      <c r="G25" s="272">
        <v>29.88</v>
      </c>
      <c r="H25" s="272">
        <f t="shared" ref="H25" si="4">TRUNC(F25*G25,2)</f>
        <v>10.84</v>
      </c>
    </row>
    <row r="26" spans="1:11" s="257" customFormat="1">
      <c r="A26" s="270" t="s">
        <v>183</v>
      </c>
      <c r="B26" s="270" t="s">
        <v>9</v>
      </c>
      <c r="C26" s="270">
        <v>88316</v>
      </c>
      <c r="D26" s="271" t="s">
        <v>8</v>
      </c>
      <c r="E26" s="270" t="s">
        <v>7</v>
      </c>
      <c r="F26" s="270">
        <v>0.54400000000000004</v>
      </c>
      <c r="G26" s="272">
        <v>24.83</v>
      </c>
      <c r="H26" s="272">
        <f t="shared" ref="H26:H28" si="5">TRUNC(F26*G26,2)</f>
        <v>13.5</v>
      </c>
    </row>
    <row r="27" spans="1:11" s="257" customFormat="1" ht="30">
      <c r="A27" s="270" t="s">
        <v>183</v>
      </c>
      <c r="B27" s="270" t="s">
        <v>9</v>
      </c>
      <c r="C27" s="270">
        <v>90586</v>
      </c>
      <c r="D27" s="271" t="s">
        <v>90</v>
      </c>
      <c r="E27" s="270" t="s">
        <v>32</v>
      </c>
      <c r="F27" s="270">
        <v>8.7999999999999995E-2</v>
      </c>
      <c r="G27" s="272">
        <v>1.53</v>
      </c>
      <c r="H27" s="272">
        <f t="shared" si="5"/>
        <v>0.13</v>
      </c>
    </row>
    <row r="28" spans="1:11" s="257" customFormat="1" ht="30">
      <c r="A28" s="270" t="s">
        <v>183</v>
      </c>
      <c r="B28" s="270" t="s">
        <v>9</v>
      </c>
      <c r="C28" s="270">
        <v>90587</v>
      </c>
      <c r="D28" s="271" t="s">
        <v>91</v>
      </c>
      <c r="E28" s="270" t="s">
        <v>84</v>
      </c>
      <c r="F28" s="270">
        <v>9.2999999999999999E-2</v>
      </c>
      <c r="G28" s="272">
        <v>0.6</v>
      </c>
      <c r="H28" s="272">
        <f t="shared" si="5"/>
        <v>0.05</v>
      </c>
    </row>
    <row r="29" spans="1:11" s="257" customFormat="1">
      <c r="A29" s="273"/>
      <c r="B29" s="273"/>
      <c r="C29" s="273"/>
      <c r="D29" s="274"/>
      <c r="E29" s="273"/>
      <c r="F29" s="273"/>
      <c r="G29" s="275"/>
      <c r="H29" s="275"/>
      <c r="K29" s="258"/>
    </row>
    <row r="30" spans="1:11" s="257" customFormat="1">
      <c r="A30" s="273"/>
      <c r="B30" s="273"/>
      <c r="C30" s="273"/>
      <c r="D30" s="274"/>
      <c r="E30" s="273"/>
      <c r="F30" s="273"/>
      <c r="G30" s="275"/>
      <c r="H30" s="275"/>
      <c r="K30" s="258"/>
    </row>
    <row r="31" spans="1:11" s="257" customFormat="1" ht="41.25" customHeight="1">
      <c r="A31" s="411" t="s">
        <v>98</v>
      </c>
      <c r="B31" s="411" t="s">
        <v>5</v>
      </c>
      <c r="C31" s="413" t="s">
        <v>417</v>
      </c>
      <c r="D31" s="414"/>
      <c r="E31" s="263" t="s">
        <v>169</v>
      </c>
      <c r="F31" s="407">
        <f>SUM(H34:H35)</f>
        <v>149.65</v>
      </c>
      <c r="G31" s="408"/>
      <c r="H31" s="409">
        <f>SUM(F31:G32)</f>
        <v>205.44</v>
      </c>
    </row>
    <row r="32" spans="1:11" s="257" customFormat="1" ht="37.5" customHeight="1">
      <c r="A32" s="412"/>
      <c r="B32" s="412"/>
      <c r="C32" s="415"/>
      <c r="D32" s="416"/>
      <c r="E32" s="263" t="s">
        <v>170</v>
      </c>
      <c r="F32" s="407">
        <f>SUM(H36:H37)</f>
        <v>55.79</v>
      </c>
      <c r="G32" s="408"/>
      <c r="H32" s="410"/>
    </row>
    <row r="33" spans="1:11" s="257" customFormat="1" ht="19.5" customHeight="1">
      <c r="A33" s="267" t="s">
        <v>360</v>
      </c>
      <c r="B33" s="267" t="s">
        <v>361</v>
      </c>
      <c r="C33" s="267" t="s">
        <v>308</v>
      </c>
      <c r="D33" s="268" t="s">
        <v>301</v>
      </c>
      <c r="E33" s="267" t="s">
        <v>302</v>
      </c>
      <c r="F33" s="267" t="s">
        <v>303</v>
      </c>
      <c r="G33" s="269" t="s">
        <v>362</v>
      </c>
      <c r="H33" s="269" t="s">
        <v>10</v>
      </c>
      <c r="K33" s="258"/>
    </row>
    <row r="34" spans="1:11" s="257" customFormat="1" ht="13.15" customHeight="1">
      <c r="A34" s="270" t="s">
        <v>315</v>
      </c>
      <c r="B34" s="270" t="s">
        <v>9</v>
      </c>
      <c r="C34" s="270" t="s">
        <v>184</v>
      </c>
      <c r="D34" s="271" t="s">
        <v>418</v>
      </c>
      <c r="E34" s="270" t="s">
        <v>11</v>
      </c>
      <c r="F34" s="270">
        <v>9.6299999999999997E-2</v>
      </c>
      <c r="G34" s="272">
        <v>909.6</v>
      </c>
      <c r="H34" s="272">
        <f t="shared" ref="H34:H37" si="6">TRUNC(F34*G34,2)</f>
        <v>87.59</v>
      </c>
    </row>
    <row r="35" spans="1:11" s="257" customFormat="1">
      <c r="A35" s="270" t="s">
        <v>363</v>
      </c>
      <c r="B35" s="270" t="s">
        <v>122</v>
      </c>
      <c r="C35" s="270"/>
      <c r="D35" s="271" t="s">
        <v>419</v>
      </c>
      <c r="E35" s="270" t="s">
        <v>34</v>
      </c>
      <c r="F35" s="270">
        <v>10.52</v>
      </c>
      <c r="G35" s="272">
        <v>5.9</v>
      </c>
      <c r="H35" s="272">
        <f t="shared" si="6"/>
        <v>62.06</v>
      </c>
    </row>
    <row r="36" spans="1:11" s="257" customFormat="1">
      <c r="A36" s="270" t="s">
        <v>315</v>
      </c>
      <c r="B36" s="270" t="s">
        <v>9</v>
      </c>
      <c r="C36" s="270">
        <v>88309</v>
      </c>
      <c r="D36" s="271" t="s">
        <v>92</v>
      </c>
      <c r="E36" s="270" t="s">
        <v>7</v>
      </c>
      <c r="F36" s="270">
        <v>1.02</v>
      </c>
      <c r="G36" s="272">
        <v>29.88</v>
      </c>
      <c r="H36" s="272">
        <f t="shared" si="6"/>
        <v>30.47</v>
      </c>
    </row>
    <row r="37" spans="1:11" s="257" customFormat="1">
      <c r="A37" s="270" t="s">
        <v>315</v>
      </c>
      <c r="B37" s="270" t="s">
        <v>9</v>
      </c>
      <c r="C37" s="270">
        <v>88316</v>
      </c>
      <c r="D37" s="271" t="s">
        <v>8</v>
      </c>
      <c r="E37" s="270" t="s">
        <v>7</v>
      </c>
      <c r="F37" s="270">
        <v>1.02</v>
      </c>
      <c r="G37" s="272">
        <v>24.83</v>
      </c>
      <c r="H37" s="272">
        <f t="shared" si="6"/>
        <v>25.32</v>
      </c>
    </row>
    <row r="38" spans="1:11" ht="13.15" customHeight="1">
      <c r="A38" s="250"/>
      <c r="B38" s="250"/>
      <c r="C38" s="250"/>
      <c r="D38" s="251"/>
      <c r="E38" s="250"/>
      <c r="F38" s="250"/>
      <c r="G38" s="250"/>
      <c r="H38" s="250"/>
    </row>
    <row r="39" spans="1:11" ht="13.15" customHeight="1">
      <c r="A39" s="250"/>
      <c r="B39" s="250"/>
      <c r="C39" s="250"/>
      <c r="D39" s="251"/>
      <c r="E39" s="250"/>
      <c r="F39" s="250"/>
      <c r="G39" s="250"/>
      <c r="H39" s="250"/>
    </row>
    <row r="40" spans="1:11" ht="41.25" customHeight="1">
      <c r="A40" s="417" t="s">
        <v>187</v>
      </c>
      <c r="B40" s="417" t="s">
        <v>34</v>
      </c>
      <c r="C40" s="419" t="s">
        <v>368</v>
      </c>
      <c r="D40" s="420"/>
      <c r="E40" s="241" t="s">
        <v>169</v>
      </c>
      <c r="F40" s="423">
        <f>SUM(H45:H45)</f>
        <v>17.5</v>
      </c>
      <c r="G40" s="424"/>
      <c r="H40" s="425">
        <f>SUM(F40:G41)</f>
        <v>37.44</v>
      </c>
      <c r="J40" s="83" t="s">
        <v>9</v>
      </c>
      <c r="K40" s="83">
        <v>103783</v>
      </c>
    </row>
    <row r="41" spans="1:11" ht="37.5" customHeight="1">
      <c r="A41" s="418"/>
      <c r="B41" s="418"/>
      <c r="C41" s="421"/>
      <c r="D41" s="422"/>
      <c r="E41" s="241" t="s">
        <v>170</v>
      </c>
      <c r="F41" s="423">
        <f>SUM(H43:H44)</f>
        <v>19.940000000000001</v>
      </c>
      <c r="G41" s="424"/>
      <c r="H41" s="426"/>
    </row>
    <row r="42" spans="1:11" ht="19.5" customHeight="1">
      <c r="A42" s="242" t="s">
        <v>360</v>
      </c>
      <c r="B42" s="242" t="s">
        <v>361</v>
      </c>
      <c r="C42" s="242" t="s">
        <v>308</v>
      </c>
      <c r="D42" s="243" t="s">
        <v>301</v>
      </c>
      <c r="E42" s="242" t="s">
        <v>302</v>
      </c>
      <c r="F42" s="242" t="s">
        <v>303</v>
      </c>
      <c r="G42" s="244" t="s">
        <v>362</v>
      </c>
      <c r="H42" s="244" t="s">
        <v>10</v>
      </c>
      <c r="K42" s="245"/>
    </row>
    <row r="43" spans="1:11">
      <c r="A43" s="246" t="s">
        <v>183</v>
      </c>
      <c r="B43" s="246" t="s">
        <v>9</v>
      </c>
      <c r="C43" s="249">
        <v>88264</v>
      </c>
      <c r="D43" s="247" t="s">
        <v>140</v>
      </c>
      <c r="E43" s="246" t="s">
        <v>7</v>
      </c>
      <c r="F43" s="246">
        <v>0.49459180000000003</v>
      </c>
      <c r="G43" s="248">
        <v>31.99</v>
      </c>
      <c r="H43" s="248">
        <f t="shared" ref="H43:H45" si="7">TRUNC(F43*G43,2)</f>
        <v>15.82</v>
      </c>
      <c r="K43" s="245"/>
    </row>
    <row r="44" spans="1:11">
      <c r="A44" s="246" t="s">
        <v>183</v>
      </c>
      <c r="B44" s="246" t="s">
        <v>9</v>
      </c>
      <c r="C44" s="246">
        <v>88247</v>
      </c>
      <c r="D44" s="247" t="s">
        <v>139</v>
      </c>
      <c r="E44" s="246" t="s">
        <v>7</v>
      </c>
      <c r="F44" s="246">
        <v>0.1545599</v>
      </c>
      <c r="G44" s="248">
        <v>26.69</v>
      </c>
      <c r="H44" s="248">
        <f t="shared" si="7"/>
        <v>4.12</v>
      </c>
    </row>
    <row r="45" spans="1:11" ht="30">
      <c r="A45" s="246" t="s">
        <v>363</v>
      </c>
      <c r="B45" s="246" t="s">
        <v>9</v>
      </c>
      <c r="C45" s="246">
        <v>44793</v>
      </c>
      <c r="D45" s="247" t="s">
        <v>369</v>
      </c>
      <c r="E45" s="246" t="s">
        <v>34</v>
      </c>
      <c r="F45" s="246">
        <v>1</v>
      </c>
      <c r="G45" s="248">
        <v>17.5</v>
      </c>
      <c r="H45" s="248">
        <f t="shared" si="7"/>
        <v>17.5</v>
      </c>
      <c r="J45" s="83" t="s">
        <v>375</v>
      </c>
      <c r="K45" s="245"/>
    </row>
    <row r="46" spans="1:11" ht="13.15" customHeight="1">
      <c r="A46" s="250"/>
      <c r="B46" s="250"/>
      <c r="C46" s="250"/>
      <c r="D46" s="251"/>
      <c r="E46" s="250"/>
      <c r="F46" s="250"/>
      <c r="G46" s="250"/>
      <c r="H46" s="250"/>
    </row>
    <row r="47" spans="1:11" ht="13.15" customHeight="1">
      <c r="A47" s="250"/>
      <c r="B47" s="250"/>
      <c r="C47" s="250"/>
      <c r="D47" s="251"/>
      <c r="E47" s="250"/>
      <c r="F47" s="250"/>
      <c r="G47" s="250"/>
      <c r="H47" s="250"/>
      <c r="I47" s="245"/>
    </row>
    <row r="48" spans="1:11" ht="41.25" customHeight="1">
      <c r="A48" s="417" t="s">
        <v>365</v>
      </c>
      <c r="B48" s="417" t="s">
        <v>5</v>
      </c>
      <c r="C48" s="419" t="s">
        <v>398</v>
      </c>
      <c r="D48" s="420"/>
      <c r="E48" s="241" t="s">
        <v>169</v>
      </c>
      <c r="F48" s="423">
        <f>SUM(H51,H54,H55)</f>
        <v>583.84</v>
      </c>
      <c r="G48" s="424"/>
      <c r="H48" s="425">
        <f>SUM(F48:G49)</f>
        <v>799.44</v>
      </c>
    </row>
    <row r="49" spans="1:11" ht="37.5" customHeight="1">
      <c r="A49" s="418"/>
      <c r="B49" s="418"/>
      <c r="C49" s="421"/>
      <c r="D49" s="422"/>
      <c r="E49" s="241" t="s">
        <v>170</v>
      </c>
      <c r="F49" s="423">
        <f>SUM(H52:H53)</f>
        <v>215.6</v>
      </c>
      <c r="G49" s="424"/>
      <c r="H49" s="426"/>
    </row>
    <row r="50" spans="1:11" ht="19.5" customHeight="1">
      <c r="A50" s="242" t="s">
        <v>360</v>
      </c>
      <c r="B50" s="242" t="s">
        <v>361</v>
      </c>
      <c r="C50" s="242" t="s">
        <v>308</v>
      </c>
      <c r="D50" s="243" t="s">
        <v>301</v>
      </c>
      <c r="E50" s="242" t="s">
        <v>302</v>
      </c>
      <c r="F50" s="242" t="s">
        <v>303</v>
      </c>
      <c r="G50" s="244" t="s">
        <v>362</v>
      </c>
      <c r="H50" s="244" t="s">
        <v>10</v>
      </c>
      <c r="K50" s="245"/>
    </row>
    <row r="51" spans="1:11" ht="30">
      <c r="A51" s="246" t="s">
        <v>183</v>
      </c>
      <c r="B51" s="246" t="s">
        <v>9</v>
      </c>
      <c r="C51" s="246">
        <v>88629</v>
      </c>
      <c r="D51" s="247" t="s">
        <v>395</v>
      </c>
      <c r="E51" s="246" t="s">
        <v>11</v>
      </c>
      <c r="F51" s="246">
        <v>2.1000000000000001E-2</v>
      </c>
      <c r="G51" s="248">
        <v>744.27</v>
      </c>
      <c r="H51" s="248">
        <f t="shared" ref="H51" si="8">TRUNC(F51*G51,2)</f>
        <v>15.62</v>
      </c>
      <c r="K51" s="245"/>
    </row>
    <row r="52" spans="1:11">
      <c r="A52" s="246" t="s">
        <v>183</v>
      </c>
      <c r="B52" s="246" t="s">
        <v>9</v>
      </c>
      <c r="C52" s="249">
        <v>88316</v>
      </c>
      <c r="D52" s="247" t="s">
        <v>8</v>
      </c>
      <c r="E52" s="246" t="s">
        <v>7</v>
      </c>
      <c r="F52" s="246">
        <v>2.5489320000000002</v>
      </c>
      <c r="G52" s="248">
        <v>24.83</v>
      </c>
      <c r="H52" s="248">
        <f>TRUNC(F52*G52,2)</f>
        <v>63.28</v>
      </c>
      <c r="K52" s="245"/>
    </row>
    <row r="53" spans="1:11">
      <c r="A53" s="246" t="s">
        <v>183</v>
      </c>
      <c r="B53" s="246" t="s">
        <v>9</v>
      </c>
      <c r="C53" s="249">
        <v>88309</v>
      </c>
      <c r="D53" s="247" t="s">
        <v>92</v>
      </c>
      <c r="E53" s="246" t="s">
        <v>7</v>
      </c>
      <c r="F53" s="246">
        <v>5.0978640000000004</v>
      </c>
      <c r="G53" s="248">
        <v>29.88</v>
      </c>
      <c r="H53" s="248">
        <f t="shared" ref="H53" si="9">TRUNC(F53*G53,2)</f>
        <v>152.32</v>
      </c>
      <c r="K53" s="245"/>
    </row>
    <row r="54" spans="1:11">
      <c r="A54" s="246" t="s">
        <v>363</v>
      </c>
      <c r="B54" s="246" t="s">
        <v>9</v>
      </c>
      <c r="C54" s="249">
        <v>11190</v>
      </c>
      <c r="D54" s="247" t="s">
        <v>396</v>
      </c>
      <c r="E54" s="246" t="s">
        <v>34</v>
      </c>
      <c r="F54" s="246">
        <v>2.778</v>
      </c>
      <c r="G54" s="248">
        <v>171.7</v>
      </c>
      <c r="H54" s="248">
        <f>TRUNC(F54*G54,2)</f>
        <v>476.98</v>
      </c>
      <c r="K54" s="245"/>
    </row>
    <row r="55" spans="1:11">
      <c r="A55" s="246" t="s">
        <v>363</v>
      </c>
      <c r="B55" s="246" t="s">
        <v>9</v>
      </c>
      <c r="C55" s="249">
        <v>10499</v>
      </c>
      <c r="D55" s="247" t="s">
        <v>397</v>
      </c>
      <c r="E55" s="246" t="s">
        <v>5</v>
      </c>
      <c r="F55" s="246">
        <v>1</v>
      </c>
      <c r="G55" s="248">
        <v>91.24</v>
      </c>
      <c r="H55" s="248">
        <f>TRUNC(F55*G55,2)</f>
        <v>91.24</v>
      </c>
      <c r="K55" s="245"/>
    </row>
    <row r="56" spans="1:11" ht="13.15" customHeight="1">
      <c r="A56" s="250"/>
      <c r="B56" s="250"/>
      <c r="C56" s="250"/>
      <c r="D56" s="251"/>
      <c r="E56" s="250"/>
      <c r="F56" s="250"/>
      <c r="G56" s="250"/>
      <c r="H56" s="250"/>
    </row>
    <row r="57" spans="1:11" ht="13.15" customHeight="1">
      <c r="A57" s="250"/>
      <c r="B57" s="250"/>
      <c r="C57" s="250"/>
      <c r="D57" s="251"/>
      <c r="E57" s="250"/>
      <c r="F57" s="250"/>
      <c r="G57" s="250"/>
      <c r="H57" s="250"/>
    </row>
    <row r="58" spans="1:11" ht="41.25" customHeight="1">
      <c r="A58" s="417" t="s">
        <v>366</v>
      </c>
      <c r="B58" s="417" t="s">
        <v>34</v>
      </c>
      <c r="C58" s="419" t="s">
        <v>401</v>
      </c>
      <c r="D58" s="420"/>
      <c r="E58" s="241" t="s">
        <v>169</v>
      </c>
      <c r="F58" s="423">
        <f>SUM(H61,H64)</f>
        <v>322.66000000000003</v>
      </c>
      <c r="G58" s="424"/>
      <c r="H58" s="425">
        <f>SUM(F58:G59)</f>
        <v>355.8</v>
      </c>
      <c r="J58" s="83" t="s">
        <v>9</v>
      </c>
      <c r="K58" s="83">
        <v>94561</v>
      </c>
    </row>
    <row r="59" spans="1:11" ht="37.5" customHeight="1">
      <c r="A59" s="418"/>
      <c r="B59" s="418"/>
      <c r="C59" s="421"/>
      <c r="D59" s="422"/>
      <c r="E59" s="241" t="s">
        <v>170</v>
      </c>
      <c r="F59" s="423">
        <f>SUM(H62:H63)</f>
        <v>33.14</v>
      </c>
      <c r="G59" s="424"/>
      <c r="H59" s="426"/>
    </row>
    <row r="60" spans="1:11" ht="19.5" customHeight="1">
      <c r="A60" s="242" t="s">
        <v>360</v>
      </c>
      <c r="B60" s="242" t="s">
        <v>361</v>
      </c>
      <c r="C60" s="242" t="s">
        <v>308</v>
      </c>
      <c r="D60" s="243" t="s">
        <v>301</v>
      </c>
      <c r="E60" s="242" t="s">
        <v>302</v>
      </c>
      <c r="F60" s="242" t="s">
        <v>303</v>
      </c>
      <c r="G60" s="244" t="s">
        <v>362</v>
      </c>
      <c r="H60" s="244" t="s">
        <v>10</v>
      </c>
      <c r="K60" s="245"/>
    </row>
    <row r="61" spans="1:11" ht="30">
      <c r="A61" s="246" t="s">
        <v>183</v>
      </c>
      <c r="B61" s="246" t="s">
        <v>9</v>
      </c>
      <c r="C61" s="246">
        <v>88629</v>
      </c>
      <c r="D61" s="247" t="s">
        <v>395</v>
      </c>
      <c r="E61" s="246" t="s">
        <v>11</v>
      </c>
      <c r="F61" s="246">
        <v>3.5999999999999999E-3</v>
      </c>
      <c r="G61" s="248">
        <v>744.27</v>
      </c>
      <c r="H61" s="248">
        <f t="shared" ref="H61" si="10">TRUNC(F61*G61,2)</f>
        <v>2.67</v>
      </c>
      <c r="K61" s="245"/>
    </row>
    <row r="62" spans="1:11">
      <c r="A62" s="246" t="s">
        <v>183</v>
      </c>
      <c r="B62" s="246" t="s">
        <v>9</v>
      </c>
      <c r="C62" s="249">
        <v>88316</v>
      </c>
      <c r="D62" s="247" t="s">
        <v>8</v>
      </c>
      <c r="E62" s="246" t="s">
        <v>7</v>
      </c>
      <c r="F62" s="246">
        <v>0.39187281600000001</v>
      </c>
      <c r="G62" s="248">
        <v>24.83</v>
      </c>
      <c r="H62" s="248">
        <f>TRUNC(F62*G62,2)</f>
        <v>9.73</v>
      </c>
      <c r="K62" s="245"/>
    </row>
    <row r="63" spans="1:11">
      <c r="A63" s="246" t="s">
        <v>183</v>
      </c>
      <c r="B63" s="246" t="s">
        <v>9</v>
      </c>
      <c r="C63" s="249">
        <v>88309</v>
      </c>
      <c r="D63" s="247" t="s">
        <v>92</v>
      </c>
      <c r="E63" s="246" t="s">
        <v>7</v>
      </c>
      <c r="F63" s="246">
        <v>0.78374559600000004</v>
      </c>
      <c r="G63" s="248">
        <v>29.88</v>
      </c>
      <c r="H63" s="248">
        <f>TRUNC(F63*G63,2)</f>
        <v>23.41</v>
      </c>
      <c r="K63" s="245"/>
    </row>
    <row r="64" spans="1:11" ht="30" customHeight="1">
      <c r="A64" s="246" t="s">
        <v>363</v>
      </c>
      <c r="B64" s="246" t="s">
        <v>122</v>
      </c>
      <c r="C64" s="249"/>
      <c r="D64" s="247" t="s">
        <v>400</v>
      </c>
      <c r="E64" s="246" t="s">
        <v>34</v>
      </c>
      <c r="F64" s="246">
        <v>1</v>
      </c>
      <c r="G64" s="248">
        <v>319.99</v>
      </c>
      <c r="H64" s="248">
        <f>TRUNC(F64*G64,2)</f>
        <v>319.99</v>
      </c>
      <c r="J64" s="83" t="s">
        <v>399</v>
      </c>
      <c r="K64" s="245"/>
    </row>
    <row r="65" spans="1:11">
      <c r="A65" s="259"/>
      <c r="B65" s="259"/>
      <c r="C65" s="260"/>
      <c r="D65" s="261"/>
      <c r="E65" s="259"/>
      <c r="F65" s="259"/>
      <c r="G65" s="262"/>
      <c r="H65" s="262"/>
      <c r="K65" s="245"/>
    </row>
    <row r="66" spans="1:11">
      <c r="A66" s="259"/>
      <c r="B66" s="259"/>
      <c r="C66" s="260"/>
      <c r="D66" s="261"/>
      <c r="E66" s="259"/>
      <c r="F66" s="259"/>
      <c r="G66" s="262"/>
      <c r="H66" s="262"/>
      <c r="K66" s="245"/>
    </row>
    <row r="67" spans="1:11" ht="41.25" customHeight="1">
      <c r="A67" s="417" t="s">
        <v>367</v>
      </c>
      <c r="B67" s="417" t="s">
        <v>34</v>
      </c>
      <c r="C67" s="419" t="s">
        <v>403</v>
      </c>
      <c r="D67" s="420"/>
      <c r="E67" s="241" t="s">
        <v>169</v>
      </c>
      <c r="F67" s="423">
        <f>SUM(H72:H74)</f>
        <v>869.72</v>
      </c>
      <c r="G67" s="424"/>
      <c r="H67" s="425">
        <f>SUM(F67:G68)</f>
        <v>921.5</v>
      </c>
      <c r="J67" s="83" t="s">
        <v>9</v>
      </c>
      <c r="K67" s="83">
        <v>94807</v>
      </c>
    </row>
    <row r="68" spans="1:11" ht="37.5" customHeight="1">
      <c r="A68" s="418"/>
      <c r="B68" s="418"/>
      <c r="C68" s="421"/>
      <c r="D68" s="422"/>
      <c r="E68" s="241" t="s">
        <v>170</v>
      </c>
      <c r="F68" s="423">
        <f>SUM(H70:H71)</f>
        <v>51.78</v>
      </c>
      <c r="G68" s="424"/>
      <c r="H68" s="426"/>
    </row>
    <row r="69" spans="1:11" ht="19.5" customHeight="1">
      <c r="A69" s="242" t="s">
        <v>360</v>
      </c>
      <c r="B69" s="242" t="s">
        <v>361</v>
      </c>
      <c r="C69" s="242" t="s">
        <v>308</v>
      </c>
      <c r="D69" s="243" t="s">
        <v>301</v>
      </c>
      <c r="E69" s="242" t="s">
        <v>302</v>
      </c>
      <c r="F69" s="242" t="s">
        <v>303</v>
      </c>
      <c r="G69" s="244" t="s">
        <v>362</v>
      </c>
      <c r="H69" s="244" t="s">
        <v>10</v>
      </c>
      <c r="K69" s="245"/>
    </row>
    <row r="70" spans="1:11">
      <c r="A70" s="246" t="s">
        <v>183</v>
      </c>
      <c r="B70" s="246" t="s">
        <v>9</v>
      </c>
      <c r="C70" s="246">
        <v>88316</v>
      </c>
      <c r="D70" s="247" t="s">
        <v>8</v>
      </c>
      <c r="E70" s="246" t="s">
        <v>7</v>
      </c>
      <c r="F70" s="246">
        <v>0.39669019999999999</v>
      </c>
      <c r="G70" s="248">
        <v>24.83</v>
      </c>
      <c r="H70" s="248">
        <f t="shared" ref="H70" si="11">TRUNC(F70*G70,2)</f>
        <v>9.84</v>
      </c>
      <c r="K70" s="245"/>
    </row>
    <row r="71" spans="1:11">
      <c r="A71" s="246" t="s">
        <v>183</v>
      </c>
      <c r="B71" s="246" t="s">
        <v>9</v>
      </c>
      <c r="C71" s="249">
        <v>88309</v>
      </c>
      <c r="D71" s="247" t="s">
        <v>92</v>
      </c>
      <c r="E71" s="246" t="s">
        <v>7</v>
      </c>
      <c r="F71" s="246">
        <v>1.4036728999999999</v>
      </c>
      <c r="G71" s="248">
        <v>29.88</v>
      </c>
      <c r="H71" s="248">
        <f>TRUNC(F71*G71,2)</f>
        <v>41.94</v>
      </c>
      <c r="K71" s="245"/>
    </row>
    <row r="72" spans="1:11" ht="45">
      <c r="A72" s="246" t="s">
        <v>363</v>
      </c>
      <c r="B72" s="246" t="s">
        <v>122</v>
      </c>
      <c r="C72" s="249"/>
      <c r="D72" s="247" t="s">
        <v>407</v>
      </c>
      <c r="E72" s="246" t="s">
        <v>34</v>
      </c>
      <c r="F72" s="246">
        <v>1</v>
      </c>
      <c r="G72" s="248">
        <v>799.9</v>
      </c>
      <c r="H72" s="248">
        <f>TRUNC(F72*G72,2)</f>
        <v>799.9</v>
      </c>
      <c r="J72" s="83" t="s">
        <v>408</v>
      </c>
      <c r="K72" s="245"/>
    </row>
    <row r="73" spans="1:11" ht="30" customHeight="1">
      <c r="A73" s="246" t="s">
        <v>363</v>
      </c>
      <c r="B73" s="246" t="s">
        <v>9</v>
      </c>
      <c r="C73" s="249">
        <v>7568</v>
      </c>
      <c r="D73" s="247" t="s">
        <v>404</v>
      </c>
      <c r="E73" s="246" t="s">
        <v>34</v>
      </c>
      <c r="F73" s="246">
        <v>10</v>
      </c>
      <c r="G73" s="248">
        <v>1.47</v>
      </c>
      <c r="H73" s="248">
        <f>TRUNC(F73*G73,2)</f>
        <v>14.7</v>
      </c>
      <c r="K73" s="245"/>
    </row>
    <row r="74" spans="1:11" ht="30" customHeight="1">
      <c r="A74" s="246" t="s">
        <v>363</v>
      </c>
      <c r="B74" s="246" t="s">
        <v>9</v>
      </c>
      <c r="C74" s="249">
        <v>142</v>
      </c>
      <c r="D74" s="247" t="s">
        <v>405</v>
      </c>
      <c r="E74" s="246" t="s">
        <v>406</v>
      </c>
      <c r="F74" s="246">
        <v>1.6446000000000001</v>
      </c>
      <c r="G74" s="248">
        <v>33.520000000000003</v>
      </c>
      <c r="H74" s="248">
        <f>TRUNC(F74*G74,2)</f>
        <v>55.12</v>
      </c>
      <c r="K74" s="245"/>
    </row>
    <row r="75" spans="1:11">
      <c r="A75" s="259"/>
      <c r="B75" s="259"/>
      <c r="C75" s="260"/>
      <c r="D75" s="261"/>
      <c r="E75" s="259"/>
      <c r="F75" s="259"/>
      <c r="G75" s="262"/>
      <c r="H75" s="262"/>
      <c r="K75" s="245"/>
    </row>
    <row r="76" spans="1:11">
      <c r="A76" s="259"/>
      <c r="B76" s="259"/>
      <c r="C76" s="260"/>
      <c r="D76" s="261"/>
      <c r="E76" s="259"/>
      <c r="F76" s="259"/>
      <c r="G76" s="262"/>
      <c r="H76" s="262"/>
      <c r="K76" s="245"/>
    </row>
    <row r="77" spans="1:11" ht="41.25" customHeight="1">
      <c r="A77" s="417" t="s">
        <v>425</v>
      </c>
      <c r="B77" s="417" t="s">
        <v>34</v>
      </c>
      <c r="C77" s="419" t="s">
        <v>427</v>
      </c>
      <c r="D77" s="420"/>
      <c r="E77" s="241" t="s">
        <v>169</v>
      </c>
      <c r="F77" s="423">
        <f>SUM(H80,H83)</f>
        <v>40.28</v>
      </c>
      <c r="G77" s="424"/>
      <c r="H77" s="425">
        <f>SUM(F77:G78)</f>
        <v>67</v>
      </c>
      <c r="J77" s="83" t="s">
        <v>9</v>
      </c>
      <c r="K77" s="83">
        <v>106480</v>
      </c>
    </row>
    <row r="78" spans="1:11" ht="37.5" customHeight="1">
      <c r="A78" s="418"/>
      <c r="B78" s="418"/>
      <c r="C78" s="421"/>
      <c r="D78" s="422"/>
      <c r="E78" s="241" t="s">
        <v>170</v>
      </c>
      <c r="F78" s="423">
        <f>SUM(H81:H82)</f>
        <v>26.72</v>
      </c>
      <c r="G78" s="424"/>
      <c r="H78" s="426"/>
    </row>
    <row r="79" spans="1:11" ht="19.5" customHeight="1">
      <c r="A79" s="242" t="s">
        <v>360</v>
      </c>
      <c r="B79" s="242" t="s">
        <v>361</v>
      </c>
      <c r="C79" s="242" t="s">
        <v>308</v>
      </c>
      <c r="D79" s="243" t="s">
        <v>301</v>
      </c>
      <c r="E79" s="242" t="s">
        <v>302</v>
      </c>
      <c r="F79" s="242" t="s">
        <v>303</v>
      </c>
      <c r="G79" s="244" t="s">
        <v>362</v>
      </c>
      <c r="H79" s="244" t="s">
        <v>10</v>
      </c>
      <c r="K79" s="245"/>
    </row>
    <row r="80" spans="1:11" ht="30">
      <c r="A80" s="246" t="s">
        <v>183</v>
      </c>
      <c r="B80" s="246" t="s">
        <v>9</v>
      </c>
      <c r="C80" s="246">
        <v>94962</v>
      </c>
      <c r="D80" s="247" t="s">
        <v>426</v>
      </c>
      <c r="E80" s="246" t="s">
        <v>11</v>
      </c>
      <c r="F80" s="246">
        <v>2.2475200000000001E-2</v>
      </c>
      <c r="G80" s="248">
        <v>432.55</v>
      </c>
      <c r="H80" s="248">
        <f t="shared" ref="H80" si="12">TRUNC(F80*G80,2)</f>
        <v>9.7200000000000006</v>
      </c>
      <c r="K80" s="245"/>
    </row>
    <row r="81" spans="1:15">
      <c r="A81" s="246" t="s">
        <v>183</v>
      </c>
      <c r="B81" s="246" t="s">
        <v>9</v>
      </c>
      <c r="C81" s="249">
        <v>88316</v>
      </c>
      <c r="D81" s="247" t="s">
        <v>8</v>
      </c>
      <c r="E81" s="246" t="s">
        <v>7</v>
      </c>
      <c r="F81" s="246">
        <v>0.31597350000000002</v>
      </c>
      <c r="G81" s="248">
        <v>24.83</v>
      </c>
      <c r="H81" s="248">
        <f>TRUNC(F81*G81,2)</f>
        <v>7.84</v>
      </c>
      <c r="K81" s="245"/>
    </row>
    <row r="82" spans="1:15">
      <c r="A82" s="246" t="s">
        <v>183</v>
      </c>
      <c r="B82" s="246" t="s">
        <v>9</v>
      </c>
      <c r="C82" s="249">
        <v>88309</v>
      </c>
      <c r="D82" s="247" t="s">
        <v>92</v>
      </c>
      <c r="E82" s="246" t="s">
        <v>7</v>
      </c>
      <c r="F82" s="246">
        <v>0.63194700000000004</v>
      </c>
      <c r="G82" s="248">
        <v>29.88</v>
      </c>
      <c r="H82" s="248">
        <f>TRUNC(F82*G82,2)</f>
        <v>18.88</v>
      </c>
      <c r="K82" s="245"/>
    </row>
    <row r="83" spans="1:15" ht="30" customHeight="1">
      <c r="A83" s="246" t="s">
        <v>363</v>
      </c>
      <c r="B83" s="246" t="s">
        <v>364</v>
      </c>
      <c r="C83" s="249" t="s">
        <v>428</v>
      </c>
      <c r="D83" s="247" t="s">
        <v>429</v>
      </c>
      <c r="E83" s="246" t="s">
        <v>34</v>
      </c>
      <c r="F83" s="246">
        <v>1</v>
      </c>
      <c r="G83" s="248">
        <v>30.56</v>
      </c>
      <c r="H83" s="248">
        <f>TRUNC(F83*G83,2)</f>
        <v>30.56</v>
      </c>
      <c r="K83" s="245"/>
    </row>
    <row r="84" spans="1:15">
      <c r="A84" s="259"/>
      <c r="B84" s="259"/>
      <c r="C84" s="260"/>
      <c r="D84" s="261"/>
      <c r="E84" s="259"/>
      <c r="F84" s="259"/>
      <c r="G84" s="262"/>
      <c r="H84" s="262"/>
      <c r="K84" s="245"/>
    </row>
    <row r="85" spans="1:15" ht="13.15" customHeight="1">
      <c r="A85" s="250"/>
      <c r="B85" s="250"/>
      <c r="C85" s="250"/>
      <c r="D85" s="251"/>
      <c r="E85" s="250"/>
      <c r="F85" s="250"/>
      <c r="G85" s="250"/>
      <c r="H85" s="250"/>
    </row>
    <row r="86" spans="1:15" ht="13.15" customHeight="1">
      <c r="A86" s="250"/>
      <c r="B86" s="250"/>
      <c r="C86" s="250"/>
      <c r="D86" s="251"/>
      <c r="E86" s="250"/>
      <c r="F86" s="250"/>
      <c r="G86" s="250"/>
      <c r="H86" s="250"/>
    </row>
    <row r="87" spans="1:15">
      <c r="A87" s="427" t="s">
        <v>525</v>
      </c>
      <c r="B87" s="427"/>
      <c r="C87" s="427"/>
      <c r="D87" s="427"/>
      <c r="E87" s="427"/>
      <c r="F87" s="427"/>
      <c r="G87" s="427"/>
      <c r="H87" s="427"/>
    </row>
    <row r="88" spans="1:15">
      <c r="A88" s="252"/>
      <c r="B88" s="252"/>
      <c r="C88" s="252"/>
      <c r="D88" s="253"/>
      <c r="E88" s="252"/>
      <c r="F88" s="252"/>
      <c r="G88" s="252"/>
      <c r="H88" s="252"/>
    </row>
    <row r="89" spans="1:15">
      <c r="A89" s="252"/>
      <c r="B89" s="252"/>
      <c r="C89" s="252"/>
      <c r="D89" s="253"/>
      <c r="E89" s="252"/>
      <c r="F89" s="252"/>
      <c r="G89" s="252"/>
      <c r="H89" s="252"/>
    </row>
    <row r="90" spans="1:15">
      <c r="A90" s="252"/>
      <c r="B90" s="252"/>
      <c r="C90" s="252"/>
      <c r="D90" s="253"/>
      <c r="E90" s="252"/>
      <c r="F90" s="252"/>
      <c r="G90" s="252"/>
      <c r="H90" s="252"/>
    </row>
    <row r="91" spans="1:15" ht="14.45" customHeight="1">
      <c r="A91" s="252"/>
      <c r="B91" s="252"/>
      <c r="C91" s="252"/>
      <c r="D91" s="253"/>
      <c r="E91" s="252"/>
      <c r="F91" s="252"/>
      <c r="G91" s="252"/>
      <c r="H91" s="252"/>
      <c r="I91" s="254"/>
      <c r="J91" s="254"/>
      <c r="K91" s="254"/>
      <c r="L91" s="254"/>
      <c r="M91" s="254"/>
      <c r="N91" s="254"/>
      <c r="O91" s="254"/>
    </row>
    <row r="92" spans="1:15" ht="14.45" customHeight="1">
      <c r="A92" s="428" t="s">
        <v>322</v>
      </c>
      <c r="B92" s="428"/>
      <c r="C92" s="428"/>
      <c r="D92" s="428"/>
      <c r="E92" s="428"/>
      <c r="F92" s="428"/>
      <c r="G92" s="428"/>
      <c r="H92" s="428"/>
      <c r="I92" s="255"/>
      <c r="J92" s="255"/>
      <c r="K92" s="255"/>
      <c r="L92" s="255"/>
      <c r="M92" s="255"/>
      <c r="N92" s="255"/>
      <c r="O92" s="255"/>
    </row>
    <row r="93" spans="1:15">
      <c r="A93" s="428"/>
      <c r="B93" s="428"/>
      <c r="C93" s="428"/>
      <c r="D93" s="428"/>
      <c r="E93" s="428"/>
      <c r="F93" s="428"/>
      <c r="G93" s="428"/>
      <c r="H93" s="428"/>
      <c r="I93" s="255"/>
      <c r="J93" s="255"/>
      <c r="K93" s="255"/>
      <c r="L93" s="255"/>
      <c r="M93" s="255"/>
      <c r="N93" s="255"/>
      <c r="O93" s="255"/>
    </row>
    <row r="94" spans="1:15" ht="24" customHeight="1">
      <c r="A94" s="427" t="s">
        <v>323</v>
      </c>
      <c r="B94" s="427"/>
      <c r="C94" s="427"/>
      <c r="D94" s="427"/>
      <c r="E94" s="427"/>
      <c r="F94" s="427"/>
      <c r="G94" s="427"/>
      <c r="H94" s="427"/>
      <c r="I94" s="254"/>
      <c r="J94" s="254"/>
      <c r="K94" s="254"/>
      <c r="L94" s="254"/>
      <c r="M94" s="254"/>
      <c r="N94" s="254"/>
      <c r="O94" s="254"/>
    </row>
    <row r="95" spans="1:15" ht="16.5" customHeight="1">
      <c r="A95" s="427" t="s">
        <v>324</v>
      </c>
      <c r="B95" s="427"/>
      <c r="C95" s="427"/>
      <c r="D95" s="427"/>
      <c r="E95" s="427"/>
      <c r="F95" s="427"/>
      <c r="G95" s="427"/>
      <c r="H95" s="427"/>
      <c r="I95" s="254"/>
      <c r="J95" s="254"/>
      <c r="K95" s="254"/>
      <c r="L95" s="254"/>
      <c r="M95" s="254"/>
      <c r="N95" s="254"/>
      <c r="O95" s="254"/>
    </row>
  </sheetData>
  <sheetProtection formatCells="0" formatColumns="0" formatRows="0" insertColumns="0" insertRows="0" insertHyperlinks="0" deleteColumns="0" deleteRows="0" sort="0" autoFilter="0" pivotTables="0"/>
  <mergeCells count="56">
    <mergeCell ref="A77:A78"/>
    <mergeCell ref="B77:B78"/>
    <mergeCell ref="C77:D78"/>
    <mergeCell ref="F77:G77"/>
    <mergeCell ref="H77:H78"/>
    <mergeCell ref="F78:G78"/>
    <mergeCell ref="A87:H87"/>
    <mergeCell ref="A92:H93"/>
    <mergeCell ref="A94:H94"/>
    <mergeCell ref="A95:H95"/>
    <mergeCell ref="A58:A59"/>
    <mergeCell ref="B58:B59"/>
    <mergeCell ref="C58:D59"/>
    <mergeCell ref="F58:G58"/>
    <mergeCell ref="H58:H59"/>
    <mergeCell ref="F59:G59"/>
    <mergeCell ref="A67:A68"/>
    <mergeCell ref="B67:B68"/>
    <mergeCell ref="C67:D68"/>
    <mergeCell ref="F67:G67"/>
    <mergeCell ref="H67:H68"/>
    <mergeCell ref="F68:G68"/>
    <mergeCell ref="A48:A49"/>
    <mergeCell ref="B48:B49"/>
    <mergeCell ref="C48:D49"/>
    <mergeCell ref="F48:G48"/>
    <mergeCell ref="H48:H49"/>
    <mergeCell ref="F49:G49"/>
    <mergeCell ref="A40:A41"/>
    <mergeCell ref="B40:B41"/>
    <mergeCell ref="C40:D41"/>
    <mergeCell ref="F40:G40"/>
    <mergeCell ref="H40:H41"/>
    <mergeCell ref="F41:G41"/>
    <mergeCell ref="A31:A32"/>
    <mergeCell ref="B31:B32"/>
    <mergeCell ref="C31:D32"/>
    <mergeCell ref="F31:G31"/>
    <mergeCell ref="H31:H32"/>
    <mergeCell ref="F32:G32"/>
    <mergeCell ref="H9:H10"/>
    <mergeCell ref="F10:G10"/>
    <mergeCell ref="A21:A22"/>
    <mergeCell ref="B21:B22"/>
    <mergeCell ref="C21:D22"/>
    <mergeCell ref="F21:G21"/>
    <mergeCell ref="H21:H22"/>
    <mergeCell ref="F22:G22"/>
    <mergeCell ref="A9:A10"/>
    <mergeCell ref="B9:B10"/>
    <mergeCell ref="C9:D10"/>
    <mergeCell ref="B4:E4"/>
    <mergeCell ref="B5:E5"/>
    <mergeCell ref="B6:E6"/>
    <mergeCell ref="D7:D8"/>
    <mergeCell ref="F9:G9"/>
  </mergeCells>
  <printOptions horizontalCentered="1"/>
  <pageMargins left="0.31496062992125984" right="0.31496062992125984" top="0.74803149606299213" bottom="0.74803149606299213" header="0.31496062992125984" footer="0.31496062992125984"/>
  <pageSetup paperSize="9" scale="38"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8"/>
  <sheetViews>
    <sheetView showGridLines="0" tabSelected="1" zoomScale="85" zoomScaleNormal="85" workbookViewId="0">
      <pane ySplit="8" topLeftCell="A9" activePane="bottomLeft" state="frozen"/>
      <selection pane="bottomLeft" activeCell="D39" sqref="D39"/>
    </sheetView>
  </sheetViews>
  <sheetFormatPr defaultColWidth="8.75" defaultRowHeight="15"/>
  <cols>
    <col min="1" max="1" width="13.5" style="338" customWidth="1"/>
    <col min="2" max="2" width="38.375" style="338" customWidth="1"/>
    <col min="3" max="3" width="14" style="342" bestFit="1" customWidth="1"/>
    <col min="4" max="4" width="12" style="343" bestFit="1" customWidth="1"/>
    <col min="5" max="5" width="5" style="343" customWidth="1"/>
    <col min="6" max="6" width="12.25" style="343" bestFit="1" customWidth="1"/>
    <col min="7" max="7" width="5" style="343" customWidth="1"/>
    <col min="8" max="8" width="12.25" style="343" bestFit="1" customWidth="1"/>
    <col min="9" max="9" width="5" style="343" customWidth="1"/>
    <col min="10" max="10" width="12.25" style="343" bestFit="1" customWidth="1"/>
    <col min="11" max="11" width="5" style="343" customWidth="1"/>
    <col min="12" max="12" width="12.25" style="343" bestFit="1" customWidth="1"/>
    <col min="13" max="13" width="5" style="343" customWidth="1"/>
    <col min="14" max="14" width="12.25" style="343" bestFit="1" customWidth="1"/>
    <col min="15" max="15" width="5" style="343" customWidth="1"/>
    <col min="16" max="16" width="14" style="342" bestFit="1" customWidth="1"/>
    <col min="17" max="17" width="8.75" style="339"/>
    <col min="18" max="16384" width="8.75" style="340"/>
  </cols>
  <sheetData>
    <row r="1" spans="1:17" s="83" customFormat="1" ht="9" customHeight="1">
      <c r="A1" s="236"/>
      <c r="B1" s="276"/>
      <c r="C1" s="276"/>
      <c r="D1" s="276"/>
      <c r="E1" s="276"/>
      <c r="F1" s="276"/>
      <c r="G1" s="276"/>
      <c r="H1" s="276"/>
      <c r="I1" s="276"/>
      <c r="J1" s="276"/>
      <c r="K1" s="276"/>
      <c r="L1" s="276"/>
      <c r="M1" s="276"/>
      <c r="N1" s="276"/>
      <c r="O1" s="276"/>
      <c r="P1" s="276"/>
    </row>
    <row r="2" spans="1:17" s="83" customFormat="1" ht="18.75" customHeight="1">
      <c r="A2" s="316" t="s">
        <v>293</v>
      </c>
      <c r="B2" s="317" t="str">
        <f>'Orçamento Geral'!U2</f>
        <v>CANIL COMUNITÁRIO</v>
      </c>
      <c r="C2" s="317"/>
      <c r="D2" s="317"/>
      <c r="E2" s="317"/>
      <c r="F2" s="229"/>
      <c r="G2" s="229"/>
      <c r="H2" s="229"/>
      <c r="I2" s="229"/>
      <c r="J2" s="229"/>
      <c r="K2" s="229"/>
      <c r="L2" s="229"/>
      <c r="M2" s="229"/>
      <c r="N2" s="229"/>
      <c r="O2" s="229"/>
      <c r="P2" s="318"/>
    </row>
    <row r="3" spans="1:17" s="83" customFormat="1">
      <c r="A3" s="319" t="s">
        <v>294</v>
      </c>
      <c r="B3" s="430" t="str">
        <f>'Orçamento Geral'!U3</f>
        <v>RUA ORFELINO BIZARRO MARTINS - TAQUARI/RS</v>
      </c>
      <c r="C3" s="430"/>
      <c r="D3" s="430"/>
      <c r="E3" s="430"/>
      <c r="F3" s="234"/>
      <c r="G3" s="234"/>
      <c r="H3" s="234"/>
      <c r="I3" s="234"/>
      <c r="J3" s="234"/>
      <c r="K3" s="234"/>
      <c r="L3" s="234"/>
      <c r="M3" s="234"/>
      <c r="N3" s="234"/>
      <c r="O3" s="234"/>
      <c r="P3" s="320"/>
    </row>
    <row r="4" spans="1:17" s="83" customFormat="1">
      <c r="A4" s="319" t="s">
        <v>295</v>
      </c>
      <c r="B4" s="430" t="str">
        <f>'Orçamento Geral'!U4</f>
        <v>SINAPI - RIO GRANDE DO SUL JANEIRO/2026 NÃO DESONERADO</v>
      </c>
      <c r="C4" s="430"/>
      <c r="D4" s="430"/>
      <c r="E4" s="430"/>
      <c r="F4" s="234"/>
      <c r="G4" s="234"/>
      <c r="H4" s="234"/>
      <c r="I4" s="234"/>
      <c r="J4" s="234"/>
      <c r="K4" s="234"/>
      <c r="L4" s="234"/>
      <c r="M4" s="234"/>
      <c r="N4" s="234"/>
      <c r="O4" s="234"/>
      <c r="P4" s="320"/>
    </row>
    <row r="5" spans="1:17" s="83" customFormat="1">
      <c r="A5" s="319"/>
      <c r="B5" s="430" t="str">
        <f>'Orçamento Geral'!U5</f>
        <v>ORSE - JANEIRO/2026</v>
      </c>
      <c r="C5" s="430"/>
      <c r="D5" s="430"/>
      <c r="E5" s="430"/>
      <c r="F5" s="234"/>
      <c r="G5" s="234"/>
      <c r="H5" s="234"/>
      <c r="I5" s="234"/>
      <c r="J5" s="234"/>
      <c r="K5" s="234"/>
      <c r="L5" s="234"/>
      <c r="M5" s="234"/>
      <c r="N5" s="234"/>
      <c r="O5" s="234"/>
      <c r="P5" s="320"/>
    </row>
    <row r="6" spans="1:17" s="83" customFormat="1" ht="31.5" customHeight="1">
      <c r="A6" s="431" t="s">
        <v>445</v>
      </c>
      <c r="B6" s="390"/>
      <c r="C6" s="390"/>
      <c r="D6" s="390"/>
      <c r="E6" s="390"/>
      <c r="F6" s="390"/>
      <c r="G6" s="390"/>
      <c r="H6" s="390"/>
      <c r="I6" s="390"/>
      <c r="J6" s="390"/>
      <c r="K6" s="390"/>
      <c r="L6" s="390"/>
      <c r="M6" s="390"/>
      <c r="N6" s="390"/>
      <c r="O6" s="390"/>
      <c r="P6" s="432"/>
    </row>
    <row r="7" spans="1:17" s="83" customFormat="1" ht="14.45" customHeight="1">
      <c r="A7" s="433"/>
      <c r="B7" s="434"/>
      <c r="C7" s="434"/>
      <c r="D7" s="434"/>
      <c r="E7" s="434"/>
      <c r="F7" s="434"/>
      <c r="G7" s="434"/>
      <c r="H7" s="434"/>
      <c r="I7" s="434"/>
      <c r="J7" s="434"/>
      <c r="K7" s="434"/>
      <c r="L7" s="434"/>
      <c r="M7" s="434"/>
      <c r="N7" s="434"/>
      <c r="O7" s="434"/>
      <c r="P7" s="435"/>
    </row>
    <row r="8" spans="1:17" s="324" customFormat="1" ht="19.5" customHeight="1">
      <c r="A8" s="321" t="s">
        <v>204</v>
      </c>
      <c r="B8" s="321" t="s">
        <v>205</v>
      </c>
      <c r="C8" s="322" t="s">
        <v>206</v>
      </c>
      <c r="D8" s="436" t="s">
        <v>207</v>
      </c>
      <c r="E8" s="436"/>
      <c r="F8" s="436" t="s">
        <v>208</v>
      </c>
      <c r="G8" s="436"/>
      <c r="H8" s="436" t="s">
        <v>209</v>
      </c>
      <c r="I8" s="436"/>
      <c r="J8" s="436" t="s">
        <v>210</v>
      </c>
      <c r="K8" s="436"/>
      <c r="L8" s="436" t="s">
        <v>211</v>
      </c>
      <c r="M8" s="436"/>
      <c r="N8" s="436" t="s">
        <v>447</v>
      </c>
      <c r="O8" s="436"/>
      <c r="P8" s="322" t="s">
        <v>206</v>
      </c>
      <c r="Q8" s="323"/>
    </row>
    <row r="9" spans="1:17" s="324" customFormat="1" ht="19.5" customHeight="1">
      <c r="A9" s="325"/>
      <c r="B9" s="325"/>
      <c r="C9" s="326"/>
      <c r="D9" s="326" t="s">
        <v>212</v>
      </c>
      <c r="E9" s="326" t="s">
        <v>446</v>
      </c>
      <c r="F9" s="326" t="s">
        <v>212</v>
      </c>
      <c r="G9" s="326" t="s">
        <v>446</v>
      </c>
      <c r="H9" s="326" t="s">
        <v>212</v>
      </c>
      <c r="I9" s="326" t="s">
        <v>446</v>
      </c>
      <c r="J9" s="326" t="s">
        <v>212</v>
      </c>
      <c r="K9" s="326" t="s">
        <v>446</v>
      </c>
      <c r="L9" s="326" t="s">
        <v>212</v>
      </c>
      <c r="M9" s="326" t="s">
        <v>446</v>
      </c>
      <c r="N9" s="326" t="s">
        <v>212</v>
      </c>
      <c r="O9" s="326" t="s">
        <v>446</v>
      </c>
      <c r="P9" s="326"/>
      <c r="Q9" s="323"/>
    </row>
    <row r="10" spans="1:17" s="332" customFormat="1" ht="15.6" customHeight="1">
      <c r="A10" s="327">
        <f>'Orçamento Geral'!C11</f>
        <v>1</v>
      </c>
      <c r="B10" s="327" t="str">
        <f>'Orçamento Geral'!D11</f>
        <v>INSTALAÇÕES PROVISÓRIAS</v>
      </c>
      <c r="C10" s="328">
        <f>'Orçamento Geral'!O13</f>
        <v>2493.2999999999997</v>
      </c>
      <c r="D10" s="329">
        <f>E10*$C$10</f>
        <v>2493.2999999999997</v>
      </c>
      <c r="E10" s="330">
        <v>1</v>
      </c>
      <c r="F10" s="329">
        <f>G10*$C$10</f>
        <v>0</v>
      </c>
      <c r="G10" s="330"/>
      <c r="H10" s="329">
        <f>I10*$C$10</f>
        <v>0</v>
      </c>
      <c r="I10" s="330"/>
      <c r="J10" s="329">
        <f>K10*$C$10</f>
        <v>0</v>
      </c>
      <c r="K10" s="330"/>
      <c r="L10" s="329">
        <f>M10*$C$10</f>
        <v>0</v>
      </c>
      <c r="M10" s="330"/>
      <c r="N10" s="329">
        <f>O10*$C$10</f>
        <v>0</v>
      </c>
      <c r="O10" s="330"/>
      <c r="P10" s="328">
        <f>SUM(D10,F10,H10,J10,L10,N10)</f>
        <v>2493.2999999999997</v>
      </c>
      <c r="Q10" s="331">
        <f t="shared" ref="Q10:Q27" si="0">P10/C10</f>
        <v>1</v>
      </c>
    </row>
    <row r="11" spans="1:17" s="332" customFormat="1" ht="15.6" customHeight="1">
      <c r="A11" s="327">
        <f>'Orçamento Geral'!C14</f>
        <v>2</v>
      </c>
      <c r="B11" s="327" t="str">
        <f>'Orçamento Geral'!D14</f>
        <v>FUNDAÇÕES</v>
      </c>
      <c r="C11" s="328">
        <f>'Orçamento Geral'!O22</f>
        <v>15949.68</v>
      </c>
      <c r="D11" s="329">
        <f>E11*$C$11</f>
        <v>15949.68</v>
      </c>
      <c r="E11" s="330">
        <v>1</v>
      </c>
      <c r="F11" s="329">
        <f>G11*$C$11</f>
        <v>0</v>
      </c>
      <c r="G11" s="330"/>
      <c r="H11" s="329">
        <f>I11*$C$11</f>
        <v>0</v>
      </c>
      <c r="I11" s="330"/>
      <c r="J11" s="329">
        <f>K11*$C$11</f>
        <v>0</v>
      </c>
      <c r="K11" s="330"/>
      <c r="L11" s="329">
        <f>M11*$C$11</f>
        <v>0</v>
      </c>
      <c r="M11" s="330"/>
      <c r="N11" s="329">
        <f>O11*$C$11</f>
        <v>0</v>
      </c>
      <c r="O11" s="330"/>
      <c r="P11" s="328">
        <f t="shared" ref="P11:P26" si="1">SUM(D11,F11,H11,J11,L11,N11)</f>
        <v>15949.68</v>
      </c>
      <c r="Q11" s="331">
        <f t="shared" si="0"/>
        <v>1</v>
      </c>
    </row>
    <row r="12" spans="1:17" s="332" customFormat="1" ht="15.6" customHeight="1">
      <c r="A12" s="327">
        <f>'Orçamento Geral'!C23</f>
        <v>3</v>
      </c>
      <c r="B12" s="327" t="str">
        <f>'Orçamento Geral'!D23</f>
        <v>IMPERMEABILIZAÇÃO</v>
      </c>
      <c r="C12" s="328">
        <f>'Orçamento Geral'!O25</f>
        <v>2784.45</v>
      </c>
      <c r="D12" s="329">
        <f>E12*$C$12</f>
        <v>1670.6699999999998</v>
      </c>
      <c r="E12" s="330">
        <v>0.6</v>
      </c>
      <c r="F12" s="329">
        <f>G12*$C$12</f>
        <v>1113.78</v>
      </c>
      <c r="G12" s="330">
        <v>0.4</v>
      </c>
      <c r="H12" s="329">
        <f>I12*$C$12</f>
        <v>0</v>
      </c>
      <c r="I12" s="330"/>
      <c r="J12" s="329">
        <f>K12*$C$12</f>
        <v>0</v>
      </c>
      <c r="K12" s="330"/>
      <c r="L12" s="329">
        <f>M12*$C$12</f>
        <v>0</v>
      </c>
      <c r="M12" s="330"/>
      <c r="N12" s="329">
        <f>O12*$C$12</f>
        <v>0</v>
      </c>
      <c r="O12" s="330"/>
      <c r="P12" s="328">
        <f t="shared" si="1"/>
        <v>2784.45</v>
      </c>
      <c r="Q12" s="331">
        <f t="shared" si="0"/>
        <v>1</v>
      </c>
    </row>
    <row r="13" spans="1:17" s="332" customFormat="1" ht="15.6" customHeight="1">
      <c r="A13" s="327">
        <f>'Orçamento Geral'!C26</f>
        <v>4</v>
      </c>
      <c r="B13" s="327" t="str">
        <f>'Orçamento Geral'!D26</f>
        <v>SUPRA ESTRUTURA</v>
      </c>
      <c r="C13" s="328">
        <f>'Orçamento Geral'!O32</f>
        <v>8475.8900000000012</v>
      </c>
      <c r="D13" s="329">
        <f>E13*$C$13</f>
        <v>3390.3560000000007</v>
      </c>
      <c r="E13" s="330">
        <v>0.4</v>
      </c>
      <c r="F13" s="329">
        <f>G13*$C$13</f>
        <v>5085.5340000000006</v>
      </c>
      <c r="G13" s="330">
        <v>0.6</v>
      </c>
      <c r="H13" s="329">
        <f>I13*$C$13</f>
        <v>0</v>
      </c>
      <c r="I13" s="330"/>
      <c r="J13" s="329">
        <f>K13*$C$13</f>
        <v>0</v>
      </c>
      <c r="K13" s="330"/>
      <c r="L13" s="329">
        <f>M13*$C$13</f>
        <v>0</v>
      </c>
      <c r="M13" s="330"/>
      <c r="N13" s="329">
        <f>O13*$C$13</f>
        <v>0</v>
      </c>
      <c r="O13" s="330"/>
      <c r="P13" s="328">
        <f t="shared" si="1"/>
        <v>8475.8900000000012</v>
      </c>
      <c r="Q13" s="331">
        <f t="shared" si="0"/>
        <v>1</v>
      </c>
    </row>
    <row r="14" spans="1:17" s="332" customFormat="1" ht="15.6" customHeight="1">
      <c r="A14" s="327">
        <f>'Orçamento Geral'!C33</f>
        <v>5</v>
      </c>
      <c r="B14" s="327" t="str">
        <f>'Orçamento Geral'!D33</f>
        <v>ALVENARIAS</v>
      </c>
      <c r="C14" s="328">
        <f>'Orçamento Geral'!O39</f>
        <v>27041.45</v>
      </c>
      <c r="D14" s="329">
        <f>E14*$C$14</f>
        <v>5408.2900000000009</v>
      </c>
      <c r="E14" s="330">
        <v>0.2</v>
      </c>
      <c r="F14" s="329">
        <f>G14*$C$14</f>
        <v>16224.869999999999</v>
      </c>
      <c r="G14" s="330">
        <v>0.6</v>
      </c>
      <c r="H14" s="329">
        <f>I14*$C$14</f>
        <v>5408.2900000000009</v>
      </c>
      <c r="I14" s="330">
        <v>0.2</v>
      </c>
      <c r="J14" s="329">
        <f>K14*$C$14</f>
        <v>0</v>
      </c>
      <c r="K14" s="330"/>
      <c r="L14" s="329">
        <f>M14*$C$14</f>
        <v>0</v>
      </c>
      <c r="M14" s="330"/>
      <c r="N14" s="329">
        <f>O14*$C$14</f>
        <v>0</v>
      </c>
      <c r="O14" s="330"/>
      <c r="P14" s="328">
        <f t="shared" si="1"/>
        <v>27041.45</v>
      </c>
      <c r="Q14" s="331">
        <f t="shared" si="0"/>
        <v>1</v>
      </c>
    </row>
    <row r="15" spans="1:17" s="332" customFormat="1" ht="15.6" customHeight="1">
      <c r="A15" s="327">
        <f>'Orçamento Geral'!C40</f>
        <v>6</v>
      </c>
      <c r="B15" s="327" t="str">
        <f>'Orçamento Geral'!D40</f>
        <v>COBERTURA</v>
      </c>
      <c r="C15" s="328">
        <f>'Orçamento Geral'!O47</f>
        <v>22638.930000000004</v>
      </c>
      <c r="D15" s="329">
        <f>E15*$C$15</f>
        <v>0</v>
      </c>
      <c r="E15" s="330"/>
      <c r="F15" s="329">
        <f>G15*$C$15</f>
        <v>0</v>
      </c>
      <c r="G15" s="330"/>
      <c r="H15" s="329">
        <f>I15*$C$15</f>
        <v>18111.144000000004</v>
      </c>
      <c r="I15" s="330">
        <v>0.8</v>
      </c>
      <c r="J15" s="329">
        <f>K15*$C$15</f>
        <v>4527.786000000001</v>
      </c>
      <c r="K15" s="330">
        <v>0.2</v>
      </c>
      <c r="L15" s="329">
        <f>M15*$C$15</f>
        <v>0</v>
      </c>
      <c r="M15" s="330"/>
      <c r="N15" s="329">
        <f>O15*$C$15</f>
        <v>0</v>
      </c>
      <c r="O15" s="330"/>
      <c r="P15" s="328">
        <f t="shared" si="1"/>
        <v>22638.930000000004</v>
      </c>
      <c r="Q15" s="331">
        <f t="shared" si="0"/>
        <v>1</v>
      </c>
    </row>
    <row r="16" spans="1:17" s="332" customFormat="1" ht="15.6" customHeight="1">
      <c r="A16" s="327">
        <f>'Orçamento Geral'!C48</f>
        <v>7</v>
      </c>
      <c r="B16" s="327" t="str">
        <f>'Orçamento Geral'!D48</f>
        <v>INSTALAÇÕES ELÉTRICAS/TELEFONIA/LÓGICA</v>
      </c>
      <c r="C16" s="328">
        <f>'Orçamento Geral'!O70</f>
        <v>15699.27</v>
      </c>
      <c r="D16" s="329">
        <f>E16*$C$16</f>
        <v>1569.9270000000001</v>
      </c>
      <c r="E16" s="330">
        <v>0.1</v>
      </c>
      <c r="F16" s="329">
        <f>G16*$C$16</f>
        <v>0</v>
      </c>
      <c r="G16" s="330"/>
      <c r="H16" s="329">
        <f>I16*$C$16</f>
        <v>3139.8540000000003</v>
      </c>
      <c r="I16" s="330">
        <v>0.2</v>
      </c>
      <c r="J16" s="329">
        <f>K16*$C$16</f>
        <v>4709.7809999999999</v>
      </c>
      <c r="K16" s="330">
        <v>0.3</v>
      </c>
      <c r="L16" s="329">
        <f>M16*$C$16</f>
        <v>6279.7080000000005</v>
      </c>
      <c r="M16" s="330">
        <v>0.4</v>
      </c>
      <c r="N16" s="329">
        <f>O16*$C$16</f>
        <v>0</v>
      </c>
      <c r="O16" s="330"/>
      <c r="P16" s="328">
        <f t="shared" si="1"/>
        <v>15699.270000000002</v>
      </c>
      <c r="Q16" s="331">
        <f t="shared" si="0"/>
        <v>1.0000000000000002</v>
      </c>
    </row>
    <row r="17" spans="1:17" s="332" customFormat="1" ht="15.6" customHeight="1">
      <c r="A17" s="327">
        <f>'Orçamento Geral'!C71</f>
        <v>8</v>
      </c>
      <c r="B17" s="327" t="str">
        <f>'Orçamento Geral'!D71</f>
        <v>PRÉ-INSTALAÇÃO DE AR CONDICIONADO</v>
      </c>
      <c r="C17" s="328">
        <f>'Orçamento Geral'!O79</f>
        <v>678.7</v>
      </c>
      <c r="D17" s="329">
        <f>E17*$C$17</f>
        <v>0</v>
      </c>
      <c r="E17" s="330"/>
      <c r="F17" s="329">
        <f>G17*$C$17</f>
        <v>0</v>
      </c>
      <c r="G17" s="330"/>
      <c r="H17" s="329">
        <f>I17*$C$17</f>
        <v>0</v>
      </c>
      <c r="I17" s="330"/>
      <c r="J17" s="329">
        <f>K17*$C$17</f>
        <v>678.7</v>
      </c>
      <c r="K17" s="330">
        <v>1</v>
      </c>
      <c r="L17" s="329">
        <f>M17*$C$17</f>
        <v>0</v>
      </c>
      <c r="M17" s="330"/>
      <c r="N17" s="329">
        <f>O17*$C$17</f>
        <v>0</v>
      </c>
      <c r="O17" s="330"/>
      <c r="P17" s="328">
        <f t="shared" si="1"/>
        <v>678.7</v>
      </c>
      <c r="Q17" s="331">
        <f t="shared" si="0"/>
        <v>1</v>
      </c>
    </row>
    <row r="18" spans="1:17" s="332" customFormat="1" ht="15.6" customHeight="1">
      <c r="A18" s="327">
        <f>'Orçamento Geral'!C80</f>
        <v>9</v>
      </c>
      <c r="B18" s="327" t="str">
        <f>'Orçamento Geral'!D80</f>
        <v>INSTALAÇÕES SANITÁRIAS</v>
      </c>
      <c r="C18" s="328">
        <f>'Orçamento Geral'!O96</f>
        <v>12499.05</v>
      </c>
      <c r="D18" s="329">
        <f>E18*$C$18</f>
        <v>1249.905</v>
      </c>
      <c r="E18" s="330">
        <v>0.1</v>
      </c>
      <c r="F18" s="329">
        <f>G18*$C$18</f>
        <v>0</v>
      </c>
      <c r="G18" s="330"/>
      <c r="H18" s="329">
        <f>I18*$C$18</f>
        <v>2499.81</v>
      </c>
      <c r="I18" s="330">
        <v>0.2</v>
      </c>
      <c r="J18" s="329">
        <f>K18*$C$18</f>
        <v>1249.905</v>
      </c>
      <c r="K18" s="330">
        <v>0.1</v>
      </c>
      <c r="L18" s="329">
        <f>M18*$C$18</f>
        <v>7499.4299999999994</v>
      </c>
      <c r="M18" s="330">
        <v>0.6</v>
      </c>
      <c r="N18" s="329">
        <f>O18*$C$18</f>
        <v>0</v>
      </c>
      <c r="O18" s="330"/>
      <c r="P18" s="328">
        <f t="shared" si="1"/>
        <v>12499.05</v>
      </c>
      <c r="Q18" s="331">
        <f t="shared" si="0"/>
        <v>1</v>
      </c>
    </row>
    <row r="19" spans="1:17" s="332" customFormat="1" ht="15.6" customHeight="1">
      <c r="A19" s="327">
        <f>'Orçamento Geral'!C97</f>
        <v>10</v>
      </c>
      <c r="B19" s="327" t="str">
        <f>'Orçamento Geral'!D97</f>
        <v>INSTALAÇÕES HIDRÁULICAS</v>
      </c>
      <c r="C19" s="328">
        <f>'Orçamento Geral'!O109</f>
        <v>8808.0199999999986</v>
      </c>
      <c r="D19" s="345">
        <f>E19*$C$19</f>
        <v>880.80199999999991</v>
      </c>
      <c r="E19" s="330">
        <v>0.1</v>
      </c>
      <c r="F19" s="329">
        <f>G19*$C$19</f>
        <v>0</v>
      </c>
      <c r="G19" s="330"/>
      <c r="H19" s="329">
        <f>I19*$C$19</f>
        <v>1761.6039999999998</v>
      </c>
      <c r="I19" s="330">
        <v>0.2</v>
      </c>
      <c r="J19" s="329">
        <f>K19*$C$19</f>
        <v>2642.4059999999995</v>
      </c>
      <c r="K19" s="330">
        <v>0.3</v>
      </c>
      <c r="L19" s="329">
        <f>M19*$C$19</f>
        <v>3523.2079999999996</v>
      </c>
      <c r="M19" s="330">
        <v>0.4</v>
      </c>
      <c r="N19" s="329">
        <f>O19*$C$19</f>
        <v>0</v>
      </c>
      <c r="O19" s="330"/>
      <c r="P19" s="328">
        <f t="shared" si="1"/>
        <v>8808.02</v>
      </c>
      <c r="Q19" s="331">
        <f t="shared" si="0"/>
        <v>1.0000000000000002</v>
      </c>
    </row>
    <row r="20" spans="1:17" s="332" customFormat="1" ht="15.6" customHeight="1">
      <c r="A20" s="327">
        <f>'Orçamento Geral'!C110</f>
        <v>11</v>
      </c>
      <c r="B20" s="327" t="str">
        <f>'Orçamento Geral'!D110</f>
        <v>LOUÇAS, METAIS E EQUIPAMENTOS</v>
      </c>
      <c r="C20" s="328">
        <f>'Orçamento Geral'!O117</f>
        <v>2102.69</v>
      </c>
      <c r="D20" s="329">
        <f>E20*$C$20</f>
        <v>0</v>
      </c>
      <c r="E20" s="330"/>
      <c r="F20" s="329">
        <f>G20*$C$20</f>
        <v>0</v>
      </c>
      <c r="G20" s="330"/>
      <c r="H20" s="329">
        <f>I20*$C$20</f>
        <v>0</v>
      </c>
      <c r="I20" s="330"/>
      <c r="J20" s="329">
        <f>K20*$C$20</f>
        <v>0</v>
      </c>
      <c r="K20" s="330"/>
      <c r="L20" s="329">
        <f>M20*$C$20</f>
        <v>2102.69</v>
      </c>
      <c r="M20" s="330">
        <v>1</v>
      </c>
      <c r="N20" s="329">
        <f>O20*$C$20</f>
        <v>0</v>
      </c>
      <c r="O20" s="330"/>
      <c r="P20" s="328">
        <f t="shared" si="1"/>
        <v>2102.69</v>
      </c>
      <c r="Q20" s="331">
        <f t="shared" si="0"/>
        <v>1</v>
      </c>
    </row>
    <row r="21" spans="1:17" s="332" customFormat="1" ht="15.6" customHeight="1">
      <c r="A21" s="327">
        <f>'Orçamento Geral'!C118</f>
        <v>12</v>
      </c>
      <c r="B21" s="327" t="str">
        <f>'Orçamento Geral'!D118</f>
        <v>PISO</v>
      </c>
      <c r="C21" s="328">
        <f>'Orçamento Geral'!O123</f>
        <v>8156.32</v>
      </c>
      <c r="D21" s="329">
        <f>E21*$C$21</f>
        <v>0</v>
      </c>
      <c r="E21" s="330"/>
      <c r="F21" s="329">
        <f>G21*$C$21</f>
        <v>0</v>
      </c>
      <c r="G21" s="330"/>
      <c r="H21" s="329">
        <f>I21*$C$21</f>
        <v>0</v>
      </c>
      <c r="I21" s="330"/>
      <c r="J21" s="329">
        <f>K21*$C$21</f>
        <v>8156.32</v>
      </c>
      <c r="K21" s="330">
        <v>1</v>
      </c>
      <c r="L21" s="329">
        <f>M21*$C$21</f>
        <v>0</v>
      </c>
      <c r="M21" s="330"/>
      <c r="N21" s="329">
        <f>O21*$C$21</f>
        <v>0</v>
      </c>
      <c r="O21" s="330"/>
      <c r="P21" s="328">
        <f t="shared" si="1"/>
        <v>8156.32</v>
      </c>
      <c r="Q21" s="331">
        <f t="shared" si="0"/>
        <v>1</v>
      </c>
    </row>
    <row r="22" spans="1:17" s="332" customFormat="1" ht="15.6" customHeight="1">
      <c r="A22" s="327">
        <f>'Orçamento Geral'!C124</f>
        <v>13</v>
      </c>
      <c r="B22" s="327" t="str">
        <f>'Orçamento Geral'!D124</f>
        <v>REVESTIMENTO</v>
      </c>
      <c r="C22" s="328">
        <f>'Orçamento Geral'!O127</f>
        <v>8145.0999999999995</v>
      </c>
      <c r="D22" s="329">
        <f>E22*$C$22</f>
        <v>0</v>
      </c>
      <c r="E22" s="330"/>
      <c r="F22" s="329">
        <f>G22*$C$22</f>
        <v>0</v>
      </c>
      <c r="G22" s="330"/>
      <c r="H22" s="329">
        <f>I22*$C$22</f>
        <v>0</v>
      </c>
      <c r="I22" s="330"/>
      <c r="J22" s="329">
        <f>K22*$C$22</f>
        <v>6516.08</v>
      </c>
      <c r="K22" s="330">
        <v>0.8</v>
      </c>
      <c r="L22" s="329">
        <f>M22*$C$22</f>
        <v>1629.02</v>
      </c>
      <c r="M22" s="330">
        <v>0.2</v>
      </c>
      <c r="N22" s="329">
        <f>O22*$C$22</f>
        <v>0</v>
      </c>
      <c r="O22" s="330"/>
      <c r="P22" s="328">
        <f t="shared" si="1"/>
        <v>8145.1</v>
      </c>
      <c r="Q22" s="331">
        <f t="shared" si="0"/>
        <v>1.0000000000000002</v>
      </c>
    </row>
    <row r="23" spans="1:17" s="332" customFormat="1" ht="15.6" customHeight="1">
      <c r="A23" s="327">
        <f>'Orçamento Geral'!C128</f>
        <v>14</v>
      </c>
      <c r="B23" s="327" t="str">
        <f>'Orçamento Geral'!D128</f>
        <v>ESQUADRIAS</v>
      </c>
      <c r="C23" s="328">
        <f>'Orçamento Geral'!O136</f>
        <v>19478.02</v>
      </c>
      <c r="D23" s="329">
        <f>E23*$C$23</f>
        <v>0</v>
      </c>
      <c r="E23" s="330"/>
      <c r="F23" s="329">
        <f>G23*$C$23</f>
        <v>0</v>
      </c>
      <c r="G23" s="330"/>
      <c r="H23" s="329">
        <f>I23*$C$23</f>
        <v>0</v>
      </c>
      <c r="I23" s="330"/>
      <c r="J23" s="329">
        <f>K23*$C$23</f>
        <v>15582.416000000001</v>
      </c>
      <c r="K23" s="330">
        <v>0.8</v>
      </c>
      <c r="L23" s="329">
        <f>M23*$C$23</f>
        <v>3895.6040000000003</v>
      </c>
      <c r="M23" s="330">
        <v>0.2</v>
      </c>
      <c r="N23" s="329">
        <f>O23*$C$23</f>
        <v>0</v>
      </c>
      <c r="O23" s="330"/>
      <c r="P23" s="328">
        <f t="shared" si="1"/>
        <v>19478.02</v>
      </c>
      <c r="Q23" s="331">
        <f t="shared" si="0"/>
        <v>1</v>
      </c>
    </row>
    <row r="24" spans="1:17" s="332" customFormat="1" ht="15.6" customHeight="1">
      <c r="A24" s="327">
        <f>'Orçamento Geral'!C137</f>
        <v>15</v>
      </c>
      <c r="B24" s="327" t="str">
        <f>'Orçamento Geral'!D137</f>
        <v>PINTURAS</v>
      </c>
      <c r="C24" s="328">
        <f>'Orçamento Geral'!O139</f>
        <v>9381.9500000000007</v>
      </c>
      <c r="D24" s="329">
        <f>E24*$C$24</f>
        <v>0</v>
      </c>
      <c r="E24" s="330"/>
      <c r="F24" s="329">
        <f>G24*$C$24</f>
        <v>0</v>
      </c>
      <c r="G24" s="330"/>
      <c r="H24" s="329">
        <f>I24*$C$24</f>
        <v>0</v>
      </c>
      <c r="I24" s="330"/>
      <c r="J24" s="329">
        <f>K24*$C$24</f>
        <v>0</v>
      </c>
      <c r="K24" s="330"/>
      <c r="L24" s="329">
        <f>M24*$C$24</f>
        <v>7505.5600000000013</v>
      </c>
      <c r="M24" s="330">
        <v>0.8</v>
      </c>
      <c r="N24" s="329">
        <f>O24*$C$24</f>
        <v>1876.3900000000003</v>
      </c>
      <c r="O24" s="330">
        <v>0.2</v>
      </c>
      <c r="P24" s="328">
        <f t="shared" si="1"/>
        <v>9381.9500000000007</v>
      </c>
      <c r="Q24" s="331">
        <f t="shared" si="0"/>
        <v>1</v>
      </c>
    </row>
    <row r="25" spans="1:17" s="332" customFormat="1" ht="15.6" customHeight="1">
      <c r="A25" s="327">
        <f>'Orçamento Geral'!C140</f>
        <v>16</v>
      </c>
      <c r="B25" s="327" t="str">
        <f>'Orçamento Geral'!D140</f>
        <v>PPCI</v>
      </c>
      <c r="C25" s="328">
        <f>'Orçamento Geral'!O145</f>
        <v>655.49</v>
      </c>
      <c r="D25" s="329">
        <f>E25*$C$25</f>
        <v>0</v>
      </c>
      <c r="E25" s="330"/>
      <c r="F25" s="329">
        <f>G25*$C$25</f>
        <v>0</v>
      </c>
      <c r="G25" s="330"/>
      <c r="H25" s="329">
        <f>I25*$C$25</f>
        <v>0</v>
      </c>
      <c r="I25" s="330"/>
      <c r="J25" s="329">
        <f>K25*$C$25</f>
        <v>0</v>
      </c>
      <c r="K25" s="330"/>
      <c r="L25" s="329">
        <f>M25*$C$25</f>
        <v>655.49</v>
      </c>
      <c r="M25" s="330">
        <v>1</v>
      </c>
      <c r="N25" s="329">
        <f>O25*$C$25</f>
        <v>0</v>
      </c>
      <c r="O25" s="330"/>
      <c r="P25" s="328">
        <f t="shared" si="1"/>
        <v>655.49</v>
      </c>
      <c r="Q25" s="331">
        <f t="shared" si="0"/>
        <v>1</v>
      </c>
    </row>
    <row r="26" spans="1:17" s="332" customFormat="1" ht="15.6" customHeight="1">
      <c r="A26" s="327">
        <f>'Orçamento Geral'!C146</f>
        <v>17</v>
      </c>
      <c r="B26" s="327" t="str">
        <f>'Orçamento Geral'!D146</f>
        <v>CERCAMENTO</v>
      </c>
      <c r="C26" s="328">
        <f>'Orçamento Geral'!O159</f>
        <v>99744.530000000013</v>
      </c>
      <c r="D26" s="329">
        <f>E26*$C$26</f>
        <v>9974.4530000000013</v>
      </c>
      <c r="E26" s="330">
        <v>0.1</v>
      </c>
      <c r="F26" s="329">
        <f>G26*$C$26</f>
        <v>14961.679500000002</v>
      </c>
      <c r="G26" s="330">
        <v>0.15</v>
      </c>
      <c r="H26" s="329">
        <f>I26*$C$26</f>
        <v>14961.679500000002</v>
      </c>
      <c r="I26" s="330">
        <v>0.15</v>
      </c>
      <c r="J26" s="329">
        <f>K26*$C$26</f>
        <v>14961.679500000002</v>
      </c>
      <c r="K26" s="330">
        <v>0.15</v>
      </c>
      <c r="L26" s="329">
        <f>M26*$C$26</f>
        <v>14961.679500000002</v>
      </c>
      <c r="M26" s="330">
        <v>0.15</v>
      </c>
      <c r="N26" s="329">
        <f>O26*$C$26</f>
        <v>29923.359000000004</v>
      </c>
      <c r="O26" s="330">
        <v>0.3</v>
      </c>
      <c r="P26" s="328">
        <f t="shared" si="1"/>
        <v>99744.53</v>
      </c>
      <c r="Q26" s="331">
        <f t="shared" si="0"/>
        <v>0.99999999999999989</v>
      </c>
    </row>
    <row r="27" spans="1:17" s="334" customFormat="1">
      <c r="A27" s="437" t="s">
        <v>320</v>
      </c>
      <c r="B27" s="437"/>
      <c r="C27" s="333">
        <f>SUM(C10:C26)</f>
        <v>264732.84000000003</v>
      </c>
      <c r="D27" s="333">
        <f>SUM(D10:D26)</f>
        <v>42587.383000000002</v>
      </c>
      <c r="E27" s="333"/>
      <c r="F27" s="333">
        <f>SUM(F10:F26)</f>
        <v>37385.863500000007</v>
      </c>
      <c r="G27" s="333"/>
      <c r="H27" s="333">
        <f>SUM(H10:H26)</f>
        <v>45882.381500000003</v>
      </c>
      <c r="I27" s="333"/>
      <c r="J27" s="333">
        <f>SUM(J10:J26)</f>
        <v>59025.073499999999</v>
      </c>
      <c r="K27" s="333"/>
      <c r="L27" s="333">
        <f>SUM(L10:L26)</f>
        <v>48052.389500000005</v>
      </c>
      <c r="M27" s="333"/>
      <c r="N27" s="333">
        <f>SUM(N10:N26)</f>
        <v>31799.749000000003</v>
      </c>
      <c r="O27" s="333"/>
      <c r="P27" s="333">
        <f>SUM(P10:P26)</f>
        <v>264732.84000000003</v>
      </c>
      <c r="Q27" s="331">
        <f t="shared" si="0"/>
        <v>1</v>
      </c>
    </row>
    <row r="28" spans="1:17" s="334" customFormat="1">
      <c r="A28" s="335"/>
      <c r="B28" s="335"/>
      <c r="C28" s="336"/>
      <c r="D28" s="336"/>
      <c r="E28" s="336"/>
      <c r="F28" s="336"/>
      <c r="G28" s="336"/>
      <c r="H28" s="336"/>
      <c r="I28" s="336"/>
      <c r="J28" s="336"/>
      <c r="K28" s="336"/>
      <c r="L28" s="336"/>
      <c r="M28" s="336"/>
      <c r="N28" s="336"/>
      <c r="O28" s="336"/>
      <c r="P28" s="336"/>
      <c r="Q28" s="337"/>
    </row>
    <row r="29" spans="1:17" ht="15" customHeight="1">
      <c r="B29" s="438" t="s">
        <v>525</v>
      </c>
      <c r="C29" s="438"/>
      <c r="D29" s="438"/>
      <c r="E29" s="438"/>
      <c r="F29" s="438"/>
      <c r="G29" s="438"/>
      <c r="H29" s="438"/>
      <c r="I29" s="438"/>
      <c r="J29" s="438"/>
      <c r="K29" s="438"/>
      <c r="L29" s="438"/>
      <c r="M29" s="438"/>
      <c r="N29" s="438"/>
      <c r="O29" s="438"/>
      <c r="P29" s="438"/>
    </row>
    <row r="30" spans="1:17" ht="15" customHeight="1">
      <c r="B30" s="341"/>
      <c r="C30" s="341"/>
      <c r="D30" s="341"/>
      <c r="E30" s="341"/>
      <c r="F30" s="341"/>
      <c r="G30" s="341"/>
      <c r="H30" s="341"/>
      <c r="I30" s="341"/>
      <c r="J30" s="341"/>
      <c r="K30" s="341"/>
      <c r="L30" s="341"/>
      <c r="M30" s="341"/>
      <c r="N30" s="341"/>
      <c r="O30" s="341"/>
      <c r="P30" s="341"/>
    </row>
    <row r="31" spans="1:17" ht="15" customHeight="1">
      <c r="B31" s="341"/>
      <c r="C31" s="341"/>
      <c r="D31" s="341"/>
      <c r="E31" s="341"/>
      <c r="F31" s="341"/>
      <c r="G31" s="341"/>
      <c r="H31" s="341"/>
      <c r="I31" s="341"/>
      <c r="J31" s="341"/>
      <c r="K31" s="341"/>
      <c r="L31" s="341"/>
      <c r="M31" s="341"/>
      <c r="N31" s="341"/>
      <c r="O31" s="341"/>
      <c r="P31" s="341"/>
    </row>
    <row r="32" spans="1:17" ht="15" customHeight="1">
      <c r="B32" s="439" t="s">
        <v>322</v>
      </c>
      <c r="C32" s="439"/>
      <c r="D32" s="439"/>
      <c r="E32" s="439"/>
      <c r="F32" s="439"/>
      <c r="G32" s="439"/>
      <c r="H32" s="439"/>
      <c r="I32" s="439"/>
      <c r="J32" s="439"/>
      <c r="K32" s="439"/>
      <c r="L32" s="439"/>
      <c r="M32" s="439"/>
      <c r="N32" s="439"/>
      <c r="O32" s="439"/>
      <c r="P32" s="439"/>
    </row>
    <row r="33" spans="1:19">
      <c r="B33" s="439"/>
      <c r="C33" s="439"/>
      <c r="D33" s="439"/>
      <c r="E33" s="439"/>
      <c r="F33" s="439"/>
      <c r="G33" s="439"/>
      <c r="H33" s="439"/>
      <c r="I33" s="439"/>
      <c r="J33" s="439"/>
      <c r="K33" s="439"/>
      <c r="L33" s="439"/>
      <c r="M33" s="439"/>
      <c r="N33" s="439"/>
      <c r="O33" s="439"/>
      <c r="P33" s="439"/>
    </row>
    <row r="34" spans="1:19" s="339" customFormat="1" ht="15" customHeight="1">
      <c r="A34" s="338"/>
      <c r="B34" s="438" t="s">
        <v>323</v>
      </c>
      <c r="C34" s="438"/>
      <c r="D34" s="438"/>
      <c r="E34" s="438"/>
      <c r="F34" s="438"/>
      <c r="G34" s="438"/>
      <c r="H34" s="438"/>
      <c r="I34" s="438"/>
      <c r="J34" s="438"/>
      <c r="K34" s="438"/>
      <c r="L34" s="438"/>
      <c r="M34" s="438"/>
      <c r="N34" s="438"/>
      <c r="O34" s="438"/>
      <c r="P34" s="438"/>
      <c r="R34" s="340"/>
      <c r="S34" s="340"/>
    </row>
    <row r="35" spans="1:19" s="339" customFormat="1" ht="15" customHeight="1">
      <c r="A35" s="338"/>
      <c r="B35" s="438" t="s">
        <v>324</v>
      </c>
      <c r="C35" s="438"/>
      <c r="D35" s="438"/>
      <c r="E35" s="438"/>
      <c r="F35" s="438"/>
      <c r="G35" s="438"/>
      <c r="H35" s="438"/>
      <c r="I35" s="438"/>
      <c r="J35" s="438"/>
      <c r="K35" s="438"/>
      <c r="L35" s="438"/>
      <c r="M35" s="438"/>
      <c r="N35" s="438"/>
      <c r="O35" s="438"/>
      <c r="P35" s="438"/>
      <c r="R35" s="340"/>
      <c r="S35" s="340"/>
    </row>
    <row r="36" spans="1:19" s="339" customFormat="1">
      <c r="A36" s="429"/>
      <c r="B36" s="429"/>
      <c r="C36" s="429"/>
      <c r="D36" s="429"/>
      <c r="E36" s="429"/>
      <c r="F36" s="429"/>
      <c r="G36" s="429"/>
      <c r="H36" s="429"/>
      <c r="I36" s="429"/>
      <c r="J36" s="429"/>
      <c r="K36" s="429"/>
      <c r="L36" s="429"/>
      <c r="M36" s="429"/>
      <c r="N36" s="429"/>
      <c r="O36" s="429"/>
      <c r="P36" s="429"/>
      <c r="R36" s="340"/>
      <c r="S36" s="340"/>
    </row>
    <row r="38" spans="1:19">
      <c r="D38" s="462">
        <f>D27+F27+H27+J27</f>
        <v>184880.70150000002</v>
      </c>
    </row>
  </sheetData>
  <mergeCells count="16">
    <mergeCell ref="A36:P36"/>
    <mergeCell ref="B3:E3"/>
    <mergeCell ref="B4:E4"/>
    <mergeCell ref="B5:E5"/>
    <mergeCell ref="A6:P7"/>
    <mergeCell ref="D8:E8"/>
    <mergeCell ref="F8:G8"/>
    <mergeCell ref="H8:I8"/>
    <mergeCell ref="J8:K8"/>
    <mergeCell ref="L8:M8"/>
    <mergeCell ref="N8:O8"/>
    <mergeCell ref="A27:B27"/>
    <mergeCell ref="B29:P29"/>
    <mergeCell ref="B32:P33"/>
    <mergeCell ref="B34:P34"/>
    <mergeCell ref="B35:P35"/>
  </mergeCells>
  <printOptions horizontalCentered="1"/>
  <pageMargins left="0.51181102362204722" right="0.51181102362204722" top="0.78740157480314965" bottom="0.78740157480314965" header="0.31496062992125984" footer="0.31496062992125984"/>
  <pageSetup paperSize="9" scale="6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R32"/>
  <sheetViews>
    <sheetView workbookViewId="0">
      <selection activeCell="B26" sqref="B26:C31"/>
    </sheetView>
  </sheetViews>
  <sheetFormatPr defaultRowHeight="14.25"/>
  <cols>
    <col min="1" max="1" width="5.75" customWidth="1"/>
    <col min="2" max="2" width="44.375" customWidth="1"/>
    <col min="3" max="3" width="14.25" customWidth="1"/>
  </cols>
  <sheetData>
    <row r="2" spans="1:18" ht="15">
      <c r="A2" s="371" t="s">
        <v>268</v>
      </c>
      <c r="B2" s="371"/>
      <c r="C2" s="371"/>
      <c r="D2" s="149"/>
      <c r="E2" s="149"/>
      <c r="F2" s="149"/>
      <c r="G2" s="149"/>
      <c r="H2" s="149"/>
      <c r="I2" s="149"/>
      <c r="J2" s="149"/>
      <c r="K2" s="149"/>
      <c r="L2" s="149"/>
      <c r="M2" s="149"/>
      <c r="N2" s="149"/>
      <c r="O2" s="149"/>
      <c r="P2" s="149"/>
      <c r="Q2" s="149"/>
      <c r="R2" s="149"/>
    </row>
    <row r="3" spans="1:18" ht="15">
      <c r="A3" s="1" t="s">
        <v>162</v>
      </c>
      <c r="B3" s="24"/>
      <c r="C3" s="15"/>
      <c r="D3" s="2"/>
      <c r="E3" s="2"/>
      <c r="F3" s="19"/>
      <c r="G3" s="19"/>
      <c r="H3" s="4"/>
      <c r="I3" s="4"/>
      <c r="J3" s="2"/>
      <c r="K3" s="2"/>
      <c r="L3" s="14"/>
      <c r="M3" s="14"/>
      <c r="N3" s="14"/>
      <c r="O3" s="14"/>
      <c r="P3" s="122"/>
      <c r="Q3" s="122"/>
      <c r="R3" s="2"/>
    </row>
    <row r="4" spans="1:18" ht="15">
      <c r="A4" s="1" t="s">
        <v>163</v>
      </c>
      <c r="B4" s="24"/>
      <c r="C4" s="15"/>
      <c r="D4" s="2"/>
      <c r="E4" s="2"/>
      <c r="F4" s="19"/>
      <c r="G4" s="19"/>
      <c r="H4" s="4"/>
      <c r="I4" s="4"/>
      <c r="J4" s="2"/>
      <c r="K4" s="2"/>
      <c r="L4" s="14"/>
      <c r="M4" s="14"/>
      <c r="N4" s="14"/>
      <c r="O4" s="14"/>
      <c r="P4" s="122"/>
      <c r="Q4" s="122"/>
      <c r="R4" s="2"/>
    </row>
    <row r="5" spans="1:18" ht="15">
      <c r="A5" s="1" t="s">
        <v>191</v>
      </c>
      <c r="B5" s="73"/>
      <c r="C5" s="74"/>
      <c r="D5" s="2"/>
      <c r="E5" s="2"/>
      <c r="F5" s="19"/>
      <c r="G5" s="19"/>
      <c r="H5" s="4"/>
      <c r="I5" s="4"/>
      <c r="J5" s="2"/>
      <c r="K5" s="2"/>
      <c r="L5" s="14"/>
      <c r="M5" s="14"/>
      <c r="N5" s="14"/>
      <c r="O5" s="14"/>
      <c r="P5" s="122"/>
      <c r="Q5" s="130"/>
      <c r="R5" s="30"/>
    </row>
    <row r="6" spans="1:18" ht="15">
      <c r="A6" s="1" t="s">
        <v>192</v>
      </c>
      <c r="B6" s="73"/>
      <c r="C6" s="74"/>
      <c r="D6" s="2"/>
      <c r="E6" s="2"/>
      <c r="F6" s="19"/>
      <c r="G6" s="19"/>
      <c r="H6" s="4"/>
      <c r="I6" s="4"/>
      <c r="J6" s="2"/>
      <c r="K6" s="2"/>
      <c r="L6" s="14"/>
      <c r="M6" s="14"/>
      <c r="N6" s="14"/>
      <c r="O6" s="14"/>
      <c r="P6" s="122"/>
      <c r="Q6" s="121"/>
      <c r="R6" s="20"/>
    </row>
    <row r="7" spans="1:18">
      <c r="A7" s="20"/>
      <c r="B7" s="24"/>
      <c r="C7" s="28"/>
      <c r="D7" s="145"/>
      <c r="E7" s="145"/>
      <c r="F7" s="44"/>
      <c r="G7" s="44"/>
      <c r="H7" s="31"/>
      <c r="I7" s="31"/>
      <c r="J7" s="32"/>
      <c r="K7" s="32"/>
      <c r="L7" s="33"/>
      <c r="M7" s="33"/>
      <c r="N7" s="33"/>
      <c r="O7" s="33"/>
      <c r="P7" s="123"/>
      <c r="Q7" s="121"/>
      <c r="R7" s="20"/>
    </row>
    <row r="8" spans="1:18">
      <c r="A8" s="150" t="s">
        <v>204</v>
      </c>
      <c r="B8" s="151" t="s">
        <v>205</v>
      </c>
      <c r="C8" s="151" t="s">
        <v>206</v>
      </c>
      <c r="D8" s="442"/>
      <c r="E8" s="442"/>
      <c r="F8" s="442"/>
      <c r="G8" s="442"/>
      <c r="H8" s="442"/>
      <c r="I8" s="442"/>
      <c r="J8" s="442"/>
      <c r="K8" s="442"/>
      <c r="L8" s="442"/>
      <c r="M8" s="442"/>
      <c r="N8" s="442"/>
      <c r="O8" s="442"/>
    </row>
    <row r="9" spans="1:18">
      <c r="A9" s="152"/>
      <c r="B9" s="152"/>
      <c r="C9" s="152"/>
      <c r="D9" s="146"/>
      <c r="E9" s="146"/>
      <c r="F9" s="146"/>
      <c r="G9" s="146"/>
      <c r="H9" s="146"/>
      <c r="I9" s="146"/>
      <c r="J9" s="146"/>
      <c r="K9" s="146"/>
      <c r="L9" s="146"/>
      <c r="M9" s="146"/>
      <c r="N9" s="146"/>
      <c r="O9" s="146"/>
    </row>
    <row r="10" spans="1:18">
      <c r="A10" s="152">
        <v>1</v>
      </c>
      <c r="B10" s="153" t="s">
        <v>19</v>
      </c>
      <c r="C10" s="154">
        <f>'Planilha Orçamentária'!O13</f>
        <v>4588.2789942000009</v>
      </c>
      <c r="D10" s="147"/>
      <c r="E10" s="148"/>
      <c r="F10" s="147"/>
      <c r="G10" s="148"/>
      <c r="H10" s="147"/>
      <c r="I10" s="148"/>
      <c r="J10" s="147"/>
      <c r="K10" s="148"/>
      <c r="L10" s="147"/>
      <c r="M10" s="148"/>
      <c r="N10" s="147"/>
      <c r="O10" s="148"/>
    </row>
    <row r="11" spans="1:18">
      <c r="A11" s="152">
        <v>2</v>
      </c>
      <c r="B11" s="153" t="s">
        <v>27</v>
      </c>
      <c r="C11" s="154">
        <f>'Planilha Orçamentária'!O22</f>
        <v>17677.875521800001</v>
      </c>
      <c r="D11" s="147"/>
      <c r="E11" s="148"/>
      <c r="F11" s="147"/>
      <c r="G11" s="148"/>
      <c r="H11" s="147"/>
      <c r="I11" s="148"/>
      <c r="J11" s="147"/>
      <c r="K11" s="148"/>
      <c r="L11" s="147"/>
      <c r="M11" s="148"/>
      <c r="N11" s="147"/>
      <c r="O11" s="148"/>
    </row>
    <row r="12" spans="1:18">
      <c r="A12" s="152">
        <v>3</v>
      </c>
      <c r="B12" s="153" t="s">
        <v>20</v>
      </c>
      <c r="C12" s="154">
        <f>'Planilha Orçamentária'!O26</f>
        <v>6270.1310720000001</v>
      </c>
      <c r="D12" s="147"/>
      <c r="E12" s="148"/>
      <c r="F12" s="147"/>
      <c r="G12" s="148"/>
      <c r="H12" s="147"/>
      <c r="I12" s="148"/>
      <c r="J12" s="147"/>
      <c r="K12" s="148"/>
      <c r="L12" s="147"/>
      <c r="M12" s="148"/>
      <c r="N12" s="147"/>
      <c r="O12" s="148"/>
    </row>
    <row r="13" spans="1:18">
      <c r="A13" s="152">
        <v>4</v>
      </c>
      <c r="B13" s="153" t="s">
        <v>135</v>
      </c>
      <c r="C13" s="154">
        <f>'Planilha Orçamentária'!O33</f>
        <v>13866.95</v>
      </c>
      <c r="D13" s="147"/>
      <c r="E13" s="148"/>
      <c r="F13" s="147"/>
      <c r="G13" s="148"/>
      <c r="H13" s="147"/>
      <c r="I13" s="148"/>
      <c r="J13" s="147"/>
      <c r="K13" s="148"/>
      <c r="L13" s="147"/>
      <c r="M13" s="148"/>
      <c r="N13" s="147"/>
      <c r="O13" s="148"/>
    </row>
    <row r="14" spans="1:18">
      <c r="A14" s="152">
        <v>5</v>
      </c>
      <c r="B14" s="155" t="s">
        <v>30</v>
      </c>
      <c r="C14" s="154">
        <f>'Planilha Orçamentária'!O38</f>
        <v>16127.525408</v>
      </c>
      <c r="D14" s="147"/>
      <c r="E14" s="148"/>
      <c r="F14" s="147"/>
      <c r="G14" s="148"/>
      <c r="H14" s="147"/>
      <c r="I14" s="148"/>
      <c r="J14" s="147"/>
      <c r="K14" s="148"/>
      <c r="L14" s="147"/>
      <c r="M14" s="148"/>
      <c r="N14" s="147"/>
      <c r="O14" s="148"/>
    </row>
    <row r="15" spans="1:18">
      <c r="A15" s="152">
        <v>6</v>
      </c>
      <c r="B15" s="155" t="s">
        <v>21</v>
      </c>
      <c r="C15" s="154">
        <f>'Planilha Orçamentária'!O46</f>
        <v>13235.969006700001</v>
      </c>
      <c r="D15" s="147"/>
      <c r="E15" s="148"/>
      <c r="F15" s="147"/>
      <c r="G15" s="148"/>
      <c r="H15" s="147"/>
      <c r="I15" s="148"/>
      <c r="J15" s="147"/>
      <c r="K15" s="148"/>
      <c r="L15" s="147"/>
      <c r="M15" s="148"/>
      <c r="N15" s="147"/>
      <c r="O15" s="148"/>
    </row>
    <row r="16" spans="1:18">
      <c r="A16" s="152">
        <v>7</v>
      </c>
      <c r="B16" s="155" t="s">
        <v>35</v>
      </c>
      <c r="C16" s="154">
        <f>'Planilha Orçamentária'!O68</f>
        <v>11139.170886399999</v>
      </c>
      <c r="D16" s="147"/>
      <c r="E16" s="148"/>
      <c r="F16" s="147"/>
      <c r="G16" s="148"/>
      <c r="H16" s="147"/>
      <c r="I16" s="148"/>
      <c r="J16" s="147"/>
      <c r="K16" s="148"/>
      <c r="L16" s="147"/>
      <c r="M16" s="148"/>
      <c r="N16" s="147"/>
      <c r="O16" s="148"/>
    </row>
    <row r="17" spans="1:15">
      <c r="A17" s="152">
        <v>8</v>
      </c>
      <c r="B17" s="155" t="s">
        <v>36</v>
      </c>
      <c r="C17" s="154">
        <f>'Planilha Orçamentária'!O85</f>
        <v>7605.4486344000006</v>
      </c>
      <c r="D17" s="147"/>
      <c r="E17" s="148"/>
      <c r="F17" s="147"/>
      <c r="G17" s="148"/>
      <c r="H17" s="147"/>
      <c r="I17" s="148"/>
      <c r="J17" s="147"/>
      <c r="K17" s="148"/>
      <c r="L17" s="147"/>
      <c r="M17" s="148"/>
      <c r="N17" s="147"/>
      <c r="O17" s="148"/>
    </row>
    <row r="18" spans="1:15">
      <c r="A18" s="152">
        <v>9</v>
      </c>
      <c r="B18" s="155" t="s">
        <v>40</v>
      </c>
      <c r="C18" s="154">
        <f>'Planilha Orçamentária'!O98</f>
        <v>2625.1900840000003</v>
      </c>
      <c r="D18" s="147"/>
      <c r="E18" s="148"/>
      <c r="F18" s="147"/>
      <c r="G18" s="148"/>
      <c r="H18" s="147"/>
      <c r="I18" s="148"/>
      <c r="J18" s="147"/>
      <c r="K18" s="148"/>
      <c r="L18" s="147"/>
      <c r="M18" s="148"/>
      <c r="N18" s="147"/>
      <c r="O18" s="148"/>
    </row>
    <row r="19" spans="1:15">
      <c r="A19" s="152">
        <v>10</v>
      </c>
      <c r="B19" s="155" t="s">
        <v>137</v>
      </c>
      <c r="C19" s="154">
        <f>'Planilha Orçamentária'!O106</f>
        <v>2118.6755619999999</v>
      </c>
      <c r="D19" s="147"/>
      <c r="E19" s="148"/>
      <c r="F19" s="147"/>
      <c r="G19" s="148"/>
      <c r="H19" s="147"/>
      <c r="I19" s="148"/>
      <c r="J19" s="147"/>
      <c r="K19" s="148"/>
      <c r="L19" s="147"/>
      <c r="M19" s="148"/>
      <c r="N19" s="147"/>
      <c r="O19" s="148"/>
    </row>
    <row r="20" spans="1:15">
      <c r="A20" s="152">
        <v>11</v>
      </c>
      <c r="B20" s="155" t="s">
        <v>22</v>
      </c>
      <c r="C20" s="154">
        <f>'Planilha Orçamentária'!O112</f>
        <v>8964.2606359200017</v>
      </c>
      <c r="D20" s="147"/>
      <c r="E20" s="148"/>
      <c r="F20" s="147"/>
      <c r="G20" s="148"/>
      <c r="H20" s="147"/>
      <c r="I20" s="148"/>
      <c r="J20" s="147"/>
      <c r="K20" s="148"/>
      <c r="L20" s="147"/>
      <c r="M20" s="148"/>
      <c r="N20" s="147"/>
      <c r="O20" s="148"/>
    </row>
    <row r="21" spans="1:15">
      <c r="A21" s="152">
        <v>12</v>
      </c>
      <c r="B21" s="155" t="s">
        <v>23</v>
      </c>
      <c r="C21" s="154">
        <f>'Planilha Orçamentária'!O118</f>
        <v>19255.860188600003</v>
      </c>
      <c r="D21" s="147"/>
      <c r="E21" s="148"/>
      <c r="F21" s="147"/>
      <c r="G21" s="148"/>
      <c r="H21" s="147"/>
      <c r="I21" s="148"/>
      <c r="J21" s="147"/>
      <c r="K21" s="148"/>
      <c r="L21" s="147"/>
      <c r="M21" s="148"/>
      <c r="N21" s="147"/>
      <c r="O21" s="148"/>
    </row>
    <row r="22" spans="1:15">
      <c r="A22" s="152">
        <v>13</v>
      </c>
      <c r="B22" s="155" t="s">
        <v>24</v>
      </c>
      <c r="C22" s="154">
        <f>'Planilha Orçamentária'!O129</f>
        <v>12008.728600000002</v>
      </c>
      <c r="D22" s="147"/>
      <c r="E22" s="148"/>
      <c r="F22" s="147"/>
      <c r="G22" s="148"/>
      <c r="H22" s="147"/>
      <c r="I22" s="148"/>
      <c r="J22" s="147"/>
      <c r="K22" s="148"/>
      <c r="L22" s="147"/>
      <c r="M22" s="148"/>
      <c r="N22" s="147"/>
      <c r="O22" s="148"/>
    </row>
    <row r="23" spans="1:15">
      <c r="A23" s="152">
        <v>14</v>
      </c>
      <c r="B23" s="155" t="s">
        <v>25</v>
      </c>
      <c r="C23" s="154">
        <f>'Planilha Orçamentária'!O134</f>
        <v>2265.2344128</v>
      </c>
      <c r="D23" s="147"/>
      <c r="E23" s="148"/>
      <c r="F23" s="147"/>
      <c r="G23" s="148"/>
      <c r="H23" s="147"/>
      <c r="I23" s="148"/>
      <c r="J23" s="147"/>
      <c r="K23" s="148"/>
      <c r="L23" s="147"/>
      <c r="M23" s="148"/>
      <c r="N23" s="147"/>
      <c r="O23" s="148"/>
    </row>
    <row r="24" spans="1:15">
      <c r="A24" s="152"/>
      <c r="B24" s="152"/>
      <c r="C24" s="154">
        <f>SUM(C10:C23)</f>
        <v>137749.29900682002</v>
      </c>
      <c r="D24" s="147"/>
      <c r="E24" s="148"/>
      <c r="F24" s="147"/>
      <c r="G24" s="148"/>
      <c r="H24" s="147"/>
      <c r="I24" s="148"/>
      <c r="J24" s="147"/>
      <c r="K24" s="148"/>
      <c r="L24" s="147"/>
      <c r="M24" s="148"/>
      <c r="N24" s="147"/>
      <c r="O24" s="148"/>
    </row>
    <row r="25" spans="1:15">
      <c r="A25" s="143"/>
      <c r="B25" s="143"/>
      <c r="C25" s="144"/>
      <c r="D25" s="144"/>
      <c r="E25" s="143"/>
      <c r="F25" s="144"/>
      <c r="G25" s="143"/>
      <c r="H25" s="144"/>
      <c r="I25" s="143"/>
      <c r="J25" s="144"/>
      <c r="K25" s="143"/>
      <c r="L25" s="144"/>
      <c r="M25" s="143"/>
      <c r="N25" s="144"/>
    </row>
    <row r="26" spans="1:15">
      <c r="B26" s="440" t="s">
        <v>202</v>
      </c>
      <c r="C26" s="440"/>
      <c r="D26" s="14"/>
      <c r="E26" s="14"/>
      <c r="F26" s="14"/>
      <c r="G26" s="14"/>
      <c r="H26" s="14"/>
      <c r="I26" s="14"/>
      <c r="J26" s="14"/>
    </row>
    <row r="28" spans="1:15">
      <c r="B28" s="441" t="s">
        <v>269</v>
      </c>
      <c r="C28" s="441"/>
      <c r="D28" s="2"/>
      <c r="E28" s="2"/>
      <c r="F28" s="14"/>
      <c r="G28" s="14"/>
      <c r="H28" s="14"/>
      <c r="I28" s="14"/>
      <c r="J28" s="122"/>
    </row>
    <row r="29" spans="1:15">
      <c r="B29" s="440" t="s">
        <v>16</v>
      </c>
      <c r="C29" s="440"/>
      <c r="D29" s="14"/>
      <c r="E29" s="29"/>
      <c r="F29" s="14"/>
      <c r="G29" s="14"/>
      <c r="H29" s="14"/>
      <c r="I29" s="14"/>
      <c r="J29" s="128"/>
    </row>
    <row r="30" spans="1:15">
      <c r="B30" s="440" t="s">
        <v>15</v>
      </c>
      <c r="C30" s="440"/>
      <c r="D30" s="14"/>
      <c r="E30" s="14"/>
      <c r="F30" s="14"/>
      <c r="G30" s="14"/>
      <c r="H30" s="14"/>
      <c r="I30" s="14"/>
      <c r="J30" s="14"/>
    </row>
    <row r="32" spans="1:15">
      <c r="D32" s="20"/>
      <c r="E32" s="142"/>
      <c r="F32" s="142"/>
      <c r="G32" s="142"/>
      <c r="H32" s="142"/>
      <c r="I32" s="142"/>
    </row>
  </sheetData>
  <mergeCells count="11">
    <mergeCell ref="N8:O8"/>
    <mergeCell ref="D8:E8"/>
    <mergeCell ref="F8:G8"/>
    <mergeCell ref="H8:I8"/>
    <mergeCell ref="J8:K8"/>
    <mergeCell ref="L8:M8"/>
    <mergeCell ref="A2:C2"/>
    <mergeCell ref="B26:C26"/>
    <mergeCell ref="B29:C29"/>
    <mergeCell ref="B30:C30"/>
    <mergeCell ref="B28:C28"/>
  </mergeCells>
  <pageMargins left="0.511811024" right="0.511811024" top="0.78740157499999996" bottom="0.78740157499999996" header="0.31496062000000002" footer="0.31496062000000002"/>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H55"/>
  <sheetViews>
    <sheetView zoomScale="70" zoomScaleNormal="70" workbookViewId="0">
      <selection activeCell="J13" sqref="J13"/>
    </sheetView>
  </sheetViews>
  <sheetFormatPr defaultColWidth="9" defaultRowHeight="14.25"/>
  <cols>
    <col min="1" max="1" width="9.125" style="13" customWidth="1"/>
    <col min="2" max="2" width="11.25" style="13" customWidth="1"/>
    <col min="3" max="3" width="65" customWidth="1"/>
    <col min="4" max="4" width="23.25" style="13" customWidth="1"/>
    <col min="5" max="5" width="13.75" style="13" bestFit="1" customWidth="1"/>
    <col min="6" max="6" width="9.875" style="13" bestFit="1" customWidth="1"/>
    <col min="7" max="7" width="9.75" style="42" bestFit="1" customWidth="1"/>
  </cols>
  <sheetData>
    <row r="2" spans="1:268" s="83" customFormat="1" ht="17.25">
      <c r="A2" s="79"/>
      <c r="B2" s="80"/>
      <c r="C2" s="80"/>
      <c r="D2" s="81"/>
      <c r="E2" s="82"/>
      <c r="F2" s="80"/>
      <c r="G2" s="90"/>
    </row>
    <row r="3" spans="1:268" s="83" customFormat="1" ht="18.75">
      <c r="A3" s="84" t="s">
        <v>158</v>
      </c>
      <c r="B3" s="85"/>
      <c r="C3" s="85"/>
      <c r="D3" s="86"/>
      <c r="E3" s="87"/>
      <c r="F3" s="85"/>
      <c r="G3" s="91"/>
    </row>
    <row r="4" spans="1:268" s="83" customFormat="1" ht="17.25">
      <c r="A4" s="84" t="s">
        <v>156</v>
      </c>
      <c r="B4" s="85"/>
      <c r="C4" s="85"/>
      <c r="D4" s="88"/>
      <c r="E4" s="87"/>
      <c r="F4" s="85"/>
      <c r="G4" s="91"/>
    </row>
    <row r="5" spans="1:268" s="83" customFormat="1" ht="17.25">
      <c r="A5" s="84" t="s">
        <v>161</v>
      </c>
      <c r="B5" s="85"/>
      <c r="C5" s="85"/>
      <c r="E5" s="87"/>
      <c r="F5" s="85"/>
      <c r="G5" s="91"/>
    </row>
    <row r="6" spans="1:268" s="83" customFormat="1" ht="18" customHeight="1">
      <c r="A6" s="449" t="s">
        <v>157</v>
      </c>
      <c r="B6" s="450"/>
      <c r="C6" s="450"/>
      <c r="D6" s="450"/>
      <c r="E6" s="450"/>
      <c r="F6" s="85"/>
      <c r="G6" s="91"/>
    </row>
    <row r="7" spans="1:268" s="83" customFormat="1" ht="14.45" customHeight="1">
      <c r="A7" s="451"/>
      <c r="B7" s="452"/>
      <c r="C7" s="452"/>
      <c r="D7" s="452"/>
      <c r="E7" s="452"/>
      <c r="F7" s="89"/>
      <c r="G7" s="92"/>
    </row>
    <row r="8" spans="1:268">
      <c r="AF8" s="70"/>
      <c r="AG8" s="70"/>
      <c r="AH8" s="70"/>
      <c r="AI8" s="70"/>
      <c r="AJ8" s="70"/>
      <c r="AK8" s="70"/>
      <c r="AL8" s="70"/>
      <c r="AM8" s="70"/>
      <c r="AN8" s="70"/>
      <c r="AO8" s="70"/>
      <c r="AP8" s="70"/>
      <c r="AQ8" s="70"/>
      <c r="AR8" s="70"/>
      <c r="AS8" s="70"/>
      <c r="AT8" s="70"/>
      <c r="AU8" s="70"/>
      <c r="AV8" s="70"/>
      <c r="AW8" s="70"/>
      <c r="AX8" s="70"/>
      <c r="AY8" s="70"/>
      <c r="AZ8" s="70"/>
      <c r="BA8" s="70"/>
      <c r="BB8" s="70"/>
      <c r="BC8" s="70"/>
      <c r="BD8" s="70"/>
      <c r="BE8" s="70"/>
      <c r="BF8" s="70"/>
      <c r="BG8" s="70"/>
      <c r="BH8" s="70"/>
      <c r="BI8" s="70"/>
      <c r="BJ8" s="70"/>
      <c r="BK8" s="70"/>
      <c r="BL8" s="70"/>
      <c r="BM8" s="70"/>
      <c r="BN8" s="70"/>
      <c r="BO8" s="70"/>
      <c r="BP8" s="70"/>
      <c r="BQ8" s="70"/>
      <c r="BR8" s="70"/>
      <c r="BS8" s="70"/>
      <c r="BT8" s="70"/>
      <c r="BU8" s="70"/>
      <c r="BV8" s="70"/>
      <c r="BW8" s="70"/>
      <c r="BX8" s="70"/>
      <c r="BY8" s="70"/>
      <c r="BZ8" s="70"/>
      <c r="CA8" s="70"/>
      <c r="CB8" s="70"/>
      <c r="CC8" s="70"/>
      <c r="CD8" s="70"/>
      <c r="CE8" s="70"/>
      <c r="CF8" s="70"/>
      <c r="CG8" s="70"/>
      <c r="CH8" s="70"/>
      <c r="CI8" s="70"/>
      <c r="CJ8" s="70"/>
      <c r="CK8" s="70"/>
      <c r="CL8" s="70"/>
      <c r="CM8" s="70"/>
      <c r="CN8" s="70"/>
      <c r="CO8" s="70"/>
      <c r="CP8" s="70"/>
      <c r="CQ8" s="70"/>
      <c r="CR8" s="70"/>
      <c r="CS8" s="70"/>
      <c r="CT8" s="70"/>
      <c r="CU8" s="70"/>
      <c r="CV8" s="70"/>
      <c r="CW8" s="70"/>
      <c r="CX8" s="70"/>
      <c r="CY8" s="70"/>
      <c r="CZ8" s="70"/>
      <c r="DA8" s="70"/>
      <c r="DB8" s="70"/>
      <c r="DC8" s="70"/>
      <c r="DD8" s="70"/>
      <c r="DE8" s="70"/>
      <c r="DF8" s="70"/>
      <c r="DG8" s="70"/>
      <c r="DH8" s="70"/>
      <c r="DI8" s="70"/>
      <c r="DJ8" s="70"/>
      <c r="DK8" s="70"/>
      <c r="DL8" s="70"/>
      <c r="DM8" s="70"/>
      <c r="DN8" s="70"/>
      <c r="DO8" s="70"/>
      <c r="DP8" s="70"/>
      <c r="DQ8" s="70"/>
      <c r="DR8" s="70"/>
      <c r="DS8" s="70"/>
      <c r="DT8" s="70"/>
      <c r="DU8" s="70"/>
      <c r="DV8" s="70"/>
      <c r="DW8" s="70"/>
      <c r="DX8" s="70"/>
      <c r="DY8" s="70"/>
      <c r="DZ8" s="70"/>
      <c r="EA8" s="70"/>
      <c r="EB8" s="70"/>
      <c r="EC8" s="70"/>
      <c r="ED8" s="70"/>
      <c r="EE8" s="70"/>
      <c r="EF8" s="70"/>
      <c r="EG8" s="70"/>
      <c r="EH8" s="70"/>
      <c r="EI8" s="70"/>
      <c r="EJ8" s="70"/>
      <c r="EK8" s="70"/>
      <c r="EL8" s="70"/>
      <c r="EM8" s="70"/>
      <c r="EN8" s="70"/>
      <c r="EO8" s="70"/>
      <c r="EP8" s="70"/>
      <c r="EQ8" s="70"/>
      <c r="ER8" s="70"/>
      <c r="ES8" s="70"/>
      <c r="ET8" s="70"/>
      <c r="EU8" s="70"/>
      <c r="EV8" s="70"/>
      <c r="EW8" s="70"/>
      <c r="EX8" s="70"/>
      <c r="EY8" s="70"/>
      <c r="EZ8" s="70"/>
      <c r="FA8" s="70"/>
      <c r="FB8" s="70"/>
      <c r="FC8" s="70"/>
      <c r="FD8" s="70"/>
      <c r="FE8" s="70"/>
      <c r="FF8" s="70"/>
      <c r="FG8" s="70"/>
      <c r="FH8" s="70"/>
      <c r="FI8" s="70"/>
      <c r="FJ8" s="70"/>
      <c r="FK8" s="70"/>
      <c r="FL8" s="70"/>
      <c r="FM8" s="70"/>
      <c r="FN8" s="70"/>
      <c r="FO8" s="70"/>
      <c r="FP8" s="70"/>
      <c r="FQ8" s="70"/>
      <c r="FR8" s="70"/>
      <c r="FS8" s="70"/>
      <c r="FT8" s="70"/>
      <c r="FU8" s="70"/>
      <c r="FV8" s="70"/>
      <c r="FW8" s="70"/>
      <c r="FX8" s="70"/>
      <c r="FY8" s="70"/>
      <c r="FZ8" s="70"/>
      <c r="GA8" s="70"/>
      <c r="GB8" s="70"/>
      <c r="GC8" s="70"/>
      <c r="GD8" s="70"/>
      <c r="GE8" s="70"/>
      <c r="GF8" s="70"/>
      <c r="GG8" s="70"/>
      <c r="GH8" s="70"/>
      <c r="GI8" s="70"/>
      <c r="GJ8" s="70"/>
      <c r="GK8" s="70"/>
      <c r="GL8" s="70"/>
      <c r="GM8" s="70"/>
      <c r="GN8" s="70"/>
      <c r="GO8" s="70"/>
      <c r="GP8" s="70"/>
      <c r="GQ8" s="70"/>
      <c r="GR8" s="70"/>
      <c r="GS8" s="70"/>
      <c r="GT8" s="70"/>
      <c r="GU8" s="70"/>
      <c r="GV8" s="70"/>
      <c r="GW8" s="70"/>
      <c r="GX8" s="70"/>
      <c r="GY8" s="70"/>
      <c r="GZ8" s="70"/>
      <c r="HA8" s="70"/>
      <c r="HB8" s="70"/>
      <c r="HC8" s="70"/>
      <c r="HD8" s="70"/>
      <c r="HE8" s="70"/>
      <c r="HF8" s="70"/>
      <c r="HG8" s="70"/>
      <c r="HH8" s="70"/>
      <c r="HI8" s="70"/>
      <c r="HJ8" s="70"/>
      <c r="HK8" s="70"/>
      <c r="HL8" s="70"/>
      <c r="HM8" s="70"/>
      <c r="HN8" s="70"/>
      <c r="HO8" s="70"/>
      <c r="HP8" s="70"/>
      <c r="HQ8" s="70"/>
      <c r="HR8" s="70"/>
      <c r="HS8" s="70"/>
      <c r="HT8" s="70"/>
      <c r="HU8" s="70"/>
      <c r="HV8" s="70"/>
      <c r="HW8" s="70"/>
      <c r="HX8" s="70"/>
      <c r="HY8" s="70"/>
      <c r="HZ8" s="70"/>
      <c r="IA8" s="70"/>
      <c r="IB8" s="70"/>
      <c r="IC8" s="70"/>
      <c r="ID8" s="70"/>
      <c r="IE8" s="70"/>
      <c r="IF8" s="70"/>
      <c r="IG8" s="70"/>
      <c r="IH8" s="70"/>
      <c r="II8" s="70"/>
      <c r="IJ8" s="70"/>
      <c r="IK8" s="70"/>
      <c r="IL8" s="70"/>
      <c r="IM8" s="70"/>
      <c r="IN8" s="70"/>
      <c r="IO8" s="70"/>
      <c r="IP8" s="70"/>
      <c r="IQ8" s="70"/>
      <c r="IR8" s="70"/>
      <c r="IS8" s="70"/>
      <c r="IT8" s="70"/>
      <c r="IU8" s="70"/>
      <c r="IV8" s="70"/>
      <c r="IW8" s="70"/>
      <c r="IX8" s="70"/>
      <c r="IY8" s="70"/>
      <c r="IZ8" s="70"/>
      <c r="JA8" s="70"/>
      <c r="JB8" s="70"/>
      <c r="JC8" s="70"/>
      <c r="JD8" s="70"/>
      <c r="JE8" s="70"/>
      <c r="JF8" s="70"/>
      <c r="JG8" s="70"/>
      <c r="JH8" s="70"/>
    </row>
    <row r="9" spans="1:268" ht="18.75">
      <c r="D9" s="95" t="s">
        <v>169</v>
      </c>
      <c r="E9" s="443">
        <f>G12+G14+G15+G17+G18</f>
        <v>66.009999999999991</v>
      </c>
      <c r="F9" s="444"/>
      <c r="G9" s="445">
        <f>E9+E10</f>
        <v>72.199999999999989</v>
      </c>
      <c r="AF9" s="70"/>
      <c r="AG9" s="70"/>
      <c r="AH9" s="70"/>
      <c r="AI9" s="70"/>
      <c r="AJ9" s="70"/>
      <c r="AK9" s="70"/>
      <c r="AL9" s="70"/>
      <c r="AM9" s="70"/>
      <c r="AN9" s="70"/>
      <c r="AO9" s="70"/>
      <c r="AP9" s="70"/>
      <c r="AQ9" s="70"/>
      <c r="AR9" s="70"/>
      <c r="AS9" s="70"/>
      <c r="AT9" s="70"/>
      <c r="AU9" s="70"/>
      <c r="AV9" s="70"/>
      <c r="AW9" s="70"/>
      <c r="AX9" s="70"/>
      <c r="AY9" s="70"/>
      <c r="AZ9" s="70"/>
      <c r="BA9" s="70"/>
      <c r="BB9" s="70"/>
      <c r="BC9" s="70"/>
      <c r="BD9" s="70"/>
      <c r="BE9" s="70"/>
      <c r="BF9" s="70"/>
      <c r="BG9" s="70"/>
      <c r="BH9" s="70"/>
      <c r="BI9" s="70"/>
      <c r="BJ9" s="70"/>
      <c r="BK9" s="70"/>
      <c r="BL9" s="70"/>
      <c r="BM9" s="70"/>
      <c r="BN9" s="70"/>
      <c r="BO9" s="70"/>
      <c r="BP9" s="70"/>
      <c r="BQ9" s="70"/>
      <c r="BR9" s="70"/>
      <c r="BS9" s="70"/>
      <c r="BT9" s="70"/>
      <c r="BU9" s="70"/>
      <c r="BV9" s="70"/>
      <c r="BW9" s="70"/>
      <c r="BX9" s="70"/>
      <c r="BY9" s="70"/>
      <c r="BZ9" s="70"/>
      <c r="CA9" s="70"/>
      <c r="CB9" s="70"/>
      <c r="CC9" s="70"/>
      <c r="CD9" s="70"/>
      <c r="CE9" s="70"/>
      <c r="CF9" s="70"/>
      <c r="CG9" s="70"/>
      <c r="CH9" s="70"/>
      <c r="CI9" s="70"/>
      <c r="CJ9" s="70"/>
      <c r="CK9" s="70"/>
      <c r="CL9" s="70"/>
      <c r="CM9" s="70"/>
      <c r="CN9" s="70"/>
      <c r="CO9" s="70"/>
      <c r="CP9" s="70"/>
      <c r="CQ9" s="70"/>
      <c r="CR9" s="70"/>
      <c r="CS9" s="70"/>
      <c r="CT9" s="70"/>
      <c r="CU9" s="70"/>
      <c r="CV9" s="70"/>
      <c r="CW9" s="70"/>
      <c r="CX9" s="70"/>
      <c r="CY9" s="70"/>
      <c r="CZ9" s="70"/>
      <c r="DA9" s="70"/>
      <c r="DB9" s="70"/>
      <c r="DC9" s="70"/>
      <c r="DD9" s="70"/>
      <c r="DE9" s="70"/>
      <c r="DF9" s="70"/>
      <c r="DG9" s="70"/>
      <c r="DH9" s="70"/>
      <c r="DI9" s="70"/>
      <c r="DJ9" s="70"/>
      <c r="DK9" s="70"/>
      <c r="DL9" s="70"/>
      <c r="DM9" s="70"/>
      <c r="DN9" s="70"/>
      <c r="DO9" s="70"/>
      <c r="DP9" s="70"/>
      <c r="DQ9" s="70"/>
      <c r="DR9" s="70"/>
      <c r="DS9" s="70"/>
      <c r="DT9" s="70"/>
      <c r="DU9" s="70"/>
      <c r="DV9" s="70"/>
      <c r="DW9" s="70"/>
      <c r="DX9" s="70"/>
      <c r="DY9" s="70"/>
      <c r="DZ9" s="70"/>
      <c r="EA9" s="70"/>
      <c r="EB9" s="70"/>
      <c r="EC9" s="70"/>
      <c r="ED9" s="70"/>
      <c r="EE9" s="70"/>
      <c r="EF9" s="70"/>
      <c r="EG9" s="70"/>
      <c r="EH9" s="70"/>
      <c r="EI9" s="70"/>
      <c r="EJ9" s="70"/>
      <c r="EK9" s="70"/>
      <c r="EL9" s="70"/>
      <c r="EM9" s="70"/>
      <c r="EN9" s="70"/>
      <c r="EO9" s="70"/>
      <c r="EP9" s="70"/>
      <c r="EQ9" s="70"/>
      <c r="ER9" s="70"/>
      <c r="ES9" s="70"/>
      <c r="ET9" s="70"/>
      <c r="EU9" s="70"/>
      <c r="EV9" s="70"/>
      <c r="EW9" s="70"/>
      <c r="EX9" s="70"/>
      <c r="EY9" s="70"/>
      <c r="EZ9" s="70"/>
      <c r="FA9" s="70"/>
      <c r="FB9" s="70"/>
      <c r="FC9" s="70"/>
      <c r="FD9" s="70"/>
      <c r="FE9" s="70"/>
      <c r="FF9" s="70"/>
      <c r="FG9" s="70"/>
      <c r="FH9" s="70"/>
      <c r="FI9" s="70"/>
      <c r="FJ9" s="70"/>
      <c r="FK9" s="70"/>
      <c r="FL9" s="70"/>
      <c r="FM9" s="70"/>
      <c r="FN9" s="70"/>
      <c r="FO9" s="70"/>
      <c r="FP9" s="70"/>
      <c r="FQ9" s="70"/>
      <c r="FR9" s="70"/>
      <c r="FS9" s="70"/>
      <c r="FT9" s="70"/>
      <c r="FU9" s="70"/>
      <c r="FV9" s="70"/>
      <c r="FW9" s="70"/>
      <c r="FX9" s="70"/>
      <c r="FY9" s="70"/>
      <c r="FZ9" s="70"/>
      <c r="GA9" s="70"/>
      <c r="GB9" s="70"/>
      <c r="GC9" s="70"/>
      <c r="GD9" s="70"/>
      <c r="GE9" s="70"/>
      <c r="GF9" s="70"/>
      <c r="GG9" s="70"/>
      <c r="GH9" s="70"/>
      <c r="GI9" s="70"/>
      <c r="GJ9" s="70"/>
      <c r="GK9" s="70"/>
      <c r="GL9" s="70"/>
      <c r="GM9" s="70"/>
      <c r="GN9" s="70"/>
      <c r="GO9" s="70"/>
      <c r="GP9" s="70"/>
      <c r="GQ9" s="70"/>
      <c r="GR9" s="70"/>
      <c r="GS9" s="70"/>
      <c r="GT9" s="70"/>
      <c r="GU9" s="70"/>
      <c r="GV9" s="70"/>
      <c r="GW9" s="70"/>
      <c r="GX9" s="70"/>
      <c r="GY9" s="70"/>
      <c r="GZ9" s="70"/>
      <c r="HA9" s="70"/>
      <c r="HB9" s="70"/>
      <c r="HC9" s="70"/>
      <c r="HD9" s="70"/>
      <c r="HE9" s="70"/>
      <c r="HF9" s="70"/>
      <c r="HG9" s="70"/>
      <c r="HH9" s="70"/>
      <c r="HI9" s="70"/>
      <c r="HJ9" s="70"/>
      <c r="HK9" s="70"/>
      <c r="HL9" s="70"/>
      <c r="HM9" s="70"/>
      <c r="HN9" s="70"/>
      <c r="HO9" s="70"/>
      <c r="HP9" s="70"/>
      <c r="HQ9" s="70"/>
      <c r="HR9" s="70"/>
      <c r="HS9" s="70"/>
      <c r="HT9" s="70"/>
      <c r="HU9" s="70"/>
      <c r="HV9" s="70"/>
      <c r="HW9" s="70"/>
      <c r="HX9" s="70"/>
      <c r="HY9" s="70"/>
      <c r="HZ9" s="70"/>
      <c r="IA9" s="70"/>
      <c r="IB9" s="70"/>
      <c r="IC9" s="70"/>
      <c r="ID9" s="70"/>
      <c r="IE9" s="70"/>
      <c r="IF9" s="70"/>
      <c r="IG9" s="70"/>
      <c r="IH9" s="70"/>
      <c r="II9" s="70"/>
      <c r="IJ9" s="70"/>
      <c r="IK9" s="70"/>
      <c r="IL9" s="70"/>
      <c r="IM9" s="70"/>
      <c r="IN9" s="70"/>
      <c r="IO9" s="70"/>
      <c r="IP9" s="70"/>
      <c r="IQ9" s="70"/>
      <c r="IR9" s="70"/>
      <c r="IS9" s="70"/>
      <c r="IT9" s="70"/>
      <c r="IU9" s="70"/>
      <c r="IV9" s="70"/>
      <c r="IW9" s="70"/>
      <c r="IX9" s="70"/>
      <c r="IY9" s="70"/>
      <c r="IZ9" s="70"/>
      <c r="JA9" s="70"/>
      <c r="JB9" s="70"/>
      <c r="JC9" s="70"/>
      <c r="JD9" s="70"/>
      <c r="JE9" s="70"/>
      <c r="JF9" s="70"/>
      <c r="JG9" s="70"/>
      <c r="JH9" s="70"/>
    </row>
    <row r="10" spans="1:268" ht="18.75">
      <c r="D10" s="95" t="s">
        <v>170</v>
      </c>
      <c r="E10" s="443">
        <f>G13+G16</f>
        <v>6.1899999999999995</v>
      </c>
      <c r="F10" s="444"/>
      <c r="G10" s="446"/>
      <c r="AF10" s="70"/>
      <c r="AG10" s="70"/>
      <c r="AH10" s="70"/>
      <c r="AI10" s="70"/>
      <c r="AJ10" s="70"/>
      <c r="AK10" s="70"/>
      <c r="AL10" s="70"/>
      <c r="AM10" s="70"/>
      <c r="AN10" s="70"/>
      <c r="AO10" s="70"/>
      <c r="AP10" s="70"/>
      <c r="AQ10" s="70"/>
      <c r="AR10" s="70"/>
      <c r="AS10" s="70"/>
      <c r="AT10" s="70"/>
      <c r="AU10" s="70"/>
      <c r="AV10" s="70"/>
      <c r="AW10" s="70"/>
      <c r="AX10" s="70"/>
      <c r="AY10" s="70"/>
      <c r="AZ10" s="70"/>
      <c r="BA10" s="70"/>
      <c r="BB10" s="70"/>
      <c r="BC10" s="70"/>
      <c r="BD10" s="70"/>
      <c r="BE10" s="70"/>
      <c r="BF10" s="70"/>
      <c r="BG10" s="70"/>
      <c r="BH10" s="70"/>
      <c r="BI10" s="70"/>
      <c r="BJ10" s="70"/>
      <c r="BK10" s="70"/>
      <c r="BL10" s="70"/>
      <c r="BM10" s="70"/>
      <c r="BN10" s="70"/>
      <c r="BO10" s="70"/>
      <c r="BP10" s="70"/>
      <c r="BQ10" s="70"/>
      <c r="BR10" s="70"/>
      <c r="BS10" s="70"/>
      <c r="BT10" s="70"/>
      <c r="BU10" s="70"/>
      <c r="BV10" s="70"/>
      <c r="BW10" s="70"/>
      <c r="BX10" s="70"/>
      <c r="BY10" s="70"/>
      <c r="BZ10" s="70"/>
      <c r="CA10" s="70"/>
      <c r="CB10" s="70"/>
      <c r="CC10" s="70"/>
      <c r="CD10" s="70"/>
      <c r="CE10" s="70"/>
      <c r="CF10" s="70"/>
      <c r="CG10" s="70"/>
      <c r="CH10" s="70"/>
      <c r="CI10" s="70"/>
      <c r="CJ10" s="70"/>
      <c r="CK10" s="70"/>
      <c r="CL10" s="70"/>
      <c r="CM10" s="70"/>
      <c r="CN10" s="70"/>
      <c r="CO10" s="70"/>
      <c r="CP10" s="70"/>
      <c r="CQ10" s="70"/>
      <c r="CR10" s="70"/>
      <c r="CS10" s="70"/>
      <c r="CT10" s="70"/>
      <c r="CU10" s="70"/>
      <c r="CV10" s="70"/>
      <c r="CW10" s="70"/>
      <c r="CX10" s="70"/>
      <c r="CY10" s="70"/>
      <c r="CZ10" s="70"/>
      <c r="DA10" s="70"/>
      <c r="DB10" s="70"/>
      <c r="DC10" s="70"/>
      <c r="DD10" s="70"/>
      <c r="DE10" s="70"/>
      <c r="DF10" s="70"/>
      <c r="DG10" s="70"/>
      <c r="DH10" s="70"/>
      <c r="DI10" s="70"/>
      <c r="DJ10" s="70"/>
      <c r="DK10" s="70"/>
      <c r="DL10" s="70"/>
      <c r="DM10" s="70"/>
      <c r="DN10" s="70"/>
      <c r="DO10" s="70"/>
      <c r="DP10" s="70"/>
      <c r="DQ10" s="70"/>
      <c r="DR10" s="70"/>
      <c r="DS10" s="70"/>
      <c r="DT10" s="70"/>
      <c r="DU10" s="70"/>
      <c r="DV10" s="70"/>
      <c r="DW10" s="70"/>
      <c r="DX10" s="70"/>
      <c r="DY10" s="70"/>
      <c r="DZ10" s="70"/>
      <c r="EA10" s="70"/>
      <c r="EB10" s="70"/>
      <c r="EC10" s="70"/>
      <c r="ED10" s="70"/>
      <c r="EE10" s="70"/>
      <c r="EF10" s="70"/>
      <c r="EG10" s="70"/>
      <c r="EH10" s="70"/>
      <c r="EI10" s="70"/>
      <c r="EJ10" s="70"/>
      <c r="EK10" s="70"/>
      <c r="EL10" s="70"/>
      <c r="EM10" s="70"/>
      <c r="EN10" s="70"/>
      <c r="EO10" s="70"/>
      <c r="EP10" s="70"/>
      <c r="EQ10" s="70"/>
      <c r="ER10" s="70"/>
      <c r="ES10" s="70"/>
      <c r="ET10" s="70"/>
      <c r="EU10" s="70"/>
      <c r="EV10" s="70"/>
      <c r="EW10" s="70"/>
      <c r="EX10" s="70"/>
      <c r="EY10" s="70"/>
      <c r="EZ10" s="70"/>
      <c r="FA10" s="70"/>
      <c r="FB10" s="70"/>
      <c r="FC10" s="70"/>
      <c r="FD10" s="70"/>
      <c r="FE10" s="70"/>
      <c r="FF10" s="70"/>
      <c r="FG10" s="70"/>
      <c r="FH10" s="70"/>
      <c r="FI10" s="70"/>
      <c r="FJ10" s="70"/>
      <c r="FK10" s="70"/>
      <c r="FL10" s="70"/>
      <c r="FM10" s="70"/>
      <c r="FN10" s="70"/>
      <c r="FO10" s="70"/>
      <c r="FP10" s="70"/>
      <c r="FQ10" s="70"/>
      <c r="FR10" s="70"/>
      <c r="FS10" s="70"/>
      <c r="FT10" s="70"/>
      <c r="FU10" s="70"/>
      <c r="FV10" s="70"/>
      <c r="FW10" s="70"/>
      <c r="FX10" s="70"/>
      <c r="FY10" s="70"/>
      <c r="FZ10" s="70"/>
      <c r="GA10" s="70"/>
      <c r="GB10" s="70"/>
      <c r="GC10" s="70"/>
      <c r="GD10" s="70"/>
      <c r="GE10" s="70"/>
      <c r="GF10" s="70"/>
      <c r="GG10" s="70"/>
      <c r="GH10" s="70"/>
      <c r="GI10" s="70"/>
      <c r="GJ10" s="70"/>
      <c r="GK10" s="70"/>
      <c r="GL10" s="70"/>
      <c r="GM10" s="70"/>
      <c r="GN10" s="70"/>
      <c r="GO10" s="70"/>
      <c r="GP10" s="70"/>
      <c r="GQ10" s="70"/>
      <c r="GR10" s="70"/>
      <c r="GS10" s="70"/>
      <c r="GT10" s="70"/>
      <c r="GU10" s="70"/>
      <c r="GV10" s="70"/>
      <c r="GW10" s="70"/>
      <c r="GX10" s="70"/>
      <c r="GY10" s="70"/>
      <c r="GZ10" s="70"/>
      <c r="HA10" s="70"/>
      <c r="HB10" s="70"/>
      <c r="HC10" s="70"/>
      <c r="HD10" s="70"/>
      <c r="HE10" s="70"/>
      <c r="HF10" s="70"/>
      <c r="HG10" s="70"/>
      <c r="HH10" s="70"/>
      <c r="HI10" s="70"/>
      <c r="HJ10" s="70"/>
      <c r="HK10" s="70"/>
      <c r="HL10" s="70"/>
      <c r="HM10" s="70"/>
      <c r="HN10" s="70"/>
      <c r="HO10" s="70"/>
      <c r="HP10" s="70"/>
      <c r="HQ10" s="70"/>
      <c r="HR10" s="70"/>
      <c r="HS10" s="70"/>
      <c r="HT10" s="70"/>
      <c r="HU10" s="70"/>
      <c r="HV10" s="70"/>
      <c r="HW10" s="70"/>
      <c r="HX10" s="70"/>
      <c r="HY10" s="70"/>
      <c r="HZ10" s="70"/>
      <c r="IA10" s="70"/>
      <c r="IB10" s="70"/>
      <c r="IC10" s="70"/>
      <c r="ID10" s="70"/>
      <c r="IE10" s="70"/>
      <c r="IF10" s="70"/>
      <c r="IG10" s="70"/>
      <c r="IH10" s="70"/>
      <c r="II10" s="70"/>
      <c r="IJ10" s="70"/>
      <c r="IK10" s="70"/>
      <c r="IL10" s="70"/>
      <c r="IM10" s="70"/>
      <c r="IN10" s="70"/>
      <c r="IO10" s="70"/>
      <c r="IP10" s="70"/>
      <c r="IQ10" s="70"/>
      <c r="IR10" s="70"/>
      <c r="IS10" s="70"/>
      <c r="IT10" s="70"/>
      <c r="IU10" s="70"/>
      <c r="IV10" s="70"/>
      <c r="IW10" s="70"/>
      <c r="IX10" s="70"/>
      <c r="IY10" s="70"/>
      <c r="IZ10" s="70"/>
      <c r="JA10" s="70"/>
      <c r="JB10" s="70"/>
      <c r="JC10" s="70"/>
      <c r="JD10" s="70"/>
      <c r="JE10" s="70"/>
      <c r="JF10" s="70"/>
      <c r="JG10" s="70"/>
      <c r="JH10" s="70"/>
    </row>
    <row r="11" spans="1:268" ht="60">
      <c r="A11" s="453" t="s">
        <v>165</v>
      </c>
      <c r="B11" s="454">
        <v>8</v>
      </c>
      <c r="C11" s="17" t="s">
        <v>150</v>
      </c>
      <c r="D11" s="16" t="s">
        <v>2</v>
      </c>
      <c r="E11" s="18" t="s">
        <v>12</v>
      </c>
      <c r="F11" s="18" t="s">
        <v>13</v>
      </c>
      <c r="G11" s="18" t="s">
        <v>14</v>
      </c>
      <c r="AF11" s="70"/>
      <c r="AG11" s="70"/>
      <c r="AH11" s="70"/>
      <c r="AI11" s="70"/>
      <c r="AJ11" s="70"/>
      <c r="AK11" s="70"/>
      <c r="AL11" s="70"/>
      <c r="AM11" s="70"/>
      <c r="AN11" s="70"/>
      <c r="AO11" s="70"/>
      <c r="AP11" s="70"/>
      <c r="AQ11" s="70"/>
      <c r="AR11" s="70"/>
      <c r="AS11" s="70"/>
      <c r="AT11" s="70"/>
      <c r="AU11" s="70"/>
      <c r="AV11" s="70"/>
      <c r="AW11" s="70"/>
      <c r="AX11" s="70"/>
      <c r="AY11" s="70"/>
      <c r="AZ11" s="70"/>
      <c r="BA11" s="70"/>
      <c r="BB11" s="70"/>
      <c r="BC11" s="70"/>
      <c r="BD11" s="70"/>
      <c r="BE11" s="70"/>
      <c r="BF11" s="70"/>
      <c r="BG11" s="70"/>
      <c r="BH11" s="70"/>
      <c r="BI11" s="70"/>
      <c r="BJ11" s="70"/>
      <c r="BK11" s="70"/>
      <c r="BL11" s="70"/>
      <c r="BM11" s="70"/>
      <c r="BN11" s="70"/>
      <c r="BO11" s="70"/>
      <c r="BP11" s="70"/>
      <c r="BQ11" s="70"/>
      <c r="BR11" s="70"/>
      <c r="BS11" s="70"/>
      <c r="BT11" s="70"/>
      <c r="BU11" s="70"/>
      <c r="BV11" s="70"/>
      <c r="BW11" s="70"/>
      <c r="BX11" s="70"/>
      <c r="BY11" s="70"/>
      <c r="BZ11" s="70"/>
      <c r="CA11" s="70"/>
      <c r="CB11" s="70"/>
      <c r="CC11" s="70"/>
      <c r="CD11" s="70"/>
      <c r="CE11" s="70"/>
      <c r="CF11" s="70"/>
      <c r="CG11" s="70"/>
      <c r="CH11" s="70"/>
      <c r="CI11" s="70"/>
      <c r="CJ11" s="70"/>
      <c r="CK11" s="70"/>
      <c r="CL11" s="70"/>
      <c r="CM11" s="70"/>
      <c r="CN11" s="70"/>
      <c r="CO11" s="70"/>
      <c r="CP11" s="70"/>
      <c r="CQ11" s="70"/>
      <c r="CR11" s="70"/>
      <c r="CS11" s="70"/>
      <c r="CT11" s="70"/>
      <c r="CU11" s="70"/>
      <c r="CV11" s="70"/>
      <c r="CW11" s="70"/>
      <c r="CX11" s="70"/>
      <c r="CY11" s="70"/>
      <c r="CZ11" s="70"/>
      <c r="DA11" s="70"/>
      <c r="DB11" s="70"/>
      <c r="DC11" s="70"/>
      <c r="DD11" s="70"/>
      <c r="DE11" s="70"/>
      <c r="DF11" s="70"/>
      <c r="DG11" s="70"/>
      <c r="DH11" s="70"/>
      <c r="DI11" s="70"/>
      <c r="DJ11" s="70"/>
      <c r="DK11" s="70"/>
      <c r="DL11" s="70"/>
      <c r="DM11" s="70"/>
      <c r="DN11" s="70"/>
      <c r="DO11" s="70"/>
      <c r="DP11" s="70"/>
      <c r="DQ11" s="70"/>
      <c r="DR11" s="70"/>
      <c r="DS11" s="70"/>
      <c r="DT11" s="70"/>
      <c r="DU11" s="70"/>
      <c r="DV11" s="70"/>
      <c r="DW11" s="70"/>
      <c r="DX11" s="70"/>
      <c r="DY11" s="70"/>
      <c r="DZ11" s="70"/>
      <c r="EA11" s="70"/>
      <c r="EB11" s="70"/>
      <c r="EC11" s="70"/>
      <c r="ED11" s="70"/>
      <c r="EE11" s="70"/>
      <c r="EF11" s="70"/>
      <c r="EG11" s="70"/>
      <c r="EH11" s="70"/>
      <c r="EI11" s="70"/>
      <c r="EJ11" s="70"/>
      <c r="EK11" s="70"/>
      <c r="EL11" s="70"/>
      <c r="EM11" s="70"/>
      <c r="EN11" s="70"/>
      <c r="EO11" s="70"/>
      <c r="EP11" s="70"/>
      <c r="EQ11" s="70"/>
      <c r="ER11" s="70"/>
      <c r="ES11" s="70"/>
      <c r="ET11" s="70"/>
      <c r="EU11" s="70"/>
      <c r="EV11" s="70"/>
      <c r="EW11" s="70"/>
      <c r="EX11" s="70"/>
      <c r="EY11" s="70"/>
      <c r="EZ11" s="70"/>
      <c r="FA11" s="70"/>
      <c r="FB11" s="70"/>
      <c r="FC11" s="70"/>
      <c r="FD11" s="70"/>
      <c r="FE11" s="70"/>
      <c r="FF11" s="70"/>
      <c r="FG11" s="70"/>
      <c r="FH11" s="70"/>
      <c r="FI11" s="70"/>
      <c r="FJ11" s="70"/>
      <c r="FK11" s="70"/>
      <c r="FL11" s="70"/>
      <c r="FM11" s="70"/>
      <c r="FN11" s="70"/>
      <c r="FO11" s="70"/>
      <c r="FP11" s="70"/>
      <c r="FQ11" s="70"/>
      <c r="FR11" s="70"/>
      <c r="FS11" s="70"/>
      <c r="FT11" s="70"/>
      <c r="FU11" s="70"/>
      <c r="FV11" s="70"/>
      <c r="FW11" s="70"/>
      <c r="FX11" s="70"/>
      <c r="FY11" s="70"/>
      <c r="FZ11" s="70"/>
      <c r="GA11" s="70"/>
      <c r="GB11" s="70"/>
      <c r="GC11" s="70"/>
      <c r="GD11" s="70"/>
      <c r="GE11" s="70"/>
      <c r="GF11" s="70"/>
      <c r="GG11" s="70"/>
      <c r="GH11" s="70"/>
      <c r="GI11" s="70"/>
      <c r="GJ11" s="70"/>
      <c r="GK11" s="70"/>
      <c r="GL11" s="70"/>
      <c r="GM11" s="70"/>
      <c r="GN11" s="70"/>
      <c r="GO11" s="70"/>
      <c r="GP11" s="70"/>
      <c r="GQ11" s="70"/>
      <c r="GR11" s="70"/>
      <c r="GS11" s="70"/>
      <c r="GT11" s="70"/>
      <c r="GU11" s="70"/>
      <c r="GV11" s="70"/>
      <c r="GW11" s="70"/>
      <c r="GX11" s="70"/>
      <c r="GY11" s="70"/>
      <c r="GZ11" s="70"/>
      <c r="HA11" s="70"/>
      <c r="HB11" s="70"/>
      <c r="HC11" s="70"/>
      <c r="HD11" s="70"/>
      <c r="HE11" s="70"/>
      <c r="HF11" s="70"/>
      <c r="HG11" s="70"/>
      <c r="HH11" s="70"/>
      <c r="HI11" s="70"/>
      <c r="HJ11" s="70"/>
      <c r="HK11" s="70"/>
      <c r="HL11" s="70"/>
      <c r="HM11" s="70"/>
      <c r="HN11" s="70"/>
      <c r="HO11" s="70"/>
      <c r="HP11" s="70"/>
      <c r="HQ11" s="70"/>
      <c r="HR11" s="70"/>
      <c r="HS11" s="70"/>
      <c r="HT11" s="70"/>
      <c r="HU11" s="70"/>
      <c r="HV11" s="70"/>
      <c r="HW11" s="70"/>
      <c r="HX11" s="70"/>
      <c r="HY11" s="70"/>
      <c r="HZ11" s="70"/>
      <c r="IA11" s="70"/>
      <c r="IB11" s="70"/>
      <c r="IC11" s="70"/>
      <c r="ID11" s="70"/>
      <c r="IE11" s="70"/>
      <c r="IF11" s="70"/>
      <c r="IG11" s="70"/>
      <c r="IH11" s="70"/>
      <c r="II11" s="70"/>
      <c r="IJ11" s="70"/>
      <c r="IK11" s="70"/>
      <c r="IL11" s="70"/>
      <c r="IM11" s="70"/>
      <c r="IN11" s="70"/>
      <c r="IO11" s="70"/>
      <c r="IP11" s="70"/>
      <c r="IQ11" s="70"/>
      <c r="IR11" s="70"/>
      <c r="IS11" s="70"/>
      <c r="IT11" s="70"/>
      <c r="IU11" s="70"/>
      <c r="IV11" s="70"/>
      <c r="IW11" s="70"/>
      <c r="IX11" s="70"/>
      <c r="IY11" s="70"/>
      <c r="IZ11" s="70"/>
      <c r="JA11" s="70"/>
      <c r="JB11" s="70"/>
      <c r="JC11" s="70"/>
      <c r="JD11" s="70"/>
      <c r="JE11" s="70"/>
      <c r="JF11" s="70"/>
      <c r="JG11" s="70"/>
      <c r="JH11" s="70"/>
    </row>
    <row r="12" spans="1:268" s="61" customFormat="1" ht="57">
      <c r="A12" s="67" t="s">
        <v>96</v>
      </c>
      <c r="B12" s="68">
        <v>38405</v>
      </c>
      <c r="C12" s="120" t="s">
        <v>78</v>
      </c>
      <c r="D12" s="69" t="s">
        <v>11</v>
      </c>
      <c r="E12" s="67">
        <v>7.7754000000000004E-2</v>
      </c>
      <c r="F12" s="71">
        <v>568.57000000000005</v>
      </c>
      <c r="G12" s="72">
        <f>ROUND((E12*F12),2)</f>
        <v>44.21</v>
      </c>
      <c r="H12"/>
      <c r="I12"/>
      <c r="J12"/>
      <c r="K12"/>
      <c r="L12"/>
      <c r="M12"/>
      <c r="N12"/>
      <c r="O12"/>
      <c r="P12"/>
      <c r="Q12"/>
      <c r="R12"/>
      <c r="S12"/>
      <c r="T12"/>
      <c r="U12"/>
      <c r="V12"/>
      <c r="W12"/>
      <c r="X12"/>
      <c r="Y12"/>
      <c r="Z12"/>
      <c r="AA12"/>
      <c r="AB12"/>
      <c r="AC12"/>
      <c r="AD12"/>
      <c r="AE12"/>
      <c r="AF12" s="70"/>
      <c r="AG12" s="70"/>
      <c r="AH12" s="70"/>
      <c r="AI12" s="70"/>
      <c r="AJ12" s="70"/>
      <c r="AK12" s="70"/>
      <c r="AL12" s="70"/>
      <c r="AM12" s="70"/>
      <c r="AN12" s="70"/>
      <c r="AO12" s="70"/>
      <c r="AP12" s="70"/>
      <c r="AQ12" s="70"/>
      <c r="AR12" s="70"/>
      <c r="AS12" s="70"/>
      <c r="AT12" s="70"/>
      <c r="AU12" s="70"/>
      <c r="AV12" s="70"/>
      <c r="AW12" s="70"/>
      <c r="AX12" s="70"/>
      <c r="AY12" s="70"/>
      <c r="AZ12" s="70"/>
      <c r="BA12" s="70"/>
      <c r="BB12" s="70"/>
      <c r="BC12" s="70"/>
      <c r="BD12" s="70"/>
      <c r="BE12" s="70"/>
      <c r="BF12" s="70"/>
      <c r="BG12" s="70"/>
      <c r="BH12" s="70"/>
      <c r="BI12" s="70"/>
      <c r="BJ12" s="70"/>
      <c r="BK12" s="70"/>
      <c r="BL12" s="70"/>
      <c r="BM12" s="70"/>
      <c r="BN12" s="70"/>
      <c r="BO12" s="70"/>
      <c r="BP12" s="70"/>
      <c r="BQ12" s="70"/>
      <c r="BR12" s="70"/>
      <c r="BS12" s="70"/>
      <c r="BT12" s="70"/>
      <c r="BU12" s="70"/>
      <c r="BV12" s="70"/>
      <c r="BW12" s="70"/>
      <c r="BX12" s="70"/>
      <c r="BY12" s="70"/>
      <c r="BZ12" s="70"/>
      <c r="CA12" s="70"/>
      <c r="CB12" s="70"/>
      <c r="CC12" s="70"/>
      <c r="CD12" s="70"/>
      <c r="CE12" s="70"/>
      <c r="CF12" s="70"/>
      <c r="CG12" s="70"/>
      <c r="CH12" s="70"/>
      <c r="CI12" s="70"/>
      <c r="CJ12" s="70"/>
      <c r="CK12" s="70"/>
      <c r="CL12" s="70"/>
      <c r="CM12" s="70"/>
      <c r="CN12" s="70"/>
      <c r="CO12" s="70"/>
      <c r="CP12" s="70"/>
      <c r="CQ12" s="70"/>
      <c r="CR12" s="70"/>
      <c r="CS12" s="70"/>
      <c r="CT12" s="70"/>
      <c r="CU12" s="70"/>
      <c r="CV12" s="70"/>
      <c r="CW12" s="70"/>
      <c r="CX12" s="70"/>
      <c r="CY12" s="70"/>
      <c r="CZ12" s="70"/>
      <c r="DA12" s="70"/>
      <c r="DB12" s="70"/>
      <c r="DC12" s="70"/>
      <c r="DD12" s="70"/>
      <c r="DE12" s="70"/>
      <c r="DF12" s="70"/>
      <c r="DG12" s="70"/>
      <c r="DH12" s="70"/>
      <c r="DI12" s="70"/>
      <c r="DJ12" s="70"/>
      <c r="DK12" s="70"/>
      <c r="DL12" s="70"/>
      <c r="DM12" s="70"/>
      <c r="DN12" s="70"/>
      <c r="DO12" s="70"/>
      <c r="DP12" s="70"/>
      <c r="DQ12" s="70"/>
      <c r="DR12" s="70"/>
      <c r="DS12" s="70"/>
      <c r="DT12" s="70"/>
      <c r="DU12" s="70"/>
      <c r="DV12" s="70"/>
      <c r="DW12" s="70"/>
      <c r="DX12" s="70"/>
      <c r="DY12" s="70"/>
      <c r="DZ12" s="70"/>
      <c r="EA12" s="70"/>
      <c r="EB12" s="70"/>
      <c r="EC12" s="70"/>
      <c r="ED12" s="70"/>
      <c r="EE12" s="70"/>
      <c r="EF12" s="70"/>
      <c r="EG12" s="70"/>
      <c r="EH12" s="70"/>
      <c r="EI12" s="70"/>
      <c r="EJ12" s="70"/>
      <c r="EK12" s="70"/>
      <c r="EL12" s="70"/>
      <c r="EM12" s="70"/>
      <c r="EN12" s="70"/>
      <c r="EO12" s="70"/>
      <c r="EP12" s="70"/>
      <c r="EQ12" s="70"/>
      <c r="ER12" s="70"/>
      <c r="ES12" s="70"/>
      <c r="ET12" s="70"/>
      <c r="EU12" s="70"/>
      <c r="EV12" s="70"/>
      <c r="EW12" s="70"/>
      <c r="EX12" s="70"/>
      <c r="EY12" s="70"/>
      <c r="EZ12" s="70"/>
      <c r="FA12" s="70"/>
      <c r="FB12" s="70"/>
      <c r="FC12" s="70"/>
      <c r="FD12" s="70"/>
      <c r="FE12" s="70"/>
      <c r="FF12" s="70"/>
      <c r="FG12" s="70"/>
      <c r="FH12" s="70"/>
      <c r="FI12" s="70"/>
      <c r="FJ12" s="70"/>
      <c r="FK12" s="70"/>
      <c r="FL12" s="70"/>
      <c r="FM12" s="70"/>
      <c r="FN12" s="70"/>
      <c r="FO12" s="70"/>
      <c r="FP12" s="70"/>
      <c r="FQ12" s="70"/>
      <c r="FR12" s="70"/>
      <c r="FS12" s="70"/>
      <c r="FT12" s="70"/>
      <c r="FU12" s="70"/>
      <c r="FV12" s="70"/>
      <c r="FW12" s="70"/>
      <c r="FX12" s="70"/>
      <c r="FY12" s="70"/>
      <c r="FZ12" s="70"/>
      <c r="GA12" s="70"/>
      <c r="GB12" s="70"/>
      <c r="GC12" s="70"/>
      <c r="GD12" s="70"/>
      <c r="GE12" s="70"/>
      <c r="GF12" s="70"/>
      <c r="GG12" s="70"/>
      <c r="GH12" s="70"/>
      <c r="GI12" s="70"/>
      <c r="GJ12" s="70"/>
      <c r="GK12" s="70"/>
      <c r="GL12" s="70"/>
      <c r="GM12" s="70"/>
      <c r="GN12" s="70"/>
      <c r="GO12" s="70"/>
      <c r="GP12" s="70"/>
      <c r="GQ12" s="70"/>
      <c r="GR12" s="70"/>
      <c r="GS12" s="70"/>
      <c r="GT12" s="70"/>
      <c r="GU12" s="70"/>
      <c r="GV12" s="70"/>
      <c r="GW12" s="70"/>
      <c r="GX12" s="70"/>
      <c r="GY12" s="70"/>
      <c r="GZ12" s="70"/>
      <c r="HA12" s="70"/>
      <c r="HB12" s="70"/>
      <c r="HC12" s="70"/>
      <c r="HD12" s="70"/>
      <c r="HE12" s="70"/>
      <c r="HF12" s="70"/>
      <c r="HG12" s="70"/>
      <c r="HH12" s="70"/>
      <c r="HI12" s="70"/>
      <c r="HJ12" s="70"/>
      <c r="HK12" s="70"/>
      <c r="HL12" s="70"/>
      <c r="HM12" s="70"/>
      <c r="HN12" s="70"/>
      <c r="HO12" s="70"/>
      <c r="HP12" s="70"/>
      <c r="HQ12" s="70"/>
      <c r="HR12" s="70"/>
      <c r="HS12" s="70"/>
      <c r="HT12" s="70"/>
      <c r="HU12" s="70"/>
      <c r="HV12" s="70"/>
      <c r="HW12" s="70"/>
      <c r="HX12" s="70"/>
      <c r="HY12" s="70"/>
      <c r="HZ12" s="70"/>
      <c r="IA12" s="70"/>
      <c r="IB12" s="70"/>
      <c r="IC12" s="70"/>
      <c r="ID12" s="70"/>
      <c r="IE12" s="70"/>
      <c r="IF12" s="70"/>
      <c r="IG12" s="70"/>
      <c r="IH12" s="70"/>
      <c r="II12" s="70"/>
      <c r="IJ12" s="70"/>
      <c r="IK12" s="70"/>
      <c r="IL12" s="70"/>
      <c r="IM12" s="70"/>
      <c r="IN12" s="70"/>
      <c r="IO12" s="70"/>
      <c r="IP12" s="70"/>
      <c r="IQ12" s="70"/>
      <c r="IR12" s="70"/>
      <c r="IS12" s="70"/>
      <c r="IT12" s="70"/>
      <c r="IU12" s="70"/>
      <c r="IV12" s="70"/>
      <c r="IW12" s="70"/>
      <c r="IX12" s="70"/>
      <c r="IY12" s="70"/>
      <c r="IZ12" s="70"/>
      <c r="JA12" s="70"/>
      <c r="JB12" s="70"/>
      <c r="JC12" s="70"/>
      <c r="JD12" s="70"/>
      <c r="JE12" s="70"/>
      <c r="JF12" s="70"/>
      <c r="JG12" s="70"/>
      <c r="JH12" s="70"/>
    </row>
    <row r="13" spans="1:268" s="61" customFormat="1">
      <c r="A13" s="67" t="s">
        <v>97</v>
      </c>
      <c r="B13" s="68">
        <v>88316</v>
      </c>
      <c r="C13" s="120" t="s">
        <v>8</v>
      </c>
      <c r="D13" s="69" t="s">
        <v>7</v>
      </c>
      <c r="E13" s="67">
        <v>0.2263</v>
      </c>
      <c r="F13" s="71">
        <v>24.31</v>
      </c>
      <c r="G13" s="72">
        <f t="shared" ref="G13:G18" si="0">ROUND((E13*F13),2)</f>
        <v>5.5</v>
      </c>
      <c r="H13"/>
      <c r="I13"/>
      <c r="J13"/>
      <c r="K13"/>
      <c r="L13"/>
      <c r="M13"/>
      <c r="N13"/>
      <c r="O13"/>
      <c r="P13"/>
      <c r="Q13"/>
      <c r="R13"/>
      <c r="S13"/>
      <c r="T13"/>
      <c r="U13"/>
      <c r="V13"/>
      <c r="W13"/>
      <c r="X13"/>
      <c r="Y13"/>
      <c r="Z13"/>
      <c r="AA13"/>
      <c r="AB13"/>
      <c r="AC13"/>
      <c r="AD13"/>
      <c r="AE13"/>
      <c r="AF13" s="70"/>
      <c r="AG13" s="70"/>
      <c r="AH13" s="70"/>
      <c r="AI13" s="70"/>
      <c r="AJ13" s="70"/>
      <c r="AK13" s="70"/>
      <c r="AL13" s="70"/>
      <c r="AM13" s="70"/>
      <c r="AN13" s="70"/>
      <c r="AO13" s="70"/>
      <c r="AP13" s="70"/>
      <c r="AQ13" s="70"/>
      <c r="AR13" s="70"/>
      <c r="AS13" s="70"/>
      <c r="AT13" s="70"/>
      <c r="AU13" s="70"/>
      <c r="AV13" s="70"/>
      <c r="AW13" s="70"/>
      <c r="AX13" s="70"/>
      <c r="AY13" s="70"/>
      <c r="AZ13" s="70"/>
      <c r="BA13" s="70"/>
      <c r="BB13" s="70"/>
      <c r="BC13" s="70"/>
      <c r="BD13" s="70"/>
      <c r="BE13" s="70"/>
      <c r="BF13" s="70"/>
      <c r="BG13" s="70"/>
      <c r="BH13" s="70"/>
      <c r="BI13" s="70"/>
      <c r="BJ13" s="70"/>
      <c r="BK13" s="70"/>
      <c r="BL13" s="70"/>
      <c r="BM13" s="70"/>
      <c r="BN13" s="70"/>
      <c r="BO13" s="70"/>
      <c r="BP13" s="70"/>
      <c r="BQ13" s="70"/>
      <c r="BR13" s="70"/>
      <c r="BS13" s="70"/>
      <c r="BT13" s="70"/>
      <c r="BU13" s="70"/>
      <c r="BV13" s="70"/>
      <c r="BW13" s="70"/>
      <c r="BX13" s="70"/>
      <c r="BY13" s="70"/>
      <c r="BZ13" s="70"/>
      <c r="CA13" s="70"/>
      <c r="CB13" s="70"/>
      <c r="CC13" s="70"/>
      <c r="CD13" s="70"/>
      <c r="CE13" s="70"/>
      <c r="CF13" s="70"/>
      <c r="CG13" s="70"/>
      <c r="CH13" s="70"/>
      <c r="CI13" s="70"/>
      <c r="CJ13" s="70"/>
      <c r="CK13" s="70"/>
      <c r="CL13" s="70"/>
      <c r="CM13" s="70"/>
      <c r="CN13" s="70"/>
      <c r="CO13" s="70"/>
      <c r="CP13" s="70"/>
      <c r="CQ13" s="70"/>
      <c r="CR13" s="70"/>
      <c r="CS13" s="70"/>
      <c r="CT13" s="70"/>
      <c r="CU13" s="70"/>
      <c r="CV13" s="70"/>
      <c r="CW13" s="70"/>
      <c r="CX13" s="70"/>
      <c r="CY13" s="70"/>
      <c r="CZ13" s="70"/>
      <c r="DA13" s="70"/>
      <c r="DB13" s="70"/>
      <c r="DC13" s="70"/>
      <c r="DD13" s="70"/>
      <c r="DE13" s="70"/>
      <c r="DF13" s="70"/>
      <c r="DG13" s="70"/>
      <c r="DH13" s="70"/>
      <c r="DI13" s="70"/>
      <c r="DJ13" s="70"/>
      <c r="DK13" s="70"/>
      <c r="DL13" s="70"/>
      <c r="DM13" s="70"/>
      <c r="DN13" s="70"/>
      <c r="DO13" s="70"/>
      <c r="DP13" s="70"/>
      <c r="DQ13" s="70"/>
      <c r="DR13" s="70"/>
      <c r="DS13" s="70"/>
      <c r="DT13" s="70"/>
      <c r="DU13" s="70"/>
      <c r="DV13" s="70"/>
      <c r="DW13" s="70"/>
      <c r="DX13" s="70"/>
      <c r="DY13" s="70"/>
      <c r="DZ13" s="70"/>
      <c r="EA13" s="70"/>
      <c r="EB13" s="70"/>
      <c r="EC13" s="70"/>
      <c r="ED13" s="70"/>
      <c r="EE13" s="70"/>
      <c r="EF13" s="70"/>
      <c r="EG13" s="70"/>
      <c r="EH13" s="70"/>
      <c r="EI13" s="70"/>
      <c r="EJ13" s="70"/>
      <c r="EK13" s="70"/>
      <c r="EL13" s="70"/>
      <c r="EM13" s="70"/>
      <c r="EN13" s="70"/>
      <c r="EO13" s="70"/>
      <c r="EP13" s="70"/>
      <c r="EQ13" s="70"/>
      <c r="ER13" s="70"/>
      <c r="ES13" s="70"/>
      <c r="ET13" s="70"/>
      <c r="EU13" s="70"/>
      <c r="EV13" s="70"/>
      <c r="EW13" s="70"/>
      <c r="EX13" s="70"/>
      <c r="EY13" s="70"/>
      <c r="EZ13" s="70"/>
      <c r="FA13" s="70"/>
      <c r="FB13" s="70"/>
      <c r="FC13" s="70"/>
      <c r="FD13" s="70"/>
      <c r="FE13" s="70"/>
      <c r="FF13" s="70"/>
      <c r="FG13" s="70"/>
      <c r="FH13" s="70"/>
      <c r="FI13" s="70"/>
      <c r="FJ13" s="70"/>
      <c r="FK13" s="70"/>
      <c r="FL13" s="70"/>
      <c r="FM13" s="70"/>
      <c r="FN13" s="70"/>
      <c r="FO13" s="70"/>
      <c r="FP13" s="70"/>
      <c r="FQ13" s="70"/>
      <c r="FR13" s="70"/>
      <c r="FS13" s="70"/>
      <c r="FT13" s="70"/>
      <c r="FU13" s="70"/>
      <c r="FV13" s="70"/>
      <c r="FW13" s="70"/>
      <c r="FX13" s="70"/>
      <c r="FY13" s="70"/>
      <c r="FZ13" s="70"/>
      <c r="GA13" s="70"/>
      <c r="GB13" s="70"/>
      <c r="GC13" s="70"/>
      <c r="GD13" s="70"/>
      <c r="GE13" s="70"/>
      <c r="GF13" s="70"/>
      <c r="GG13" s="70"/>
      <c r="GH13" s="70"/>
      <c r="GI13" s="70"/>
      <c r="GJ13" s="70"/>
      <c r="GK13" s="70"/>
      <c r="GL13" s="70"/>
      <c r="GM13" s="70"/>
      <c r="GN13" s="70"/>
      <c r="GO13" s="70"/>
      <c r="GP13" s="70"/>
      <c r="GQ13" s="70"/>
      <c r="GR13" s="70"/>
      <c r="GS13" s="70"/>
      <c r="GT13" s="70"/>
      <c r="GU13" s="70"/>
      <c r="GV13" s="70"/>
      <c r="GW13" s="70"/>
      <c r="GX13" s="70"/>
      <c r="GY13" s="70"/>
      <c r="GZ13" s="70"/>
      <c r="HA13" s="70"/>
      <c r="HB13" s="70"/>
      <c r="HC13" s="70"/>
      <c r="HD13" s="70"/>
      <c r="HE13" s="70"/>
      <c r="HF13" s="70"/>
      <c r="HG13" s="70"/>
      <c r="HH13" s="70"/>
      <c r="HI13" s="70"/>
      <c r="HJ13" s="70"/>
      <c r="HK13" s="70"/>
      <c r="HL13" s="70"/>
      <c r="HM13" s="70"/>
      <c r="HN13" s="70"/>
      <c r="HO13" s="70"/>
      <c r="HP13" s="70"/>
      <c r="HQ13" s="70"/>
      <c r="HR13" s="70"/>
      <c r="HS13" s="70"/>
      <c r="HT13" s="70"/>
      <c r="HU13" s="70"/>
      <c r="HV13" s="70"/>
      <c r="HW13" s="70"/>
      <c r="HX13" s="70"/>
      <c r="HY13" s="70"/>
      <c r="HZ13" s="70"/>
      <c r="IA13" s="70"/>
      <c r="IB13" s="70"/>
      <c r="IC13" s="70"/>
      <c r="ID13" s="70"/>
      <c r="IE13" s="70"/>
      <c r="IF13" s="70"/>
      <c r="IG13" s="70"/>
      <c r="IH13" s="70"/>
      <c r="II13" s="70"/>
      <c r="IJ13" s="70"/>
      <c r="IK13" s="70"/>
      <c r="IL13" s="70"/>
      <c r="IM13" s="70"/>
      <c r="IN13" s="70"/>
      <c r="IO13" s="70"/>
      <c r="IP13" s="70"/>
      <c r="IQ13" s="70"/>
      <c r="IR13" s="70"/>
      <c r="IS13" s="70"/>
      <c r="IT13" s="70"/>
      <c r="IU13" s="70"/>
      <c r="IV13" s="70"/>
      <c r="IW13" s="70"/>
      <c r="IX13" s="70"/>
      <c r="IY13" s="70"/>
      <c r="IZ13" s="70"/>
      <c r="JA13" s="70"/>
      <c r="JB13" s="70"/>
      <c r="JC13" s="70"/>
      <c r="JD13" s="70"/>
      <c r="JE13" s="70"/>
      <c r="JF13" s="70"/>
      <c r="JG13" s="70"/>
      <c r="JH13" s="70"/>
    </row>
    <row r="14" spans="1:268" s="61" customFormat="1" ht="57">
      <c r="A14" s="67" t="s">
        <v>97</v>
      </c>
      <c r="B14" s="68">
        <v>90680</v>
      </c>
      <c r="C14" s="120" t="s">
        <v>79</v>
      </c>
      <c r="D14" s="69" t="s">
        <v>32</v>
      </c>
      <c r="E14" s="67">
        <v>2.47E-2</v>
      </c>
      <c r="F14" s="71">
        <v>452.73</v>
      </c>
      <c r="G14" s="72">
        <f t="shared" si="0"/>
        <v>11.18</v>
      </c>
      <c r="H14"/>
      <c r="I14"/>
      <c r="J14"/>
      <c r="K14"/>
      <c r="L14"/>
      <c r="M14"/>
      <c r="N14"/>
      <c r="O14"/>
      <c r="P14"/>
      <c r="Q14"/>
      <c r="R14"/>
      <c r="S14"/>
      <c r="T14"/>
      <c r="U14"/>
      <c r="V14"/>
      <c r="W14"/>
      <c r="X14"/>
      <c r="Y14"/>
      <c r="Z14"/>
      <c r="AA14"/>
      <c r="AB14"/>
      <c r="AC14"/>
      <c r="AD14"/>
      <c r="AE14"/>
      <c r="AF14" s="70"/>
      <c r="AG14" s="70"/>
      <c r="AH14" s="70"/>
      <c r="AI14" s="70"/>
      <c r="AJ14" s="70"/>
      <c r="AK14" s="70"/>
      <c r="AL14" s="70"/>
      <c r="AM14" s="70"/>
      <c r="AN14" s="70"/>
      <c r="AO14" s="70"/>
      <c r="AP14" s="70"/>
      <c r="AQ14" s="70"/>
      <c r="AR14" s="70"/>
      <c r="AS14" s="70"/>
      <c r="AT14" s="70"/>
      <c r="AU14" s="70"/>
      <c r="AV14" s="70"/>
      <c r="AW14" s="70"/>
      <c r="AX14" s="70"/>
      <c r="AY14" s="70"/>
      <c r="AZ14" s="70"/>
      <c r="BA14" s="70"/>
      <c r="BB14" s="70"/>
      <c r="BC14" s="70"/>
      <c r="BD14" s="70"/>
      <c r="BE14" s="70"/>
      <c r="BF14" s="70"/>
      <c r="BG14" s="70"/>
      <c r="BH14" s="70"/>
      <c r="BI14" s="70"/>
      <c r="BJ14" s="70"/>
      <c r="BK14" s="70"/>
      <c r="BL14" s="70"/>
      <c r="BM14" s="70"/>
      <c r="BN14" s="70"/>
      <c r="BO14" s="70"/>
      <c r="BP14" s="70"/>
      <c r="BQ14" s="70"/>
      <c r="BR14" s="70"/>
      <c r="BS14" s="70"/>
      <c r="BT14" s="70"/>
      <c r="BU14" s="70"/>
      <c r="BV14" s="70"/>
      <c r="BW14" s="70"/>
      <c r="BX14" s="70"/>
      <c r="BY14" s="70"/>
      <c r="BZ14" s="70"/>
      <c r="CA14" s="70"/>
      <c r="CB14" s="70"/>
      <c r="CC14" s="70"/>
      <c r="CD14" s="70"/>
      <c r="CE14" s="70"/>
      <c r="CF14" s="70"/>
      <c r="CG14" s="70"/>
      <c r="CH14" s="70"/>
      <c r="CI14" s="70"/>
      <c r="CJ14" s="70"/>
      <c r="CK14" s="70"/>
      <c r="CL14" s="70"/>
      <c r="CM14" s="70"/>
      <c r="CN14" s="70"/>
      <c r="CO14" s="70"/>
      <c r="CP14" s="70"/>
      <c r="CQ14" s="70"/>
      <c r="CR14" s="70"/>
      <c r="CS14" s="70"/>
      <c r="CT14" s="70"/>
      <c r="CU14" s="70"/>
      <c r="CV14" s="70"/>
      <c r="CW14" s="70"/>
      <c r="CX14" s="70"/>
      <c r="CY14" s="70"/>
      <c r="CZ14" s="70"/>
      <c r="DA14" s="70"/>
      <c r="DB14" s="70"/>
      <c r="DC14" s="70"/>
      <c r="DD14" s="70"/>
      <c r="DE14" s="70"/>
      <c r="DF14" s="70"/>
      <c r="DG14" s="70"/>
      <c r="DH14" s="70"/>
      <c r="DI14" s="70"/>
      <c r="DJ14" s="70"/>
      <c r="DK14" s="70"/>
      <c r="DL14" s="70"/>
      <c r="DM14" s="70"/>
      <c r="DN14" s="70"/>
      <c r="DO14" s="70"/>
      <c r="DP14" s="70"/>
      <c r="DQ14" s="70"/>
      <c r="DR14" s="70"/>
      <c r="DS14" s="70"/>
      <c r="DT14" s="70"/>
      <c r="DU14" s="70"/>
      <c r="DV14" s="70"/>
      <c r="DW14" s="70"/>
      <c r="DX14" s="70"/>
      <c r="DY14" s="70"/>
      <c r="DZ14" s="70"/>
      <c r="EA14" s="70"/>
      <c r="EB14" s="70"/>
      <c r="EC14" s="70"/>
      <c r="ED14" s="70"/>
      <c r="EE14" s="70"/>
      <c r="EF14" s="70"/>
      <c r="EG14" s="70"/>
      <c r="EH14" s="70"/>
      <c r="EI14" s="70"/>
      <c r="EJ14" s="70"/>
      <c r="EK14" s="70"/>
      <c r="EL14" s="70"/>
      <c r="EM14" s="70"/>
      <c r="EN14" s="70"/>
      <c r="EO14" s="70"/>
      <c r="EP14" s="70"/>
      <c r="EQ14" s="70"/>
      <c r="ER14" s="70"/>
      <c r="ES14" s="70"/>
      <c r="ET14" s="70"/>
      <c r="EU14" s="70"/>
      <c r="EV14" s="70"/>
      <c r="EW14" s="70"/>
      <c r="EX14" s="70"/>
      <c r="EY14" s="70"/>
      <c r="EZ14" s="70"/>
      <c r="FA14" s="70"/>
      <c r="FB14" s="70"/>
      <c r="FC14" s="70"/>
      <c r="FD14" s="70"/>
      <c r="FE14" s="70"/>
      <c r="FF14" s="70"/>
      <c r="FG14" s="70"/>
      <c r="FH14" s="70"/>
      <c r="FI14" s="70"/>
      <c r="FJ14" s="70"/>
      <c r="FK14" s="70"/>
      <c r="FL14" s="70"/>
      <c r="FM14" s="70"/>
      <c r="FN14" s="70"/>
      <c r="FO14" s="70"/>
      <c r="FP14" s="70"/>
      <c r="FQ14" s="70"/>
      <c r="FR14" s="70"/>
      <c r="FS14" s="70"/>
      <c r="FT14" s="70"/>
      <c r="FU14" s="70"/>
      <c r="FV14" s="70"/>
      <c r="FW14" s="70"/>
      <c r="FX14" s="70"/>
      <c r="FY14" s="70"/>
      <c r="FZ14" s="70"/>
      <c r="GA14" s="70"/>
      <c r="GB14" s="70"/>
      <c r="GC14" s="70"/>
      <c r="GD14" s="70"/>
      <c r="GE14" s="70"/>
      <c r="GF14" s="70"/>
      <c r="GG14" s="70"/>
      <c r="GH14" s="70"/>
      <c r="GI14" s="70"/>
      <c r="GJ14" s="70"/>
      <c r="GK14" s="70"/>
      <c r="GL14" s="70"/>
      <c r="GM14" s="70"/>
      <c r="GN14" s="70"/>
      <c r="GO14" s="70"/>
      <c r="GP14" s="70"/>
      <c r="GQ14" s="70"/>
      <c r="GR14" s="70"/>
      <c r="GS14" s="70"/>
      <c r="GT14" s="70"/>
      <c r="GU14" s="70"/>
      <c r="GV14" s="70"/>
      <c r="GW14" s="70"/>
      <c r="GX14" s="70"/>
      <c r="GY14" s="70"/>
      <c r="GZ14" s="70"/>
      <c r="HA14" s="70"/>
      <c r="HB14" s="70"/>
      <c r="HC14" s="70"/>
      <c r="HD14" s="70"/>
      <c r="HE14" s="70"/>
      <c r="HF14" s="70"/>
      <c r="HG14" s="70"/>
      <c r="HH14" s="70"/>
      <c r="HI14" s="70"/>
      <c r="HJ14" s="70"/>
      <c r="HK14" s="70"/>
      <c r="HL14" s="70"/>
      <c r="HM14" s="70"/>
      <c r="HN14" s="70"/>
      <c r="HO14" s="70"/>
      <c r="HP14" s="70"/>
      <c r="HQ14" s="70"/>
      <c r="HR14" s="70"/>
      <c r="HS14" s="70"/>
      <c r="HT14" s="70"/>
      <c r="HU14" s="70"/>
      <c r="HV14" s="70"/>
      <c r="HW14" s="70"/>
      <c r="HX14" s="70"/>
      <c r="HY14" s="70"/>
      <c r="HZ14" s="70"/>
      <c r="IA14" s="70"/>
      <c r="IB14" s="70"/>
      <c r="IC14" s="70"/>
      <c r="ID14" s="70"/>
      <c r="IE14" s="70"/>
      <c r="IF14" s="70"/>
      <c r="IG14" s="70"/>
      <c r="IH14" s="70"/>
      <c r="II14" s="70"/>
      <c r="IJ14" s="70"/>
      <c r="IK14" s="70"/>
      <c r="IL14" s="70"/>
      <c r="IM14" s="70"/>
      <c r="IN14" s="70"/>
      <c r="IO14" s="70"/>
      <c r="IP14" s="70"/>
      <c r="IQ14" s="70"/>
      <c r="IR14" s="70"/>
      <c r="IS14" s="70"/>
      <c r="IT14" s="70"/>
      <c r="IU14" s="70"/>
      <c r="IV14" s="70"/>
      <c r="IW14" s="70"/>
      <c r="IX14" s="70"/>
      <c r="IY14" s="70"/>
      <c r="IZ14" s="70"/>
      <c r="JA14" s="70"/>
      <c r="JB14" s="70"/>
      <c r="JC14" s="70"/>
      <c r="JD14" s="70"/>
      <c r="JE14" s="70"/>
      <c r="JF14" s="70"/>
      <c r="JG14" s="70"/>
      <c r="JH14" s="70"/>
    </row>
    <row r="15" spans="1:268" s="61" customFormat="1" ht="57">
      <c r="A15" s="67" t="s">
        <v>97</v>
      </c>
      <c r="B15" s="68">
        <v>90681</v>
      </c>
      <c r="C15" s="120" t="s">
        <v>80</v>
      </c>
      <c r="D15" s="69" t="s">
        <v>84</v>
      </c>
      <c r="E15" s="67">
        <v>4.9000000000000002E-2</v>
      </c>
      <c r="F15" s="71">
        <v>203</v>
      </c>
      <c r="G15" s="72">
        <f t="shared" si="0"/>
        <v>9.9499999999999993</v>
      </c>
      <c r="H15"/>
      <c r="I15"/>
      <c r="J15"/>
      <c r="K15"/>
      <c r="L15"/>
      <c r="M15"/>
      <c r="N15"/>
      <c r="O15"/>
      <c r="P15"/>
      <c r="Q15"/>
      <c r="R15"/>
      <c r="S15"/>
      <c r="T15"/>
      <c r="U15"/>
      <c r="V15"/>
      <c r="W15"/>
      <c r="X15"/>
      <c r="Y15"/>
      <c r="Z15"/>
      <c r="AA15"/>
      <c r="AB15"/>
      <c r="AC15"/>
      <c r="AD15"/>
      <c r="AE15"/>
      <c r="AF15" s="70"/>
      <c r="AG15" s="70"/>
      <c r="AH15" s="70"/>
      <c r="AI15" s="70"/>
      <c r="AJ15" s="70"/>
      <c r="AK15" s="70"/>
      <c r="AL15" s="70"/>
      <c r="AM15" s="70"/>
      <c r="AN15" s="70"/>
      <c r="AO15" s="70"/>
      <c r="AP15" s="70"/>
      <c r="AQ15" s="70"/>
      <c r="AR15" s="70"/>
      <c r="AS15" s="70"/>
      <c r="AT15" s="70"/>
      <c r="AU15" s="70"/>
      <c r="AV15" s="70"/>
      <c r="AW15" s="70"/>
      <c r="AX15" s="70"/>
      <c r="AY15" s="70"/>
      <c r="AZ15" s="70"/>
      <c r="BA15" s="70"/>
      <c r="BB15" s="70"/>
      <c r="BC15" s="70"/>
      <c r="BD15" s="70"/>
      <c r="BE15" s="70"/>
      <c r="BF15" s="70"/>
      <c r="BG15" s="70"/>
      <c r="BH15" s="70"/>
      <c r="BI15" s="70"/>
      <c r="BJ15" s="70"/>
      <c r="BK15" s="70"/>
      <c r="BL15" s="70"/>
      <c r="BM15" s="70"/>
      <c r="BN15" s="70"/>
      <c r="BO15" s="70"/>
      <c r="BP15" s="70"/>
      <c r="BQ15" s="70"/>
      <c r="BR15" s="70"/>
      <c r="BS15" s="70"/>
      <c r="BT15" s="70"/>
      <c r="BU15" s="70"/>
      <c r="BV15" s="70"/>
      <c r="BW15" s="70"/>
      <c r="BX15" s="70"/>
      <c r="BY15" s="70"/>
      <c r="BZ15" s="70"/>
      <c r="CA15" s="70"/>
      <c r="CB15" s="70"/>
      <c r="CC15" s="70"/>
      <c r="CD15" s="70"/>
      <c r="CE15" s="70"/>
      <c r="CF15" s="70"/>
      <c r="CG15" s="70"/>
      <c r="CH15" s="70"/>
      <c r="CI15" s="70"/>
      <c r="CJ15" s="70"/>
      <c r="CK15" s="70"/>
      <c r="CL15" s="70"/>
      <c r="CM15" s="70"/>
      <c r="CN15" s="70"/>
      <c r="CO15" s="70"/>
      <c r="CP15" s="70"/>
      <c r="CQ15" s="70"/>
      <c r="CR15" s="70"/>
      <c r="CS15" s="70"/>
      <c r="CT15" s="70"/>
      <c r="CU15" s="70"/>
      <c r="CV15" s="70"/>
      <c r="CW15" s="70"/>
      <c r="CX15" s="70"/>
      <c r="CY15" s="70"/>
      <c r="CZ15" s="70"/>
      <c r="DA15" s="70"/>
      <c r="DB15" s="70"/>
      <c r="DC15" s="70"/>
      <c r="DD15" s="70"/>
      <c r="DE15" s="70"/>
      <c r="DF15" s="70"/>
      <c r="DG15" s="70"/>
      <c r="DH15" s="70"/>
      <c r="DI15" s="70"/>
      <c r="DJ15" s="70"/>
      <c r="DK15" s="70"/>
      <c r="DL15" s="70"/>
      <c r="DM15" s="70"/>
      <c r="DN15" s="70"/>
      <c r="DO15" s="70"/>
      <c r="DP15" s="70"/>
      <c r="DQ15" s="70"/>
      <c r="DR15" s="70"/>
      <c r="DS15" s="70"/>
      <c r="DT15" s="70"/>
      <c r="DU15" s="70"/>
      <c r="DV15" s="70"/>
      <c r="DW15" s="70"/>
      <c r="DX15" s="70"/>
      <c r="DY15" s="70"/>
      <c r="DZ15" s="70"/>
      <c r="EA15" s="70"/>
      <c r="EB15" s="70"/>
      <c r="EC15" s="70"/>
      <c r="ED15" s="70"/>
      <c r="EE15" s="70"/>
      <c r="EF15" s="70"/>
      <c r="EG15" s="70"/>
      <c r="EH15" s="70"/>
      <c r="EI15" s="70"/>
      <c r="EJ15" s="70"/>
      <c r="EK15" s="70"/>
      <c r="EL15" s="70"/>
      <c r="EM15" s="70"/>
      <c r="EN15" s="70"/>
      <c r="EO15" s="70"/>
      <c r="EP15" s="70"/>
      <c r="EQ15" s="70"/>
      <c r="ER15" s="70"/>
      <c r="ES15" s="70"/>
      <c r="ET15" s="70"/>
      <c r="EU15" s="70"/>
      <c r="EV15" s="70"/>
      <c r="EW15" s="70"/>
      <c r="EX15" s="70"/>
      <c r="EY15" s="70"/>
      <c r="EZ15" s="70"/>
      <c r="FA15" s="70"/>
      <c r="FB15" s="70"/>
      <c r="FC15" s="70"/>
      <c r="FD15" s="70"/>
      <c r="FE15" s="70"/>
      <c r="FF15" s="70"/>
      <c r="FG15" s="70"/>
      <c r="FH15" s="70"/>
      <c r="FI15" s="70"/>
      <c r="FJ15" s="70"/>
      <c r="FK15" s="70"/>
      <c r="FL15" s="70"/>
      <c r="FM15" s="70"/>
      <c r="FN15" s="70"/>
      <c r="FO15" s="70"/>
      <c r="FP15" s="70"/>
      <c r="FQ15" s="70"/>
      <c r="FR15" s="70"/>
      <c r="FS15" s="70"/>
      <c r="FT15" s="70"/>
      <c r="FU15" s="70"/>
      <c r="FV15" s="70"/>
      <c r="FW15" s="70"/>
      <c r="FX15" s="70"/>
      <c r="FY15" s="70"/>
      <c r="FZ15" s="70"/>
      <c r="GA15" s="70"/>
      <c r="GB15" s="70"/>
      <c r="GC15" s="70"/>
      <c r="GD15" s="70"/>
      <c r="GE15" s="70"/>
      <c r="GF15" s="70"/>
      <c r="GG15" s="70"/>
      <c r="GH15" s="70"/>
      <c r="GI15" s="70"/>
      <c r="GJ15" s="70"/>
      <c r="GK15" s="70"/>
      <c r="GL15" s="70"/>
      <c r="GM15" s="70"/>
      <c r="GN15" s="70"/>
      <c r="GO15" s="70"/>
      <c r="GP15" s="70"/>
      <c r="GQ15" s="70"/>
      <c r="GR15" s="70"/>
      <c r="GS15" s="70"/>
      <c r="GT15" s="70"/>
      <c r="GU15" s="70"/>
      <c r="GV15" s="70"/>
      <c r="GW15" s="70"/>
      <c r="GX15" s="70"/>
      <c r="GY15" s="70"/>
      <c r="GZ15" s="70"/>
      <c r="HA15" s="70"/>
      <c r="HB15" s="70"/>
      <c r="HC15" s="70"/>
      <c r="HD15" s="70"/>
      <c r="HE15" s="70"/>
      <c r="HF15" s="70"/>
      <c r="HG15" s="70"/>
      <c r="HH15" s="70"/>
      <c r="HI15" s="70"/>
      <c r="HJ15" s="70"/>
      <c r="HK15" s="70"/>
      <c r="HL15" s="70"/>
      <c r="HM15" s="70"/>
      <c r="HN15" s="70"/>
      <c r="HO15" s="70"/>
      <c r="HP15" s="70"/>
      <c r="HQ15" s="70"/>
      <c r="HR15" s="70"/>
      <c r="HS15" s="70"/>
      <c r="HT15" s="70"/>
      <c r="HU15" s="70"/>
      <c r="HV15" s="70"/>
      <c r="HW15" s="70"/>
      <c r="HX15" s="70"/>
      <c r="HY15" s="70"/>
      <c r="HZ15" s="70"/>
      <c r="IA15" s="70"/>
      <c r="IB15" s="70"/>
      <c r="IC15" s="70"/>
      <c r="ID15" s="70"/>
      <c r="IE15" s="70"/>
      <c r="IF15" s="70"/>
      <c r="IG15" s="70"/>
      <c r="IH15" s="70"/>
      <c r="II15" s="70"/>
      <c r="IJ15" s="70"/>
      <c r="IK15" s="70"/>
      <c r="IL15" s="70"/>
      <c r="IM15" s="70"/>
      <c r="IN15" s="70"/>
      <c r="IO15" s="70"/>
      <c r="IP15" s="70"/>
      <c r="IQ15" s="70"/>
      <c r="IR15" s="70"/>
      <c r="IS15" s="70"/>
      <c r="IT15" s="70"/>
      <c r="IU15" s="70"/>
      <c r="IV15" s="70"/>
      <c r="IW15" s="70"/>
      <c r="IX15" s="70"/>
      <c r="IY15" s="70"/>
      <c r="IZ15" s="70"/>
      <c r="JA15" s="70"/>
      <c r="JB15" s="70"/>
      <c r="JC15" s="70"/>
      <c r="JD15" s="70"/>
      <c r="JE15" s="70"/>
      <c r="JF15" s="70"/>
      <c r="JG15" s="70"/>
      <c r="JH15" s="70"/>
    </row>
    <row r="16" spans="1:268" s="61" customFormat="1" ht="28.5">
      <c r="A16" s="67" t="s">
        <v>97</v>
      </c>
      <c r="B16" s="68">
        <v>90778</v>
      </c>
      <c r="C16" s="120" t="s">
        <v>81</v>
      </c>
      <c r="D16" s="69" t="s">
        <v>7</v>
      </c>
      <c r="E16" s="67">
        <v>5.1000000000000004E-3</v>
      </c>
      <c r="F16" s="71">
        <v>135.80000000000001</v>
      </c>
      <c r="G16" s="72">
        <f t="shared" si="0"/>
        <v>0.69</v>
      </c>
      <c r="H16"/>
      <c r="I16"/>
      <c r="J16"/>
      <c r="K16"/>
      <c r="L16"/>
      <c r="M16"/>
      <c r="N16"/>
      <c r="O16"/>
      <c r="P16"/>
      <c r="Q16"/>
      <c r="R16"/>
      <c r="S16"/>
      <c r="T16"/>
      <c r="U16"/>
      <c r="V16"/>
      <c r="W16"/>
      <c r="X16"/>
      <c r="Y16"/>
      <c r="Z16"/>
      <c r="AA16"/>
      <c r="AB16"/>
      <c r="AC16"/>
      <c r="AD16"/>
      <c r="AE16"/>
      <c r="AF16" s="70"/>
      <c r="AG16" s="70"/>
      <c r="AH16" s="70"/>
      <c r="AI16" s="70"/>
      <c r="AJ16" s="70"/>
      <c r="AK16" s="70"/>
      <c r="AL16" s="70"/>
      <c r="AM16" s="70"/>
      <c r="AN16" s="70"/>
      <c r="AO16" s="70"/>
      <c r="AP16" s="70"/>
      <c r="AQ16" s="70"/>
      <c r="AR16" s="70"/>
      <c r="AS16" s="70"/>
      <c r="AT16" s="70"/>
      <c r="AU16" s="70"/>
      <c r="AV16" s="70"/>
      <c r="AW16" s="70"/>
      <c r="AX16" s="70"/>
      <c r="AY16" s="70"/>
      <c r="AZ16" s="70"/>
      <c r="BA16" s="70"/>
      <c r="BB16" s="70"/>
      <c r="BC16" s="70"/>
      <c r="BD16" s="70"/>
      <c r="BE16" s="70"/>
      <c r="BF16" s="70"/>
      <c r="BG16" s="70"/>
      <c r="BH16" s="70"/>
      <c r="BI16" s="70"/>
      <c r="BJ16" s="70"/>
      <c r="BK16" s="70"/>
      <c r="BL16" s="70"/>
      <c r="BM16" s="70"/>
      <c r="BN16" s="70"/>
      <c r="BO16" s="70"/>
      <c r="BP16" s="70"/>
      <c r="BQ16" s="70"/>
      <c r="BR16" s="70"/>
      <c r="BS16" s="70"/>
      <c r="BT16" s="70"/>
      <c r="BU16" s="70"/>
      <c r="BV16" s="70"/>
      <c r="BW16" s="70"/>
      <c r="BX16" s="70"/>
      <c r="BY16" s="70"/>
      <c r="BZ16" s="70"/>
      <c r="CA16" s="70"/>
      <c r="CB16" s="70"/>
      <c r="CC16" s="70"/>
      <c r="CD16" s="70"/>
      <c r="CE16" s="70"/>
      <c r="CF16" s="70"/>
      <c r="CG16" s="70"/>
      <c r="CH16" s="70"/>
      <c r="CI16" s="70"/>
      <c r="CJ16" s="70"/>
      <c r="CK16" s="70"/>
      <c r="CL16" s="70"/>
      <c r="CM16" s="70"/>
      <c r="CN16" s="70"/>
      <c r="CO16" s="70"/>
      <c r="CP16" s="70"/>
      <c r="CQ16" s="70"/>
      <c r="CR16" s="70"/>
      <c r="CS16" s="70"/>
      <c r="CT16" s="70"/>
      <c r="CU16" s="70"/>
      <c r="CV16" s="70"/>
      <c r="CW16" s="70"/>
      <c r="CX16" s="70"/>
      <c r="CY16" s="70"/>
      <c r="CZ16" s="70"/>
      <c r="DA16" s="70"/>
      <c r="DB16" s="70"/>
      <c r="DC16" s="70"/>
      <c r="DD16" s="70"/>
      <c r="DE16" s="70"/>
      <c r="DF16" s="70"/>
      <c r="DG16" s="70"/>
      <c r="DH16" s="70"/>
      <c r="DI16" s="70"/>
      <c r="DJ16" s="70"/>
      <c r="DK16" s="70"/>
      <c r="DL16" s="70"/>
      <c r="DM16" s="70"/>
      <c r="DN16" s="70"/>
      <c r="DO16" s="70"/>
      <c r="DP16" s="70"/>
      <c r="DQ16" s="70"/>
      <c r="DR16" s="70"/>
      <c r="DS16" s="70"/>
      <c r="DT16" s="70"/>
      <c r="DU16" s="70"/>
      <c r="DV16" s="70"/>
      <c r="DW16" s="70"/>
      <c r="DX16" s="70"/>
      <c r="DY16" s="70"/>
      <c r="DZ16" s="70"/>
      <c r="EA16" s="70"/>
      <c r="EB16" s="70"/>
      <c r="EC16" s="70"/>
      <c r="ED16" s="70"/>
      <c r="EE16" s="70"/>
      <c r="EF16" s="70"/>
      <c r="EG16" s="70"/>
      <c r="EH16" s="70"/>
      <c r="EI16" s="70"/>
      <c r="EJ16" s="70"/>
      <c r="EK16" s="70"/>
      <c r="EL16" s="70"/>
      <c r="EM16" s="70"/>
      <c r="EN16" s="70"/>
      <c r="EO16" s="70"/>
      <c r="EP16" s="70"/>
      <c r="EQ16" s="70"/>
      <c r="ER16" s="70"/>
      <c r="ES16" s="70"/>
      <c r="ET16" s="70"/>
      <c r="EU16" s="70"/>
      <c r="EV16" s="70"/>
      <c r="EW16" s="70"/>
      <c r="EX16" s="70"/>
      <c r="EY16" s="70"/>
      <c r="EZ16" s="70"/>
      <c r="FA16" s="70"/>
      <c r="FB16" s="70"/>
      <c r="FC16" s="70"/>
      <c r="FD16" s="70"/>
      <c r="FE16" s="70"/>
      <c r="FF16" s="70"/>
      <c r="FG16" s="70"/>
      <c r="FH16" s="70"/>
      <c r="FI16" s="70"/>
      <c r="FJ16" s="70"/>
      <c r="FK16" s="70"/>
      <c r="FL16" s="70"/>
      <c r="FM16" s="70"/>
      <c r="FN16" s="70"/>
      <c r="FO16" s="70"/>
      <c r="FP16" s="70"/>
      <c r="FQ16" s="70"/>
      <c r="FR16" s="70"/>
      <c r="FS16" s="70"/>
      <c r="FT16" s="70"/>
      <c r="FU16" s="70"/>
      <c r="FV16" s="70"/>
      <c r="FW16" s="70"/>
      <c r="FX16" s="70"/>
      <c r="FY16" s="70"/>
      <c r="FZ16" s="70"/>
      <c r="GA16" s="70"/>
      <c r="GB16" s="70"/>
      <c r="GC16" s="70"/>
      <c r="GD16" s="70"/>
      <c r="GE16" s="70"/>
      <c r="GF16" s="70"/>
      <c r="GG16" s="70"/>
      <c r="GH16" s="70"/>
      <c r="GI16" s="70"/>
      <c r="GJ16" s="70"/>
      <c r="GK16" s="70"/>
      <c r="GL16" s="70"/>
      <c r="GM16" s="70"/>
      <c r="GN16" s="70"/>
      <c r="GO16" s="70"/>
      <c r="GP16" s="70"/>
      <c r="GQ16" s="70"/>
      <c r="GR16" s="70"/>
      <c r="GS16" s="70"/>
      <c r="GT16" s="70"/>
      <c r="GU16" s="70"/>
      <c r="GV16" s="70"/>
      <c r="GW16" s="70"/>
      <c r="GX16" s="70"/>
      <c r="GY16" s="70"/>
      <c r="GZ16" s="70"/>
      <c r="HA16" s="70"/>
      <c r="HB16" s="70"/>
      <c r="HC16" s="70"/>
      <c r="HD16" s="70"/>
      <c r="HE16" s="70"/>
      <c r="HF16" s="70"/>
      <c r="HG16" s="70"/>
      <c r="HH16" s="70"/>
      <c r="HI16" s="70"/>
      <c r="HJ16" s="70"/>
      <c r="HK16" s="70"/>
      <c r="HL16" s="70"/>
      <c r="HM16" s="70"/>
      <c r="HN16" s="70"/>
      <c r="HO16" s="70"/>
      <c r="HP16" s="70"/>
      <c r="HQ16" s="70"/>
      <c r="HR16" s="70"/>
      <c r="HS16" s="70"/>
      <c r="HT16" s="70"/>
      <c r="HU16" s="70"/>
      <c r="HV16" s="70"/>
      <c r="HW16" s="70"/>
      <c r="HX16" s="70"/>
      <c r="HY16" s="70"/>
      <c r="HZ16" s="70"/>
      <c r="IA16" s="70"/>
      <c r="IB16" s="70"/>
      <c r="IC16" s="70"/>
      <c r="ID16" s="70"/>
      <c r="IE16" s="70"/>
      <c r="IF16" s="70"/>
      <c r="IG16" s="70"/>
      <c r="IH16" s="70"/>
      <c r="II16" s="70"/>
      <c r="IJ16" s="70"/>
      <c r="IK16" s="70"/>
      <c r="IL16" s="70"/>
      <c r="IM16" s="70"/>
      <c r="IN16" s="70"/>
      <c r="IO16" s="70"/>
      <c r="IP16" s="70"/>
      <c r="IQ16" s="70"/>
      <c r="IR16" s="70"/>
      <c r="IS16" s="70"/>
      <c r="IT16" s="70"/>
      <c r="IU16" s="70"/>
      <c r="IV16" s="70"/>
      <c r="IW16" s="70"/>
      <c r="IX16" s="70"/>
      <c r="IY16" s="70"/>
      <c r="IZ16" s="70"/>
      <c r="JA16" s="70"/>
      <c r="JB16" s="70"/>
      <c r="JC16" s="70"/>
      <c r="JD16" s="70"/>
      <c r="JE16" s="70"/>
      <c r="JF16" s="70"/>
      <c r="JG16" s="70"/>
      <c r="JH16" s="70"/>
    </row>
    <row r="17" spans="1:268" s="61" customFormat="1" ht="28.5">
      <c r="A17" s="67" t="s">
        <v>97</v>
      </c>
      <c r="B17" s="68">
        <v>97913</v>
      </c>
      <c r="C17" s="120" t="s">
        <v>82</v>
      </c>
      <c r="D17" s="69" t="s">
        <v>85</v>
      </c>
      <c r="E17" s="67">
        <v>2.0500000000000001E-2</v>
      </c>
      <c r="F17" s="71">
        <v>3.44</v>
      </c>
      <c r="G17" s="72">
        <f t="shared" si="0"/>
        <v>7.0000000000000007E-2</v>
      </c>
      <c r="H17"/>
      <c r="I17"/>
      <c r="J17"/>
      <c r="K17"/>
      <c r="L17"/>
      <c r="M17"/>
      <c r="N17"/>
      <c r="O17"/>
      <c r="P17"/>
      <c r="Q17"/>
      <c r="R17"/>
      <c r="S17"/>
      <c r="T17"/>
      <c r="U17"/>
      <c r="V17"/>
      <c r="W17"/>
      <c r="X17"/>
      <c r="Y17"/>
      <c r="Z17"/>
      <c r="AA17"/>
      <c r="AB17"/>
      <c r="AC17"/>
      <c r="AD17"/>
      <c r="AE17"/>
      <c r="AF17" s="70"/>
      <c r="AG17" s="70"/>
      <c r="AH17" s="70"/>
      <c r="AI17" s="70"/>
      <c r="AJ17" s="70"/>
      <c r="AK17" s="70"/>
      <c r="AL17" s="70"/>
      <c r="AM17" s="70"/>
      <c r="AN17" s="70"/>
      <c r="AO17" s="70"/>
      <c r="AP17" s="70"/>
      <c r="AQ17" s="70"/>
      <c r="AR17" s="70"/>
      <c r="AS17" s="70"/>
      <c r="AT17" s="70"/>
      <c r="AU17" s="70"/>
      <c r="AV17" s="70"/>
      <c r="AW17" s="70"/>
      <c r="AX17" s="70"/>
      <c r="AY17" s="70"/>
      <c r="AZ17" s="70"/>
      <c r="BA17" s="70"/>
      <c r="BB17" s="70"/>
      <c r="BC17" s="70"/>
      <c r="BD17" s="70"/>
      <c r="BE17" s="70"/>
      <c r="BF17" s="70"/>
      <c r="BG17" s="70"/>
      <c r="BH17" s="70"/>
      <c r="BI17" s="70"/>
      <c r="BJ17" s="70"/>
      <c r="BK17" s="70"/>
      <c r="BL17" s="70"/>
      <c r="BM17" s="70"/>
      <c r="BN17" s="70"/>
      <c r="BO17" s="70"/>
      <c r="BP17" s="70"/>
      <c r="BQ17" s="70"/>
      <c r="BR17" s="70"/>
      <c r="BS17" s="70"/>
      <c r="BT17" s="70"/>
      <c r="BU17" s="70"/>
      <c r="BV17" s="70"/>
      <c r="BW17" s="70"/>
      <c r="BX17" s="70"/>
      <c r="BY17" s="70"/>
      <c r="BZ17" s="70"/>
      <c r="CA17" s="70"/>
      <c r="CB17" s="70"/>
      <c r="CC17" s="70"/>
      <c r="CD17" s="70"/>
      <c r="CE17" s="70"/>
      <c r="CF17" s="70"/>
      <c r="CG17" s="70"/>
      <c r="CH17" s="70"/>
      <c r="CI17" s="70"/>
      <c r="CJ17" s="70"/>
      <c r="CK17" s="70"/>
      <c r="CL17" s="70"/>
      <c r="CM17" s="70"/>
      <c r="CN17" s="70"/>
      <c r="CO17" s="70"/>
      <c r="CP17" s="70"/>
      <c r="CQ17" s="70"/>
      <c r="CR17" s="70"/>
      <c r="CS17" s="70"/>
      <c r="CT17" s="70"/>
      <c r="CU17" s="70"/>
      <c r="CV17" s="70"/>
      <c r="CW17" s="70"/>
      <c r="CX17" s="70"/>
      <c r="CY17" s="70"/>
      <c r="CZ17" s="70"/>
      <c r="DA17" s="70"/>
      <c r="DB17" s="70"/>
      <c r="DC17" s="70"/>
      <c r="DD17" s="70"/>
      <c r="DE17" s="70"/>
      <c r="DF17" s="70"/>
      <c r="DG17" s="70"/>
      <c r="DH17" s="70"/>
      <c r="DI17" s="70"/>
      <c r="DJ17" s="70"/>
      <c r="DK17" s="70"/>
      <c r="DL17" s="70"/>
      <c r="DM17" s="70"/>
      <c r="DN17" s="70"/>
      <c r="DO17" s="70"/>
      <c r="DP17" s="70"/>
      <c r="DQ17" s="70"/>
      <c r="DR17" s="70"/>
      <c r="DS17" s="70"/>
      <c r="DT17" s="70"/>
      <c r="DU17" s="70"/>
      <c r="DV17" s="70"/>
      <c r="DW17" s="70"/>
      <c r="DX17" s="70"/>
      <c r="DY17" s="70"/>
      <c r="DZ17" s="70"/>
      <c r="EA17" s="70"/>
      <c r="EB17" s="70"/>
      <c r="EC17" s="70"/>
      <c r="ED17" s="70"/>
      <c r="EE17" s="70"/>
      <c r="EF17" s="70"/>
      <c r="EG17" s="70"/>
      <c r="EH17" s="70"/>
      <c r="EI17" s="70"/>
      <c r="EJ17" s="70"/>
      <c r="EK17" s="70"/>
      <c r="EL17" s="70"/>
      <c r="EM17" s="70"/>
      <c r="EN17" s="70"/>
      <c r="EO17" s="70"/>
      <c r="EP17" s="70"/>
      <c r="EQ17" s="70"/>
      <c r="ER17" s="70"/>
      <c r="ES17" s="70"/>
      <c r="ET17" s="70"/>
      <c r="EU17" s="70"/>
      <c r="EV17" s="70"/>
      <c r="EW17" s="70"/>
      <c r="EX17" s="70"/>
      <c r="EY17" s="70"/>
      <c r="EZ17" s="70"/>
      <c r="FA17" s="70"/>
      <c r="FB17" s="70"/>
      <c r="FC17" s="70"/>
      <c r="FD17" s="70"/>
      <c r="FE17" s="70"/>
      <c r="FF17" s="70"/>
      <c r="FG17" s="70"/>
      <c r="FH17" s="70"/>
      <c r="FI17" s="70"/>
      <c r="FJ17" s="70"/>
      <c r="FK17" s="70"/>
      <c r="FL17" s="70"/>
      <c r="FM17" s="70"/>
      <c r="FN17" s="70"/>
      <c r="FO17" s="70"/>
      <c r="FP17" s="70"/>
      <c r="FQ17" s="70"/>
      <c r="FR17" s="70"/>
      <c r="FS17" s="70"/>
      <c r="FT17" s="70"/>
      <c r="FU17" s="70"/>
      <c r="FV17" s="70"/>
      <c r="FW17" s="70"/>
      <c r="FX17" s="70"/>
      <c r="FY17" s="70"/>
      <c r="FZ17" s="70"/>
      <c r="GA17" s="70"/>
      <c r="GB17" s="70"/>
      <c r="GC17" s="70"/>
      <c r="GD17" s="70"/>
      <c r="GE17" s="70"/>
      <c r="GF17" s="70"/>
      <c r="GG17" s="70"/>
      <c r="GH17" s="70"/>
      <c r="GI17" s="70"/>
      <c r="GJ17" s="70"/>
      <c r="GK17" s="70"/>
      <c r="GL17" s="70"/>
      <c r="GM17" s="70"/>
      <c r="GN17" s="70"/>
      <c r="GO17" s="70"/>
      <c r="GP17" s="70"/>
      <c r="GQ17" s="70"/>
      <c r="GR17" s="70"/>
      <c r="GS17" s="70"/>
      <c r="GT17" s="70"/>
      <c r="GU17" s="70"/>
      <c r="GV17" s="70"/>
      <c r="GW17" s="70"/>
      <c r="GX17" s="70"/>
      <c r="GY17" s="70"/>
      <c r="GZ17" s="70"/>
      <c r="HA17" s="70"/>
      <c r="HB17" s="70"/>
      <c r="HC17" s="70"/>
      <c r="HD17" s="70"/>
      <c r="HE17" s="70"/>
      <c r="HF17" s="70"/>
      <c r="HG17" s="70"/>
      <c r="HH17" s="70"/>
      <c r="HI17" s="70"/>
      <c r="HJ17" s="70"/>
      <c r="HK17" s="70"/>
      <c r="HL17" s="70"/>
      <c r="HM17" s="70"/>
      <c r="HN17" s="70"/>
      <c r="HO17" s="70"/>
      <c r="HP17" s="70"/>
      <c r="HQ17" s="70"/>
      <c r="HR17" s="70"/>
      <c r="HS17" s="70"/>
      <c r="HT17" s="70"/>
      <c r="HU17" s="70"/>
      <c r="HV17" s="70"/>
      <c r="HW17" s="70"/>
      <c r="HX17" s="70"/>
      <c r="HY17" s="70"/>
      <c r="HZ17" s="70"/>
      <c r="IA17" s="70"/>
      <c r="IB17" s="70"/>
      <c r="IC17" s="70"/>
      <c r="ID17" s="70"/>
      <c r="IE17" s="70"/>
      <c r="IF17" s="70"/>
      <c r="IG17" s="70"/>
      <c r="IH17" s="70"/>
      <c r="II17" s="70"/>
      <c r="IJ17" s="70"/>
      <c r="IK17" s="70"/>
      <c r="IL17" s="70"/>
      <c r="IM17" s="70"/>
      <c r="IN17" s="70"/>
      <c r="IO17" s="70"/>
      <c r="IP17" s="70"/>
      <c r="IQ17" s="70"/>
      <c r="IR17" s="70"/>
      <c r="IS17" s="70"/>
      <c r="IT17" s="70"/>
      <c r="IU17" s="70"/>
      <c r="IV17" s="70"/>
      <c r="IW17" s="70"/>
      <c r="IX17" s="70"/>
      <c r="IY17" s="70"/>
      <c r="IZ17" s="70"/>
      <c r="JA17" s="70"/>
      <c r="JB17" s="70"/>
      <c r="JC17" s="70"/>
      <c r="JD17" s="70"/>
      <c r="JE17" s="70"/>
      <c r="JF17" s="70"/>
      <c r="JG17" s="70"/>
      <c r="JH17" s="70"/>
    </row>
    <row r="18" spans="1:268" s="61" customFormat="1" ht="57">
      <c r="A18" s="67" t="s">
        <v>97</v>
      </c>
      <c r="B18" s="68">
        <v>100973</v>
      </c>
      <c r="C18" s="120" t="s">
        <v>83</v>
      </c>
      <c r="D18" s="69" t="s">
        <v>11</v>
      </c>
      <c r="E18" s="67">
        <v>6.1400000000000003E-2</v>
      </c>
      <c r="F18" s="71">
        <v>9.8000000000000007</v>
      </c>
      <c r="G18" s="72">
        <f t="shared" si="0"/>
        <v>0.6</v>
      </c>
      <c r="H18"/>
      <c r="I18"/>
      <c r="J18"/>
      <c r="K18"/>
      <c r="L18"/>
      <c r="M18"/>
      <c r="N18"/>
      <c r="O18"/>
      <c r="P18"/>
      <c r="Q18"/>
      <c r="R18"/>
      <c r="S18"/>
      <c r="T18"/>
      <c r="U18"/>
      <c r="V18"/>
      <c r="W18"/>
      <c r="X18"/>
      <c r="Y18"/>
      <c r="Z18"/>
      <c r="AA18"/>
      <c r="AB18"/>
      <c r="AC18"/>
      <c r="AD18"/>
      <c r="AE18"/>
      <c r="AF18" s="70"/>
      <c r="AG18" s="70"/>
      <c r="AH18" s="70"/>
      <c r="AI18" s="70"/>
      <c r="AJ18" s="70"/>
      <c r="AK18" s="70"/>
      <c r="AL18" s="70"/>
      <c r="AM18" s="70"/>
      <c r="AN18" s="70"/>
      <c r="AO18" s="70"/>
      <c r="AP18" s="70"/>
      <c r="AQ18" s="70"/>
      <c r="AR18" s="70"/>
      <c r="AS18" s="70"/>
      <c r="AT18" s="70"/>
      <c r="AU18" s="70"/>
      <c r="AV18" s="70"/>
      <c r="AW18" s="70"/>
      <c r="AX18" s="70"/>
      <c r="AY18" s="70"/>
      <c r="AZ18" s="70"/>
      <c r="BA18" s="70"/>
      <c r="BB18" s="70"/>
      <c r="BC18" s="70"/>
      <c r="BD18" s="70"/>
      <c r="BE18" s="70"/>
      <c r="BF18" s="70"/>
      <c r="BG18" s="70"/>
      <c r="BH18" s="70"/>
      <c r="BI18" s="70"/>
      <c r="BJ18" s="70"/>
      <c r="BK18" s="70"/>
      <c r="BL18" s="70"/>
      <c r="BM18" s="70"/>
      <c r="BN18" s="70"/>
      <c r="BO18" s="70"/>
      <c r="BP18" s="70"/>
      <c r="BQ18" s="70"/>
      <c r="BR18" s="70"/>
      <c r="BS18" s="70"/>
      <c r="BT18" s="70"/>
      <c r="BU18" s="70"/>
      <c r="BV18" s="70"/>
      <c r="BW18" s="70"/>
      <c r="BX18" s="70"/>
      <c r="BY18" s="70"/>
      <c r="BZ18" s="70"/>
      <c r="CA18" s="70"/>
      <c r="CB18" s="70"/>
      <c r="CC18" s="70"/>
      <c r="CD18" s="70"/>
      <c r="CE18" s="70"/>
      <c r="CF18" s="70"/>
      <c r="CG18" s="70"/>
      <c r="CH18" s="70"/>
      <c r="CI18" s="70"/>
      <c r="CJ18" s="70"/>
      <c r="CK18" s="70"/>
      <c r="CL18" s="70"/>
      <c r="CM18" s="70"/>
      <c r="CN18" s="70"/>
      <c r="CO18" s="70"/>
      <c r="CP18" s="70"/>
      <c r="CQ18" s="70"/>
      <c r="CR18" s="70"/>
      <c r="CS18" s="70"/>
      <c r="CT18" s="70"/>
      <c r="CU18" s="70"/>
      <c r="CV18" s="70"/>
      <c r="CW18" s="70"/>
      <c r="CX18" s="70"/>
      <c r="CY18" s="70"/>
      <c r="CZ18" s="70"/>
      <c r="DA18" s="70"/>
      <c r="DB18" s="70"/>
      <c r="DC18" s="70"/>
      <c r="DD18" s="70"/>
      <c r="DE18" s="70"/>
      <c r="DF18" s="70"/>
      <c r="DG18" s="70"/>
      <c r="DH18" s="70"/>
      <c r="DI18" s="70"/>
      <c r="DJ18" s="70"/>
      <c r="DK18" s="70"/>
      <c r="DL18" s="70"/>
      <c r="DM18" s="70"/>
      <c r="DN18" s="70"/>
      <c r="DO18" s="70"/>
      <c r="DP18" s="70"/>
      <c r="DQ18" s="70"/>
      <c r="DR18" s="70"/>
      <c r="DS18" s="70"/>
      <c r="DT18" s="70"/>
      <c r="DU18" s="70"/>
      <c r="DV18" s="70"/>
      <c r="DW18" s="70"/>
      <c r="DX18" s="70"/>
      <c r="DY18" s="70"/>
      <c r="DZ18" s="70"/>
      <c r="EA18" s="70"/>
      <c r="EB18" s="70"/>
      <c r="EC18" s="70"/>
      <c r="ED18" s="70"/>
      <c r="EE18" s="70"/>
      <c r="EF18" s="70"/>
      <c r="EG18" s="70"/>
      <c r="EH18" s="70"/>
      <c r="EI18" s="70"/>
      <c r="EJ18" s="70"/>
      <c r="EK18" s="70"/>
      <c r="EL18" s="70"/>
      <c r="EM18" s="70"/>
      <c r="EN18" s="70"/>
      <c r="EO18" s="70"/>
      <c r="EP18" s="70"/>
      <c r="EQ18" s="70"/>
      <c r="ER18" s="70"/>
      <c r="ES18" s="70"/>
      <c r="ET18" s="70"/>
      <c r="EU18" s="70"/>
      <c r="EV18" s="70"/>
      <c r="EW18" s="70"/>
      <c r="EX18" s="70"/>
      <c r="EY18" s="70"/>
      <c r="EZ18" s="70"/>
      <c r="FA18" s="70"/>
      <c r="FB18" s="70"/>
      <c r="FC18" s="70"/>
      <c r="FD18" s="70"/>
      <c r="FE18" s="70"/>
      <c r="FF18" s="70"/>
      <c r="FG18" s="70"/>
      <c r="FH18" s="70"/>
      <c r="FI18" s="70"/>
      <c r="FJ18" s="70"/>
      <c r="FK18" s="70"/>
      <c r="FL18" s="70"/>
      <c r="FM18" s="70"/>
      <c r="FN18" s="70"/>
      <c r="FO18" s="70"/>
      <c r="FP18" s="70"/>
      <c r="FQ18" s="70"/>
      <c r="FR18" s="70"/>
      <c r="FS18" s="70"/>
      <c r="FT18" s="70"/>
      <c r="FU18" s="70"/>
      <c r="FV18" s="70"/>
      <c r="FW18" s="70"/>
      <c r="FX18" s="70"/>
      <c r="FY18" s="70"/>
      <c r="FZ18" s="70"/>
      <c r="GA18" s="70"/>
      <c r="GB18" s="70"/>
      <c r="GC18" s="70"/>
      <c r="GD18" s="70"/>
      <c r="GE18" s="70"/>
      <c r="GF18" s="70"/>
      <c r="GG18" s="70"/>
      <c r="GH18" s="70"/>
      <c r="GI18" s="70"/>
      <c r="GJ18" s="70"/>
      <c r="GK18" s="70"/>
      <c r="GL18" s="70"/>
      <c r="GM18" s="70"/>
      <c r="GN18" s="70"/>
      <c r="GO18" s="70"/>
      <c r="GP18" s="70"/>
      <c r="GQ18" s="70"/>
      <c r="GR18" s="70"/>
      <c r="GS18" s="70"/>
      <c r="GT18" s="70"/>
      <c r="GU18" s="70"/>
      <c r="GV18" s="70"/>
      <c r="GW18" s="70"/>
      <c r="GX18" s="70"/>
      <c r="GY18" s="70"/>
      <c r="GZ18" s="70"/>
      <c r="HA18" s="70"/>
      <c r="HB18" s="70"/>
      <c r="HC18" s="70"/>
      <c r="HD18" s="70"/>
      <c r="HE18" s="70"/>
      <c r="HF18" s="70"/>
      <c r="HG18" s="70"/>
      <c r="HH18" s="70"/>
      <c r="HI18" s="70"/>
      <c r="HJ18" s="70"/>
      <c r="HK18" s="70"/>
      <c r="HL18" s="70"/>
      <c r="HM18" s="70"/>
      <c r="HN18" s="70"/>
      <c r="HO18" s="70"/>
      <c r="HP18" s="70"/>
      <c r="HQ18" s="70"/>
      <c r="HR18" s="70"/>
      <c r="HS18" s="70"/>
      <c r="HT18" s="70"/>
      <c r="HU18" s="70"/>
      <c r="HV18" s="70"/>
      <c r="HW18" s="70"/>
      <c r="HX18" s="70"/>
      <c r="HY18" s="70"/>
      <c r="HZ18" s="70"/>
      <c r="IA18" s="70"/>
      <c r="IB18" s="70"/>
      <c r="IC18" s="70"/>
      <c r="ID18" s="70"/>
      <c r="IE18" s="70"/>
      <c r="IF18" s="70"/>
      <c r="IG18" s="70"/>
      <c r="IH18" s="70"/>
      <c r="II18" s="70"/>
      <c r="IJ18" s="70"/>
      <c r="IK18" s="70"/>
      <c r="IL18" s="70"/>
      <c r="IM18" s="70"/>
      <c r="IN18" s="70"/>
      <c r="IO18" s="70"/>
      <c r="IP18" s="70"/>
      <c r="IQ18" s="70"/>
      <c r="IR18" s="70"/>
      <c r="IS18" s="70"/>
      <c r="IT18" s="70"/>
      <c r="IU18" s="70"/>
      <c r="IV18" s="70"/>
      <c r="IW18" s="70"/>
      <c r="IX18" s="70"/>
      <c r="IY18" s="70"/>
      <c r="IZ18" s="70"/>
      <c r="JA18" s="70"/>
      <c r="JB18" s="70"/>
      <c r="JC18" s="70"/>
      <c r="JD18" s="70"/>
      <c r="JE18" s="70"/>
      <c r="JF18" s="70"/>
      <c r="JG18" s="70"/>
      <c r="JH18" s="70"/>
    </row>
    <row r="19" spans="1:268">
      <c r="E19" s="47"/>
      <c r="AF19" s="70"/>
      <c r="AG19" s="70"/>
      <c r="AH19" s="70"/>
      <c r="AI19" s="70"/>
      <c r="AJ19" s="70"/>
      <c r="AK19" s="70"/>
      <c r="AL19" s="70"/>
      <c r="AM19" s="70"/>
      <c r="AN19" s="70"/>
      <c r="AO19" s="70"/>
      <c r="AP19" s="70"/>
      <c r="AQ19" s="70"/>
      <c r="AR19" s="70"/>
      <c r="AS19" s="70"/>
      <c r="AT19" s="70"/>
      <c r="AU19" s="70"/>
      <c r="AV19" s="70"/>
      <c r="AW19" s="70"/>
      <c r="AX19" s="70"/>
      <c r="AY19" s="70"/>
      <c r="AZ19" s="70"/>
      <c r="BA19" s="70"/>
      <c r="BB19" s="70"/>
      <c r="BC19" s="70"/>
      <c r="BD19" s="70"/>
      <c r="BE19" s="70"/>
      <c r="BF19" s="70"/>
      <c r="BG19" s="70"/>
      <c r="BH19" s="70"/>
      <c r="BI19" s="70"/>
      <c r="BJ19" s="70"/>
      <c r="BK19" s="70"/>
      <c r="BL19" s="70"/>
      <c r="BM19" s="70"/>
      <c r="BN19" s="70"/>
      <c r="BO19" s="70"/>
      <c r="BP19" s="70"/>
      <c r="BQ19" s="70"/>
      <c r="BR19" s="70"/>
      <c r="BS19" s="70"/>
      <c r="BT19" s="70"/>
      <c r="BU19" s="70"/>
      <c r="BV19" s="70"/>
      <c r="BW19" s="70"/>
      <c r="BX19" s="70"/>
      <c r="BY19" s="70"/>
      <c r="BZ19" s="70"/>
      <c r="CA19" s="70"/>
      <c r="CB19" s="70"/>
      <c r="CC19" s="70"/>
      <c r="CD19" s="70"/>
      <c r="CE19" s="70"/>
      <c r="CF19" s="70"/>
      <c r="CG19" s="70"/>
      <c r="CH19" s="70"/>
      <c r="CI19" s="70"/>
      <c r="CJ19" s="70"/>
      <c r="CK19" s="70"/>
      <c r="CL19" s="70"/>
      <c r="CM19" s="70"/>
      <c r="CN19" s="70"/>
      <c r="CO19" s="70"/>
      <c r="CP19" s="70"/>
      <c r="CQ19" s="70"/>
      <c r="CR19" s="70"/>
      <c r="CS19" s="70"/>
      <c r="CT19" s="70"/>
      <c r="CU19" s="70"/>
      <c r="CV19" s="70"/>
      <c r="CW19" s="70"/>
      <c r="CX19" s="70"/>
      <c r="CY19" s="70"/>
      <c r="CZ19" s="70"/>
      <c r="DA19" s="70"/>
      <c r="DB19" s="70"/>
      <c r="DC19" s="70"/>
      <c r="DD19" s="70"/>
      <c r="DE19" s="70"/>
      <c r="DF19" s="70"/>
      <c r="DG19" s="70"/>
      <c r="DH19" s="70"/>
      <c r="DI19" s="70"/>
      <c r="DJ19" s="70"/>
      <c r="DK19" s="70"/>
      <c r="DL19" s="70"/>
      <c r="DM19" s="70"/>
      <c r="DN19" s="70"/>
      <c r="DO19" s="70"/>
      <c r="DP19" s="70"/>
      <c r="DQ19" s="70"/>
      <c r="DR19" s="70"/>
      <c r="DS19" s="70"/>
      <c r="DT19" s="70"/>
      <c r="DU19" s="70"/>
      <c r="DV19" s="70"/>
      <c r="DW19" s="70"/>
      <c r="DX19" s="70"/>
      <c r="DY19" s="70"/>
      <c r="DZ19" s="70"/>
      <c r="EA19" s="70"/>
      <c r="EB19" s="70"/>
      <c r="EC19" s="70"/>
      <c r="ED19" s="70"/>
      <c r="EE19" s="70"/>
      <c r="EF19" s="70"/>
      <c r="EG19" s="70"/>
      <c r="EH19" s="70"/>
      <c r="EI19" s="70"/>
      <c r="EJ19" s="70"/>
      <c r="EK19" s="70"/>
      <c r="EL19" s="70"/>
      <c r="EM19" s="70"/>
      <c r="EN19" s="70"/>
      <c r="EO19" s="70"/>
      <c r="EP19" s="70"/>
      <c r="EQ19" s="70"/>
      <c r="ER19" s="70"/>
      <c r="ES19" s="70"/>
      <c r="ET19" s="70"/>
      <c r="EU19" s="70"/>
      <c r="EV19" s="70"/>
      <c r="EW19" s="70"/>
      <c r="EX19" s="70"/>
      <c r="EY19" s="70"/>
      <c r="EZ19" s="70"/>
      <c r="FA19" s="70"/>
      <c r="FB19" s="70"/>
      <c r="FC19" s="70"/>
      <c r="FD19" s="70"/>
      <c r="FE19" s="70"/>
      <c r="FF19" s="70"/>
      <c r="FG19" s="70"/>
      <c r="FH19" s="70"/>
      <c r="FI19" s="70"/>
      <c r="FJ19" s="70"/>
      <c r="FK19" s="70"/>
      <c r="FL19" s="70"/>
      <c r="FM19" s="70"/>
      <c r="FN19" s="70"/>
      <c r="FO19" s="70"/>
      <c r="FP19" s="70"/>
      <c r="FQ19" s="70"/>
      <c r="FR19" s="70"/>
      <c r="FS19" s="70"/>
      <c r="FT19" s="70"/>
      <c r="FU19" s="70"/>
      <c r="FV19" s="70"/>
      <c r="FW19" s="70"/>
      <c r="FX19" s="70"/>
      <c r="FY19" s="70"/>
      <c r="FZ19" s="70"/>
      <c r="GA19" s="70"/>
      <c r="GB19" s="70"/>
      <c r="GC19" s="70"/>
      <c r="GD19" s="70"/>
      <c r="GE19" s="70"/>
      <c r="GF19" s="70"/>
      <c r="GG19" s="70"/>
      <c r="GH19" s="70"/>
      <c r="GI19" s="70"/>
      <c r="GJ19" s="70"/>
      <c r="GK19" s="70"/>
      <c r="GL19" s="70"/>
      <c r="GM19" s="70"/>
      <c r="GN19" s="70"/>
      <c r="GO19" s="70"/>
      <c r="GP19" s="70"/>
      <c r="GQ19" s="70"/>
      <c r="GR19" s="70"/>
      <c r="GS19" s="70"/>
      <c r="GT19" s="70"/>
      <c r="GU19" s="70"/>
      <c r="GV19" s="70"/>
      <c r="GW19" s="70"/>
      <c r="GX19" s="70"/>
      <c r="GY19" s="70"/>
      <c r="GZ19" s="70"/>
      <c r="HA19" s="70"/>
      <c r="HB19" s="70"/>
      <c r="HC19" s="70"/>
      <c r="HD19" s="70"/>
      <c r="HE19" s="70"/>
      <c r="HF19" s="70"/>
      <c r="HG19" s="70"/>
      <c r="HH19" s="70"/>
      <c r="HI19" s="70"/>
      <c r="HJ19" s="70"/>
      <c r="HK19" s="70"/>
      <c r="HL19" s="70"/>
      <c r="HM19" s="70"/>
      <c r="HN19" s="70"/>
      <c r="HO19" s="70"/>
      <c r="HP19" s="70"/>
      <c r="HQ19" s="70"/>
      <c r="HR19" s="70"/>
      <c r="HS19" s="70"/>
      <c r="HT19" s="70"/>
      <c r="HU19" s="70"/>
      <c r="HV19" s="70"/>
      <c r="HW19" s="70"/>
      <c r="HX19" s="70"/>
      <c r="HY19" s="70"/>
      <c r="HZ19" s="70"/>
      <c r="IA19" s="70"/>
      <c r="IB19" s="70"/>
      <c r="IC19" s="70"/>
      <c r="ID19" s="70"/>
      <c r="IE19" s="70"/>
      <c r="IF19" s="70"/>
      <c r="IG19" s="70"/>
      <c r="IH19" s="70"/>
      <c r="II19" s="70"/>
      <c r="IJ19" s="70"/>
      <c r="IK19" s="70"/>
      <c r="IL19" s="70"/>
      <c r="IM19" s="70"/>
      <c r="IN19" s="70"/>
      <c r="IO19" s="70"/>
      <c r="IP19" s="70"/>
      <c r="IQ19" s="70"/>
      <c r="IR19" s="70"/>
      <c r="IS19" s="70"/>
      <c r="IT19" s="70"/>
      <c r="IU19" s="70"/>
      <c r="IV19" s="70"/>
      <c r="IW19" s="70"/>
      <c r="IX19" s="70"/>
      <c r="IY19" s="70"/>
      <c r="IZ19" s="70"/>
      <c r="JA19" s="70"/>
      <c r="JB19" s="70"/>
      <c r="JC19" s="70"/>
      <c r="JD19" s="70"/>
      <c r="JE19" s="70"/>
      <c r="JF19" s="70"/>
      <c r="JG19" s="70"/>
      <c r="JH19" s="70"/>
    </row>
    <row r="20" spans="1:268" ht="18.75">
      <c r="D20" s="95" t="s">
        <v>169</v>
      </c>
      <c r="E20" s="443">
        <f>G23+G26+G27</f>
        <v>682.27</v>
      </c>
      <c r="F20" s="444"/>
      <c r="G20" s="445">
        <f>E20+E21</f>
        <v>706.16</v>
      </c>
      <c r="AF20" s="70"/>
      <c r="AG20" s="70"/>
      <c r="AH20" s="70"/>
      <c r="AI20" s="70"/>
      <c r="AJ20" s="70"/>
      <c r="AK20" s="70"/>
      <c r="AL20" s="70"/>
      <c r="AM20" s="70"/>
      <c r="AN20" s="70"/>
      <c r="AO20" s="70"/>
      <c r="AP20" s="70"/>
      <c r="AQ20" s="70"/>
      <c r="AR20" s="70"/>
      <c r="AS20" s="70"/>
      <c r="AT20" s="70"/>
      <c r="AU20" s="70"/>
      <c r="AV20" s="70"/>
      <c r="AW20" s="70"/>
      <c r="AX20" s="70"/>
      <c r="AY20" s="70"/>
      <c r="AZ20" s="70"/>
      <c r="BA20" s="70"/>
      <c r="BB20" s="70"/>
      <c r="BC20" s="70"/>
      <c r="BD20" s="70"/>
      <c r="BE20" s="70"/>
      <c r="BF20" s="70"/>
      <c r="BG20" s="70"/>
      <c r="BH20" s="70"/>
      <c r="BI20" s="70"/>
      <c r="BJ20" s="70"/>
      <c r="BK20" s="70"/>
      <c r="BL20" s="70"/>
      <c r="BM20" s="70"/>
      <c r="BN20" s="70"/>
      <c r="BO20" s="70"/>
      <c r="BP20" s="70"/>
      <c r="BQ20" s="70"/>
      <c r="BR20" s="70"/>
      <c r="BS20" s="70"/>
      <c r="BT20" s="70"/>
      <c r="BU20" s="70"/>
      <c r="BV20" s="70"/>
      <c r="BW20" s="70"/>
      <c r="BX20" s="70"/>
      <c r="BY20" s="70"/>
      <c r="BZ20" s="70"/>
      <c r="CA20" s="70"/>
      <c r="CB20" s="70"/>
      <c r="CC20" s="70"/>
      <c r="CD20" s="70"/>
      <c r="CE20" s="70"/>
      <c r="CF20" s="70"/>
      <c r="CG20" s="70"/>
      <c r="CH20" s="70"/>
      <c r="CI20" s="70"/>
      <c r="CJ20" s="70"/>
      <c r="CK20" s="70"/>
      <c r="CL20" s="70"/>
      <c r="CM20" s="70"/>
      <c r="CN20" s="70"/>
      <c r="CO20" s="70"/>
      <c r="CP20" s="70"/>
      <c r="CQ20" s="70"/>
      <c r="CR20" s="70"/>
      <c r="CS20" s="70"/>
      <c r="CT20" s="70"/>
      <c r="CU20" s="70"/>
      <c r="CV20" s="70"/>
      <c r="CW20" s="70"/>
      <c r="CX20" s="70"/>
      <c r="CY20" s="70"/>
      <c r="CZ20" s="70"/>
      <c r="DA20" s="70"/>
      <c r="DB20" s="70"/>
      <c r="DC20" s="70"/>
      <c r="DD20" s="70"/>
      <c r="DE20" s="70"/>
      <c r="DF20" s="70"/>
      <c r="DG20" s="70"/>
      <c r="DH20" s="70"/>
      <c r="DI20" s="70"/>
      <c r="DJ20" s="70"/>
      <c r="DK20" s="70"/>
      <c r="DL20" s="70"/>
      <c r="DM20" s="70"/>
      <c r="DN20" s="70"/>
      <c r="DO20" s="70"/>
      <c r="DP20" s="70"/>
      <c r="DQ20" s="70"/>
      <c r="DR20" s="70"/>
      <c r="DS20" s="70"/>
      <c r="DT20" s="70"/>
      <c r="DU20" s="70"/>
      <c r="DV20" s="70"/>
      <c r="DW20" s="70"/>
      <c r="DX20" s="70"/>
      <c r="DY20" s="70"/>
      <c r="DZ20" s="70"/>
      <c r="EA20" s="70"/>
      <c r="EB20" s="70"/>
      <c r="EC20" s="70"/>
      <c r="ED20" s="70"/>
      <c r="EE20" s="70"/>
      <c r="EF20" s="70"/>
      <c r="EG20" s="70"/>
      <c r="EH20" s="70"/>
      <c r="EI20" s="70"/>
      <c r="EJ20" s="70"/>
      <c r="EK20" s="70"/>
      <c r="EL20" s="70"/>
      <c r="EM20" s="70"/>
      <c r="EN20" s="70"/>
      <c r="EO20" s="70"/>
      <c r="EP20" s="70"/>
      <c r="EQ20" s="70"/>
      <c r="ER20" s="70"/>
      <c r="ES20" s="70"/>
      <c r="ET20" s="70"/>
      <c r="EU20" s="70"/>
      <c r="EV20" s="70"/>
      <c r="EW20" s="70"/>
      <c r="EX20" s="70"/>
      <c r="EY20" s="70"/>
      <c r="EZ20" s="70"/>
      <c r="FA20" s="70"/>
      <c r="FB20" s="70"/>
      <c r="FC20" s="70"/>
      <c r="FD20" s="70"/>
      <c r="FE20" s="70"/>
      <c r="FF20" s="70"/>
      <c r="FG20" s="70"/>
      <c r="FH20" s="70"/>
      <c r="FI20" s="70"/>
      <c r="FJ20" s="70"/>
      <c r="FK20" s="70"/>
      <c r="FL20" s="70"/>
      <c r="FM20" s="70"/>
      <c r="FN20" s="70"/>
      <c r="FO20" s="70"/>
      <c r="FP20" s="70"/>
      <c r="FQ20" s="70"/>
      <c r="FR20" s="70"/>
      <c r="FS20" s="70"/>
      <c r="FT20" s="70"/>
      <c r="FU20" s="70"/>
      <c r="FV20" s="70"/>
      <c r="FW20" s="70"/>
      <c r="FX20" s="70"/>
      <c r="FY20" s="70"/>
      <c r="FZ20" s="70"/>
      <c r="GA20" s="70"/>
      <c r="GB20" s="70"/>
      <c r="GC20" s="70"/>
      <c r="GD20" s="70"/>
      <c r="GE20" s="70"/>
      <c r="GF20" s="70"/>
      <c r="GG20" s="70"/>
      <c r="GH20" s="70"/>
      <c r="GI20" s="70"/>
      <c r="GJ20" s="70"/>
      <c r="GK20" s="70"/>
      <c r="GL20" s="70"/>
      <c r="GM20" s="70"/>
      <c r="GN20" s="70"/>
      <c r="GO20" s="70"/>
      <c r="GP20" s="70"/>
      <c r="GQ20" s="70"/>
      <c r="GR20" s="70"/>
      <c r="GS20" s="70"/>
      <c r="GT20" s="70"/>
      <c r="GU20" s="70"/>
      <c r="GV20" s="70"/>
      <c r="GW20" s="70"/>
      <c r="GX20" s="70"/>
      <c r="GY20" s="70"/>
      <c r="GZ20" s="70"/>
      <c r="HA20" s="70"/>
      <c r="HB20" s="70"/>
      <c r="HC20" s="70"/>
      <c r="HD20" s="70"/>
      <c r="HE20" s="70"/>
      <c r="HF20" s="70"/>
      <c r="HG20" s="70"/>
      <c r="HH20" s="70"/>
      <c r="HI20" s="70"/>
      <c r="HJ20" s="70"/>
      <c r="HK20" s="70"/>
      <c r="HL20" s="70"/>
      <c r="HM20" s="70"/>
      <c r="HN20" s="70"/>
      <c r="HO20" s="70"/>
      <c r="HP20" s="70"/>
      <c r="HQ20" s="70"/>
      <c r="HR20" s="70"/>
      <c r="HS20" s="70"/>
      <c r="HT20" s="70"/>
      <c r="HU20" s="70"/>
      <c r="HV20" s="70"/>
      <c r="HW20" s="70"/>
      <c r="HX20" s="70"/>
      <c r="HY20" s="70"/>
      <c r="HZ20" s="70"/>
      <c r="IA20" s="70"/>
      <c r="IB20" s="70"/>
      <c r="IC20" s="70"/>
      <c r="ID20" s="70"/>
      <c r="IE20" s="70"/>
      <c r="IF20" s="70"/>
      <c r="IG20" s="70"/>
      <c r="IH20" s="70"/>
      <c r="II20" s="70"/>
      <c r="IJ20" s="70"/>
      <c r="IK20" s="70"/>
      <c r="IL20" s="70"/>
      <c r="IM20" s="70"/>
      <c r="IN20" s="70"/>
      <c r="IO20" s="70"/>
      <c r="IP20" s="70"/>
      <c r="IQ20" s="70"/>
      <c r="IR20" s="70"/>
      <c r="IS20" s="70"/>
      <c r="IT20" s="70"/>
      <c r="IU20" s="70"/>
      <c r="IV20" s="70"/>
      <c r="IW20" s="70"/>
      <c r="IX20" s="70"/>
      <c r="IY20" s="70"/>
      <c r="IZ20" s="70"/>
      <c r="JA20" s="70"/>
      <c r="JB20" s="70"/>
      <c r="JC20" s="70"/>
      <c r="JD20" s="70"/>
      <c r="JE20" s="70"/>
      <c r="JF20" s="70"/>
      <c r="JG20" s="70"/>
      <c r="JH20" s="70"/>
    </row>
    <row r="21" spans="1:268" ht="18.75">
      <c r="D21" s="95" t="s">
        <v>170</v>
      </c>
      <c r="E21" s="443">
        <f>G24+G25</f>
        <v>23.89</v>
      </c>
      <c r="F21" s="444"/>
      <c r="G21" s="446"/>
      <c r="AF21" s="70"/>
      <c r="AG21" s="70"/>
      <c r="AH21" s="70"/>
      <c r="AI21" s="70"/>
      <c r="AJ21" s="70"/>
      <c r="AK21" s="70"/>
      <c r="AL21" s="70"/>
      <c r="AM21" s="70"/>
      <c r="AN21" s="70"/>
      <c r="AO21" s="70"/>
      <c r="AP21" s="70"/>
      <c r="AQ21" s="70"/>
      <c r="AR21" s="70"/>
      <c r="AS21" s="70"/>
      <c r="AT21" s="70"/>
      <c r="AU21" s="70"/>
      <c r="AV21" s="70"/>
      <c r="AW21" s="70"/>
      <c r="AX21" s="70"/>
      <c r="AY21" s="70"/>
      <c r="AZ21" s="70"/>
      <c r="BA21" s="70"/>
      <c r="BB21" s="70"/>
      <c r="BC21" s="70"/>
      <c r="BD21" s="70"/>
      <c r="BE21" s="70"/>
      <c r="BF21" s="70"/>
      <c r="BG21" s="70"/>
      <c r="BH21" s="70"/>
      <c r="BI21" s="70"/>
      <c r="BJ21" s="70"/>
      <c r="BK21" s="70"/>
      <c r="BL21" s="70"/>
      <c r="BM21" s="70"/>
      <c r="BN21" s="70"/>
      <c r="BO21" s="70"/>
      <c r="BP21" s="70"/>
      <c r="BQ21" s="70"/>
      <c r="BR21" s="70"/>
      <c r="BS21" s="70"/>
      <c r="BT21" s="70"/>
      <c r="BU21" s="70"/>
      <c r="BV21" s="70"/>
      <c r="BW21" s="70"/>
      <c r="BX21" s="70"/>
      <c r="BY21" s="70"/>
      <c r="BZ21" s="70"/>
      <c r="CA21" s="70"/>
      <c r="CB21" s="70"/>
      <c r="CC21" s="70"/>
      <c r="CD21" s="70"/>
      <c r="CE21" s="70"/>
      <c r="CF21" s="70"/>
      <c r="CG21" s="70"/>
      <c r="CH21" s="70"/>
      <c r="CI21" s="70"/>
      <c r="CJ21" s="70"/>
      <c r="CK21" s="70"/>
      <c r="CL21" s="70"/>
      <c r="CM21" s="70"/>
      <c r="CN21" s="70"/>
      <c r="CO21" s="70"/>
      <c r="CP21" s="70"/>
      <c r="CQ21" s="70"/>
      <c r="CR21" s="70"/>
      <c r="CS21" s="70"/>
      <c r="CT21" s="70"/>
      <c r="CU21" s="70"/>
      <c r="CV21" s="70"/>
      <c r="CW21" s="70"/>
      <c r="CX21" s="70"/>
      <c r="CY21" s="70"/>
      <c r="CZ21" s="70"/>
      <c r="DA21" s="70"/>
      <c r="DB21" s="70"/>
      <c r="DC21" s="70"/>
      <c r="DD21" s="70"/>
      <c r="DE21" s="70"/>
      <c r="DF21" s="70"/>
      <c r="DG21" s="70"/>
      <c r="DH21" s="70"/>
      <c r="DI21" s="70"/>
      <c r="DJ21" s="70"/>
      <c r="DK21" s="70"/>
      <c r="DL21" s="70"/>
      <c r="DM21" s="70"/>
      <c r="DN21" s="70"/>
      <c r="DO21" s="70"/>
      <c r="DP21" s="70"/>
      <c r="DQ21" s="70"/>
      <c r="DR21" s="70"/>
      <c r="DS21" s="70"/>
      <c r="DT21" s="70"/>
      <c r="DU21" s="70"/>
      <c r="DV21" s="70"/>
      <c r="DW21" s="70"/>
      <c r="DX21" s="70"/>
      <c r="DY21" s="70"/>
      <c r="DZ21" s="70"/>
      <c r="EA21" s="70"/>
      <c r="EB21" s="70"/>
      <c r="EC21" s="70"/>
      <c r="ED21" s="70"/>
      <c r="EE21" s="70"/>
      <c r="EF21" s="70"/>
      <c r="EG21" s="70"/>
      <c r="EH21" s="70"/>
      <c r="EI21" s="70"/>
      <c r="EJ21" s="70"/>
      <c r="EK21" s="70"/>
      <c r="EL21" s="70"/>
      <c r="EM21" s="70"/>
      <c r="EN21" s="70"/>
      <c r="EO21" s="70"/>
      <c r="EP21" s="70"/>
      <c r="EQ21" s="70"/>
      <c r="ER21" s="70"/>
      <c r="ES21" s="70"/>
      <c r="ET21" s="70"/>
      <c r="EU21" s="70"/>
      <c r="EV21" s="70"/>
      <c r="EW21" s="70"/>
      <c r="EX21" s="70"/>
      <c r="EY21" s="70"/>
      <c r="EZ21" s="70"/>
      <c r="FA21" s="70"/>
      <c r="FB21" s="70"/>
      <c r="FC21" s="70"/>
      <c r="FD21" s="70"/>
      <c r="FE21" s="70"/>
      <c r="FF21" s="70"/>
      <c r="FG21" s="70"/>
      <c r="FH21" s="70"/>
      <c r="FI21" s="70"/>
      <c r="FJ21" s="70"/>
      <c r="FK21" s="70"/>
      <c r="FL21" s="70"/>
      <c r="FM21" s="70"/>
      <c r="FN21" s="70"/>
      <c r="FO21" s="70"/>
      <c r="FP21" s="70"/>
      <c r="FQ21" s="70"/>
      <c r="FR21" s="70"/>
      <c r="FS21" s="70"/>
      <c r="FT21" s="70"/>
      <c r="FU21" s="70"/>
      <c r="FV21" s="70"/>
      <c r="FW21" s="70"/>
      <c r="FX21" s="70"/>
      <c r="FY21" s="70"/>
      <c r="FZ21" s="70"/>
      <c r="GA21" s="70"/>
      <c r="GB21" s="70"/>
      <c r="GC21" s="70"/>
      <c r="GD21" s="70"/>
      <c r="GE21" s="70"/>
      <c r="GF21" s="70"/>
      <c r="GG21" s="70"/>
      <c r="GH21" s="70"/>
      <c r="GI21" s="70"/>
      <c r="GJ21" s="70"/>
      <c r="GK21" s="70"/>
      <c r="GL21" s="70"/>
      <c r="GM21" s="70"/>
      <c r="GN21" s="70"/>
      <c r="GO21" s="70"/>
      <c r="GP21" s="70"/>
      <c r="GQ21" s="70"/>
      <c r="GR21" s="70"/>
      <c r="GS21" s="70"/>
      <c r="GT21" s="70"/>
      <c r="GU21" s="70"/>
      <c r="GV21" s="70"/>
      <c r="GW21" s="70"/>
      <c r="GX21" s="70"/>
      <c r="GY21" s="70"/>
      <c r="GZ21" s="70"/>
      <c r="HA21" s="70"/>
      <c r="HB21" s="70"/>
      <c r="HC21" s="70"/>
      <c r="HD21" s="70"/>
      <c r="HE21" s="70"/>
      <c r="HF21" s="70"/>
      <c r="HG21" s="70"/>
      <c r="HH21" s="70"/>
      <c r="HI21" s="70"/>
      <c r="HJ21" s="70"/>
      <c r="HK21" s="70"/>
      <c r="HL21" s="70"/>
      <c r="HM21" s="70"/>
      <c r="HN21" s="70"/>
      <c r="HO21" s="70"/>
      <c r="HP21" s="70"/>
      <c r="HQ21" s="70"/>
      <c r="HR21" s="70"/>
      <c r="HS21" s="70"/>
      <c r="HT21" s="70"/>
      <c r="HU21" s="70"/>
      <c r="HV21" s="70"/>
      <c r="HW21" s="70"/>
      <c r="HX21" s="70"/>
      <c r="HY21" s="70"/>
      <c r="HZ21" s="70"/>
      <c r="IA21" s="70"/>
      <c r="IB21" s="70"/>
      <c r="IC21" s="70"/>
      <c r="ID21" s="70"/>
      <c r="IE21" s="70"/>
      <c r="IF21" s="70"/>
      <c r="IG21" s="70"/>
      <c r="IH21" s="70"/>
      <c r="II21" s="70"/>
      <c r="IJ21" s="70"/>
      <c r="IK21" s="70"/>
      <c r="IL21" s="70"/>
      <c r="IM21" s="70"/>
      <c r="IN21" s="70"/>
      <c r="IO21" s="70"/>
      <c r="IP21" s="70"/>
      <c r="IQ21" s="70"/>
      <c r="IR21" s="70"/>
      <c r="IS21" s="70"/>
      <c r="IT21" s="70"/>
      <c r="IU21" s="70"/>
      <c r="IV21" s="70"/>
      <c r="IW21" s="70"/>
      <c r="IX21" s="70"/>
      <c r="IY21" s="70"/>
      <c r="IZ21" s="70"/>
      <c r="JA21" s="70"/>
      <c r="JB21" s="70"/>
      <c r="JC21" s="70"/>
      <c r="JD21" s="70"/>
      <c r="JE21" s="70"/>
      <c r="JF21" s="70"/>
      <c r="JG21" s="70"/>
      <c r="JH21" s="70"/>
    </row>
    <row r="22" spans="1:268" ht="45">
      <c r="A22" s="453" t="s">
        <v>99</v>
      </c>
      <c r="B22" s="454">
        <v>11</v>
      </c>
      <c r="C22" s="17" t="s">
        <v>120</v>
      </c>
      <c r="D22" s="16" t="s">
        <v>2</v>
      </c>
      <c r="E22" s="18" t="s">
        <v>12</v>
      </c>
      <c r="F22" s="18" t="s">
        <v>13</v>
      </c>
      <c r="G22" s="18" t="s">
        <v>14</v>
      </c>
      <c r="AF22" s="70"/>
      <c r="AG22" s="70"/>
      <c r="AH22" s="70"/>
      <c r="AI22" s="70"/>
      <c r="AJ22" s="70"/>
      <c r="AK22" s="70"/>
      <c r="AL22" s="70"/>
      <c r="AM22" s="70"/>
      <c r="AN22" s="70"/>
      <c r="AO22" s="70"/>
      <c r="AP22" s="70"/>
      <c r="AQ22" s="70"/>
      <c r="AR22" s="70"/>
      <c r="AS22" s="70"/>
      <c r="AT22" s="70"/>
      <c r="AU22" s="70"/>
      <c r="AV22" s="70"/>
      <c r="AW22" s="70"/>
      <c r="AX22" s="70"/>
      <c r="AY22" s="70"/>
      <c r="AZ22" s="70"/>
      <c r="BA22" s="70"/>
      <c r="BB22" s="70"/>
      <c r="BC22" s="70"/>
      <c r="BD22" s="70"/>
      <c r="BE22" s="70"/>
      <c r="BF22" s="70"/>
      <c r="BG22" s="70"/>
      <c r="BH22" s="70"/>
      <c r="BI22" s="70"/>
      <c r="BJ22" s="70"/>
      <c r="BK22" s="70"/>
      <c r="BL22" s="70"/>
      <c r="BM22" s="70"/>
      <c r="BN22" s="70"/>
      <c r="BO22" s="70"/>
      <c r="BP22" s="70"/>
      <c r="BQ22" s="70"/>
      <c r="BR22" s="70"/>
      <c r="BS22" s="70"/>
      <c r="BT22" s="70"/>
      <c r="BU22" s="70"/>
      <c r="BV22" s="70"/>
      <c r="BW22" s="70"/>
      <c r="BX22" s="70"/>
      <c r="BY22" s="70"/>
      <c r="BZ22" s="70"/>
      <c r="CA22" s="70"/>
      <c r="CB22" s="70"/>
      <c r="CC22" s="70"/>
      <c r="CD22" s="70"/>
      <c r="CE22" s="70"/>
      <c r="CF22" s="70"/>
      <c r="CG22" s="70"/>
      <c r="CH22" s="70"/>
      <c r="CI22" s="70"/>
      <c r="CJ22" s="70"/>
      <c r="CK22" s="70"/>
      <c r="CL22" s="70"/>
      <c r="CM22" s="70"/>
      <c r="CN22" s="70"/>
      <c r="CO22" s="70"/>
      <c r="CP22" s="70"/>
      <c r="CQ22" s="70"/>
      <c r="CR22" s="70"/>
      <c r="CS22" s="70"/>
      <c r="CT22" s="70"/>
      <c r="CU22" s="70"/>
      <c r="CV22" s="70"/>
      <c r="CW22" s="70"/>
      <c r="CX22" s="70"/>
      <c r="CY22" s="70"/>
      <c r="CZ22" s="70"/>
      <c r="DA22" s="70"/>
      <c r="DB22" s="70"/>
      <c r="DC22" s="70"/>
      <c r="DD22" s="70"/>
      <c r="DE22" s="70"/>
      <c r="DF22" s="70"/>
      <c r="DG22" s="70"/>
      <c r="DH22" s="70"/>
      <c r="DI22" s="70"/>
      <c r="DJ22" s="70"/>
      <c r="DK22" s="70"/>
      <c r="DL22" s="70"/>
      <c r="DM22" s="70"/>
      <c r="DN22" s="70"/>
      <c r="DO22" s="70"/>
      <c r="DP22" s="70"/>
      <c r="DQ22" s="70"/>
      <c r="DR22" s="70"/>
      <c r="DS22" s="70"/>
      <c r="DT22" s="70"/>
      <c r="DU22" s="70"/>
      <c r="DV22" s="70"/>
      <c r="DW22" s="70"/>
      <c r="DX22" s="70"/>
      <c r="DY22" s="70"/>
      <c r="DZ22" s="70"/>
      <c r="EA22" s="70"/>
      <c r="EB22" s="70"/>
      <c r="EC22" s="70"/>
      <c r="ED22" s="70"/>
      <c r="EE22" s="70"/>
      <c r="EF22" s="70"/>
      <c r="EG22" s="70"/>
      <c r="EH22" s="70"/>
      <c r="EI22" s="70"/>
      <c r="EJ22" s="70"/>
      <c r="EK22" s="70"/>
      <c r="EL22" s="70"/>
      <c r="EM22" s="70"/>
      <c r="EN22" s="70"/>
      <c r="EO22" s="70"/>
      <c r="EP22" s="70"/>
      <c r="EQ22" s="70"/>
      <c r="ER22" s="70"/>
      <c r="ES22" s="70"/>
      <c r="ET22" s="70"/>
      <c r="EU22" s="70"/>
      <c r="EV22" s="70"/>
      <c r="EW22" s="70"/>
      <c r="EX22" s="70"/>
      <c r="EY22" s="70"/>
      <c r="EZ22" s="70"/>
      <c r="FA22" s="70"/>
      <c r="FB22" s="70"/>
      <c r="FC22" s="70"/>
      <c r="FD22" s="70"/>
      <c r="FE22" s="70"/>
      <c r="FF22" s="70"/>
      <c r="FG22" s="70"/>
      <c r="FH22" s="70"/>
      <c r="FI22" s="70"/>
      <c r="FJ22" s="70"/>
      <c r="FK22" s="70"/>
      <c r="FL22" s="70"/>
      <c r="FM22" s="70"/>
      <c r="FN22" s="70"/>
      <c r="FO22" s="70"/>
      <c r="FP22" s="70"/>
      <c r="FQ22" s="70"/>
      <c r="FR22" s="70"/>
      <c r="FS22" s="70"/>
      <c r="FT22" s="70"/>
      <c r="FU22" s="70"/>
      <c r="FV22" s="70"/>
      <c r="FW22" s="70"/>
      <c r="FX22" s="70"/>
      <c r="FY22" s="70"/>
      <c r="FZ22" s="70"/>
      <c r="GA22" s="70"/>
      <c r="GB22" s="70"/>
      <c r="GC22" s="70"/>
      <c r="GD22" s="70"/>
      <c r="GE22" s="70"/>
      <c r="GF22" s="70"/>
      <c r="GG22" s="70"/>
      <c r="GH22" s="70"/>
      <c r="GI22" s="70"/>
      <c r="GJ22" s="70"/>
      <c r="GK22" s="70"/>
      <c r="GL22" s="70"/>
      <c r="GM22" s="70"/>
      <c r="GN22" s="70"/>
      <c r="GO22" s="70"/>
      <c r="GP22" s="70"/>
      <c r="GQ22" s="70"/>
      <c r="GR22" s="70"/>
      <c r="GS22" s="70"/>
      <c r="GT22" s="70"/>
      <c r="GU22" s="70"/>
      <c r="GV22" s="70"/>
      <c r="GW22" s="70"/>
      <c r="GX22" s="70"/>
      <c r="GY22" s="70"/>
      <c r="GZ22" s="70"/>
      <c r="HA22" s="70"/>
      <c r="HB22" s="70"/>
      <c r="HC22" s="70"/>
      <c r="HD22" s="70"/>
      <c r="HE22" s="70"/>
      <c r="HF22" s="70"/>
      <c r="HG22" s="70"/>
      <c r="HH22" s="70"/>
      <c r="HI22" s="70"/>
      <c r="HJ22" s="70"/>
      <c r="HK22" s="70"/>
      <c r="HL22" s="70"/>
      <c r="HM22" s="70"/>
      <c r="HN22" s="70"/>
      <c r="HO22" s="70"/>
      <c r="HP22" s="70"/>
      <c r="HQ22" s="70"/>
      <c r="HR22" s="70"/>
      <c r="HS22" s="70"/>
      <c r="HT22" s="70"/>
      <c r="HU22" s="70"/>
      <c r="HV22" s="70"/>
      <c r="HW22" s="70"/>
      <c r="HX22" s="70"/>
      <c r="HY22" s="70"/>
      <c r="HZ22" s="70"/>
      <c r="IA22" s="70"/>
      <c r="IB22" s="70"/>
      <c r="IC22" s="70"/>
      <c r="ID22" s="70"/>
      <c r="IE22" s="70"/>
      <c r="IF22" s="70"/>
      <c r="IG22" s="70"/>
      <c r="IH22" s="70"/>
      <c r="II22" s="70"/>
      <c r="IJ22" s="70"/>
      <c r="IK22" s="70"/>
      <c r="IL22" s="70"/>
      <c r="IM22" s="70"/>
      <c r="IN22" s="70"/>
      <c r="IO22" s="70"/>
      <c r="IP22" s="70"/>
      <c r="IQ22" s="70"/>
      <c r="IR22" s="70"/>
      <c r="IS22" s="70"/>
      <c r="IT22" s="70"/>
      <c r="IU22" s="70"/>
      <c r="IV22" s="70"/>
      <c r="IW22" s="70"/>
      <c r="IX22" s="70"/>
      <c r="IY22" s="70"/>
      <c r="IZ22" s="70"/>
      <c r="JA22" s="70"/>
      <c r="JB22" s="70"/>
      <c r="JC22" s="70"/>
      <c r="JD22" s="70"/>
      <c r="JE22" s="70"/>
      <c r="JF22" s="70"/>
      <c r="JG22" s="70"/>
      <c r="JH22" s="70"/>
    </row>
    <row r="23" spans="1:268" s="61" customFormat="1" ht="42.75">
      <c r="A23" s="67" t="s">
        <v>96</v>
      </c>
      <c r="B23" s="68">
        <v>1527</v>
      </c>
      <c r="C23" s="120" t="s">
        <v>94</v>
      </c>
      <c r="D23" s="69" t="s">
        <v>11</v>
      </c>
      <c r="E23" s="67">
        <v>1.1499999999999999</v>
      </c>
      <c r="F23" s="71">
        <v>593.13</v>
      </c>
      <c r="G23" s="72">
        <f>ROUND((E23*F23),2)</f>
        <v>682.1</v>
      </c>
      <c r="H23"/>
      <c r="I23"/>
      <c r="J23"/>
      <c r="K23"/>
      <c r="L23"/>
      <c r="M23"/>
      <c r="N23"/>
      <c r="O23"/>
      <c r="P23"/>
      <c r="Q23"/>
      <c r="R23"/>
      <c r="S23"/>
      <c r="T23"/>
      <c r="U23"/>
      <c r="V23"/>
      <c r="W23"/>
      <c r="X23"/>
      <c r="Y23"/>
      <c r="Z23"/>
      <c r="AA23"/>
      <c r="AB23"/>
      <c r="AC23"/>
      <c r="AD23"/>
      <c r="AE23"/>
      <c r="AF23" s="70"/>
      <c r="AG23" s="70"/>
      <c r="AH23" s="70"/>
      <c r="AI23" s="70"/>
      <c r="AJ23" s="70"/>
      <c r="AK23" s="70"/>
      <c r="AL23" s="70"/>
      <c r="AM23" s="70"/>
      <c r="AN23" s="70"/>
      <c r="AO23" s="70"/>
      <c r="AP23" s="70"/>
      <c r="AQ23" s="70"/>
      <c r="AR23" s="70"/>
      <c r="AS23" s="70"/>
      <c r="AT23" s="70"/>
      <c r="AU23" s="70"/>
      <c r="AV23" s="70"/>
      <c r="AW23" s="70"/>
      <c r="AX23" s="70"/>
      <c r="AY23" s="70"/>
      <c r="AZ23" s="70"/>
      <c r="BA23" s="70"/>
      <c r="BB23" s="70"/>
      <c r="BC23" s="70"/>
      <c r="BD23" s="70"/>
      <c r="BE23" s="70"/>
      <c r="BF23" s="70"/>
      <c r="BG23" s="70"/>
      <c r="BH23" s="70"/>
      <c r="BI23" s="70"/>
      <c r="BJ23" s="70"/>
      <c r="BK23" s="70"/>
      <c r="BL23" s="70"/>
      <c r="BM23" s="70"/>
      <c r="BN23" s="70"/>
      <c r="BO23" s="70"/>
      <c r="BP23" s="70"/>
      <c r="BQ23" s="70"/>
      <c r="BR23" s="70"/>
      <c r="BS23" s="70"/>
      <c r="BT23" s="70"/>
      <c r="BU23" s="70"/>
      <c r="BV23" s="70"/>
      <c r="BW23" s="70"/>
      <c r="BX23" s="70"/>
      <c r="BY23" s="70"/>
      <c r="BZ23" s="70"/>
      <c r="CA23" s="70"/>
      <c r="CB23" s="70"/>
      <c r="CC23" s="70"/>
      <c r="CD23" s="70"/>
      <c r="CE23" s="70"/>
      <c r="CF23" s="70"/>
      <c r="CG23" s="70"/>
      <c r="CH23" s="70"/>
      <c r="CI23" s="70"/>
      <c r="CJ23" s="70"/>
      <c r="CK23" s="70"/>
      <c r="CL23" s="70"/>
      <c r="CM23" s="70"/>
      <c r="CN23" s="70"/>
      <c r="CO23" s="70"/>
      <c r="CP23" s="70"/>
      <c r="CQ23" s="70"/>
      <c r="CR23" s="70"/>
      <c r="CS23" s="70"/>
      <c r="CT23" s="70"/>
      <c r="CU23" s="70"/>
      <c r="CV23" s="70"/>
      <c r="CW23" s="70"/>
      <c r="CX23" s="70"/>
      <c r="CY23" s="70"/>
      <c r="CZ23" s="70"/>
      <c r="DA23" s="70"/>
      <c r="DB23" s="70"/>
      <c r="DC23" s="70"/>
      <c r="DD23" s="70"/>
      <c r="DE23" s="70"/>
      <c r="DF23" s="70"/>
      <c r="DG23" s="70"/>
      <c r="DH23" s="70"/>
      <c r="DI23" s="70"/>
      <c r="DJ23" s="70"/>
      <c r="DK23" s="70"/>
      <c r="DL23" s="70"/>
      <c r="DM23" s="70"/>
      <c r="DN23" s="70"/>
      <c r="DO23" s="70"/>
      <c r="DP23" s="70"/>
      <c r="DQ23" s="70"/>
      <c r="DR23" s="70"/>
      <c r="DS23" s="70"/>
      <c r="DT23" s="70"/>
      <c r="DU23" s="70"/>
      <c r="DV23" s="70"/>
      <c r="DW23" s="70"/>
      <c r="DX23" s="70"/>
      <c r="DY23" s="70"/>
      <c r="DZ23" s="70"/>
      <c r="EA23" s="70"/>
      <c r="EB23" s="70"/>
      <c r="EC23" s="70"/>
      <c r="ED23" s="70"/>
      <c r="EE23" s="70"/>
      <c r="EF23" s="70"/>
      <c r="EG23" s="70"/>
      <c r="EH23" s="70"/>
      <c r="EI23" s="70"/>
      <c r="EJ23" s="70"/>
      <c r="EK23" s="70"/>
      <c r="EL23" s="70"/>
      <c r="EM23" s="70"/>
      <c r="EN23" s="70"/>
      <c r="EO23" s="70"/>
      <c r="EP23" s="70"/>
      <c r="EQ23" s="70"/>
      <c r="ER23" s="70"/>
      <c r="ES23" s="70"/>
      <c r="ET23" s="70"/>
      <c r="EU23" s="70"/>
      <c r="EV23" s="70"/>
      <c r="EW23" s="70"/>
      <c r="EX23" s="70"/>
      <c r="EY23" s="70"/>
      <c r="EZ23" s="70"/>
      <c r="FA23" s="70"/>
      <c r="FB23" s="70"/>
      <c r="FC23" s="70"/>
      <c r="FD23" s="70"/>
      <c r="FE23" s="70"/>
      <c r="FF23" s="70"/>
      <c r="FG23" s="70"/>
      <c r="FH23" s="70"/>
      <c r="FI23" s="70"/>
      <c r="FJ23" s="70"/>
      <c r="FK23" s="70"/>
      <c r="FL23" s="70"/>
      <c r="FM23" s="70"/>
      <c r="FN23" s="70"/>
      <c r="FO23" s="70"/>
      <c r="FP23" s="70"/>
      <c r="FQ23" s="70"/>
      <c r="FR23" s="70"/>
      <c r="FS23" s="70"/>
      <c r="FT23" s="70"/>
      <c r="FU23" s="70"/>
      <c r="FV23" s="70"/>
      <c r="FW23" s="70"/>
      <c r="FX23" s="70"/>
      <c r="FY23" s="70"/>
      <c r="FZ23" s="70"/>
      <c r="GA23" s="70"/>
      <c r="GB23" s="70"/>
      <c r="GC23" s="70"/>
      <c r="GD23" s="70"/>
      <c r="GE23" s="70"/>
      <c r="GF23" s="70"/>
      <c r="GG23" s="70"/>
      <c r="GH23" s="70"/>
      <c r="GI23" s="70"/>
      <c r="GJ23" s="70"/>
      <c r="GK23" s="70"/>
      <c r="GL23" s="70"/>
      <c r="GM23" s="70"/>
      <c r="GN23" s="70"/>
      <c r="GO23" s="70"/>
      <c r="GP23" s="70"/>
      <c r="GQ23" s="70"/>
      <c r="GR23" s="70"/>
      <c r="GS23" s="70"/>
      <c r="GT23" s="70"/>
      <c r="GU23" s="70"/>
      <c r="GV23" s="70"/>
      <c r="GW23" s="70"/>
      <c r="GX23" s="70"/>
      <c r="GY23" s="70"/>
      <c r="GZ23" s="70"/>
      <c r="HA23" s="70"/>
      <c r="HB23" s="70"/>
      <c r="HC23" s="70"/>
      <c r="HD23" s="70"/>
      <c r="HE23" s="70"/>
      <c r="HF23" s="70"/>
      <c r="HG23" s="70"/>
      <c r="HH23" s="70"/>
      <c r="HI23" s="70"/>
      <c r="HJ23" s="70"/>
      <c r="HK23" s="70"/>
      <c r="HL23" s="70"/>
      <c r="HM23" s="70"/>
      <c r="HN23" s="70"/>
      <c r="HO23" s="70"/>
      <c r="HP23" s="70"/>
      <c r="HQ23" s="70"/>
      <c r="HR23" s="70"/>
      <c r="HS23" s="70"/>
      <c r="HT23" s="70"/>
      <c r="HU23" s="70"/>
      <c r="HV23" s="70"/>
      <c r="HW23" s="70"/>
      <c r="HX23" s="70"/>
      <c r="HY23" s="70"/>
      <c r="HZ23" s="70"/>
      <c r="IA23" s="70"/>
      <c r="IB23" s="70"/>
      <c r="IC23" s="70"/>
      <c r="ID23" s="70"/>
      <c r="IE23" s="70"/>
      <c r="IF23" s="70"/>
      <c r="IG23" s="70"/>
      <c r="IH23" s="70"/>
      <c r="II23" s="70"/>
      <c r="IJ23" s="70"/>
      <c r="IK23" s="70"/>
      <c r="IL23" s="70"/>
      <c r="IM23" s="70"/>
      <c r="IN23" s="70"/>
      <c r="IO23" s="70"/>
      <c r="IP23" s="70"/>
      <c r="IQ23" s="70"/>
      <c r="IR23" s="70"/>
      <c r="IS23" s="70"/>
      <c r="IT23" s="70"/>
      <c r="IU23" s="70"/>
      <c r="IV23" s="70"/>
      <c r="IW23" s="70"/>
      <c r="IX23" s="70"/>
      <c r="IY23" s="70"/>
      <c r="IZ23" s="70"/>
      <c r="JA23" s="70"/>
      <c r="JB23" s="70"/>
      <c r="JC23" s="70"/>
      <c r="JD23" s="70"/>
      <c r="JE23" s="70"/>
      <c r="JF23" s="70"/>
      <c r="JG23" s="70"/>
      <c r="JH23" s="70"/>
    </row>
    <row r="24" spans="1:268" s="61" customFormat="1">
      <c r="A24" s="67" t="s">
        <v>97</v>
      </c>
      <c r="B24" s="68">
        <v>88309</v>
      </c>
      <c r="C24" s="120" t="s">
        <v>92</v>
      </c>
      <c r="D24" s="69" t="s">
        <v>7</v>
      </c>
      <c r="E24" s="67">
        <v>0.36299999999999999</v>
      </c>
      <c r="F24" s="71">
        <v>29.39</v>
      </c>
      <c r="G24" s="72">
        <f>ROUND((E24*F24),2)</f>
        <v>10.67</v>
      </c>
      <c r="H24"/>
      <c r="I24"/>
      <c r="J24"/>
      <c r="K24"/>
      <c r="L24"/>
      <c r="M24"/>
      <c r="N24"/>
      <c r="O24"/>
      <c r="P24"/>
      <c r="Q24"/>
      <c r="R24"/>
      <c r="S24"/>
      <c r="T24"/>
      <c r="U24"/>
      <c r="V24"/>
      <c r="W24"/>
      <c r="X24"/>
      <c r="Y24"/>
      <c r="Z24"/>
      <c r="AA24"/>
      <c r="AB24"/>
      <c r="AC24"/>
      <c r="AD24"/>
      <c r="AE24"/>
      <c r="AF24" s="70"/>
      <c r="AG24" s="70"/>
      <c r="AH24" s="70"/>
      <c r="AI24" s="70"/>
      <c r="AJ24" s="70"/>
      <c r="AK24" s="70"/>
      <c r="AL24" s="70"/>
      <c r="AM24" s="70"/>
      <c r="AN24" s="70"/>
      <c r="AO24" s="70"/>
      <c r="AP24" s="70"/>
      <c r="AQ24" s="70"/>
      <c r="AR24" s="70"/>
      <c r="AS24" s="70"/>
      <c r="AT24" s="70"/>
      <c r="AU24" s="70"/>
      <c r="AV24" s="70"/>
      <c r="AW24" s="70"/>
      <c r="AX24" s="70"/>
      <c r="AY24" s="70"/>
      <c r="AZ24" s="70"/>
      <c r="BA24" s="70"/>
      <c r="BB24" s="70"/>
      <c r="BC24" s="70"/>
      <c r="BD24" s="70"/>
      <c r="BE24" s="70"/>
      <c r="BF24" s="70"/>
      <c r="BG24" s="70"/>
      <c r="BH24" s="70"/>
      <c r="BI24" s="70"/>
      <c r="BJ24" s="70"/>
      <c r="BK24" s="70"/>
      <c r="BL24" s="70"/>
      <c r="BM24" s="70"/>
      <c r="BN24" s="70"/>
      <c r="BO24" s="70"/>
      <c r="BP24" s="70"/>
      <c r="BQ24" s="70"/>
      <c r="BR24" s="70"/>
      <c r="BS24" s="70"/>
      <c r="BT24" s="70"/>
      <c r="BU24" s="70"/>
      <c r="BV24" s="70"/>
      <c r="BW24" s="70"/>
      <c r="BX24" s="70"/>
      <c r="BY24" s="70"/>
      <c r="BZ24" s="70"/>
      <c r="CA24" s="70"/>
      <c r="CB24" s="70"/>
      <c r="CC24" s="70"/>
      <c r="CD24" s="70"/>
      <c r="CE24" s="70"/>
      <c r="CF24" s="70"/>
      <c r="CG24" s="70"/>
      <c r="CH24" s="70"/>
      <c r="CI24" s="70"/>
      <c r="CJ24" s="70"/>
      <c r="CK24" s="70"/>
      <c r="CL24" s="70"/>
      <c r="CM24" s="70"/>
      <c r="CN24" s="70"/>
      <c r="CO24" s="70"/>
      <c r="CP24" s="70"/>
      <c r="CQ24" s="70"/>
      <c r="CR24" s="70"/>
      <c r="CS24" s="70"/>
      <c r="CT24" s="70"/>
      <c r="CU24" s="70"/>
      <c r="CV24" s="70"/>
      <c r="CW24" s="70"/>
      <c r="CX24" s="70"/>
      <c r="CY24" s="70"/>
      <c r="CZ24" s="70"/>
      <c r="DA24" s="70"/>
      <c r="DB24" s="70"/>
      <c r="DC24" s="70"/>
      <c r="DD24" s="70"/>
      <c r="DE24" s="70"/>
      <c r="DF24" s="70"/>
      <c r="DG24" s="70"/>
      <c r="DH24" s="70"/>
      <c r="DI24" s="70"/>
      <c r="DJ24" s="70"/>
      <c r="DK24" s="70"/>
      <c r="DL24" s="70"/>
      <c r="DM24" s="70"/>
      <c r="DN24" s="70"/>
      <c r="DO24" s="70"/>
      <c r="DP24" s="70"/>
      <c r="DQ24" s="70"/>
      <c r="DR24" s="70"/>
      <c r="DS24" s="70"/>
      <c r="DT24" s="70"/>
      <c r="DU24" s="70"/>
      <c r="DV24" s="70"/>
      <c r="DW24" s="70"/>
      <c r="DX24" s="70"/>
      <c r="DY24" s="70"/>
      <c r="DZ24" s="70"/>
      <c r="EA24" s="70"/>
      <c r="EB24" s="70"/>
      <c r="EC24" s="70"/>
      <c r="ED24" s="70"/>
      <c r="EE24" s="70"/>
      <c r="EF24" s="70"/>
      <c r="EG24" s="70"/>
      <c r="EH24" s="70"/>
      <c r="EI24" s="70"/>
      <c r="EJ24" s="70"/>
      <c r="EK24" s="70"/>
      <c r="EL24" s="70"/>
      <c r="EM24" s="70"/>
      <c r="EN24" s="70"/>
      <c r="EO24" s="70"/>
      <c r="EP24" s="70"/>
      <c r="EQ24" s="70"/>
      <c r="ER24" s="70"/>
      <c r="ES24" s="70"/>
      <c r="ET24" s="70"/>
      <c r="EU24" s="70"/>
      <c r="EV24" s="70"/>
      <c r="EW24" s="70"/>
      <c r="EX24" s="70"/>
      <c r="EY24" s="70"/>
      <c r="EZ24" s="70"/>
      <c r="FA24" s="70"/>
      <c r="FB24" s="70"/>
      <c r="FC24" s="70"/>
      <c r="FD24" s="70"/>
      <c r="FE24" s="70"/>
      <c r="FF24" s="70"/>
      <c r="FG24" s="70"/>
      <c r="FH24" s="70"/>
      <c r="FI24" s="70"/>
      <c r="FJ24" s="70"/>
      <c r="FK24" s="70"/>
      <c r="FL24" s="70"/>
      <c r="FM24" s="70"/>
      <c r="FN24" s="70"/>
      <c r="FO24" s="70"/>
      <c r="FP24" s="70"/>
      <c r="FQ24" s="70"/>
      <c r="FR24" s="70"/>
      <c r="FS24" s="70"/>
      <c r="FT24" s="70"/>
      <c r="FU24" s="70"/>
      <c r="FV24" s="70"/>
      <c r="FW24" s="70"/>
      <c r="FX24" s="70"/>
      <c r="FY24" s="70"/>
      <c r="FZ24" s="70"/>
      <c r="GA24" s="70"/>
      <c r="GB24" s="70"/>
      <c r="GC24" s="70"/>
      <c r="GD24" s="70"/>
      <c r="GE24" s="70"/>
      <c r="GF24" s="70"/>
      <c r="GG24" s="70"/>
      <c r="GH24" s="70"/>
      <c r="GI24" s="70"/>
      <c r="GJ24" s="70"/>
      <c r="GK24" s="70"/>
      <c r="GL24" s="70"/>
      <c r="GM24" s="70"/>
      <c r="GN24" s="70"/>
      <c r="GO24" s="70"/>
      <c r="GP24" s="70"/>
      <c r="GQ24" s="70"/>
      <c r="GR24" s="70"/>
      <c r="GS24" s="70"/>
      <c r="GT24" s="70"/>
      <c r="GU24" s="70"/>
      <c r="GV24" s="70"/>
      <c r="GW24" s="70"/>
      <c r="GX24" s="70"/>
      <c r="GY24" s="70"/>
      <c r="GZ24" s="70"/>
      <c r="HA24" s="70"/>
      <c r="HB24" s="70"/>
      <c r="HC24" s="70"/>
      <c r="HD24" s="70"/>
      <c r="HE24" s="70"/>
      <c r="HF24" s="70"/>
      <c r="HG24" s="70"/>
      <c r="HH24" s="70"/>
      <c r="HI24" s="70"/>
      <c r="HJ24" s="70"/>
      <c r="HK24" s="70"/>
      <c r="HL24" s="70"/>
      <c r="HM24" s="70"/>
      <c r="HN24" s="70"/>
      <c r="HO24" s="70"/>
      <c r="HP24" s="70"/>
      <c r="HQ24" s="70"/>
      <c r="HR24" s="70"/>
      <c r="HS24" s="70"/>
      <c r="HT24" s="70"/>
      <c r="HU24" s="70"/>
      <c r="HV24" s="70"/>
      <c r="HW24" s="70"/>
      <c r="HX24" s="70"/>
      <c r="HY24" s="70"/>
      <c r="HZ24" s="70"/>
      <c r="IA24" s="70"/>
      <c r="IB24" s="70"/>
      <c r="IC24" s="70"/>
      <c r="ID24" s="70"/>
      <c r="IE24" s="70"/>
      <c r="IF24" s="70"/>
      <c r="IG24" s="70"/>
      <c r="IH24" s="70"/>
      <c r="II24" s="70"/>
      <c r="IJ24" s="70"/>
      <c r="IK24" s="70"/>
      <c r="IL24" s="70"/>
      <c r="IM24" s="70"/>
      <c r="IN24" s="70"/>
      <c r="IO24" s="70"/>
      <c r="IP24" s="70"/>
      <c r="IQ24" s="70"/>
      <c r="IR24" s="70"/>
      <c r="IS24" s="70"/>
      <c r="IT24" s="70"/>
      <c r="IU24" s="70"/>
      <c r="IV24" s="70"/>
      <c r="IW24" s="70"/>
      <c r="IX24" s="70"/>
      <c r="IY24" s="70"/>
      <c r="IZ24" s="70"/>
      <c r="JA24" s="70"/>
      <c r="JB24" s="70"/>
      <c r="JC24" s="70"/>
      <c r="JD24" s="70"/>
      <c r="JE24" s="70"/>
      <c r="JF24" s="70"/>
      <c r="JG24" s="70"/>
      <c r="JH24" s="70"/>
    </row>
    <row r="25" spans="1:268" s="61" customFormat="1">
      <c r="A25" s="67" t="s">
        <v>97</v>
      </c>
      <c r="B25" s="68">
        <v>88316</v>
      </c>
      <c r="C25" s="120" t="s">
        <v>8</v>
      </c>
      <c r="D25" s="69" t="s">
        <v>7</v>
      </c>
      <c r="E25" s="67">
        <v>0.54400000000000004</v>
      </c>
      <c r="F25" s="71">
        <v>24.31</v>
      </c>
      <c r="G25" s="72">
        <f>ROUND((E25*F25),2)</f>
        <v>13.22</v>
      </c>
      <c r="H25"/>
      <c r="I25"/>
      <c r="J25"/>
      <c r="K25"/>
      <c r="L25"/>
      <c r="M25"/>
      <c r="N25"/>
      <c r="O25"/>
      <c r="P25"/>
      <c r="Q25"/>
      <c r="R25"/>
      <c r="S25"/>
      <c r="T25"/>
      <c r="U25"/>
      <c r="V25"/>
      <c r="W25"/>
      <c r="X25"/>
      <c r="Y25"/>
      <c r="Z25"/>
      <c r="AA25"/>
      <c r="AB25"/>
      <c r="AC25"/>
      <c r="AD25"/>
      <c r="AE25"/>
      <c r="AF25" s="70"/>
      <c r="AG25" s="70"/>
      <c r="AH25" s="70"/>
      <c r="AI25" s="70"/>
      <c r="AJ25" s="70"/>
      <c r="AK25" s="70"/>
      <c r="AL25" s="70"/>
      <c r="AM25" s="70"/>
      <c r="AN25" s="70"/>
      <c r="AO25" s="70"/>
      <c r="AP25" s="70"/>
      <c r="AQ25" s="70"/>
      <c r="AR25" s="70"/>
      <c r="AS25" s="70"/>
      <c r="AT25" s="70"/>
      <c r="AU25" s="70"/>
      <c r="AV25" s="70"/>
      <c r="AW25" s="70"/>
      <c r="AX25" s="70"/>
      <c r="AY25" s="70"/>
      <c r="AZ25" s="70"/>
      <c r="BA25" s="70"/>
      <c r="BB25" s="70"/>
      <c r="BC25" s="70"/>
      <c r="BD25" s="70"/>
      <c r="BE25" s="70"/>
      <c r="BF25" s="70"/>
      <c r="BG25" s="70"/>
      <c r="BH25" s="70"/>
      <c r="BI25" s="70"/>
      <c r="BJ25" s="70"/>
      <c r="BK25" s="70"/>
      <c r="BL25" s="70"/>
      <c r="BM25" s="70"/>
      <c r="BN25" s="70"/>
      <c r="BO25" s="70"/>
      <c r="BP25" s="70"/>
      <c r="BQ25" s="70"/>
      <c r="BR25" s="70"/>
      <c r="BS25" s="70"/>
      <c r="BT25" s="70"/>
      <c r="BU25" s="70"/>
      <c r="BV25" s="70"/>
      <c r="BW25" s="70"/>
      <c r="BX25" s="70"/>
      <c r="BY25" s="70"/>
      <c r="BZ25" s="70"/>
      <c r="CA25" s="70"/>
      <c r="CB25" s="70"/>
      <c r="CC25" s="70"/>
      <c r="CD25" s="70"/>
      <c r="CE25" s="70"/>
      <c r="CF25" s="70"/>
      <c r="CG25" s="70"/>
      <c r="CH25" s="70"/>
      <c r="CI25" s="70"/>
      <c r="CJ25" s="70"/>
      <c r="CK25" s="70"/>
      <c r="CL25" s="70"/>
      <c r="CM25" s="70"/>
      <c r="CN25" s="70"/>
      <c r="CO25" s="70"/>
      <c r="CP25" s="70"/>
      <c r="CQ25" s="70"/>
      <c r="CR25" s="70"/>
      <c r="CS25" s="70"/>
      <c r="CT25" s="70"/>
      <c r="CU25" s="70"/>
      <c r="CV25" s="70"/>
      <c r="CW25" s="70"/>
      <c r="CX25" s="70"/>
      <c r="CY25" s="70"/>
      <c r="CZ25" s="70"/>
      <c r="DA25" s="70"/>
      <c r="DB25" s="70"/>
      <c r="DC25" s="70"/>
      <c r="DD25" s="70"/>
      <c r="DE25" s="70"/>
      <c r="DF25" s="70"/>
      <c r="DG25" s="70"/>
      <c r="DH25" s="70"/>
      <c r="DI25" s="70"/>
      <c r="DJ25" s="70"/>
      <c r="DK25" s="70"/>
      <c r="DL25" s="70"/>
      <c r="DM25" s="70"/>
      <c r="DN25" s="70"/>
      <c r="DO25" s="70"/>
      <c r="DP25" s="70"/>
      <c r="DQ25" s="70"/>
      <c r="DR25" s="70"/>
      <c r="DS25" s="70"/>
      <c r="DT25" s="70"/>
      <c r="DU25" s="70"/>
      <c r="DV25" s="70"/>
      <c r="DW25" s="70"/>
      <c r="DX25" s="70"/>
      <c r="DY25" s="70"/>
      <c r="DZ25" s="70"/>
      <c r="EA25" s="70"/>
      <c r="EB25" s="70"/>
      <c r="EC25" s="70"/>
      <c r="ED25" s="70"/>
      <c r="EE25" s="70"/>
      <c r="EF25" s="70"/>
      <c r="EG25" s="70"/>
      <c r="EH25" s="70"/>
      <c r="EI25" s="70"/>
      <c r="EJ25" s="70"/>
      <c r="EK25" s="70"/>
      <c r="EL25" s="70"/>
      <c r="EM25" s="70"/>
      <c r="EN25" s="70"/>
      <c r="EO25" s="70"/>
      <c r="EP25" s="70"/>
      <c r="EQ25" s="70"/>
      <c r="ER25" s="70"/>
      <c r="ES25" s="70"/>
      <c r="ET25" s="70"/>
      <c r="EU25" s="70"/>
      <c r="EV25" s="70"/>
      <c r="EW25" s="70"/>
      <c r="EX25" s="70"/>
      <c r="EY25" s="70"/>
      <c r="EZ25" s="70"/>
      <c r="FA25" s="70"/>
      <c r="FB25" s="70"/>
      <c r="FC25" s="70"/>
      <c r="FD25" s="70"/>
      <c r="FE25" s="70"/>
      <c r="FF25" s="70"/>
      <c r="FG25" s="70"/>
      <c r="FH25" s="70"/>
      <c r="FI25" s="70"/>
      <c r="FJ25" s="70"/>
      <c r="FK25" s="70"/>
      <c r="FL25" s="70"/>
      <c r="FM25" s="70"/>
      <c r="FN25" s="70"/>
      <c r="FO25" s="70"/>
      <c r="FP25" s="70"/>
      <c r="FQ25" s="70"/>
      <c r="FR25" s="70"/>
      <c r="FS25" s="70"/>
      <c r="FT25" s="70"/>
      <c r="FU25" s="70"/>
      <c r="FV25" s="70"/>
      <c r="FW25" s="70"/>
      <c r="FX25" s="70"/>
      <c r="FY25" s="70"/>
      <c r="FZ25" s="70"/>
      <c r="GA25" s="70"/>
      <c r="GB25" s="70"/>
      <c r="GC25" s="70"/>
      <c r="GD25" s="70"/>
      <c r="GE25" s="70"/>
      <c r="GF25" s="70"/>
      <c r="GG25" s="70"/>
      <c r="GH25" s="70"/>
      <c r="GI25" s="70"/>
      <c r="GJ25" s="70"/>
      <c r="GK25" s="70"/>
      <c r="GL25" s="70"/>
      <c r="GM25" s="70"/>
      <c r="GN25" s="70"/>
      <c r="GO25" s="70"/>
      <c r="GP25" s="70"/>
      <c r="GQ25" s="70"/>
      <c r="GR25" s="70"/>
      <c r="GS25" s="70"/>
      <c r="GT25" s="70"/>
      <c r="GU25" s="70"/>
      <c r="GV25" s="70"/>
      <c r="GW25" s="70"/>
      <c r="GX25" s="70"/>
      <c r="GY25" s="70"/>
      <c r="GZ25" s="70"/>
      <c r="HA25" s="70"/>
      <c r="HB25" s="70"/>
      <c r="HC25" s="70"/>
      <c r="HD25" s="70"/>
      <c r="HE25" s="70"/>
      <c r="HF25" s="70"/>
      <c r="HG25" s="70"/>
      <c r="HH25" s="70"/>
      <c r="HI25" s="70"/>
      <c r="HJ25" s="70"/>
      <c r="HK25" s="70"/>
      <c r="HL25" s="70"/>
      <c r="HM25" s="70"/>
      <c r="HN25" s="70"/>
      <c r="HO25" s="70"/>
      <c r="HP25" s="70"/>
      <c r="HQ25" s="70"/>
      <c r="HR25" s="70"/>
      <c r="HS25" s="70"/>
      <c r="HT25" s="70"/>
      <c r="HU25" s="70"/>
      <c r="HV25" s="70"/>
      <c r="HW25" s="70"/>
      <c r="HX25" s="70"/>
      <c r="HY25" s="70"/>
      <c r="HZ25" s="70"/>
      <c r="IA25" s="70"/>
      <c r="IB25" s="70"/>
      <c r="IC25" s="70"/>
      <c r="ID25" s="70"/>
      <c r="IE25" s="70"/>
      <c r="IF25" s="70"/>
      <c r="IG25" s="70"/>
      <c r="IH25" s="70"/>
      <c r="II25" s="70"/>
      <c r="IJ25" s="70"/>
      <c r="IK25" s="70"/>
      <c r="IL25" s="70"/>
      <c r="IM25" s="70"/>
      <c r="IN25" s="70"/>
      <c r="IO25" s="70"/>
      <c r="IP25" s="70"/>
      <c r="IQ25" s="70"/>
      <c r="IR25" s="70"/>
      <c r="IS25" s="70"/>
      <c r="IT25" s="70"/>
      <c r="IU25" s="70"/>
      <c r="IV25" s="70"/>
      <c r="IW25" s="70"/>
      <c r="IX25" s="70"/>
      <c r="IY25" s="70"/>
      <c r="IZ25" s="70"/>
      <c r="JA25" s="70"/>
      <c r="JB25" s="70"/>
      <c r="JC25" s="70"/>
      <c r="JD25" s="70"/>
      <c r="JE25" s="70"/>
      <c r="JF25" s="70"/>
      <c r="JG25" s="70"/>
      <c r="JH25" s="70"/>
    </row>
    <row r="26" spans="1:268" s="61" customFormat="1" ht="28.5">
      <c r="A26" s="67" t="s">
        <v>97</v>
      </c>
      <c r="B26" s="68">
        <v>90586</v>
      </c>
      <c r="C26" s="120" t="s">
        <v>90</v>
      </c>
      <c r="D26" s="69" t="s">
        <v>32</v>
      </c>
      <c r="E26" s="67">
        <v>8.7999999999999995E-2</v>
      </c>
      <c r="F26" s="71">
        <v>1.42</v>
      </c>
      <c r="G26" s="72">
        <f t="shared" ref="G26:G27" si="1">ROUND((E26*F26),2)</f>
        <v>0.12</v>
      </c>
      <c r="H26"/>
      <c r="I26"/>
      <c r="J26"/>
      <c r="K26"/>
      <c r="L26"/>
      <c r="M26"/>
      <c r="N26"/>
      <c r="O26"/>
      <c r="P26"/>
      <c r="Q26"/>
      <c r="R26"/>
      <c r="S26"/>
      <c r="T26"/>
      <c r="U26"/>
      <c r="V26"/>
      <c r="W26"/>
      <c r="X26"/>
      <c r="Y26"/>
      <c r="Z26"/>
      <c r="AA26"/>
      <c r="AB26"/>
      <c r="AC26"/>
      <c r="AD26"/>
      <c r="AE26"/>
      <c r="AF26" s="70"/>
      <c r="AG26" s="70"/>
      <c r="AH26" s="70"/>
      <c r="AI26" s="70"/>
      <c r="AJ26" s="70"/>
      <c r="AK26" s="70"/>
      <c r="AL26" s="70"/>
      <c r="AM26" s="70"/>
      <c r="AN26" s="70"/>
      <c r="AO26" s="70"/>
      <c r="AP26" s="70"/>
      <c r="AQ26" s="70"/>
      <c r="AR26" s="70"/>
      <c r="AS26" s="70"/>
      <c r="AT26" s="70"/>
      <c r="AU26" s="70"/>
      <c r="AV26" s="70"/>
      <c r="AW26" s="70"/>
      <c r="AX26" s="70"/>
      <c r="AY26" s="70"/>
      <c r="AZ26" s="70"/>
      <c r="BA26" s="70"/>
      <c r="BB26" s="70"/>
      <c r="BC26" s="70"/>
      <c r="BD26" s="70"/>
      <c r="BE26" s="70"/>
      <c r="BF26" s="70"/>
      <c r="BG26" s="70"/>
      <c r="BH26" s="70"/>
      <c r="BI26" s="70"/>
      <c r="BJ26" s="70"/>
      <c r="BK26" s="70"/>
      <c r="BL26" s="70"/>
      <c r="BM26" s="70"/>
      <c r="BN26" s="70"/>
      <c r="BO26" s="70"/>
      <c r="BP26" s="70"/>
      <c r="BQ26" s="70"/>
      <c r="BR26" s="70"/>
      <c r="BS26" s="70"/>
      <c r="BT26" s="70"/>
      <c r="BU26" s="70"/>
      <c r="BV26" s="70"/>
      <c r="BW26" s="70"/>
      <c r="BX26" s="70"/>
      <c r="BY26" s="70"/>
      <c r="BZ26" s="70"/>
      <c r="CA26" s="70"/>
      <c r="CB26" s="70"/>
      <c r="CC26" s="70"/>
      <c r="CD26" s="70"/>
      <c r="CE26" s="70"/>
      <c r="CF26" s="70"/>
      <c r="CG26" s="70"/>
      <c r="CH26" s="70"/>
      <c r="CI26" s="70"/>
      <c r="CJ26" s="70"/>
      <c r="CK26" s="70"/>
      <c r="CL26" s="70"/>
      <c r="CM26" s="70"/>
      <c r="CN26" s="70"/>
      <c r="CO26" s="70"/>
      <c r="CP26" s="70"/>
      <c r="CQ26" s="70"/>
      <c r="CR26" s="70"/>
      <c r="CS26" s="70"/>
      <c r="CT26" s="70"/>
      <c r="CU26" s="70"/>
      <c r="CV26" s="70"/>
      <c r="CW26" s="70"/>
      <c r="CX26" s="70"/>
      <c r="CY26" s="70"/>
      <c r="CZ26" s="70"/>
      <c r="DA26" s="70"/>
      <c r="DB26" s="70"/>
      <c r="DC26" s="70"/>
      <c r="DD26" s="70"/>
      <c r="DE26" s="70"/>
      <c r="DF26" s="70"/>
      <c r="DG26" s="70"/>
      <c r="DH26" s="70"/>
      <c r="DI26" s="70"/>
      <c r="DJ26" s="70"/>
      <c r="DK26" s="70"/>
      <c r="DL26" s="70"/>
      <c r="DM26" s="70"/>
      <c r="DN26" s="70"/>
      <c r="DO26" s="70"/>
      <c r="DP26" s="70"/>
      <c r="DQ26" s="70"/>
      <c r="DR26" s="70"/>
      <c r="DS26" s="70"/>
      <c r="DT26" s="70"/>
      <c r="DU26" s="70"/>
      <c r="DV26" s="70"/>
      <c r="DW26" s="70"/>
      <c r="DX26" s="70"/>
      <c r="DY26" s="70"/>
      <c r="DZ26" s="70"/>
      <c r="EA26" s="70"/>
      <c r="EB26" s="70"/>
      <c r="EC26" s="70"/>
      <c r="ED26" s="70"/>
      <c r="EE26" s="70"/>
      <c r="EF26" s="70"/>
      <c r="EG26" s="70"/>
      <c r="EH26" s="70"/>
      <c r="EI26" s="70"/>
      <c r="EJ26" s="70"/>
      <c r="EK26" s="70"/>
      <c r="EL26" s="70"/>
      <c r="EM26" s="70"/>
      <c r="EN26" s="70"/>
      <c r="EO26" s="70"/>
      <c r="EP26" s="70"/>
      <c r="EQ26" s="70"/>
      <c r="ER26" s="70"/>
      <c r="ES26" s="70"/>
      <c r="ET26" s="70"/>
      <c r="EU26" s="70"/>
      <c r="EV26" s="70"/>
      <c r="EW26" s="70"/>
      <c r="EX26" s="70"/>
      <c r="EY26" s="70"/>
      <c r="EZ26" s="70"/>
      <c r="FA26" s="70"/>
      <c r="FB26" s="70"/>
      <c r="FC26" s="70"/>
      <c r="FD26" s="70"/>
      <c r="FE26" s="70"/>
      <c r="FF26" s="70"/>
      <c r="FG26" s="70"/>
      <c r="FH26" s="70"/>
      <c r="FI26" s="70"/>
      <c r="FJ26" s="70"/>
      <c r="FK26" s="70"/>
      <c r="FL26" s="70"/>
      <c r="FM26" s="70"/>
      <c r="FN26" s="70"/>
      <c r="FO26" s="70"/>
      <c r="FP26" s="70"/>
      <c r="FQ26" s="70"/>
      <c r="FR26" s="70"/>
      <c r="FS26" s="70"/>
      <c r="FT26" s="70"/>
      <c r="FU26" s="70"/>
      <c r="FV26" s="70"/>
      <c r="FW26" s="70"/>
      <c r="FX26" s="70"/>
      <c r="FY26" s="70"/>
      <c r="FZ26" s="70"/>
      <c r="GA26" s="70"/>
      <c r="GB26" s="70"/>
      <c r="GC26" s="70"/>
      <c r="GD26" s="70"/>
      <c r="GE26" s="70"/>
      <c r="GF26" s="70"/>
      <c r="GG26" s="70"/>
      <c r="GH26" s="70"/>
      <c r="GI26" s="70"/>
      <c r="GJ26" s="70"/>
      <c r="GK26" s="70"/>
      <c r="GL26" s="70"/>
      <c r="GM26" s="70"/>
      <c r="GN26" s="70"/>
      <c r="GO26" s="70"/>
      <c r="GP26" s="70"/>
      <c r="GQ26" s="70"/>
      <c r="GR26" s="70"/>
      <c r="GS26" s="70"/>
      <c r="GT26" s="70"/>
      <c r="GU26" s="70"/>
      <c r="GV26" s="70"/>
      <c r="GW26" s="70"/>
      <c r="GX26" s="70"/>
      <c r="GY26" s="70"/>
      <c r="GZ26" s="70"/>
      <c r="HA26" s="70"/>
      <c r="HB26" s="70"/>
      <c r="HC26" s="70"/>
      <c r="HD26" s="70"/>
      <c r="HE26" s="70"/>
      <c r="HF26" s="70"/>
      <c r="HG26" s="70"/>
      <c r="HH26" s="70"/>
      <c r="HI26" s="70"/>
      <c r="HJ26" s="70"/>
      <c r="HK26" s="70"/>
      <c r="HL26" s="70"/>
      <c r="HM26" s="70"/>
      <c r="HN26" s="70"/>
      <c r="HO26" s="70"/>
      <c r="HP26" s="70"/>
      <c r="HQ26" s="70"/>
      <c r="HR26" s="70"/>
      <c r="HS26" s="70"/>
      <c r="HT26" s="70"/>
      <c r="HU26" s="70"/>
      <c r="HV26" s="70"/>
      <c r="HW26" s="70"/>
      <c r="HX26" s="70"/>
      <c r="HY26" s="70"/>
      <c r="HZ26" s="70"/>
      <c r="IA26" s="70"/>
      <c r="IB26" s="70"/>
      <c r="IC26" s="70"/>
      <c r="ID26" s="70"/>
      <c r="IE26" s="70"/>
      <c r="IF26" s="70"/>
      <c r="IG26" s="70"/>
      <c r="IH26" s="70"/>
      <c r="II26" s="70"/>
      <c r="IJ26" s="70"/>
      <c r="IK26" s="70"/>
      <c r="IL26" s="70"/>
      <c r="IM26" s="70"/>
      <c r="IN26" s="70"/>
      <c r="IO26" s="70"/>
      <c r="IP26" s="70"/>
      <c r="IQ26" s="70"/>
      <c r="IR26" s="70"/>
      <c r="IS26" s="70"/>
      <c r="IT26" s="70"/>
      <c r="IU26" s="70"/>
      <c r="IV26" s="70"/>
      <c r="IW26" s="70"/>
      <c r="IX26" s="70"/>
      <c r="IY26" s="70"/>
      <c r="IZ26" s="70"/>
      <c r="JA26" s="70"/>
      <c r="JB26" s="70"/>
      <c r="JC26" s="70"/>
      <c r="JD26" s="70"/>
      <c r="JE26" s="70"/>
      <c r="JF26" s="70"/>
      <c r="JG26" s="70"/>
      <c r="JH26" s="70"/>
    </row>
    <row r="27" spans="1:268" s="61" customFormat="1" ht="28.5">
      <c r="A27" s="67" t="s">
        <v>97</v>
      </c>
      <c r="B27" s="68">
        <v>90587</v>
      </c>
      <c r="C27" s="120" t="s">
        <v>91</v>
      </c>
      <c r="D27" s="69" t="s">
        <v>84</v>
      </c>
      <c r="E27" s="67">
        <v>9.2999999999999999E-2</v>
      </c>
      <c r="F27" s="71">
        <v>0.55000000000000004</v>
      </c>
      <c r="G27" s="72">
        <f t="shared" si="1"/>
        <v>0.05</v>
      </c>
      <c r="H27"/>
      <c r="I27"/>
      <c r="J27"/>
      <c r="K27"/>
      <c r="L27"/>
      <c r="M27"/>
      <c r="N27"/>
      <c r="O27"/>
      <c r="P27"/>
      <c r="Q27"/>
      <c r="R27"/>
      <c r="S27"/>
      <c r="T27"/>
      <c r="U27"/>
      <c r="V27"/>
      <c r="W27"/>
      <c r="X27"/>
      <c r="Y27"/>
      <c r="Z27"/>
      <c r="AA27"/>
      <c r="AB27"/>
      <c r="AC27"/>
      <c r="AD27"/>
      <c r="AE27"/>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row>
    <row r="28" spans="1:268">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row>
    <row r="29" spans="1:268">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row>
    <row r="30" spans="1:268" ht="18.75">
      <c r="D30" s="95" t="s">
        <v>169</v>
      </c>
      <c r="E30" s="443">
        <f>G33</f>
        <v>41.16</v>
      </c>
      <c r="F30" s="444"/>
      <c r="G30" s="445">
        <f>E30+E31</f>
        <v>63.831077999999991</v>
      </c>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row>
    <row r="31" spans="1:268" ht="18.75">
      <c r="D31" s="95" t="s">
        <v>170</v>
      </c>
      <c r="E31" s="443">
        <f>G34+G35</f>
        <v>22.671077999999998</v>
      </c>
      <c r="F31" s="444"/>
      <c r="G31" s="446"/>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row>
    <row r="32" spans="1:268" ht="30">
      <c r="A32" s="453" t="s">
        <v>98</v>
      </c>
      <c r="B32" s="454"/>
      <c r="C32" s="17" t="s">
        <v>141</v>
      </c>
      <c r="D32" s="22" t="s">
        <v>2</v>
      </c>
      <c r="E32" s="23" t="s">
        <v>12</v>
      </c>
      <c r="F32" s="23" t="s">
        <v>13</v>
      </c>
      <c r="G32" s="43" t="s">
        <v>14</v>
      </c>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row>
    <row r="33" spans="1:268" s="61" customFormat="1">
      <c r="A33" s="67" t="s">
        <v>96</v>
      </c>
      <c r="B33" s="68" t="s">
        <v>122</v>
      </c>
      <c r="C33" s="120" t="s">
        <v>138</v>
      </c>
      <c r="D33" s="69" t="s">
        <v>34</v>
      </c>
      <c r="E33" s="67">
        <v>1</v>
      </c>
      <c r="F33" s="71">
        <v>41.16</v>
      </c>
      <c r="G33" s="72">
        <f>F33*E33</f>
        <v>41.16</v>
      </c>
      <c r="H33"/>
      <c r="I33"/>
      <c r="J33"/>
      <c r="K33"/>
      <c r="L33"/>
      <c r="M33"/>
      <c r="N33"/>
      <c r="O33"/>
      <c r="P33"/>
      <c r="Q33"/>
      <c r="R33"/>
      <c r="S33"/>
      <c r="T33"/>
      <c r="U33"/>
      <c r="V33"/>
      <c r="W33"/>
      <c r="X33"/>
      <c r="Y33"/>
      <c r="Z33"/>
      <c r="AA33"/>
      <c r="AB33"/>
      <c r="AC33"/>
      <c r="AD33"/>
      <c r="AE33"/>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row>
    <row r="34" spans="1:268" s="61" customFormat="1">
      <c r="A34" s="67" t="s">
        <v>97</v>
      </c>
      <c r="B34" s="68">
        <v>88247</v>
      </c>
      <c r="C34" s="120" t="s">
        <v>139</v>
      </c>
      <c r="D34" s="69" t="s">
        <v>7</v>
      </c>
      <c r="E34" s="67">
        <v>0.22309999999999999</v>
      </c>
      <c r="F34" s="71">
        <v>26.13</v>
      </c>
      <c r="G34" s="72">
        <f t="shared" ref="G34:G35" si="2">F34*E34</f>
        <v>5.8296029999999996</v>
      </c>
      <c r="H34"/>
      <c r="I34"/>
      <c r="J34"/>
      <c r="K34"/>
      <c r="L34"/>
      <c r="M34"/>
      <c r="N34"/>
      <c r="O34"/>
      <c r="P34"/>
      <c r="Q34"/>
      <c r="R34"/>
      <c r="S34"/>
      <c r="T34"/>
      <c r="U34"/>
      <c r="V34"/>
      <c r="W34"/>
      <c r="X34"/>
      <c r="Y34"/>
      <c r="Z34"/>
      <c r="AA34"/>
      <c r="AB34"/>
      <c r="AC34"/>
      <c r="AD34"/>
      <c r="AE34"/>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row>
    <row r="35" spans="1:268" s="61" customFormat="1">
      <c r="A35" s="67" t="s">
        <v>97</v>
      </c>
      <c r="B35" s="68">
        <v>88264</v>
      </c>
      <c r="C35" s="120" t="s">
        <v>140</v>
      </c>
      <c r="D35" s="69" t="s">
        <v>7</v>
      </c>
      <c r="E35" s="67">
        <v>0.53549999999999998</v>
      </c>
      <c r="F35" s="71">
        <v>31.45</v>
      </c>
      <c r="G35" s="72">
        <f t="shared" si="2"/>
        <v>16.841474999999999</v>
      </c>
      <c r="H35"/>
      <c r="I35"/>
      <c r="J35"/>
      <c r="K35"/>
      <c r="L35"/>
      <c r="M35"/>
      <c r="N35"/>
      <c r="O35"/>
      <c r="P35"/>
      <c r="Q35"/>
      <c r="R35"/>
      <c r="S35"/>
      <c r="T35"/>
      <c r="U35"/>
      <c r="V35"/>
      <c r="W35"/>
      <c r="X35"/>
      <c r="Y35"/>
      <c r="Z35"/>
      <c r="AA35"/>
      <c r="AB35"/>
      <c r="AC35"/>
      <c r="AD35"/>
      <c r="AE35"/>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row>
    <row r="37" spans="1:268" ht="18.75">
      <c r="D37" s="95" t="s">
        <v>169</v>
      </c>
      <c r="E37" s="443">
        <f>G40+G41</f>
        <v>151.25046700000001</v>
      </c>
      <c r="F37" s="444"/>
      <c r="G37" s="445">
        <f>E37+E38</f>
        <v>206.02446700000002</v>
      </c>
    </row>
    <row r="38" spans="1:268" ht="18.75">
      <c r="D38" s="95" t="s">
        <v>170</v>
      </c>
      <c r="E38" s="443">
        <f>G42+G43</f>
        <v>54.774000000000001</v>
      </c>
      <c r="F38" s="444"/>
      <c r="G38" s="446"/>
    </row>
    <row r="39" spans="1:268" ht="27.75" customHeight="1">
      <c r="A39" s="447" t="s">
        <v>187</v>
      </c>
      <c r="B39" s="448"/>
      <c r="C39" s="108" t="s">
        <v>182</v>
      </c>
      <c r="D39" s="107" t="s">
        <v>5</v>
      </c>
      <c r="E39" s="109" t="s">
        <v>12</v>
      </c>
      <c r="F39" s="109" t="s">
        <v>13</v>
      </c>
      <c r="G39" s="109" t="s">
        <v>14</v>
      </c>
    </row>
    <row r="40" spans="1:268" ht="28.5">
      <c r="A40" s="110" t="s">
        <v>183</v>
      </c>
      <c r="B40" s="111" t="s">
        <v>184</v>
      </c>
      <c r="C40" s="112" t="s">
        <v>185</v>
      </c>
      <c r="D40" s="110" t="s">
        <v>11</v>
      </c>
      <c r="E40" s="113">
        <v>9.6299999999999997E-2</v>
      </c>
      <c r="F40" s="116">
        <v>926.09</v>
      </c>
      <c r="G40" s="116">
        <f>E40*F40</f>
        <v>89.182467000000003</v>
      </c>
    </row>
    <row r="41" spans="1:268" ht="28.5">
      <c r="A41" s="110" t="s">
        <v>146</v>
      </c>
      <c r="B41" s="110" t="s">
        <v>122</v>
      </c>
      <c r="C41" s="112" t="s">
        <v>186</v>
      </c>
      <c r="D41" s="110" t="s">
        <v>34</v>
      </c>
      <c r="E41" s="113">
        <v>10.52</v>
      </c>
      <c r="F41" s="116">
        <v>5.9</v>
      </c>
      <c r="G41" s="116">
        <f>E41*F41</f>
        <v>62.067999999999998</v>
      </c>
    </row>
    <row r="42" spans="1:268" ht="28.5">
      <c r="A42" s="110" t="s">
        <v>183</v>
      </c>
      <c r="B42" s="110">
        <v>88309</v>
      </c>
      <c r="C42" s="112" t="s">
        <v>92</v>
      </c>
      <c r="D42" s="110" t="s">
        <v>7</v>
      </c>
      <c r="E42" s="114">
        <v>1.02</v>
      </c>
      <c r="F42" s="116">
        <v>29.39</v>
      </c>
      <c r="G42" s="116">
        <f>E42*F42</f>
        <v>29.977800000000002</v>
      </c>
    </row>
    <row r="43" spans="1:268" ht="28.5">
      <c r="A43" s="110" t="s">
        <v>183</v>
      </c>
      <c r="B43" s="110">
        <v>88316</v>
      </c>
      <c r="C43" s="112" t="s">
        <v>8</v>
      </c>
      <c r="D43" s="110" t="s">
        <v>7</v>
      </c>
      <c r="E43" s="114">
        <v>1.02</v>
      </c>
      <c r="F43" s="116">
        <v>24.31</v>
      </c>
      <c r="G43" s="116">
        <f>E43*F43</f>
        <v>24.796199999999999</v>
      </c>
    </row>
    <row r="48" spans="1:268">
      <c r="A48" s="376" t="s">
        <v>166</v>
      </c>
      <c r="B48" s="376"/>
      <c r="C48" s="376"/>
      <c r="D48" s="376"/>
      <c r="E48" s="376"/>
      <c r="F48" s="376"/>
      <c r="G48" s="376"/>
    </row>
    <row r="49" spans="1:7">
      <c r="A49" s="14"/>
      <c r="B49" s="14"/>
      <c r="C49" s="14"/>
      <c r="D49" s="14"/>
      <c r="E49" s="2"/>
      <c r="F49" s="2"/>
      <c r="G49" s="2"/>
    </row>
    <row r="50" spans="1:7">
      <c r="A50" s="14"/>
      <c r="B50" s="14"/>
      <c r="C50" s="14"/>
      <c r="D50" s="59"/>
      <c r="E50" s="38"/>
      <c r="F50" s="59"/>
      <c r="G50" s="38"/>
    </row>
    <row r="51" spans="1:7">
      <c r="A51" s="20"/>
      <c r="B51" s="20"/>
      <c r="C51" s="20"/>
      <c r="D51" s="20"/>
      <c r="E51" s="20"/>
      <c r="F51" s="20"/>
      <c r="G51" s="20"/>
    </row>
    <row r="52" spans="1:7">
      <c r="A52" s="376" t="s">
        <v>15</v>
      </c>
      <c r="B52" s="376"/>
      <c r="C52" s="376"/>
      <c r="D52" s="376"/>
      <c r="E52" s="376"/>
      <c r="F52" s="376"/>
      <c r="G52" s="376"/>
    </row>
    <row r="53" spans="1:7">
      <c r="A53" s="41"/>
      <c r="B53" s="41"/>
      <c r="C53" s="41"/>
      <c r="D53" s="41"/>
      <c r="E53" s="376" t="s">
        <v>16</v>
      </c>
      <c r="F53" s="376"/>
      <c r="G53" s="376"/>
    </row>
    <row r="54" spans="1:7">
      <c r="B54" s="14"/>
    </row>
    <row r="55" spans="1:7">
      <c r="A55" s="20"/>
      <c r="B55" s="41"/>
    </row>
  </sheetData>
  <mergeCells count="20">
    <mergeCell ref="G30:G31"/>
    <mergeCell ref="E31:F31"/>
    <mergeCell ref="G9:G10"/>
    <mergeCell ref="E10:F10"/>
    <mergeCell ref="E20:F20"/>
    <mergeCell ref="G20:G21"/>
    <mergeCell ref="E21:F21"/>
    <mergeCell ref="A6:E7"/>
    <mergeCell ref="A11:B11"/>
    <mergeCell ref="A32:B32"/>
    <mergeCell ref="A22:B22"/>
    <mergeCell ref="E9:F9"/>
    <mergeCell ref="E30:F30"/>
    <mergeCell ref="E37:F37"/>
    <mergeCell ref="G37:G38"/>
    <mergeCell ref="E38:F38"/>
    <mergeCell ref="A39:B39"/>
    <mergeCell ref="E53:G53"/>
    <mergeCell ref="A48:G48"/>
    <mergeCell ref="A52:G52"/>
  </mergeCells>
  <conditionalFormatting sqref="A32:A35 E33:G35 A11:B11 A22:B22 C32:G32">
    <cfRule type="expression" dxfId="29" priority="937" stopIfTrue="1">
      <formula>AND(#REF!&lt;&gt;"COMPOSICAO",#REF!&lt;&gt;"INSUMO",#REF!&lt;&gt;"")</formula>
    </cfRule>
  </conditionalFormatting>
  <conditionalFormatting sqref="A33:A35 F33:F35">
    <cfRule type="expression" dxfId="28" priority="269" stopIfTrue="1">
      <formula>AND(#REF!&lt;&gt;"COMPOSICAO",#REF!&lt;&gt;"INSUMO",#REF!&lt;&gt;"")</formula>
    </cfRule>
    <cfRule type="expression" dxfId="27" priority="270" stopIfTrue="1">
      <formula>AND(OR(#REF!="COMPOSICAO",#REF!="INSUMO",#REF!&lt;&gt;""),#REF!&lt;&gt;"")</formula>
    </cfRule>
  </conditionalFormatting>
  <conditionalFormatting sqref="A39:A40 C39:G40 A41:G43">
    <cfRule type="expression" dxfId="26" priority="6" stopIfTrue="1">
      <formula>AND(OR(#REF!="COMPOSICAO",#REF!="INSUMO",#REF!&lt;&gt;""),#REF!&lt;&gt;"")</formula>
    </cfRule>
  </conditionalFormatting>
  <conditionalFormatting sqref="A40">
    <cfRule type="expression" dxfId="25" priority="1" stopIfTrue="1">
      <formula>AND(#REF!&lt;&gt;"COMPOSICAO",#REF!&lt;&gt;"INSUMO",#REF!&lt;&gt;"")</formula>
    </cfRule>
    <cfRule type="expression" dxfId="24" priority="2" stopIfTrue="1">
      <formula>AND(OR(#REF!="COMPOSICAO",#REF!="INSUMO",#REF!&lt;&gt;""),#REF!&lt;&gt;"")</formula>
    </cfRule>
  </conditionalFormatting>
  <conditionalFormatting sqref="A11:B11 A22:B22 C32:G32 A32:A35 E33:G35">
    <cfRule type="expression" dxfId="23" priority="938" stopIfTrue="1">
      <formula>AND(OR(#REF!="COMPOSICAO",#REF!="INSUMO",#REF!&lt;&gt;""),#REF!&lt;&gt;"")</formula>
    </cfRule>
  </conditionalFormatting>
  <conditionalFormatting sqref="A23:F23 A24:E27">
    <cfRule type="expression" dxfId="22" priority="317" stopIfTrue="1">
      <formula>AND(#REF!&lt;&gt;"COMPOSICAO",#REF!&lt;&gt;"INSUMO",#REF!&lt;&gt;"")</formula>
    </cfRule>
    <cfRule type="expression" dxfId="21" priority="318" stopIfTrue="1">
      <formula>AND(OR(#REF!="COMPOSICAO",#REF!="INSUMO",#REF!&lt;&gt;""),#REF!&lt;&gt;"")</formula>
    </cfRule>
  </conditionalFormatting>
  <conditionalFormatting sqref="A33:F35">
    <cfRule type="expression" dxfId="20" priority="267" stopIfTrue="1">
      <formula>AND(#REF!&lt;&gt;"COMPOSICAO",#REF!&lt;&gt;"INSUMO",#REF!&lt;&gt;"")</formula>
    </cfRule>
    <cfRule type="expression" dxfId="19" priority="268" stopIfTrue="1">
      <formula>AND(OR(#REF!="COMPOSICAO",#REF!="INSUMO",#REF!&lt;&gt;""),#REF!&lt;&gt;"")</formula>
    </cfRule>
  </conditionalFormatting>
  <conditionalFormatting sqref="A42:F43">
    <cfRule type="expression" dxfId="18" priority="3" stopIfTrue="1">
      <formula>AND(#REF!&lt;&gt;"COMPOSICAO",#REF!&lt;&gt;"INSUMO",#REF!&lt;&gt;"")</formula>
    </cfRule>
    <cfRule type="expression" dxfId="17" priority="4" stopIfTrue="1">
      <formula>AND(OR(#REF!="COMPOSICAO",#REF!="INSUMO",#REF!&lt;&gt;""),#REF!&lt;&gt;"")</formula>
    </cfRule>
  </conditionalFormatting>
  <conditionalFormatting sqref="A11:G11 A12:F18">
    <cfRule type="expression" dxfId="16" priority="1057" stopIfTrue="1">
      <formula>AND(#REF!&lt;&gt;"COMPOSICAO",#REF!&lt;&gt;"INSUMO",#REF!&lt;&gt;"")</formula>
    </cfRule>
    <cfRule type="expression" dxfId="15" priority="1058" stopIfTrue="1">
      <formula>AND(OR(#REF!="COMPOSICAO",#REF!="INSUMO",#REF!&lt;&gt;""),#REF!&lt;&gt;"")</formula>
    </cfRule>
  </conditionalFormatting>
  <conditionalFormatting sqref="A22:G22 E23:F23 A23:A27 E24 G27">
    <cfRule type="expression" dxfId="14" priority="939" stopIfTrue="1">
      <formula>AND(#REF!&lt;&gt;"COMPOSICAO",#REF!&lt;&gt;"INSUMO",#REF!&lt;&gt;"")</formula>
    </cfRule>
    <cfRule type="expression" dxfId="13" priority="940" stopIfTrue="1">
      <formula>AND(OR(#REF!="COMPOSICAO",#REF!="INSUMO",#REF!&lt;&gt;""),#REF!&lt;&gt;"")</formula>
    </cfRule>
  </conditionalFormatting>
  <conditionalFormatting sqref="A41:G43 A39:A40 C39:G40">
    <cfRule type="expression" dxfId="12" priority="5" stopIfTrue="1">
      <formula>AND(#REF!&lt;&gt;"COMPOSICAO",#REF!&lt;&gt;"INSUMO",#REF!&lt;&gt;"")</formula>
    </cfRule>
  </conditionalFormatting>
  <conditionalFormatting sqref="F12:F18">
    <cfRule type="expression" dxfId="11" priority="323" stopIfTrue="1">
      <formula>AND(#REF!&lt;&gt;"COMPOSICAO",#REF!&lt;&gt;"INSUMO",#REF!&lt;&gt;"")</formula>
    </cfRule>
    <cfRule type="expression" dxfId="10" priority="324" stopIfTrue="1">
      <formula>AND(OR(#REF!="COMPOSICAO",#REF!="INSUMO",#REF!&lt;&gt;""),#REF!&lt;&gt;"")</formula>
    </cfRule>
  </conditionalFormatting>
  <conditionalFormatting sqref="F23:F24">
    <cfRule type="expression" dxfId="9" priority="135" stopIfTrue="1">
      <formula>AND(#REF!&lt;&gt;"COMPOSICAO",#REF!&lt;&gt;"INSUMO",#REF!&lt;&gt;"")</formula>
    </cfRule>
    <cfRule type="expression" dxfId="8" priority="136" stopIfTrue="1">
      <formula>AND(OR(#REF!="COMPOSICAO",#REF!="INSUMO",#REF!&lt;&gt;""),#REF!&lt;&gt;"")</formula>
    </cfRule>
  </conditionalFormatting>
  <conditionalFormatting sqref="F24:F25">
    <cfRule type="expression" dxfId="7" priority="131" stopIfTrue="1">
      <formula>AND(#REF!&lt;&gt;"COMPOSICAO",#REF!&lt;&gt;"INSUMO",#REF!&lt;&gt;"")</formula>
    </cfRule>
    <cfRule type="expression" dxfId="6" priority="132" stopIfTrue="1">
      <formula>AND(OR(#REF!="COMPOSICAO",#REF!="INSUMO",#REF!&lt;&gt;""),#REF!&lt;&gt;"")</formula>
    </cfRule>
  </conditionalFormatting>
  <conditionalFormatting sqref="F25:F27">
    <cfRule type="expression" dxfId="5" priority="127" stopIfTrue="1">
      <formula>AND(#REF!&lt;&gt;"COMPOSICAO",#REF!&lt;&gt;"INSUMO",#REF!&lt;&gt;"")</formula>
    </cfRule>
    <cfRule type="expression" dxfId="4" priority="128" stopIfTrue="1">
      <formula>AND(OR(#REF!="COMPOSICAO",#REF!="INSUMO",#REF!&lt;&gt;""),#REF!&lt;&gt;"")</formula>
    </cfRule>
  </conditionalFormatting>
  <conditionalFormatting sqref="F26:F27">
    <cfRule type="expression" dxfId="3" priority="125" stopIfTrue="1">
      <formula>AND(#REF!&lt;&gt;"COMPOSICAO",#REF!&lt;&gt;"INSUMO",#REF!&lt;&gt;"")</formula>
    </cfRule>
    <cfRule type="expression" dxfId="2" priority="126" stopIfTrue="1">
      <formula>AND(OR(#REF!="COMPOSICAO",#REF!="INSUMO",#REF!&lt;&gt;""),#REF!&lt;&gt;"")</formula>
    </cfRule>
  </conditionalFormatting>
  <conditionalFormatting sqref="F33:F35">
    <cfRule type="expression" dxfId="1" priority="265" stopIfTrue="1">
      <formula>AND(#REF!&lt;&gt;"COMPOSICAO",#REF!&lt;&gt;"INSUMO",#REF!&lt;&gt;"")</formula>
    </cfRule>
    <cfRule type="expression" dxfId="0" priority="266" stopIfTrue="1">
      <formula>AND(OR(#REF!="COMPOSICAO",#REF!="INSUMO",#REF!&lt;&gt;""),#REF!&lt;&gt;"")</formula>
    </cfRule>
  </conditionalFormatting>
  <printOptions horizontalCentered="1"/>
  <pageMargins left="0.51181102362204722" right="0.51181102362204722" top="0.78740157480314965" bottom="0.78740157480314965" header="0.31496062992125984" footer="0.31496062992125984"/>
  <pageSetup paperSize="9" scale="5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26"/>
  <sheetViews>
    <sheetView showGridLines="0" zoomScale="90" zoomScaleNormal="90" workbookViewId="0">
      <pane ySplit="9" topLeftCell="A10" activePane="bottomLeft" state="frozen"/>
      <selection pane="bottomLeft" activeCell="D37" sqref="D37"/>
    </sheetView>
  </sheetViews>
  <sheetFormatPr defaultColWidth="8.75" defaultRowHeight="15"/>
  <cols>
    <col min="1" max="1" width="6" style="308" customWidth="1"/>
    <col min="2" max="2" width="36.625" style="308" customWidth="1"/>
    <col min="3" max="3" width="6.5" style="308" customWidth="1"/>
    <col min="4" max="4" width="44.625" style="308" customWidth="1"/>
    <col min="5" max="5" width="12.25" style="309" customWidth="1"/>
    <col min="6" max="6" width="40.125" style="309" customWidth="1"/>
    <col min="7" max="16384" width="8.75" style="305"/>
  </cols>
  <sheetData>
    <row r="2" spans="1:6" s="83" customFormat="1" ht="16.5">
      <c r="A2" s="236"/>
      <c r="B2" s="276"/>
      <c r="C2" s="276"/>
      <c r="D2" s="276"/>
      <c r="E2" s="276"/>
      <c r="F2" s="277"/>
    </row>
    <row r="3" spans="1:6" s="83" customFormat="1" ht="18.75" customHeight="1">
      <c r="A3" s="278" t="s">
        <v>293</v>
      </c>
      <c r="B3" s="279"/>
      <c r="C3" s="280" t="str">
        <f>'[1]Orçamento por Sala'!C2</f>
        <v>PREFEITURA TAQUARI - SUBSOLO</v>
      </c>
      <c r="D3" s="280"/>
      <c r="E3" s="281"/>
      <c r="F3" s="282"/>
    </row>
    <row r="4" spans="1:6" s="83" customFormat="1">
      <c r="A4" s="283" t="s">
        <v>294</v>
      </c>
      <c r="B4" s="284"/>
      <c r="C4" s="456" t="str">
        <f>'[1]Orçamento por Sala'!C3</f>
        <v>RUA OSVALDO ARANHA, 1790 - BAIRRO CENTRO - TAQUARI/RS</v>
      </c>
      <c r="D4" s="456"/>
      <c r="E4" s="457"/>
      <c r="F4" s="282"/>
    </row>
    <row r="5" spans="1:6" s="83" customFormat="1">
      <c r="A5" s="283" t="s">
        <v>295</v>
      </c>
      <c r="B5" s="284"/>
      <c r="C5" s="456" t="str">
        <f>'[1]Orçamento por Sala'!C4</f>
        <v>SINAPI - RIO GRANDE DO SUL DEZEMBRO/2025 NÃO DESONERADO</v>
      </c>
      <c r="D5" s="456"/>
      <c r="E5" s="457"/>
      <c r="F5" s="282"/>
    </row>
    <row r="6" spans="1:6" s="83" customFormat="1">
      <c r="A6" s="283"/>
      <c r="B6" s="284"/>
      <c r="C6" s="285" t="str">
        <f>'[1]Orçamento por Sala'!C5</f>
        <v>ORSE - NOVEMBRO/2025</v>
      </c>
      <c r="D6" s="285"/>
      <c r="E6" s="286"/>
      <c r="F6" s="282"/>
    </row>
    <row r="7" spans="1:6" s="83" customFormat="1" ht="12" customHeight="1">
      <c r="A7" s="389" t="s">
        <v>437</v>
      </c>
      <c r="B7" s="390"/>
      <c r="C7" s="390"/>
      <c r="D7" s="390"/>
      <c r="E7" s="391"/>
      <c r="F7" s="282"/>
    </row>
    <row r="8" spans="1:6" s="83" customFormat="1" ht="21" customHeight="1">
      <c r="A8" s="458"/>
      <c r="B8" s="459"/>
      <c r="C8" s="459"/>
      <c r="D8" s="459"/>
      <c r="E8" s="460"/>
      <c r="F8" s="282"/>
    </row>
    <row r="9" spans="1:6" s="277" customFormat="1" ht="19.5" customHeight="1">
      <c r="A9" s="287" t="s">
        <v>204</v>
      </c>
      <c r="B9" s="287" t="s">
        <v>205</v>
      </c>
      <c r="C9" s="287" t="s">
        <v>438</v>
      </c>
      <c r="D9" s="288" t="s">
        <v>439</v>
      </c>
      <c r="E9" s="288" t="s">
        <v>206</v>
      </c>
      <c r="F9" s="282"/>
    </row>
    <row r="10" spans="1:6" s="277" customFormat="1">
      <c r="A10" s="289">
        <f>'Orçamento Geral'!C33</f>
        <v>5</v>
      </c>
      <c r="B10" s="289" t="str">
        <f>'Orçamento Geral'!D33</f>
        <v>ALVENARIAS</v>
      </c>
      <c r="C10" s="290"/>
      <c r="D10" s="291"/>
      <c r="E10" s="291"/>
      <c r="F10" s="282"/>
    </row>
    <row r="11" spans="1:6" s="282" customFormat="1" ht="22.5">
      <c r="A11" s="292" t="str">
        <f>'Orçamento Geral'!C35</f>
        <v>5.2</v>
      </c>
      <c r="B11" s="293" t="str">
        <f>'Orçamento Geral'!D35</f>
        <v>ARMAÇÃO VERTICAL DE ALVENARIA ESTRUTURAL; DIÂMETRO DE 10,0 MM. AF_09/2021</v>
      </c>
      <c r="C11" s="292" t="str">
        <f>'Orçamento Geral'!E35</f>
        <v>KG</v>
      </c>
      <c r="D11" s="294" t="s">
        <v>450</v>
      </c>
      <c r="E11" s="295">
        <v>45.16</v>
      </c>
      <c r="F11" s="296"/>
    </row>
    <row r="12" spans="1:6" s="282" customFormat="1" ht="22.5">
      <c r="A12" s="292" t="str">
        <f>'Orçamento Geral'!C36</f>
        <v>5.3</v>
      </c>
      <c r="B12" s="293" t="str">
        <f>'Orçamento Geral'!D36</f>
        <v>GRAUTEAMENTO VERTICAL EM ALVENARIA ESTRUTURAL. AF_09/2021</v>
      </c>
      <c r="C12" s="292" t="str">
        <f>'Orçamento Geral'!E36</f>
        <v>M3</v>
      </c>
      <c r="D12" s="310" t="s">
        <v>451</v>
      </c>
      <c r="E12" s="295">
        <v>0.73</v>
      </c>
      <c r="F12" s="296"/>
    </row>
    <row r="13" spans="1:6" s="277" customFormat="1">
      <c r="A13" s="289">
        <f>'Orçamento Geral'!C146</f>
        <v>17</v>
      </c>
      <c r="B13" s="289" t="str">
        <f>'Orçamento Geral'!D146</f>
        <v>CERCAMENTO</v>
      </c>
      <c r="C13" s="290"/>
      <c r="D13" s="291"/>
      <c r="E13" s="291"/>
      <c r="F13" s="282"/>
    </row>
    <row r="14" spans="1:6" s="282" customFormat="1" ht="22.5">
      <c r="A14" s="292" t="e">
        <f>'Orçamento Geral'!#REF!</f>
        <v>#REF!</v>
      </c>
      <c r="B14" s="293" t="e">
        <f>'Orçamento Geral'!#REF!</f>
        <v>#REF!</v>
      </c>
      <c r="C14" s="292" t="e">
        <f>'Orçamento Geral'!#REF!</f>
        <v>#REF!</v>
      </c>
      <c r="D14" s="294" t="s">
        <v>440</v>
      </c>
      <c r="E14" s="295">
        <v>7.99</v>
      </c>
      <c r="F14" s="296"/>
    </row>
    <row r="15" spans="1:6" s="282" customFormat="1">
      <c r="A15" s="292" t="e">
        <f>'Orçamento Geral'!#REF!</f>
        <v>#REF!</v>
      </c>
      <c r="B15" s="293" t="e">
        <f>'Orçamento Geral'!#REF!</f>
        <v>#REF!</v>
      </c>
      <c r="C15" s="292" t="e">
        <f>'Orçamento Geral'!#REF!</f>
        <v>#REF!</v>
      </c>
      <c r="D15" s="310" t="s">
        <v>442</v>
      </c>
      <c r="E15" s="295">
        <v>23.68</v>
      </c>
      <c r="F15" s="296"/>
    </row>
    <row r="16" spans="1:6" s="282" customFormat="1">
      <c r="A16" s="292" t="e">
        <f>'Orçamento Geral'!#REF!</f>
        <v>#REF!</v>
      </c>
      <c r="B16" s="293" t="e">
        <f>'Orçamento Geral'!#REF!</f>
        <v>#REF!</v>
      </c>
      <c r="C16" s="292" t="e">
        <f>'Orçamento Geral'!#REF!</f>
        <v>#REF!</v>
      </c>
      <c r="D16" s="310" t="s">
        <v>443</v>
      </c>
      <c r="E16" s="295">
        <v>64.75</v>
      </c>
      <c r="F16" s="296"/>
    </row>
    <row r="17" spans="1:6" s="282" customFormat="1">
      <c r="A17" s="292" t="e">
        <f>'Orçamento Geral'!#REF!</f>
        <v>#REF!</v>
      </c>
      <c r="B17" s="293" t="e">
        <f>'Orçamento Geral'!#REF!</f>
        <v>#REF!</v>
      </c>
      <c r="C17" s="292" t="e">
        <f>'Orçamento Geral'!#REF!</f>
        <v>#REF!</v>
      </c>
      <c r="D17" s="294" t="s">
        <v>441</v>
      </c>
      <c r="E17" s="295">
        <v>2.37</v>
      </c>
      <c r="F17" s="296"/>
    </row>
    <row r="18" spans="1:6" s="282" customFormat="1">
      <c r="A18" s="292" t="e">
        <f>'Orçamento Geral'!#REF!</f>
        <v>#REF!</v>
      </c>
      <c r="B18" s="293" t="e">
        <f>'Orçamento Geral'!#REF!</f>
        <v>#REF!</v>
      </c>
      <c r="C18" s="292" t="e">
        <f>'Orçamento Geral'!#REF!</f>
        <v>#REF!</v>
      </c>
      <c r="D18" s="310" t="s">
        <v>444</v>
      </c>
      <c r="E18" s="295">
        <v>5.55</v>
      </c>
      <c r="F18" s="296"/>
    </row>
    <row r="19" spans="1:6" s="282" customFormat="1">
      <c r="A19" s="297"/>
      <c r="B19" s="297"/>
      <c r="C19" s="298"/>
      <c r="D19" s="299"/>
      <c r="E19" s="300"/>
      <c r="F19" s="296"/>
    </row>
    <row r="20" spans="1:6" s="303" customFormat="1">
      <c r="A20" s="301"/>
      <c r="B20" s="301"/>
      <c r="C20" s="301"/>
      <c r="D20" s="301"/>
      <c r="E20" s="302"/>
      <c r="F20" s="296"/>
    </row>
    <row r="21" spans="1:6" ht="15" customHeight="1">
      <c r="A21" s="455" t="s">
        <v>495</v>
      </c>
      <c r="B21" s="455"/>
      <c r="C21" s="455"/>
      <c r="D21" s="455"/>
      <c r="E21" s="455"/>
      <c r="F21" s="304"/>
    </row>
    <row r="22" spans="1:6" ht="15" customHeight="1">
      <c r="A22" s="252"/>
      <c r="B22" s="252"/>
      <c r="C22" s="252"/>
      <c r="D22" s="252"/>
      <c r="E22" s="253"/>
      <c r="F22" s="252"/>
    </row>
    <row r="23" spans="1:6">
      <c r="A23" s="252"/>
      <c r="B23" s="252"/>
      <c r="C23" s="252"/>
      <c r="D23" s="252"/>
      <c r="E23" s="253"/>
      <c r="F23" s="252"/>
    </row>
    <row r="24" spans="1:6" s="307" customFormat="1" ht="15" customHeight="1">
      <c r="A24" s="461" t="s">
        <v>322</v>
      </c>
      <c r="B24" s="461"/>
      <c r="C24" s="461"/>
      <c r="D24" s="461"/>
      <c r="E24" s="461"/>
      <c r="F24" s="306"/>
    </row>
    <row r="25" spans="1:6" s="307" customFormat="1">
      <c r="A25" s="455" t="s">
        <v>323</v>
      </c>
      <c r="B25" s="455"/>
      <c r="C25" s="455"/>
      <c r="D25" s="455"/>
      <c r="E25" s="455"/>
      <c r="F25" s="304"/>
    </row>
    <row r="26" spans="1:6" ht="14.45" customHeight="1">
      <c r="A26" s="455" t="s">
        <v>324</v>
      </c>
      <c r="B26" s="455"/>
      <c r="C26" s="455"/>
      <c r="D26" s="455"/>
      <c r="E26" s="455"/>
      <c r="F26" s="304"/>
    </row>
  </sheetData>
  <mergeCells count="7">
    <mergeCell ref="A26:E26"/>
    <mergeCell ref="C4:E4"/>
    <mergeCell ref="C5:E5"/>
    <mergeCell ref="A7:E8"/>
    <mergeCell ref="A21:E21"/>
    <mergeCell ref="A24:E24"/>
    <mergeCell ref="A25:E25"/>
  </mergeCells>
  <printOptions horizontalCentered="1"/>
  <pageMargins left="0.51181102362204722" right="0.51181102362204722" top="0.78740157480314965" bottom="0.78740157480314965" header="0.31496062992125984" footer="0.31496062992125984"/>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5</vt:i4>
      </vt:variant>
    </vt:vector>
  </HeadingPairs>
  <TitlesOfParts>
    <vt:vector size="12" baseType="lpstr">
      <vt:lpstr>Planilha Orçamentária</vt:lpstr>
      <vt:lpstr>Orçamento Geral</vt:lpstr>
      <vt:lpstr>Composições</vt:lpstr>
      <vt:lpstr>Cronograma</vt:lpstr>
      <vt:lpstr>Quadro de Resumo</vt:lpstr>
      <vt:lpstr>Composição</vt:lpstr>
      <vt:lpstr>Memória de Cálculo</vt:lpstr>
      <vt:lpstr>Composições!Area_de_impressao</vt:lpstr>
      <vt:lpstr>Cronograma!Area_de_impressao</vt:lpstr>
      <vt:lpstr>'Orçamento Geral'!Area_de_impressao</vt:lpstr>
      <vt:lpstr>'Planilha Orçamentária'!Area_de_impressao</vt:lpstr>
      <vt:lpstr>'Planilha Orçamentária'!Titulos_de_impressao</vt:lpstr>
    </vt:vector>
  </TitlesOfParts>
  <Company>Fnde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27421740104</dc:creator>
  <cp:lastModifiedBy>Sabrina Wagner Cardoso</cp:lastModifiedBy>
  <cp:lastPrinted>2026-07-14T14:21:36Z</cp:lastPrinted>
  <dcterms:created xsi:type="dcterms:W3CDTF">2012-10-15T18:57:41Z</dcterms:created>
  <dcterms:modified xsi:type="dcterms:W3CDTF">2026-07-15T14:58:40Z</dcterms:modified>
</cp:coreProperties>
</file>