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7"/>
  <workbookPr/>
  <mc:AlternateContent xmlns:mc="http://schemas.openxmlformats.org/markup-compatibility/2006">
    <mc:Choice Requires="x15">
      <x15ac:absPath xmlns:x15ac="http://schemas.microsoft.com/office/spreadsheetml/2010/11/ac" url="https://d.docs.live.net/dc32f3cade19a7c2/Documents/Consultoria/SEMAPA/"/>
    </mc:Choice>
  </mc:AlternateContent>
  <xr:revisionPtr revIDLastSave="0" documentId="8_{43A4BA78-662B-4254-A204-1EDE9BAD72ED}" xr6:coauthVersionLast="47" xr6:coauthVersionMax="47" xr10:uidLastSave="{00000000-0000-0000-0000-000000000000}"/>
  <bookViews>
    <workbookView xWindow="-108" yWindow="-108" windowWidth="23256" windowHeight="13176" tabRatio="500" activeTab="3" xr2:uid="{00000000-000D-0000-FFFF-FFFF00000000}"/>
  </bookViews>
  <sheets>
    <sheet name="1. Carregamento" sheetId="1" r:id="rId1"/>
    <sheet name="2.Encargos Sociais" sheetId="2" r:id="rId2"/>
    <sheet name="3.CAGED" sheetId="3" r:id="rId3"/>
    <sheet name="4.BDI" sheetId="4" r:id="rId4"/>
    <sheet name="5. Depreciação" sheetId="5" r:id="rId5"/>
    <sheet name="6.Remuneração de capital" sheetId="6" r:id="rId6"/>
  </sheets>
  <definedNames>
    <definedName name="AbaDeprec">'5. Depreciação'!$A$1</definedName>
    <definedName name="AbaRemun">'6.Remuneração de capital'!$A$1</definedName>
    <definedName name="_xlnm.Print_Area" localSheetId="0">'1. Carregamento'!$A$1:$F$209</definedName>
    <definedName name="_xlnm.Print_Area" localSheetId="1">'2.Encargos Sociais'!$A$1:$C$36</definedName>
    <definedName name="_xlnm.Print_Titles" localSheetId="0">'1. Carregamento'!$1:$1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8" i="4" l="1"/>
  <c r="D154" i="1"/>
  <c r="D140" i="1"/>
  <c r="D142" i="1"/>
  <c r="C118" i="1"/>
  <c r="E175" i="1"/>
  <c r="E176" i="1"/>
  <c r="E98" i="1" l="1"/>
  <c r="C13" i="4"/>
  <c r="I155" i="1"/>
  <c r="C154" i="1"/>
  <c r="E154" i="1" l="1"/>
  <c r="D46" i="1"/>
  <c r="E46" i="1" s="1"/>
  <c r="I79" i="1"/>
  <c r="C126" i="1"/>
  <c r="C74" i="1"/>
  <c r="C48" i="1"/>
  <c r="C64" i="1"/>
  <c r="F155" i="1"/>
  <c r="E17" i="1" s="1"/>
  <c r="C188" i="1"/>
  <c r="D62" i="1"/>
  <c r="E62" i="1" s="1"/>
  <c r="D59" i="1" s="1"/>
  <c r="C10" i="4"/>
  <c r="D11" i="4"/>
  <c r="C11" i="4"/>
  <c r="C12" i="4"/>
  <c r="F11" i="4"/>
  <c r="E11" i="4"/>
  <c r="K39" i="3"/>
  <c r="K40" i="3"/>
  <c r="K41" i="3"/>
  <c r="C28" i="3"/>
  <c r="C39" i="3"/>
  <c r="K38" i="3"/>
  <c r="E37" i="3"/>
  <c r="F37" i="3"/>
  <c r="G37" i="3"/>
  <c r="G38" i="3"/>
  <c r="D37" i="3"/>
  <c r="D38" i="3"/>
  <c r="C38" i="3"/>
  <c r="K37" i="3"/>
  <c r="C37" i="3"/>
  <c r="K36" i="3"/>
  <c r="K35" i="3"/>
  <c r="C34" i="3"/>
  <c r="G32" i="3"/>
  <c r="C29" i="3"/>
  <c r="G28" i="3"/>
  <c r="C26" i="3"/>
  <c r="E52" i="1"/>
  <c r="E56" i="1"/>
  <c r="D58" i="1"/>
  <c r="E58" i="1" s="1"/>
  <c r="E67" i="1"/>
  <c r="E26" i="1"/>
  <c r="C80" i="1" s="1"/>
  <c r="E80" i="1" s="1"/>
  <c r="E27" i="1"/>
  <c r="E87" i="1"/>
  <c r="E97" i="1"/>
  <c r="E99" i="1"/>
  <c r="E100" i="1"/>
  <c r="E101" i="1"/>
  <c r="E102" i="1"/>
  <c r="E103" i="1"/>
  <c r="E105" i="1"/>
  <c r="F117" i="1"/>
  <c r="C117" i="1"/>
  <c r="E114" i="1"/>
  <c r="D117" i="1" s="1"/>
  <c r="E121" i="1"/>
  <c r="F125" i="1"/>
  <c r="C131" i="1"/>
  <c r="E132" i="1"/>
  <c r="C140" i="1"/>
  <c r="C148" i="1" s="1"/>
  <c r="C142" i="1"/>
  <c r="E142" i="1" s="1"/>
  <c r="D144" i="1"/>
  <c r="D146" i="1"/>
  <c r="D148" i="1"/>
  <c r="C165" i="1"/>
  <c r="E162" i="1"/>
  <c r="D164" i="1" s="1"/>
  <c r="E164" i="1" s="1"/>
  <c r="D165" i="1" s="1"/>
  <c r="E165" i="1" s="1"/>
  <c r="F166" i="1" s="1"/>
  <c r="E18" i="1" s="1"/>
  <c r="C177" i="1"/>
  <c r="E177" i="1" s="1"/>
  <c r="E178" i="1"/>
  <c r="E179" i="1"/>
  <c r="D125" i="1"/>
  <c r="E125" i="1" s="1"/>
  <c r="A80" i="1"/>
  <c r="A86" i="1" s="1"/>
  <c r="A26" i="1"/>
  <c r="A20" i="1"/>
  <c r="A19" i="1"/>
  <c r="A18" i="1"/>
  <c r="A17" i="1"/>
  <c r="A16" i="1"/>
  <c r="A15" i="1"/>
  <c r="A14" i="1"/>
  <c r="A13" i="1"/>
  <c r="A12" i="1"/>
  <c r="A11" i="1"/>
  <c r="A10" i="1"/>
  <c r="A9" i="1"/>
  <c r="A7" i="1"/>
  <c r="A6" i="1"/>
  <c r="E148" i="1" l="1"/>
  <c r="C127" i="1"/>
  <c r="D49" i="1"/>
  <c r="E49" i="1" s="1"/>
  <c r="D43" i="1"/>
  <c r="D42" i="1"/>
  <c r="E42" i="1" s="1"/>
  <c r="F179" i="1"/>
  <c r="F181" i="1" s="1"/>
  <c r="E19" i="1" s="1"/>
  <c r="E28" i="1"/>
  <c r="F82" i="1"/>
  <c r="D149" i="1"/>
  <c r="E40" i="1"/>
  <c r="E117" i="1"/>
  <c r="C128" i="1" s="1"/>
  <c r="E59" i="1"/>
  <c r="D60" i="1" s="1"/>
  <c r="E60" i="1" s="1"/>
  <c r="D118" i="1"/>
  <c r="E118" i="1" s="1"/>
  <c r="E119" i="1" s="1"/>
  <c r="D120" i="1" s="1"/>
  <c r="E120" i="1" s="1"/>
  <c r="F121" i="1" s="1"/>
  <c r="E14" i="1" s="1"/>
  <c r="E140" i="1"/>
  <c r="E74" i="1"/>
  <c r="F76" i="1" s="1"/>
  <c r="E9" i="1" s="1"/>
  <c r="C146" i="1"/>
  <c r="E146" i="1" s="1"/>
  <c r="C144" i="1"/>
  <c r="E144" i="1" s="1"/>
  <c r="E10" i="1"/>
  <c r="C86" i="1" l="1"/>
  <c r="E86" i="1" s="1"/>
  <c r="F87" i="1" s="1"/>
  <c r="E11" i="1" s="1"/>
  <c r="C104" i="1"/>
  <c r="E104" i="1" s="1"/>
  <c r="F105" i="1"/>
  <c r="E43" i="1"/>
  <c r="D44" i="1" s="1"/>
  <c r="G44" i="1"/>
  <c r="D129" i="1"/>
  <c r="E129" i="1" s="1"/>
  <c r="E130" i="1" s="1"/>
  <c r="D131" i="1" s="1"/>
  <c r="E131" i="1" s="1"/>
  <c r="F132" i="1" s="1"/>
  <c r="E63" i="1"/>
  <c r="D64" i="1" s="1"/>
  <c r="E64" i="1" s="1"/>
  <c r="E65" i="1" s="1"/>
  <c r="D66" i="1" s="1"/>
  <c r="E66" i="1" s="1"/>
  <c r="F67" i="1" s="1"/>
  <c r="E8" i="1" s="1"/>
  <c r="F150" i="1"/>
  <c r="F107" i="1" l="1"/>
  <c r="E12" i="1" s="1"/>
  <c r="E44" i="1"/>
  <c r="E47" i="1" s="1"/>
  <c r="E16" i="1"/>
  <c r="F169" i="1"/>
  <c r="E15" i="1"/>
  <c r="E13" i="1"/>
  <c r="D48" i="1"/>
  <c r="E48" i="1" s="1"/>
  <c r="E50" i="1" l="1"/>
  <c r="D51" i="1"/>
  <c r="E51" i="1" s="1"/>
  <c r="F52" i="1" s="1"/>
  <c r="F89" i="1" s="1"/>
  <c r="E7" i="1" l="1"/>
  <c r="E6" i="1" l="1"/>
  <c r="F183" i="1"/>
  <c r="D188" i="1" s="1"/>
  <c r="E188" i="1" s="1"/>
  <c r="F189" i="1" s="1"/>
  <c r="F191" i="1" s="1"/>
  <c r="E20" i="1" s="1"/>
  <c r="E21" i="1" l="1"/>
  <c r="F15" i="1" s="1"/>
  <c r="F194" i="1"/>
  <c r="F199" i="1" s="1"/>
  <c r="F13" i="1" l="1"/>
  <c r="F8" i="1"/>
  <c r="F16" i="1"/>
  <c r="F7" i="1"/>
  <c r="F14" i="1"/>
  <c r="F20" i="1"/>
  <c r="F18" i="1"/>
  <c r="F17" i="1"/>
  <c r="F10" i="1"/>
  <c r="F12" i="1"/>
  <c r="F9" i="1"/>
  <c r="F11" i="1"/>
  <c r="F19" i="1"/>
  <c r="F6" i="1"/>
  <c r="F2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A4" authorId="0" shapeId="0" xr:uid="{00000000-0006-0000-0000-000001000000}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B34" authorId="0" shapeId="0" xr:uid="{00000000-0006-0000-0000-000005000000}">
      <text>
        <r>
          <rPr>
            <sz val="10"/>
            <rFont val="Arial"/>
            <family val="2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40" authorId="0" shapeId="0" xr:uid="{00000000-0006-0000-0000-00002A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D41" authorId="0" shapeId="0" xr:uid="{00000000-0006-0000-0000-00002B000000}">
      <text>
        <r>
          <rPr>
            <sz val="10"/>
            <rFont val="Arial"/>
            <family val="2"/>
          </rPr>
          <t>Informar o valor do salário Mínimo Nacional</t>
        </r>
      </text>
    </comment>
    <comment ref="C42" authorId="0" shapeId="0" xr:uid="{00000000-0006-0000-0000-000007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43" authorId="0" shapeId="0" xr:uid="{00000000-0006-0000-0000-000008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A44" authorId="0" shapeId="0" xr:uid="{00000000-0006-0000-0000-000002000000}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45" authorId="0" shapeId="0" xr:uid="{00000000-0006-0000-0000-000009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46" authorId="0" shapeId="0" xr:uid="{00000000-0006-0000-0000-00000A000000}">
      <text>
        <r>
          <rPr>
            <sz val="10"/>
            <rFont val="Arial"/>
            <family val="2"/>
          </rPr>
          <t>Percentual estabelecido nas Normas de Segurança de Trabalho ou pelo laudo de responsável técnico devidamente habilitado</t>
        </r>
      </text>
    </comment>
    <comment ref="C48" authorId="0" shapeId="0" xr:uid="{00000000-0006-0000-0000-00000B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51" authorId="0" shapeId="0" xr:uid="{00000000-0006-0000-0000-00000C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56" authorId="0" shapeId="0" xr:uid="{00000000-0006-0000-0000-00002C000000}">
      <text>
        <r>
          <rPr>
            <sz val="10"/>
            <rFont val="Arial"/>
            <family val="2"/>
          </rPr>
          <t>Informar o Piso da categoria fixado na Convenção Coletiva</t>
        </r>
      </text>
    </comment>
    <comment ref="D57" authorId="0" shapeId="0" xr:uid="{00000000-0006-0000-0000-00002D000000}">
      <text>
        <r>
          <rPr>
            <sz val="10"/>
            <rFont val="Arial"/>
            <family val="2"/>
          </rPr>
          <t>Informar o valor do salário Mínimo Nacional</t>
        </r>
      </text>
    </comment>
    <comment ref="C58" authorId="0" shapeId="0" xr:uid="{00000000-0006-0000-0000-00000D000000}">
      <text>
        <r>
          <rPr>
            <sz val="10"/>
            <rFont val="Arial"/>
            <family val="2"/>
          </rPr>
          <t>Informar o número de horas extras trabalhadas em horário diurno nos domingos e feriados</t>
        </r>
      </text>
    </comment>
    <comment ref="C59" authorId="0" shapeId="0" xr:uid="{00000000-0006-0000-0000-00000E000000}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61" authorId="0" shapeId="0" xr:uid="{00000000-0006-0000-0000-00000F000000}">
      <text>
        <r>
          <rPr>
            <sz val="10"/>
            <rFont val="Arial"/>
            <family val="2"/>
          </rPr>
          <t xml:space="preserve">Informar 1 se a base de cálculo for o Salário Mínimo Nacional; Informar 2 se a base de cálculo for o Piso da Categoria; 
</t>
        </r>
      </text>
    </comment>
    <comment ref="C62" authorId="0" shapeId="0" xr:uid="{00000000-0006-0000-0000-000010000000}">
      <text>
        <r>
          <rPr>
            <sz val="10"/>
            <rFont val="Arial"/>
            <family val="2"/>
          </rPr>
          <t>Percentual estabelecido nas Normas de Segurança de Trabalho ou pelo laudo de responsável técnico devidamente habilitado</t>
        </r>
      </text>
    </comment>
    <comment ref="C64" authorId="0" shapeId="0" xr:uid="{00000000-0006-0000-0000-000011000000}">
      <text>
        <r>
          <rPr>
            <sz val="10"/>
            <rFont val="Arial"/>
            <family val="2"/>
          </rPr>
          <t xml:space="preserve">Preencher a planilha Encargos Sociais e CAGED </t>
        </r>
      </text>
    </comment>
    <comment ref="C66" authorId="0" shapeId="0" xr:uid="{00000000-0006-0000-0000-000012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72" authorId="0" shapeId="0" xr:uid="{00000000-0006-0000-0000-00002E000000}">
      <text>
        <r>
          <rPr>
            <sz val="10"/>
            <rFont val="Arial"/>
            <family val="2"/>
          </rPr>
          <t>Informar o valor unitário do VT no município</t>
        </r>
      </text>
    </comment>
    <comment ref="C73" authorId="0" shapeId="0" xr:uid="{00000000-0006-0000-0000-000013000000}">
      <text>
        <r>
          <rPr>
            <sz val="10"/>
            <rFont val="Arial"/>
            <family val="2"/>
          </rPr>
          <t>Informar o número médio de dias trabalhados por mês</t>
        </r>
      </text>
    </comment>
    <comment ref="D74" authorId="0" shapeId="0" xr:uid="{00000000-0006-0000-0000-00002F000000}">
      <text>
        <r>
          <rPr>
            <sz val="10"/>
            <rFont val="Arial"/>
            <family val="2"/>
          </rPr>
          <t xml:space="preserve">Valor Unitário considerando o desconto legal de até 6% do salário
</t>
        </r>
      </text>
    </comment>
    <comment ref="C75" authorId="0" shapeId="0" xr:uid="{00000000-0006-0000-0000-000014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80" authorId="0" shapeId="0" xr:uid="{00000000-0006-0000-0000-000030000000}">
      <text>
        <r>
          <rPr>
            <sz val="10"/>
            <rFont val="Arial"/>
            <family val="2"/>
          </rPr>
          <t>Informar o valor unitário diário do vale refeição conforme Convenção Coletiva da categoria</t>
        </r>
      </text>
    </comment>
    <comment ref="C81" authorId="0" shapeId="0" xr:uid="{00000000-0006-0000-0000-000015000000}">
      <text>
        <r>
          <rPr>
            <sz val="10"/>
            <rFont val="Arial"/>
            <family val="2"/>
          </rPr>
          <t>Informar a quantidade de trabalhadores na função</t>
        </r>
      </text>
    </comment>
    <comment ref="D86" authorId="0" shapeId="0" xr:uid="{00000000-0006-0000-0000-000031000000}">
      <text>
        <r>
          <rPr>
            <sz val="10"/>
            <rFont val="Arial"/>
            <family val="2"/>
          </rPr>
          <t>Informar o valor mensal do auxilio alimentação conforme Convenção Coletiva da categoria</t>
        </r>
      </text>
    </comment>
    <comment ref="C97" authorId="0" shapeId="0" xr:uid="{00000000-0006-0000-0000-000016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8" authorId="0" shapeId="0" xr:uid="{00000000-0006-0000-0000-000017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99" authorId="0" shapeId="0" xr:uid="{00000000-0006-0000-0000-000018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00" authorId="0" shapeId="0" xr:uid="{00000000-0006-0000-0000-000019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01" authorId="0" shapeId="0" xr:uid="{00000000-0006-0000-0000-00001A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C102" authorId="0" shapeId="0" xr:uid="{00000000-0006-0000-0000-00001B000000}">
      <text>
        <r>
          <rPr>
            <sz val="10"/>
            <rFont val="Arial"/>
            <family val="2"/>
          </rPr>
          <t xml:space="preserve">Informar a durabilidade estimada em meses, para cada EPI
</t>
        </r>
      </text>
    </comment>
    <comment ref="D103" authorId="0" shapeId="0" xr:uid="{00000000-0006-0000-0000-000032000000}">
      <text>
        <r>
          <rPr>
            <sz val="10"/>
            <rFont val="Arial"/>
            <family val="2"/>
          </rPr>
          <t>Informar o valor mensal de higienização de uniforme para 1 funcionário</t>
        </r>
      </text>
    </comment>
    <comment ref="D114" authorId="0" shapeId="0" xr:uid="{00000000-0006-0000-0000-000033000000}">
      <text>
        <r>
          <rPr>
            <sz val="10"/>
            <rFont val="Arial"/>
            <family val="2"/>
          </rPr>
          <t>Informar o preço unitário do chassis do caminhão de coleta</t>
        </r>
      </text>
    </comment>
    <comment ref="C115" authorId="0" shapeId="0" xr:uid="{00000000-0006-0000-0000-00001C000000}">
      <text>
        <r>
          <rPr>
            <sz val="10"/>
            <rFont val="Arial"/>
            <family val="2"/>
          </rPr>
          <t>Informar a vida útil estimada para o caminhão, em anos</t>
        </r>
      </text>
    </comment>
    <comment ref="C116" authorId="0" shapeId="0" xr:uid="{00000000-0006-0000-0000-00001D000000}">
      <text>
        <r>
          <rPr>
            <sz val="10"/>
            <rFont val="Arial"/>
            <family val="2"/>
          </rPr>
          <t>Na elaboração do orçamento-base da licitação, informar 0 (zero). Na proposta da licitante, informar a idade do veículo proposto.</t>
        </r>
      </text>
    </comment>
    <comment ref="C117" authorId="0" shapeId="0" xr:uid="{00000000-0006-0000-0000-00001E000000}">
      <text>
        <r>
          <rPr>
            <sz val="10"/>
            <rFont val="Arial"/>
            <family val="2"/>
          </rPr>
          <t xml:space="preserve">Informar o valor da depreciação do caminhão, adotando o valor sugerido pelo TCE ou outro valor estimado 
</t>
        </r>
      </text>
    </comment>
    <comment ref="C120" authorId="0" shapeId="0" xr:uid="{00000000-0006-0000-0000-00001F000000}">
      <text>
        <r>
          <rPr>
            <sz val="10"/>
            <rFont val="Arial"/>
            <family val="2"/>
          </rPr>
          <t>Informar a quantidade de caminhões compactadores do respectivo modelo</t>
        </r>
      </text>
    </comment>
    <comment ref="C126" authorId="0" shapeId="0" xr:uid="{00000000-0006-0000-0000-000020000000}">
      <text>
        <r>
          <rPr>
            <sz val="10"/>
            <rFont val="Arial"/>
            <family val="2"/>
          </rPr>
          <t xml:space="preserve">Informar a taxa de juros anual para remuneração do capital. Recomenda-se o uso da Taxa SELIC
</t>
        </r>
      </text>
    </comment>
    <comment ref="B136" authorId="0" shapeId="0" xr:uid="{00000000-0006-0000-0000-000006000000}">
      <text>
        <r>
          <rPr>
            <sz val="10"/>
            <rFont val="Arial"/>
            <family val="2"/>
          </rPr>
          <t xml:space="preserve">Informar a quilometragem mensal percorrida, de acordo com o projeto básico
</t>
        </r>
      </text>
    </comment>
    <comment ref="C139" authorId="0" shapeId="0" xr:uid="{00000000-0006-0000-0000-000021000000}">
      <text>
        <r>
          <rPr>
            <sz val="10"/>
            <rFont val="Arial"/>
            <family val="2"/>
          </rPr>
          <t>Informar o consumo estimado do veículo em km/l</t>
        </r>
      </text>
    </comment>
    <comment ref="D139" authorId="0" shapeId="0" xr:uid="{00000000-0006-0000-0000-000034000000}">
      <text>
        <r>
          <rPr>
            <sz val="10"/>
            <rFont val="Arial"/>
            <family val="2"/>
          </rPr>
          <t xml:space="preserve">Informar o preço unitário do combustivel
</t>
        </r>
      </text>
    </comment>
    <comment ref="C141" authorId="0" shapeId="0" xr:uid="{00000000-0006-0000-0000-000022000000}">
      <text>
        <r>
          <rPr>
            <sz val="10"/>
            <rFont val="Arial"/>
            <family val="2"/>
          </rPr>
          <t>Informar o consumo de óleo do motor a cada 1000km</t>
        </r>
      </text>
    </comment>
    <comment ref="D141" authorId="0" shapeId="0" xr:uid="{00000000-0006-0000-0000-000035000000}">
      <text>
        <r>
          <rPr>
            <sz val="10"/>
            <rFont val="Arial"/>
            <family val="2"/>
          </rPr>
          <t xml:space="preserve">Informar o preço unitário do litro do óleo do motor
</t>
        </r>
      </text>
    </comment>
    <comment ref="C143" authorId="0" shapeId="0" xr:uid="{00000000-0006-0000-0000-000023000000}">
      <text>
        <r>
          <rPr>
            <sz val="10"/>
            <rFont val="Arial"/>
            <family val="2"/>
          </rPr>
          <t>Informar o consumo de óleo da transmissão a cada 1000km</t>
        </r>
      </text>
    </comment>
    <comment ref="D143" authorId="0" shapeId="0" xr:uid="{00000000-0006-0000-0000-000036000000}">
      <text>
        <r>
          <rPr>
            <sz val="10"/>
            <rFont val="Arial"/>
            <family val="2"/>
          </rPr>
          <t xml:space="preserve">Informar o preço unitário do litro do óleo da transmissão
</t>
        </r>
      </text>
    </comment>
    <comment ref="C145" authorId="0" shapeId="0" xr:uid="{00000000-0006-0000-0000-000024000000}">
      <text>
        <r>
          <rPr>
            <sz val="10"/>
            <rFont val="Arial"/>
            <family val="2"/>
          </rPr>
          <t>Informar o consumo de óleo hidráulico a cada 1000km</t>
        </r>
      </text>
    </comment>
    <comment ref="D145" authorId="0" shapeId="0" xr:uid="{00000000-0006-0000-0000-000037000000}">
      <text>
        <r>
          <rPr>
            <sz val="10"/>
            <rFont val="Arial"/>
            <family val="2"/>
          </rPr>
          <t xml:space="preserve">Informar o preço unitário do litro do óleo hidráulico
</t>
        </r>
      </text>
    </comment>
    <comment ref="C147" authorId="0" shapeId="0" xr:uid="{00000000-0006-0000-0000-000025000000}">
      <text>
        <r>
          <rPr>
            <sz val="10"/>
            <rFont val="Arial"/>
            <family val="2"/>
          </rPr>
          <t>Informar o consumo de graxa a cada 1000km</t>
        </r>
      </text>
    </comment>
    <comment ref="D147" authorId="0" shapeId="0" xr:uid="{00000000-0006-0000-0000-000038000000}">
      <text>
        <r>
          <rPr>
            <sz val="10"/>
            <rFont val="Arial"/>
            <family val="2"/>
          </rPr>
          <t xml:space="preserve">Informar o preço unitário do litro da graxa
</t>
        </r>
      </text>
    </comment>
    <comment ref="D154" authorId="0" shapeId="0" xr:uid="{00000000-0006-0000-0000-000039000000}">
      <text>
        <r>
          <rPr>
            <sz val="10"/>
            <rFont val="Arial"/>
            <family val="2"/>
          </rPr>
          <t xml:space="preserve">Informar o custo de manutenção em R$/km rodado
</t>
        </r>
      </text>
    </comment>
    <comment ref="C162" authorId="0" shapeId="0" xr:uid="{00000000-0006-0000-0000-000026000000}">
      <text>
        <r>
          <rPr>
            <sz val="10"/>
            <rFont val="Arial"/>
            <family val="2"/>
          </rPr>
          <t>Informar a quantidade de pneus novos de 1 caminhão</t>
        </r>
      </text>
    </comment>
    <comment ref="D162" authorId="0" shapeId="0" xr:uid="{00000000-0006-0000-0000-00003A000000}">
      <text>
        <r>
          <rPr>
            <sz val="10"/>
            <rFont val="Arial"/>
            <family val="2"/>
          </rPr>
          <t xml:space="preserve">Informar o preço unitário de cada pneu
</t>
        </r>
      </text>
    </comment>
    <comment ref="C163" authorId="0" shapeId="0" xr:uid="{00000000-0006-0000-0000-000027000000}">
      <text>
        <r>
          <rPr>
            <sz val="10"/>
            <rFont val="Arial"/>
            <family val="2"/>
          </rPr>
          <t>Informar o número de recapagens por pneu</t>
        </r>
      </text>
    </comment>
    <comment ref="C164" authorId="0" shapeId="0" xr:uid="{00000000-0006-0000-0000-000028000000}">
      <text>
        <r>
          <rPr>
            <sz val="10"/>
            <rFont val="Arial"/>
            <family val="2"/>
          </rPr>
          <t xml:space="preserve">Informar a durabilidade média dos pneus considerando as recapagens, em km
</t>
        </r>
      </text>
    </comment>
    <comment ref="A172" authorId="0" shapeId="0" xr:uid="{00000000-0006-0000-0000-000004000000}">
      <text>
        <r>
          <rPr>
            <sz val="10"/>
            <rFont val="Arial"/>
            <family val="2"/>
          </rPr>
          <t xml:space="preserve">Especificar somente quando for exigido no Projeto Básico
</t>
        </r>
      </text>
    </comment>
    <comment ref="D175" authorId="0" shapeId="0" xr:uid="{00000000-0006-0000-0000-00003B000000}">
      <text>
        <r>
          <rPr>
            <sz val="10"/>
            <rFont val="Arial"/>
            <family val="2"/>
          </rPr>
          <t>Informar o valor total para instalação do equipamento de monitoramento da frota, se houver</t>
        </r>
      </text>
    </comment>
    <comment ref="D177" authorId="0" shapeId="0" xr:uid="{00000000-0006-0000-0000-00003C000000}">
      <text>
        <r>
          <rPr>
            <sz val="10"/>
            <rFont val="Arial"/>
            <family val="2"/>
          </rPr>
          <t>Informar o valor unitário mensal para manutenção dos equipamentos de monitoramento</t>
        </r>
      </text>
    </comment>
    <comment ref="C188" authorId="0" shapeId="0" xr:uid="{00000000-0006-0000-0000-000029000000}">
      <text>
        <r>
          <rPr>
            <sz val="10"/>
            <rFont val="Arial"/>
            <family val="2"/>
          </rPr>
          <t>Preencher a aba 4.BDI</t>
        </r>
      </text>
    </comment>
    <comment ref="D197" authorId="0" shapeId="0" xr:uid="{00000000-0006-0000-0000-00003D000000}">
      <text>
        <r>
          <rPr>
            <sz val="10"/>
            <rFont val="Arial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G37" authorId="0" shapeId="0" xr:uid="{00000000-0006-0000-0200-000001000000}">
      <text>
        <r>
          <rPr>
            <sz val="10"/>
            <rFont val="Arial"/>
            <family val="2"/>
          </rPr>
          <t xml:space="preserve">Jorge Mesquita:
</t>
        </r>
        <r>
          <rPr>
            <sz val="9"/>
            <color rgb="FF000000"/>
            <rFont val="Tahoma"/>
            <family val="2"/>
            <charset val="1"/>
          </rPr>
          <t xml:space="preserve">Criar um tipo de arredondamento.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 desconhecido</author>
  </authors>
  <commentList>
    <comment ref="C10" authorId="0" shapeId="0" xr:uid="{00000000-0006-0000-0300-000001000000}">
      <text>
        <r>
          <rPr>
            <sz val="10"/>
            <rFont val="Arial"/>
            <family val="2"/>
          </rPr>
          <t xml:space="preserve">Informar o % de Administração Central estimado
</t>
        </r>
      </text>
    </comment>
    <comment ref="C11" authorId="0" shapeId="0" xr:uid="{00000000-0006-0000-0300-000002000000}">
      <text>
        <r>
          <rPr>
            <sz val="10"/>
            <rFont val="Arial"/>
            <family val="2"/>
          </rPr>
          <t xml:space="preserve">Informar o % de Seguros, Riscos e Garantia estimado
</t>
        </r>
      </text>
    </comment>
    <comment ref="C12" authorId="0" shapeId="0" xr:uid="{00000000-0006-0000-0300-000003000000}">
      <text>
        <r>
          <rPr>
            <sz val="10"/>
            <rFont val="Arial"/>
            <family val="2"/>
          </rPr>
          <t xml:space="preserve">Informar o % de Lucro estimado
</t>
        </r>
      </text>
    </comment>
    <comment ref="E13" authorId="0" shapeId="0" xr:uid="{00000000-0006-0000-0300-000006000000}">
      <text>
        <r>
          <rPr>
            <sz val="10"/>
            <rFont val="Arial"/>
            <family val="2"/>
          </rPr>
          <t>Informar o valor anual da taxa financeira, em percentual. Admite-se utilizar a SELIC</t>
        </r>
      </text>
    </comment>
    <comment ref="C14" authorId="0" shapeId="0" xr:uid="{00000000-0006-0000-0300-000004000000}">
      <text>
        <r>
          <rPr>
            <sz val="10"/>
            <rFont val="Arial"/>
            <family val="2"/>
          </rPr>
          <t xml:space="preserve">Informar o percentual de ISS, de acordo com a legislação tributária do município onde serão prestados os serviços. De 2% até o limite de 5%.
</t>
        </r>
      </text>
    </comment>
    <comment ref="E14" authorId="0" shapeId="0" xr:uid="{00000000-0006-0000-0300-000007000000}">
      <text>
        <r>
          <rPr>
            <sz val="10"/>
            <rFont val="Arial"/>
            <family val="2"/>
          </rPr>
          <t xml:space="preserve">Informar a média de dias úteis entre data de pagamento prevista no contrato e a data final do período de adimplemento da parcela
</t>
        </r>
      </text>
    </comment>
    <comment ref="C15" authorId="0" shapeId="0" xr:uid="{00000000-0006-0000-0300-000005000000}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<sst xmlns="http://schemas.openxmlformats.org/spreadsheetml/2006/main" count="422" uniqueCount="276">
  <si>
    <t xml:space="preserve">1. Carregamento de Resíduos Sólidos  </t>
  </si>
  <si>
    <t>Planilha de Composição de Custos</t>
  </si>
  <si>
    <t>Orçamento Sintético</t>
  </si>
  <si>
    <t>Descrição do Item</t>
  </si>
  <si>
    <t>Custo (R$/mês)</t>
  </si>
  <si>
    <t>%</t>
  </si>
  <si>
    <t>1.2. Auxiliar de operador Turno do Dia</t>
  </si>
  <si>
    <t>PREÇO TOTAL MENSAL DO CARREGAMENTO</t>
  </si>
  <si>
    <t>Quantitativos</t>
  </si>
  <si>
    <t>Mão-de-obra</t>
  </si>
  <si>
    <t>Quantidade</t>
  </si>
  <si>
    <t>Total de mão-de-obra (postos de trabalho)</t>
  </si>
  <si>
    <t>Veículos e Equipamentos</t>
  </si>
  <si>
    <t>3.1. Custo de aquisição da Escavadeira Hidráulica</t>
  </si>
  <si>
    <t>Fator de utilização (FU)</t>
  </si>
  <si>
    <t>1. Mão-de-obra</t>
  </si>
  <si>
    <t>1.1. Operador Turno do Dia</t>
  </si>
  <si>
    <t>Discriminação</t>
  </si>
  <si>
    <t>Unidade</t>
  </si>
  <si>
    <t>Custo unitário</t>
  </si>
  <si>
    <t>Subtotal</t>
  </si>
  <si>
    <r>
      <t xml:space="preserve">Total </t>
    </r>
    <r>
      <rPr>
        <b/>
        <u/>
        <sz val="9"/>
        <rFont val="Arial"/>
        <scheme val="major"/>
      </rPr>
      <t>(R$)</t>
    </r>
  </si>
  <si>
    <t>Piso da categoria (1)</t>
  </si>
  <si>
    <t>mês</t>
  </si>
  <si>
    <t>Salário mínimo nacional (2)</t>
  </si>
  <si>
    <t>Horas Extras (100%)</t>
  </si>
  <si>
    <t>hora</t>
  </si>
  <si>
    <t>Horas Extras (50%)</t>
  </si>
  <si>
    <t>Descanso Semanal Remunerado (DSR) - hora extra (50%)</t>
  </si>
  <si>
    <t>R$</t>
  </si>
  <si>
    <t>alterado - cartilha TCE</t>
  </si>
  <si>
    <t>Base de cálculo da Insalubridade</t>
  </si>
  <si>
    <t>Adicional de Insalubridade</t>
  </si>
  <si>
    <t>Soma</t>
  </si>
  <si>
    <t>Encargos Sociais</t>
  </si>
  <si>
    <t>Desconto do Vale refeição</t>
  </si>
  <si>
    <t>Total por Operador</t>
  </si>
  <si>
    <t>Total do Efetivo</t>
  </si>
  <si>
    <t>homem</t>
  </si>
  <si>
    <t>Fator de utilização</t>
  </si>
  <si>
    <t>Jornada de trabalho semanal - 44h/s (seg a sex 8h sab manha 4 + 4 extra 50% a tarde)</t>
  </si>
  <si>
    <t>(alterada - convenção coletiva de trabalho 2024 RS - cod5143)</t>
  </si>
  <si>
    <t>16 porque são 4 horas por sábado</t>
  </si>
  <si>
    <t>hora extra - salário base + insalubridade</t>
  </si>
  <si>
    <t>Hora extra mês</t>
  </si>
  <si>
    <t>1.3. Vale Transporte</t>
  </si>
  <si>
    <t>Vale Transporte</t>
  </si>
  <si>
    <t>Dias Trabalhados por mês</t>
  </si>
  <si>
    <t>dia</t>
  </si>
  <si>
    <t>Operador e Auxiliar</t>
  </si>
  <si>
    <t>vale</t>
  </si>
  <si>
    <t>1.4. Vale-refeição (diário)</t>
  </si>
  <si>
    <t>unidade</t>
  </si>
  <si>
    <t>1.5. Auxílio Alimentação (mensal)</t>
  </si>
  <si>
    <t>Custo Mensal com Mão-de-obra (R$/mês)</t>
  </si>
  <si>
    <t>2. Uniformes e Equipamentos de Proteção Individual</t>
  </si>
  <si>
    <t>2.1. Uniformes e EPIs para Operador e Auxiliar</t>
  </si>
  <si>
    <t>Durabilidade (meses)</t>
  </si>
  <si>
    <t>Jaqueta com reflexivo (NBR 15.292)</t>
  </si>
  <si>
    <t>Calça</t>
  </si>
  <si>
    <t>Camiseta</t>
  </si>
  <si>
    <t>Botina de segurança c/ palmilha aço</t>
  </si>
  <si>
    <t>par</t>
  </si>
  <si>
    <t>Capa de chuva amarela com reflexivo</t>
  </si>
  <si>
    <t>Protetor solar FPS 30</t>
  </si>
  <si>
    <t>frasco 120g</t>
  </si>
  <si>
    <t>Higienização de uniformes e EPIs</t>
  </si>
  <si>
    <t>R$ mensal</t>
  </si>
  <si>
    <t>Custo Mensal com Uniformes e EPIs (R$/mês)</t>
  </si>
  <si>
    <t>3. Escavadeira Hidráulica Para Carregamento de Resíduos Sólidos</t>
  </si>
  <si>
    <t>3.1. Depreciação</t>
  </si>
  <si>
    <t xml:space="preserve">Custo de aquisição da Escavadeira </t>
  </si>
  <si>
    <t>DNIT E9515</t>
  </si>
  <si>
    <t>Vida útil da Escavadeira</t>
  </si>
  <si>
    <t>anos</t>
  </si>
  <si>
    <t>Idade da Escavadeira</t>
  </si>
  <si>
    <t>Depreciação do chassis</t>
  </si>
  <si>
    <t>Depreciação mensal da Escavadeira</t>
  </si>
  <si>
    <t>Total por Veículo</t>
  </si>
  <si>
    <t>Total da frota</t>
  </si>
  <si>
    <t>3.2. Remuneração do Capital</t>
  </si>
  <si>
    <r>
      <t xml:space="preserve">Total </t>
    </r>
    <r>
      <rPr>
        <b/>
        <u/>
        <sz val="9"/>
        <rFont val="Arial"/>
        <scheme val="minor"/>
      </rPr>
      <t>(R$)</t>
    </r>
  </si>
  <si>
    <t>Custo do chassis</t>
  </si>
  <si>
    <t>Taxa de juros anual nominal</t>
  </si>
  <si>
    <t>Valor da escavadeira proposta (V0)</t>
  </si>
  <si>
    <t>Investimento médio total do chassis</t>
  </si>
  <si>
    <t>Remuneração mensal de capital do chassis</t>
  </si>
  <si>
    <t>3.3. Consumos</t>
  </si>
  <si>
    <t>Horas Trabalhadas  mensal</t>
  </si>
  <si>
    <t>Consumo</t>
  </si>
  <si>
    <t>Custo de óleo diesel / horas trabalhadas</t>
  </si>
  <si>
    <t>Litros / hora</t>
  </si>
  <si>
    <t>Custo mensal com óleo diesel</t>
  </si>
  <si>
    <t>Horas</t>
  </si>
  <si>
    <t>Custo de óleo do motor / horas trabalhadas</t>
  </si>
  <si>
    <t>Custo mensal com óleo do motor</t>
  </si>
  <si>
    <t>300 h - em torno de 7.000,00</t>
  </si>
  <si>
    <t>Custo de óleo da transmissão / horas trabalhadas</t>
  </si>
  <si>
    <t>Custo mensal com óleo da transmissão</t>
  </si>
  <si>
    <t>2000 h - 6.000,00</t>
  </si>
  <si>
    <t>Custo de óleo hidráulico / horas trabalhadas</t>
  </si>
  <si>
    <t>Custo mensal com óleo hidráulico</t>
  </si>
  <si>
    <t>2000 h - 200 l - 20.000,00 (filtro, mecanico, óleo, deslocamento)</t>
  </si>
  <si>
    <t>Custo de graxa / kilos</t>
  </si>
  <si>
    <t>Kg / mês</t>
  </si>
  <si>
    <t>Custo mensal com graxa</t>
  </si>
  <si>
    <t>Rodante -</t>
  </si>
  <si>
    <t>4.000 h</t>
  </si>
  <si>
    <t>200.000,00 (rolete inferior e sup, roda guia (lisa), roda motriz, sapata, corrente (prende sapata que rola nos roletes) parafuso sapata e rolete e reparo do cilíndro do pistão que estica a correa)</t>
  </si>
  <si>
    <t>Custo com consumos/Horas Trabalhadas</t>
  </si>
  <si>
    <t>R$/h Trabalhado</t>
  </si>
  <si>
    <t xml:space="preserve">Concha - </t>
  </si>
  <si>
    <t>3 vezes ao ano -</t>
  </si>
  <si>
    <t>3.4. Manutenção</t>
  </si>
  <si>
    <t>Custo de manutenção da Escavadeira Hidrálica - Sicro 1.4 Manutenção</t>
  </si>
  <si>
    <t>R$/Horas</t>
  </si>
  <si>
    <t>(REFERENCIA SICRO 1.4 - MANUTENÇÃO)</t>
  </si>
  <si>
    <t>3.5. Material Rodante</t>
  </si>
  <si>
    <t>Custo do conjunto do material rodante</t>
  </si>
  <si>
    <t>Número de troca do conjunto anual</t>
  </si>
  <si>
    <t xml:space="preserve">Custo conjunto completo </t>
  </si>
  <si>
    <t>Custo mensal do cj. do material rodante</t>
  </si>
  <si>
    <t>Custo Mensal com Escavadeira Hidrálica e Equipamentos (R$/mês)</t>
  </si>
  <si>
    <t>4. Monitoramento da Frota</t>
  </si>
  <si>
    <t>Implantação dos equipamentos de monitoramento</t>
  </si>
  <si>
    <t>cj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</si>
  <si>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</si>
  <si>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</si>
  <si>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</si>
  <si>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</si>
  <si>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CUSTO TOTAL MENSAL COM DESPESAS OPERACIONAIS (R$/mês)</t>
  </si>
  <si>
    <t>5. Benefícios e Despesas Indiretas - BDI</t>
  </si>
  <si>
    <t>Benefícios e despesas indiretas</t>
  </si>
  <si>
    <t>CUSTO MENSAL DO BDI (R$/mês)</t>
  </si>
  <si>
    <t>PREÇO MENSAL TOTAL COM BDI (R$/mês)</t>
  </si>
  <si>
    <t xml:space="preserve">Quantidade média de resíduos carregado por mês: </t>
  </si>
  <si>
    <t>toneladas</t>
  </si>
  <si>
    <t>PREÇO POR TONELADA CARREGADO:  [A/B]</t>
  </si>
  <si>
    <t>R$/tonelada</t>
  </si>
  <si>
    <t>_________________________________</t>
  </si>
  <si>
    <t>Responsável técnico</t>
  </si>
  <si>
    <t>NAEL ABD ALI</t>
  </si>
  <si>
    <t>Arquiteto &amp; Urbanista</t>
  </si>
  <si>
    <t>Engenheiro de Segurança do Trabalho</t>
  </si>
  <si>
    <t>CAU – A35721-9</t>
  </si>
  <si>
    <t>Orientações para preenchimento: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</si>
  <si>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</si>
  <si>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</si>
  <si>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</si>
  <si>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</si>
  <si>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</si>
  <si>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</si>
  <si>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</si>
  <si>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</si>
  <si>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</si>
  <si>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</si>
  <si>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</si>
  <si>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</si>
  <si>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</si>
  <si>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</si>
  <si>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</si>
  <si>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</si>
  <si>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</si>
  <si>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</si>
  <si>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</si>
  <si>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</si>
  <si>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</si>
  <si>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</si>
  <si>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</si>
  <si>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</si>
  <si>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SOMA GRUPO A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</si>
  <si>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</si>
  <si>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</si>
  <si>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</si>
  <si>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</si>
  <si>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</si>
  <si>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</si>
  <si>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</si>
  <si>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</si>
  <si>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B8</t>
  </si>
  <si>
    <t>Auxilio acidente de trabalho</t>
  </si>
  <si>
    <t>B9</t>
  </si>
  <si>
    <t>Férias Gozadas</t>
  </si>
  <si>
    <t>B10</t>
  </si>
  <si>
    <t>Salário Maternidade</t>
  </si>
  <si>
    <t>B</t>
  </si>
  <si>
    <t>SOMA GRUPO B</t>
  </si>
  <si>
    <t>C1</t>
  </si>
  <si>
    <t>Aviso prévio indenizado</t>
  </si>
  <si>
    <t>C2</t>
  </si>
  <si>
    <t>Aviso prévio trabalhado</t>
  </si>
  <si>
    <t>C3</t>
  </si>
  <si>
    <t xml:space="preserve">Férias indenizadas 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</si>
  <si>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</si>
  <si>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</si>
  <si>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</si>
  <si>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</si>
  <si>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</si>
  <si>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</si>
  <si>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</si>
  <si>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</si>
  <si>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</si>
  <si>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</si>
  <si>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</si>
  <si>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SOMA GRUPO D</t>
  </si>
  <si>
    <t>SOMA (A+B+C+D)</t>
  </si>
  <si>
    <t>CÁLCULO DAS VERBAS INDENIZATÓRIAS DOS EMPREGADOS NO SETOR DE COLETA DE RSU</t>
  </si>
  <si>
    <t>Para preencher esta planilha siga os passos 1 a 5:</t>
  </si>
  <si>
    <t xml:space="preserve">1. Acesse o Portal do CAGED no link http://bi.mte.gov.br/cagedestabelecimento/pages/consulta.xhtml </t>
  </si>
  <si>
    <t>2. Na Especificação da Consulta, selecione "Demonstrativo por período" e informe as competências relativas ao período Inicial e Final (últimos 12 meses)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</si>
  <si>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</si>
  <si>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</si>
  <si>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</si>
  <si>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6. 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</si>
  <si>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</si>
  <si>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</si>
  <si>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</si>
  <si>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</si>
  <si>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</si>
  <si>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</si>
  <si>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</si>
  <si>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</si>
  <si>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</si>
  <si>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</si>
  <si>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</si>
  <si>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</si>
  <si>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</si>
  <si>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</si>
  <si>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Estoque recuperado início do Período 01-01-2019</t>
  </si>
  <si>
    <t>Estoque recuperado final do Período 31-12-2019</t>
  </si>
  <si>
    <t>Variação Emprego Absoluta de 01-01-2019 a 31-12-2019</t>
  </si>
  <si>
    <t>Rotatividade</t>
  </si>
  <si>
    <t>Demitidos s/ Justa Causa em relação ao Estoque Médio</t>
  </si>
  <si>
    <t>Dias ano</t>
  </si>
  <si>
    <t>1/3 de férias (dias)</t>
  </si>
  <si>
    <t>Férias (dias)</t>
  </si>
  <si>
    <t>13º Salário (dias)</t>
  </si>
  <si>
    <t>Estoque Médio</t>
  </si>
  <si>
    <t>Multa FGTS</t>
  </si>
  <si>
    <t>Fração de tempo para gozo férias</t>
  </si>
  <si>
    <t>Dias de Aviso prévio</t>
  </si>
  <si>
    <t>Rotatividade temporal (meses)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</si>
  <si>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</si>
  <si>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</si>
  <si>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</si>
  <si>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</si>
  <si>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</si>
  <si>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</si>
  <si>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</si>
  <si>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</si>
  <si>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</si>
  <si>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</si>
  <si>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</si>
  <si>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</si>
  <si>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</si>
  <si>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</si>
  <si>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</si>
  <si>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</si>
  <si>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</si>
  <si>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</si>
  <si>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</si>
  <si>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</si>
  <si>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</si>
  <si>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</si>
  <si>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</si>
  <si>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</si>
  <si>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</si>
  <si>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</si>
  <si>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</si>
  <si>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</si>
  <si>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rgb="FF000000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</si>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</sst>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* #,##0.00_-;\-* #,##0.00_-;_-* \-??_-;_-@_-"/>
    <numFmt numFmtId="169" formatCode="_(* #,##0.000_);_(* \(#,##0.000\);_(* \-??_);_(@_)"/>
    <numFmt numFmtId="170" formatCode="0.0000"/>
    <numFmt numFmtId="171" formatCode="&quot;R$&quot;\ #,##0.00"/>
  </numFmts>
  <fonts count="37">
    <font>
      <sz val="10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u/>
      <sz val="10"/>
      <color rgb="FF0000FF"/>
      <name val="Arial"/>
      <family val="2"/>
      <charset val="1"/>
    </font>
    <font>
      <sz val="10"/>
      <name val="Arial"/>
      <family val="2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9"/>
      <color rgb="FF000000"/>
      <name val="Tahoma"/>
      <family val="2"/>
      <charset val="1"/>
    </font>
    <font>
      <sz val="12"/>
      <color rgb="FF000000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0"/>
      <name val="Arial"/>
      <family val="2"/>
      <charset val="1"/>
    </font>
    <font>
      <b/>
      <u/>
      <sz val="9"/>
      <name val="Arial"/>
      <scheme val="major"/>
    </font>
    <font>
      <b/>
      <sz val="14"/>
      <name val="Arial"/>
      <scheme val="major"/>
    </font>
    <font>
      <sz val="11"/>
      <name val="Arial"/>
      <scheme val="major"/>
    </font>
    <font>
      <b/>
      <sz val="11"/>
      <name val="Arial"/>
      <scheme val="major"/>
    </font>
    <font>
      <sz val="10"/>
      <name val="Arial"/>
      <scheme val="major"/>
    </font>
    <font>
      <b/>
      <sz val="12"/>
      <name val="Arial"/>
      <scheme val="major"/>
    </font>
    <font>
      <b/>
      <sz val="10"/>
      <name val="Arial"/>
      <scheme val="major"/>
    </font>
    <font>
      <b/>
      <sz val="9"/>
      <name val="Arial"/>
      <scheme val="major"/>
    </font>
    <font>
      <sz val="8"/>
      <name val="Arial"/>
      <scheme val="major"/>
    </font>
    <font>
      <sz val="10"/>
      <color rgb="FF000000"/>
      <name val="Arial"/>
      <scheme val="major"/>
    </font>
    <font>
      <sz val="10"/>
      <color theme="1"/>
      <name val="Arial"/>
      <scheme val="major"/>
    </font>
    <font>
      <u/>
      <sz val="10"/>
      <color rgb="FF0000FF"/>
      <name val="Arial"/>
      <scheme val="major"/>
    </font>
    <font>
      <sz val="10"/>
      <color rgb="FFC9211E"/>
      <name val="Arial"/>
      <scheme val="major"/>
    </font>
    <font>
      <sz val="9"/>
      <name val="Arial"/>
      <scheme val="major"/>
    </font>
    <font>
      <i/>
      <sz val="10"/>
      <name val="Arial"/>
      <scheme val="major"/>
    </font>
    <font>
      <sz val="10"/>
      <color rgb="FFFF0000"/>
      <name val="Arial"/>
      <scheme val="major"/>
    </font>
    <font>
      <b/>
      <u/>
      <sz val="9"/>
      <name val="Arial"/>
      <scheme val="minor"/>
    </font>
    <font>
      <sz val="10"/>
      <name val="Arial"/>
      <scheme val="minor"/>
    </font>
    <font>
      <u/>
      <sz val="10"/>
      <color rgb="FF0000FF"/>
      <name val="Arial"/>
      <scheme val="minor"/>
    </font>
    <font>
      <b/>
      <sz val="9"/>
      <name val="Arial"/>
      <scheme val="minor"/>
    </font>
    <font>
      <sz val="10"/>
      <color rgb="FFC9211E"/>
      <name val="Arial"/>
      <scheme val="minor"/>
    </font>
    <font>
      <b/>
      <sz val="10"/>
      <name val="Arial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D9F1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164" fontId="14" fillId="0" borderId="0" applyBorder="0" applyProtection="0"/>
    <xf numFmtId="9" fontId="14" fillId="0" borderId="0" applyBorder="0" applyProtection="0"/>
    <xf numFmtId="0" fontId="6" fillId="0" borderId="0" applyBorder="0" applyProtection="0"/>
  </cellStyleXfs>
  <cellXfs count="31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0" borderId="36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10" fontId="8" fillId="0" borderId="21" xfId="0" applyNumberFormat="1" applyFont="1" applyBorder="1" applyAlignment="1">
      <alignment horizontal="right" vertical="center"/>
    </xf>
    <xf numFmtId="0" fontId="8" fillId="6" borderId="36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 vertical="center"/>
    </xf>
    <xf numFmtId="10" fontId="9" fillId="6" borderId="21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0" fontId="0" fillId="0" borderId="0" xfId="0" applyNumberFormat="1"/>
    <xf numFmtId="9" fontId="8" fillId="0" borderId="0" xfId="2" applyFont="1" applyBorder="1" applyAlignment="1" applyProtection="1">
      <alignment horizontal="right" vertical="center"/>
    </xf>
    <xf numFmtId="0" fontId="8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center"/>
    </xf>
    <xf numFmtId="0" fontId="5" fillId="0" borderId="0" xfId="0" applyFont="1"/>
    <xf numFmtId="0" fontId="9" fillId="0" borderId="10" xfId="0" applyFont="1" applyBorder="1"/>
    <xf numFmtId="0" fontId="2" fillId="0" borderId="13" xfId="0" applyFont="1" applyBorder="1"/>
    <xf numFmtId="0" fontId="9" fillId="0" borderId="39" xfId="0" applyFont="1" applyBorder="1"/>
    <xf numFmtId="0" fontId="9" fillId="3" borderId="21" xfId="0" applyFont="1" applyFill="1" applyBorder="1"/>
    <xf numFmtId="0" fontId="9" fillId="0" borderId="36" xfId="0" applyFont="1" applyBorder="1"/>
    <xf numFmtId="0" fontId="2" fillId="0" borderId="36" xfId="0" applyFont="1" applyBorder="1"/>
    <xf numFmtId="0" fontId="2" fillId="3" borderId="21" xfId="0" applyFont="1" applyFill="1" applyBorder="1"/>
    <xf numFmtId="0" fontId="2" fillId="0" borderId="39" xfId="0" applyFont="1" applyBorder="1"/>
    <xf numFmtId="0" fontId="2" fillId="3" borderId="40" xfId="0" applyFont="1" applyFill="1" applyBorder="1"/>
    <xf numFmtId="0" fontId="2" fillId="0" borderId="41" xfId="0" applyFont="1" applyBorder="1"/>
    <xf numFmtId="0" fontId="2" fillId="3" borderId="42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9" fillId="0" borderId="43" xfId="0" applyFont="1" applyBorder="1"/>
    <xf numFmtId="170" fontId="9" fillId="0" borderId="40" xfId="0" applyNumberFormat="1" applyFont="1" applyBorder="1"/>
    <xf numFmtId="0" fontId="9" fillId="0" borderId="44" xfId="0" applyFont="1" applyBorder="1"/>
    <xf numFmtId="0" fontId="9" fillId="0" borderId="40" xfId="0" applyFont="1" applyBorder="1"/>
    <xf numFmtId="0" fontId="3" fillId="0" borderId="40" xfId="0" applyFont="1" applyBorder="1"/>
    <xf numFmtId="9" fontId="3" fillId="0" borderId="40" xfId="0" applyNumberFormat="1" applyFont="1" applyBorder="1"/>
    <xf numFmtId="170" fontId="5" fillId="0" borderId="0" xfId="0" applyNumberFormat="1" applyFont="1"/>
    <xf numFmtId="9" fontId="5" fillId="0" borderId="0" xfId="0" applyNumberFormat="1" applyFont="1"/>
    <xf numFmtId="170" fontId="3" fillId="0" borderId="40" xfId="0" applyNumberFormat="1" applyFont="1" applyBorder="1"/>
    <xf numFmtId="0" fontId="9" fillId="0" borderId="21" xfId="0" applyFont="1" applyBorder="1"/>
    <xf numFmtId="0" fontId="9" fillId="0" borderId="22" xfId="0" applyFont="1" applyBorder="1"/>
    <xf numFmtId="170" fontId="3" fillId="0" borderId="24" xfId="0" applyNumberFormat="1" applyFont="1" applyBorder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9" fontId="2" fillId="0" borderId="36" xfId="2" applyFont="1" applyBorder="1" applyProtection="1"/>
    <xf numFmtId="9" fontId="2" fillId="0" borderId="12" xfId="2" applyFont="1" applyBorder="1" applyAlignment="1" applyProtection="1">
      <alignment horizontal="center"/>
    </xf>
    <xf numFmtId="9" fontId="2" fillId="0" borderId="21" xfId="2" applyFont="1" applyBorder="1" applyProtection="1"/>
    <xf numFmtId="0" fontId="2" fillId="0" borderId="45" xfId="0" applyFont="1" applyBorder="1" applyAlignment="1">
      <alignment horizontal="left" vertical="center"/>
    </xf>
    <xf numFmtId="0" fontId="2" fillId="0" borderId="46" xfId="0" applyFont="1" applyBorder="1" applyAlignment="1">
      <alignment horizontal="center" vertical="center"/>
    </xf>
    <xf numFmtId="10" fontId="2" fillId="3" borderId="9" xfId="0" applyNumberFormat="1" applyFont="1" applyFill="1" applyBorder="1" applyAlignment="1">
      <alignment horizontal="center" vertical="center"/>
    </xf>
    <xf numFmtId="10" fontId="2" fillId="0" borderId="36" xfId="2" applyNumberFormat="1" applyFont="1" applyBorder="1" applyAlignment="1" applyProtection="1">
      <alignment horizontal="right"/>
    </xf>
    <xf numFmtId="10" fontId="2" fillId="0" borderId="12" xfId="2" applyNumberFormat="1" applyFont="1" applyBorder="1" applyAlignment="1" applyProtection="1">
      <alignment horizontal="right"/>
    </xf>
    <xf numFmtId="10" fontId="2" fillId="0" borderId="21" xfId="2" applyNumberFormat="1" applyFont="1" applyBorder="1" applyAlignment="1" applyProtection="1">
      <alignment horizontal="right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10" fontId="2" fillId="3" borderId="21" xfId="0" applyNumberFormat="1" applyFont="1" applyFill="1" applyBorder="1" applyAlignment="1">
      <alignment horizontal="center" vertical="center"/>
    </xf>
    <xf numFmtId="10" fontId="2" fillId="0" borderId="21" xfId="0" applyNumberFormat="1" applyFont="1" applyBorder="1" applyAlignment="1">
      <alignment horizontal="center" vertical="center"/>
    </xf>
    <xf numFmtId="10" fontId="2" fillId="3" borderId="12" xfId="2" applyNumberFormat="1" applyFont="1" applyFill="1" applyBorder="1" applyAlignment="1" applyProtection="1">
      <alignment horizontal="center"/>
    </xf>
    <xf numFmtId="10" fontId="2" fillId="0" borderId="21" xfId="2" applyNumberFormat="1" applyFont="1" applyBorder="1" applyProtection="1"/>
    <xf numFmtId="0" fontId="2" fillId="0" borderId="36" xfId="0" applyFont="1" applyBorder="1" applyAlignment="1">
      <alignment horizontal="right"/>
    </xf>
    <xf numFmtId="0" fontId="2" fillId="3" borderId="12" xfId="0" applyFont="1" applyFill="1" applyBorder="1" applyAlignment="1">
      <alignment horizontal="center"/>
    </xf>
    <xf numFmtId="0" fontId="2" fillId="0" borderId="21" xfId="0" applyFont="1" applyBorder="1"/>
    <xf numFmtId="0" fontId="2" fillId="0" borderId="37" xfId="0" applyFont="1" applyBorder="1" applyAlignment="1">
      <alignment horizontal="left" vertical="center"/>
    </xf>
    <xf numFmtId="10" fontId="2" fillId="3" borderId="38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25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10" fontId="2" fillId="0" borderId="48" xfId="0" applyNumberFormat="1" applyFont="1" applyBorder="1" applyAlignment="1">
      <alignment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49" xfId="0" applyFont="1" applyBorder="1" applyAlignment="1">
      <alignment vertical="center"/>
    </xf>
    <xf numFmtId="0" fontId="3" fillId="6" borderId="15" xfId="0" applyFont="1" applyFill="1" applyBorder="1" applyAlignment="1">
      <alignment vertical="center" wrapText="1"/>
    </xf>
    <xf numFmtId="0" fontId="2" fillId="6" borderId="16" xfId="0" applyFont="1" applyFill="1" applyBorder="1" applyAlignment="1">
      <alignment vertical="center"/>
    </xf>
    <xf numFmtId="10" fontId="3" fillId="6" borderId="26" xfId="0" applyNumberFormat="1" applyFont="1" applyFill="1" applyBorder="1" applyAlignment="1">
      <alignment horizontal="center" vertical="center" wrapText="1"/>
    </xf>
    <xf numFmtId="10" fontId="2" fillId="0" borderId="37" xfId="2" applyNumberFormat="1" applyFont="1" applyBorder="1" applyAlignment="1" applyProtection="1">
      <alignment horizontal="right"/>
    </xf>
    <xf numFmtId="10" fontId="2" fillId="0" borderId="14" xfId="2" applyNumberFormat="1" applyFont="1" applyBorder="1" applyAlignment="1" applyProtection="1">
      <alignment horizontal="right"/>
    </xf>
    <xf numFmtId="10" fontId="2" fillId="0" borderId="38" xfId="2" applyNumberFormat="1" applyFont="1" applyBorder="1" applyAlignment="1" applyProtection="1">
      <alignment horizontal="right"/>
    </xf>
    <xf numFmtId="0" fontId="8" fillId="0" borderId="36" xfId="0" applyFont="1" applyBorder="1" applyAlignment="1">
      <alignment horizontal="center" vertical="center"/>
    </xf>
    <xf numFmtId="2" fontId="8" fillId="9" borderId="12" xfId="0" applyNumberFormat="1" applyFont="1" applyFill="1" applyBorder="1" applyAlignment="1">
      <alignment horizontal="right" vertical="center"/>
    </xf>
    <xf numFmtId="0" fontId="8" fillId="0" borderId="37" xfId="0" applyFont="1" applyBorder="1" applyAlignment="1">
      <alignment horizontal="center" vertical="center"/>
    </xf>
    <xf numFmtId="2" fontId="8" fillId="9" borderId="14" xfId="0" applyNumberFormat="1" applyFont="1" applyFill="1" applyBorder="1" applyAlignment="1">
      <alignment horizontal="right" vertical="center"/>
    </xf>
    <xf numFmtId="0" fontId="1" fillId="8" borderId="1" xfId="0" applyFont="1" applyFill="1" applyBorder="1" applyAlignment="1">
      <alignment horizontal="center"/>
    </xf>
    <xf numFmtId="0" fontId="0" fillId="0" borderId="50" xfId="0" applyBorder="1"/>
    <xf numFmtId="0" fontId="12" fillId="0" borderId="50" xfId="0" applyFont="1" applyBorder="1" applyAlignment="1">
      <alignment horizontal="justify"/>
    </xf>
    <xf numFmtId="0" fontId="12" fillId="0" borderId="51" xfId="0" applyFont="1" applyBorder="1" applyAlignment="1">
      <alignment horizontal="justify"/>
    </xf>
    <xf numFmtId="10" fontId="5" fillId="0" borderId="0" xfId="0" applyNumberFormat="1" applyFont="1"/>
    <xf numFmtId="0" fontId="9" fillId="10" borderId="36" xfId="0" applyFont="1" applyFill="1" applyBorder="1" applyAlignment="1">
      <alignment horizontal="left" vertical="center"/>
    </xf>
    <xf numFmtId="0" fontId="9" fillId="10" borderId="12" xfId="0" applyFont="1" applyFill="1" applyBorder="1" applyAlignment="1">
      <alignment horizontal="left" vertical="center"/>
    </xf>
    <xf numFmtId="10" fontId="9" fillId="10" borderId="21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10" fontId="8" fillId="0" borderId="40" xfId="0" applyNumberFormat="1" applyFont="1" applyBorder="1" applyAlignment="1">
      <alignment horizontal="right" vertical="center"/>
    </xf>
    <xf numFmtId="0" fontId="9" fillId="10" borderId="52" xfId="0" applyFont="1" applyFill="1" applyBorder="1" applyAlignment="1">
      <alignment horizontal="left" vertical="center"/>
    </xf>
    <xf numFmtId="10" fontId="9" fillId="10" borderId="52" xfId="0" applyNumberFormat="1" applyFont="1" applyFill="1" applyBorder="1" applyAlignment="1">
      <alignment horizontal="right" vertical="center"/>
    </xf>
    <xf numFmtId="0" fontId="9" fillId="10" borderId="53" xfId="0" applyFont="1" applyFill="1" applyBorder="1" applyAlignment="1">
      <alignment horizontal="left" vertical="center"/>
    </xf>
    <xf numFmtId="10" fontId="9" fillId="10" borderId="53" xfId="0" applyNumberFormat="1" applyFont="1" applyFill="1" applyBorder="1" applyAlignment="1">
      <alignment horizontal="right" vertical="center"/>
    </xf>
    <xf numFmtId="0" fontId="9" fillId="0" borderId="41" xfId="0" applyFont="1" applyBorder="1" applyAlignment="1">
      <alignment horizontal="center" vertical="center"/>
    </xf>
    <xf numFmtId="0" fontId="9" fillId="9" borderId="28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0" fontId="19" fillId="0" borderId="3" xfId="0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4" fontId="21" fillId="0" borderId="11" xfId="0" applyNumberFormat="1" applyFont="1" applyBorder="1" applyAlignment="1">
      <alignment vertical="center"/>
    </xf>
    <xf numFmtId="165" fontId="21" fillId="0" borderId="12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164" fontId="19" fillId="0" borderId="11" xfId="0" applyNumberFormat="1" applyFont="1" applyBorder="1" applyAlignment="1">
      <alignment vertical="center"/>
    </xf>
    <xf numFmtId="165" fontId="19" fillId="0" borderId="12" xfId="0" applyNumberFormat="1" applyFont="1" applyBorder="1" applyAlignment="1">
      <alignment vertical="center"/>
    </xf>
    <xf numFmtId="4" fontId="21" fillId="0" borderId="11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165" fontId="21" fillId="0" borderId="14" xfId="0" applyNumberFormat="1" applyFont="1" applyBorder="1" applyAlignment="1">
      <alignment vertical="center"/>
    </xf>
    <xf numFmtId="4" fontId="21" fillId="0" borderId="16" xfId="0" applyNumberFormat="1" applyFont="1" applyBorder="1" applyAlignment="1">
      <alignment horizontal="center" vertical="center"/>
    </xf>
    <xf numFmtId="166" fontId="21" fillId="0" borderId="17" xfId="0" applyNumberFormat="1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4" fontId="21" fillId="0" borderId="23" xfId="0" applyNumberFormat="1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4" fontId="21" fillId="0" borderId="0" xfId="0" applyNumberFormat="1" applyFont="1" applyAlignment="1">
      <alignment vertical="center"/>
    </xf>
    <xf numFmtId="0" fontId="22" fillId="4" borderId="19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8" xfId="0" applyFont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2" fontId="19" fillId="3" borderId="12" xfId="0" applyNumberFormat="1" applyFont="1" applyFill="1" applyBorder="1" applyAlignment="1">
      <alignment horizontal="center" vertical="center"/>
    </xf>
    <xf numFmtId="2" fontId="19" fillId="11" borderId="0" xfId="0" applyNumberFormat="1" applyFont="1" applyFill="1" applyAlignment="1">
      <alignment horizontal="center" vertical="center"/>
    </xf>
    <xf numFmtId="164" fontId="19" fillId="0" borderId="12" xfId="1" applyFont="1" applyBorder="1" applyAlignment="1">
      <alignment horizontal="center" vertical="center"/>
    </xf>
    <xf numFmtId="1" fontId="19" fillId="3" borderId="12" xfId="0" applyNumberFormat="1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2" fillId="4" borderId="32" xfId="0" applyFont="1" applyFill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25" fillId="11" borderId="52" xfId="0" applyFont="1" applyFill="1" applyBorder="1" applyAlignment="1">
      <alignment horizontal="right" vertical="center"/>
    </xf>
    <xf numFmtId="0" fontId="19" fillId="0" borderId="52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0" fontId="19" fillId="0" borderId="55" xfId="0" applyFont="1" applyBorder="1" applyAlignment="1">
      <alignment horizontal="center" vertical="center"/>
    </xf>
    <xf numFmtId="2" fontId="25" fillId="11" borderId="52" xfId="0" applyNumberFormat="1" applyFont="1" applyFill="1" applyBorder="1" applyAlignment="1">
      <alignment horizontal="right" vertical="center"/>
    </xf>
    <xf numFmtId="0" fontId="19" fillId="11" borderId="52" xfId="0" applyFont="1" applyFill="1" applyBorder="1" applyAlignment="1">
      <alignment horizontal="center" vertical="center"/>
    </xf>
    <xf numFmtId="171" fontId="21" fillId="10" borderId="56" xfId="0" applyNumberFormat="1" applyFont="1" applyFill="1" applyBorder="1" applyAlignment="1">
      <alignment horizontal="center"/>
    </xf>
    <xf numFmtId="0" fontId="19" fillId="0" borderId="52" xfId="0" applyFont="1" applyBorder="1" applyAlignment="1">
      <alignment horizontal="center"/>
    </xf>
    <xf numFmtId="2" fontId="19" fillId="11" borderId="52" xfId="0" applyNumberFormat="1" applyFont="1" applyFill="1" applyBorder="1" applyAlignment="1">
      <alignment horizontal="right"/>
    </xf>
    <xf numFmtId="2" fontId="19" fillId="0" borderId="52" xfId="0" applyNumberFormat="1" applyFont="1" applyBorder="1" applyAlignment="1">
      <alignment horizontal="right"/>
    </xf>
    <xf numFmtId="0" fontId="19" fillId="3" borderId="28" xfId="0" applyFont="1" applyFill="1" applyBorder="1" applyAlignment="1">
      <alignment horizontal="center" vertical="center"/>
    </xf>
    <xf numFmtId="0" fontId="21" fillId="0" borderId="15" xfId="0" applyFont="1" applyBorder="1" applyAlignment="1">
      <alignment vertical="center"/>
    </xf>
    <xf numFmtId="0" fontId="21" fillId="0" borderId="16" xfId="0" applyFont="1" applyBorder="1" applyAlignment="1">
      <alignment vertical="center"/>
    </xf>
    <xf numFmtId="0" fontId="22" fillId="4" borderId="32" xfId="0" applyFont="1" applyFill="1" applyBorder="1" applyAlignment="1">
      <alignment horizontal="center" vertical="center" wrapText="1"/>
    </xf>
    <xf numFmtId="0" fontId="19" fillId="11" borderId="12" xfId="0" applyFont="1" applyFill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2" xfId="0" applyNumberFormat="1" applyFont="1" applyBorder="1" applyAlignment="1">
      <alignment horizontal="center"/>
    </xf>
    <xf numFmtId="0" fontId="19" fillId="0" borderId="16" xfId="0" applyFont="1" applyBorder="1" applyAlignment="1">
      <alignment vertical="center"/>
    </xf>
    <xf numFmtId="168" fontId="19" fillId="0" borderId="0" xfId="0" applyNumberFormat="1" applyFont="1" applyAlignment="1">
      <alignment vertical="center"/>
    </xf>
    <xf numFmtId="0" fontId="19" fillId="13" borderId="0" xfId="0" applyFont="1" applyFill="1" applyAlignment="1">
      <alignment horizontal="center"/>
    </xf>
    <xf numFmtId="0" fontId="21" fillId="0" borderId="29" xfId="0" applyFont="1" applyBorder="1" applyAlignment="1">
      <alignment vertical="center"/>
    </xf>
    <xf numFmtId="0" fontId="21" fillId="0" borderId="29" xfId="0" applyFont="1" applyBorder="1" applyAlignment="1">
      <alignment horizontal="center" vertical="center"/>
    </xf>
    <xf numFmtId="0" fontId="21" fillId="0" borderId="30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3" fontId="19" fillId="0" borderId="0" xfId="0" applyNumberFormat="1" applyFont="1" applyAlignment="1">
      <alignment vertical="center"/>
    </xf>
    <xf numFmtId="3" fontId="19" fillId="3" borderId="12" xfId="0" applyNumberFormat="1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1" fontId="19" fillId="0" borderId="12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3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4" fillId="4" borderId="31" xfId="0" applyFont="1" applyFill="1" applyBorder="1" applyAlignment="1">
      <alignment horizontal="center" vertical="center"/>
    </xf>
    <xf numFmtId="0" fontId="34" fillId="4" borderId="32" xfId="0" applyFont="1" applyFill="1" applyBorder="1" applyAlignment="1">
      <alignment horizontal="center" vertical="center"/>
    </xf>
    <xf numFmtId="0" fontId="34" fillId="4" borderId="12" xfId="0" applyFont="1" applyFill="1" applyBorder="1" applyAlignment="1">
      <alignment horizontal="center" vertical="center"/>
    </xf>
    <xf numFmtId="0" fontId="32" fillId="0" borderId="12" xfId="0" applyFont="1" applyBorder="1" applyAlignment="1">
      <alignment vertical="center"/>
    </xf>
    <xf numFmtId="0" fontId="32" fillId="0" borderId="12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2" fontId="32" fillId="0" borderId="12" xfId="0" applyNumberFormat="1" applyFont="1" applyBorder="1" applyAlignment="1">
      <alignment horizontal="center" vertical="center"/>
    </xf>
    <xf numFmtId="164" fontId="32" fillId="0" borderId="12" xfId="0" applyNumberFormat="1" applyFont="1" applyBorder="1" applyAlignment="1">
      <alignment horizontal="center" vertical="center"/>
    </xf>
    <xf numFmtId="0" fontId="36" fillId="0" borderId="29" xfId="0" applyFont="1" applyBorder="1" applyAlignment="1">
      <alignment vertical="center"/>
    </xf>
    <xf numFmtId="0" fontId="36" fillId="0" borderId="29" xfId="0" applyFont="1" applyBorder="1" applyAlignment="1">
      <alignment horizontal="center" vertical="center"/>
    </xf>
    <xf numFmtId="0" fontId="36" fillId="0" borderId="30" xfId="0" applyFont="1" applyBorder="1" applyAlignment="1">
      <alignment vertical="center"/>
    </xf>
    <xf numFmtId="0" fontId="36" fillId="0" borderId="0" xfId="0" applyFont="1" applyAlignment="1">
      <alignment horizontal="center" vertical="center"/>
    </xf>
    <xf numFmtId="0" fontId="36" fillId="0" borderId="12" xfId="0" applyFont="1" applyBorder="1" applyAlignment="1">
      <alignment vertical="center"/>
    </xf>
    <xf numFmtId="0" fontId="36" fillId="0" borderId="12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3" fontId="32" fillId="0" borderId="0" xfId="0" applyNumberFormat="1" applyFont="1" applyAlignment="1">
      <alignment vertical="center"/>
    </xf>
    <xf numFmtId="3" fontId="32" fillId="3" borderId="12" xfId="0" applyNumberFormat="1" applyFont="1" applyFill="1" applyBorder="1" applyAlignment="1">
      <alignment vertical="center"/>
    </xf>
    <xf numFmtId="0" fontId="34" fillId="4" borderId="19" xfId="0" applyFont="1" applyFill="1" applyBorder="1" applyAlignment="1">
      <alignment horizontal="center" vertical="center"/>
    </xf>
    <xf numFmtId="0" fontId="34" fillId="4" borderId="27" xfId="0" applyFont="1" applyFill="1" applyBorder="1" applyAlignment="1">
      <alignment horizontal="center" vertical="center"/>
    </xf>
    <xf numFmtId="0" fontId="32" fillId="0" borderId="28" xfId="0" applyFont="1" applyBorder="1" applyAlignment="1">
      <alignment vertical="center"/>
    </xf>
    <xf numFmtId="4" fontId="32" fillId="3" borderId="28" xfId="0" applyNumberFormat="1" applyFont="1" applyFill="1" applyBorder="1" applyAlignment="1">
      <alignment horizontal="center" vertical="center"/>
    </xf>
    <xf numFmtId="4" fontId="32" fillId="3" borderId="12" xfId="0" applyNumberFormat="1" applyFont="1" applyFill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164" fontId="21" fillId="4" borderId="5" xfId="1" applyFont="1" applyFill="1" applyBorder="1" applyAlignment="1">
      <alignment horizontal="center" vertical="center"/>
    </xf>
    <xf numFmtId="164" fontId="19" fillId="3" borderId="12" xfId="1" applyFont="1" applyFill="1" applyBorder="1" applyAlignment="1">
      <alignment horizontal="center" vertical="center"/>
    </xf>
    <xf numFmtId="167" fontId="19" fillId="0" borderId="12" xfId="1" applyNumberFormat="1" applyFont="1" applyBorder="1" applyAlignment="1">
      <alignment horizontal="center" vertical="center"/>
    </xf>
    <xf numFmtId="164" fontId="19" fillId="0" borderId="28" xfId="1" applyFont="1" applyBorder="1" applyAlignment="1">
      <alignment horizontal="center" vertical="center"/>
    </xf>
    <xf numFmtId="164" fontId="22" fillId="4" borderId="18" xfId="1" applyFont="1" applyFill="1" applyBorder="1" applyAlignment="1">
      <alignment horizontal="center" vertical="center"/>
    </xf>
    <xf numFmtId="164" fontId="22" fillId="4" borderId="27" xfId="1" applyFont="1" applyFill="1" applyBorder="1" applyAlignment="1">
      <alignment horizontal="center" vertical="center"/>
    </xf>
    <xf numFmtId="164" fontId="19" fillId="0" borderId="0" xfId="1" applyFont="1" applyAlignment="1">
      <alignment vertical="center"/>
    </xf>
    <xf numFmtId="164" fontId="19" fillId="0" borderId="12" xfId="1" applyFont="1" applyBorder="1" applyAlignment="1">
      <alignment vertical="center"/>
    </xf>
    <xf numFmtId="164" fontId="19" fillId="0" borderId="0" xfId="1" applyFont="1" applyAlignment="1">
      <alignment horizontal="right" vertical="center"/>
    </xf>
    <xf numFmtId="164" fontId="21" fillId="0" borderId="12" xfId="1" applyFont="1" applyBorder="1" applyAlignment="1">
      <alignment horizontal="center" vertical="center"/>
    </xf>
    <xf numFmtId="164" fontId="21" fillId="0" borderId="30" xfId="1" applyFont="1" applyBorder="1" applyAlignment="1">
      <alignment horizontal="center" vertical="center"/>
    </xf>
    <xf numFmtId="164" fontId="21" fillId="0" borderId="0" xfId="1" applyFont="1" applyAlignment="1">
      <alignment horizontal="center" vertical="center"/>
    </xf>
    <xf numFmtId="164" fontId="21" fillId="0" borderId="29" xfId="1" applyFont="1" applyBorder="1" applyAlignment="1">
      <alignment horizontal="center" vertical="center"/>
    </xf>
    <xf numFmtId="164" fontId="19" fillId="0" borderId="0" xfId="1" applyFont="1" applyAlignment="1">
      <alignment horizontal="center" vertical="center"/>
    </xf>
    <xf numFmtId="0" fontId="27" fillId="0" borderId="0" xfId="1" applyNumberFormat="1" applyFont="1" applyAlignment="1">
      <alignment horizontal="center" vertical="center"/>
    </xf>
    <xf numFmtId="164" fontId="22" fillId="4" borderId="32" xfId="1" applyFont="1" applyFill="1" applyBorder="1" applyAlignment="1">
      <alignment horizontal="center" vertical="center"/>
    </xf>
    <xf numFmtId="0" fontId="26" fillId="0" borderId="0" xfId="3" applyFont="1" applyAlignment="1">
      <alignment vertical="center"/>
    </xf>
    <xf numFmtId="164" fontId="17" fillId="0" borderId="0" xfId="1" applyFont="1" applyAlignment="1">
      <alignment vertical="center"/>
    </xf>
    <xf numFmtId="164" fontId="19" fillId="0" borderId="4" xfId="1" applyFont="1" applyBorder="1" applyAlignment="1">
      <alignment vertical="center"/>
    </xf>
    <xf numFmtId="164" fontId="21" fillId="0" borderId="6" xfId="1" applyFont="1" applyBorder="1" applyAlignment="1">
      <alignment horizontal="center" vertical="center"/>
    </xf>
    <xf numFmtId="164" fontId="19" fillId="0" borderId="7" xfId="1" applyFont="1" applyBorder="1" applyAlignment="1">
      <alignment vertical="center"/>
    </xf>
    <xf numFmtId="164" fontId="21" fillId="0" borderId="7" xfId="1" applyFont="1" applyBorder="1" applyAlignment="1">
      <alignment vertical="center"/>
    </xf>
    <xf numFmtId="164" fontId="22" fillId="0" borderId="8" xfId="1" applyFont="1" applyBorder="1" applyAlignment="1">
      <alignment vertical="center"/>
    </xf>
    <xf numFmtId="164" fontId="21" fillId="0" borderId="9" xfId="1" applyFont="1" applyBorder="1" applyAlignment="1">
      <alignment horizontal="center" vertical="center"/>
    </xf>
    <xf numFmtId="164" fontId="21" fillId="0" borderId="10" xfId="1" applyFont="1" applyBorder="1" applyAlignment="1">
      <alignment vertical="center"/>
    </xf>
    <xf numFmtId="164" fontId="21" fillId="0" borderId="11" xfId="1" applyFont="1" applyBorder="1" applyAlignment="1">
      <alignment vertical="center"/>
    </xf>
    <xf numFmtId="10" fontId="21" fillId="0" borderId="13" xfId="2" applyNumberFormat="1" applyFont="1" applyBorder="1" applyAlignment="1">
      <alignment vertical="center"/>
    </xf>
    <xf numFmtId="164" fontId="21" fillId="0" borderId="0" xfId="1" applyFont="1" applyAlignment="1">
      <alignment vertical="center"/>
    </xf>
    <xf numFmtId="164" fontId="19" fillId="0" borderId="10" xfId="1" applyFont="1" applyBorder="1" applyAlignment="1">
      <alignment vertical="center"/>
    </xf>
    <xf numFmtId="164" fontId="19" fillId="0" borderId="11" xfId="1" applyFont="1" applyBorder="1" applyAlignment="1">
      <alignment vertical="center"/>
    </xf>
    <xf numFmtId="10" fontId="19" fillId="0" borderId="13" xfId="2" applyNumberFormat="1" applyFont="1" applyBorder="1" applyAlignment="1">
      <alignment vertical="center"/>
    </xf>
    <xf numFmtId="164" fontId="21" fillId="0" borderId="10" xfId="1" applyFont="1" applyBorder="1" applyAlignment="1">
      <alignment horizontal="left" vertical="center"/>
    </xf>
    <xf numFmtId="164" fontId="19" fillId="0" borderId="10" xfId="1" applyFont="1" applyBorder="1" applyAlignment="1">
      <alignment horizontal="left" vertical="center"/>
    </xf>
    <xf numFmtId="164" fontId="21" fillId="0" borderId="15" xfId="1" applyFont="1" applyBorder="1" applyAlignment="1">
      <alignment horizontal="left" vertical="center"/>
    </xf>
    <xf numFmtId="164" fontId="21" fillId="0" borderId="16" xfId="1" applyFont="1" applyBorder="1" applyAlignment="1">
      <alignment vertical="center"/>
    </xf>
    <xf numFmtId="9" fontId="21" fillId="0" borderId="18" xfId="2" applyFont="1" applyBorder="1" applyAlignment="1">
      <alignment vertical="center"/>
    </xf>
    <xf numFmtId="164" fontId="21" fillId="0" borderId="20" xfId="1" applyFont="1" applyBorder="1" applyAlignment="1">
      <alignment horizontal="right" vertical="center"/>
    </xf>
    <xf numFmtId="1" fontId="19" fillId="0" borderId="21" xfId="1" applyNumberFormat="1" applyFont="1" applyBorder="1" applyAlignment="1">
      <alignment horizontal="center" vertical="center"/>
    </xf>
    <xf numFmtId="164" fontId="21" fillId="0" borderId="22" xfId="1" applyFont="1" applyBorder="1" applyAlignment="1">
      <alignment vertical="center"/>
    </xf>
    <xf numFmtId="1" fontId="21" fillId="0" borderId="24" xfId="1" applyNumberFormat="1" applyFont="1" applyBorder="1" applyAlignment="1">
      <alignment horizontal="center" vertical="center"/>
    </xf>
    <xf numFmtId="164" fontId="21" fillId="0" borderId="3" xfId="1" applyFont="1" applyBorder="1" applyAlignment="1">
      <alignment vertical="center"/>
    </xf>
    <xf numFmtId="164" fontId="19" fillId="0" borderId="22" xfId="1" applyFont="1" applyBorder="1" applyAlignment="1">
      <alignment vertical="center"/>
    </xf>
    <xf numFmtId="164" fontId="19" fillId="0" borderId="23" xfId="1" applyFont="1" applyBorder="1" applyAlignment="1">
      <alignment vertical="center"/>
    </xf>
    <xf numFmtId="1" fontId="19" fillId="0" borderId="24" xfId="1" applyNumberFormat="1" applyFont="1" applyBorder="1" applyAlignment="1">
      <alignment horizontal="center" vertical="center"/>
    </xf>
    <xf numFmtId="1" fontId="19" fillId="0" borderId="0" xfId="1" applyNumberFormat="1" applyFont="1" applyAlignment="1">
      <alignment horizontal="center" vertical="center"/>
    </xf>
    <xf numFmtId="167" fontId="19" fillId="0" borderId="0" xfId="1" applyNumberFormat="1" applyFont="1" applyAlignment="1">
      <alignment horizontal="center" vertical="center"/>
    </xf>
    <xf numFmtId="164" fontId="21" fillId="0" borderId="15" xfId="1" applyFont="1" applyBorder="1" applyAlignment="1">
      <alignment vertical="center"/>
    </xf>
    <xf numFmtId="9" fontId="21" fillId="3" borderId="26" xfId="2" applyFont="1" applyFill="1" applyBorder="1" applyAlignment="1">
      <alignment vertical="center"/>
    </xf>
    <xf numFmtId="167" fontId="21" fillId="0" borderId="0" xfId="1" applyNumberFormat="1" applyFont="1" applyAlignment="1">
      <alignment horizontal="center" vertical="center"/>
    </xf>
    <xf numFmtId="164" fontId="19" fillId="3" borderId="28" xfId="1" applyFont="1" applyFill="1" applyBorder="1" applyAlignment="1">
      <alignment horizontal="center" vertical="center"/>
    </xf>
    <xf numFmtId="164" fontId="24" fillId="12" borderId="0" xfId="1" applyFont="1" applyFill="1" applyAlignment="1">
      <alignment vertical="center"/>
    </xf>
    <xf numFmtId="10" fontId="19" fillId="5" borderId="30" xfId="1" applyNumberFormat="1" applyFont="1" applyFill="1" applyBorder="1" applyAlignment="1">
      <alignment horizontal="center" vertical="center"/>
    </xf>
    <xf numFmtId="10" fontId="19" fillId="12" borderId="52" xfId="1" applyNumberFormat="1" applyFont="1" applyFill="1" applyBorder="1" applyAlignment="1">
      <alignment horizontal="center" vertical="center"/>
    </xf>
    <xf numFmtId="164" fontId="19" fillId="0" borderId="11" xfId="1" applyFont="1" applyBorder="1" applyAlignment="1">
      <alignment horizontal="center" vertical="center"/>
    </xf>
    <xf numFmtId="164" fontId="21" fillId="0" borderId="11" xfId="1" applyFont="1" applyBorder="1" applyAlignment="1">
      <alignment horizontal="center" vertical="center"/>
    </xf>
    <xf numFmtId="164" fontId="21" fillId="4" borderId="26" xfId="1" applyFont="1" applyFill="1" applyBorder="1" applyAlignment="1">
      <alignment horizontal="center" vertical="center"/>
    </xf>
    <xf numFmtId="10" fontId="19" fillId="5" borderId="12" xfId="1" applyNumberFormat="1" applyFont="1" applyFill="1" applyBorder="1" applyAlignment="1">
      <alignment horizontal="center" vertical="center"/>
    </xf>
    <xf numFmtId="164" fontId="19" fillId="12" borderId="28" xfId="1" applyFont="1" applyFill="1" applyBorder="1" applyAlignment="1">
      <alignment horizontal="left" vertical="center"/>
    </xf>
    <xf numFmtId="164" fontId="19" fillId="0" borderId="28" xfId="1" applyFont="1" applyBorder="1" applyAlignment="1">
      <alignment horizontal="left" vertical="center"/>
    </xf>
    <xf numFmtId="164" fontId="21" fillId="4" borderId="5" xfId="1" applyFont="1" applyFill="1" applyBorder="1" applyAlignment="1">
      <alignment vertical="center"/>
    </xf>
    <xf numFmtId="167" fontId="19" fillId="0" borderId="12" xfId="1" applyNumberFormat="1" applyFont="1" applyBorder="1" applyAlignment="1">
      <alignment vertical="center"/>
    </xf>
    <xf numFmtId="164" fontId="21" fillId="0" borderId="26" xfId="1" applyFont="1" applyBorder="1" applyAlignment="1">
      <alignment vertical="center"/>
    </xf>
    <xf numFmtId="164" fontId="19" fillId="0" borderId="16" xfId="1" applyFont="1" applyBorder="1" applyAlignment="1">
      <alignment vertical="center"/>
    </xf>
    <xf numFmtId="164" fontId="19" fillId="0" borderId="26" xfId="1" applyFont="1" applyBorder="1" applyAlignment="1">
      <alignment vertical="center"/>
    </xf>
    <xf numFmtId="164" fontId="29" fillId="0" borderId="12" xfId="1" applyFont="1" applyBorder="1" applyAlignment="1">
      <alignment horizontal="center" vertical="center"/>
    </xf>
    <xf numFmtId="164" fontId="30" fillId="0" borderId="0" xfId="1" applyFont="1" applyAlignment="1">
      <alignment vertical="center"/>
    </xf>
    <xf numFmtId="10" fontId="19" fillId="13" borderId="12" xfId="1" applyNumberFormat="1" applyFont="1" applyFill="1" applyBorder="1" applyAlignment="1">
      <alignment horizontal="center" vertical="center"/>
    </xf>
    <xf numFmtId="4" fontId="21" fillId="4" borderId="5" xfId="1" applyNumberFormat="1" applyFont="1" applyFill="1" applyBorder="1" applyAlignment="1">
      <alignment vertical="center"/>
    </xf>
    <xf numFmtId="164" fontId="20" fillId="0" borderId="0" xfId="1" applyFont="1" applyAlignment="1">
      <alignment vertical="center"/>
    </xf>
    <xf numFmtId="164" fontId="19" fillId="3" borderId="11" xfId="1" applyFont="1" applyFill="1" applyBorder="1" applyAlignment="1">
      <alignment vertical="center"/>
    </xf>
    <xf numFmtId="164" fontId="19" fillId="0" borderId="34" xfId="1" applyFont="1" applyBorder="1" applyAlignment="1">
      <alignment vertical="center"/>
    </xf>
    <xf numFmtId="164" fontId="21" fillId="0" borderId="26" xfId="1" applyFont="1" applyBorder="1" applyAlignment="1">
      <alignment horizontal="right" vertical="center"/>
    </xf>
    <xf numFmtId="4" fontId="21" fillId="4" borderId="5" xfId="1" applyNumberFormat="1" applyFont="1" applyFill="1" applyBorder="1" applyAlignment="1">
      <alignment horizontal="right" vertical="center"/>
    </xf>
    <xf numFmtId="164" fontId="36" fillId="0" borderId="30" xfId="1" applyFont="1" applyBorder="1" applyAlignment="1">
      <alignment horizontal="center" vertical="center"/>
    </xf>
    <xf numFmtId="164" fontId="32" fillId="0" borderId="12" xfId="1" applyFont="1" applyBorder="1" applyAlignment="1">
      <alignment vertical="center"/>
    </xf>
    <xf numFmtId="164" fontId="36" fillId="0" borderId="0" xfId="1" applyFont="1" applyAlignment="1">
      <alignment horizontal="center" vertical="center"/>
    </xf>
    <xf numFmtId="164" fontId="36" fillId="0" borderId="29" xfId="1" applyFont="1" applyBorder="1" applyAlignment="1">
      <alignment horizontal="center" vertical="center"/>
    </xf>
    <xf numFmtId="164" fontId="32" fillId="0" borderId="0" xfId="1" applyFont="1" applyAlignment="1">
      <alignment horizontal="center" vertical="center"/>
    </xf>
    <xf numFmtId="164" fontId="36" fillId="4" borderId="5" xfId="1" applyFont="1" applyFill="1" applyBorder="1" applyAlignment="1">
      <alignment horizontal="center" vertical="center"/>
    </xf>
    <xf numFmtId="164" fontId="32" fillId="0" borderId="12" xfId="1" applyFont="1" applyBorder="1" applyAlignment="1">
      <alignment horizontal="center" vertical="center"/>
    </xf>
    <xf numFmtId="0" fontId="35" fillId="0" borderId="0" xfId="1" applyNumberFormat="1" applyFont="1" applyAlignment="1">
      <alignment horizontal="center" vertical="center"/>
    </xf>
    <xf numFmtId="164" fontId="36" fillId="0" borderId="12" xfId="1" applyFont="1" applyBorder="1" applyAlignment="1">
      <alignment horizontal="center" vertical="center"/>
    </xf>
    <xf numFmtId="164" fontId="34" fillId="4" borderId="27" xfId="1" applyFont="1" applyFill="1" applyBorder="1" applyAlignment="1">
      <alignment horizontal="center" vertical="center"/>
    </xf>
    <xf numFmtId="164" fontId="34" fillId="4" borderId="32" xfId="1" applyFont="1" applyFill="1" applyBorder="1" applyAlignment="1">
      <alignment horizontal="center" vertical="center"/>
    </xf>
    <xf numFmtId="164" fontId="34" fillId="4" borderId="18" xfId="1" applyFont="1" applyFill="1" applyBorder="1" applyAlignment="1">
      <alignment horizontal="center" vertical="center"/>
    </xf>
    <xf numFmtId="164" fontId="32" fillId="0" borderId="0" xfId="1" applyFont="1" applyAlignment="1">
      <alignment vertical="center"/>
    </xf>
    <xf numFmtId="164" fontId="32" fillId="0" borderId="0" xfId="1" applyFont="1" applyAlignment="1">
      <alignment horizontal="right" vertical="center"/>
    </xf>
    <xf numFmtId="0" fontId="33" fillId="0" borderId="0" xfId="3" applyFont="1" applyAlignment="1">
      <alignment vertical="center"/>
    </xf>
    <xf numFmtId="164" fontId="32" fillId="3" borderId="12" xfId="1" applyFont="1" applyFill="1" applyBorder="1" applyAlignment="1">
      <alignment horizontal="center" vertical="center"/>
    </xf>
    <xf numFmtId="169" fontId="32" fillId="0" borderId="12" xfId="1" applyNumberFormat="1" applyFont="1" applyBorder="1" applyAlignment="1">
      <alignment horizontal="center" vertical="center"/>
    </xf>
    <xf numFmtId="169" fontId="36" fillId="0" borderId="12" xfId="1" applyNumberFormat="1" applyFont="1" applyBorder="1" applyAlignment="1">
      <alignment horizontal="center" vertical="center"/>
    </xf>
    <xf numFmtId="167" fontId="32" fillId="0" borderId="12" xfId="1" applyNumberFormat="1" applyFont="1" applyBorder="1" applyAlignment="1">
      <alignment horizontal="center" vertical="center"/>
    </xf>
    <xf numFmtId="167" fontId="36" fillId="0" borderId="12" xfId="1" applyNumberFormat="1" applyFont="1" applyBorder="1" applyAlignment="1">
      <alignment horizontal="center" vertical="center"/>
    </xf>
    <xf numFmtId="169" fontId="32" fillId="0" borderId="28" xfId="1" applyNumberFormat="1" applyFont="1" applyBorder="1" applyAlignment="1">
      <alignment horizontal="center" vertical="center"/>
    </xf>
    <xf numFmtId="169" fontId="32" fillId="3" borderId="28" xfId="1" applyNumberFormat="1" applyFont="1" applyFill="1" applyBorder="1" applyAlignment="1">
      <alignment horizontal="center" vertical="center"/>
    </xf>
    <xf numFmtId="164" fontId="32" fillId="0" borderId="28" xfId="1" applyFont="1" applyBorder="1" applyAlignment="1">
      <alignment horizontal="center" vertical="center"/>
    </xf>
    <xf numFmtId="164" fontId="21" fillId="12" borderId="0" xfId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21" fillId="0" borderId="19" xfId="1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4" fontId="19" fillId="0" borderId="12" xfId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164" fontId="20" fillId="2" borderId="5" xfId="1" applyFont="1" applyFill="1" applyBorder="1" applyAlignment="1">
      <alignment horizontal="center" vertical="center"/>
    </xf>
    <xf numFmtId="164" fontId="21" fillId="0" borderId="10" xfId="1" applyFont="1" applyBorder="1" applyAlignment="1">
      <alignment horizontal="left" vertical="center"/>
    </xf>
    <xf numFmtId="0" fontId="1" fillId="2" borderId="35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1" fillId="8" borderId="35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9" fontId="3" fillId="0" borderId="35" xfId="2" applyFont="1" applyBorder="1" applyAlignment="1" applyProtection="1">
      <alignment horizontal="center"/>
    </xf>
    <xf numFmtId="0" fontId="2" fillId="0" borderId="14" xfId="0" applyFont="1" applyBorder="1" applyAlignment="1">
      <alignment horizontal="center" vertical="center"/>
    </xf>
    <xf numFmtId="0" fontId="4" fillId="8" borderId="52" xfId="0" applyFont="1" applyFill="1" applyBorder="1" applyAlignment="1">
      <alignment horizontal="center" vertical="center"/>
    </xf>
    <xf numFmtId="164" fontId="19" fillId="11" borderId="28" xfId="1" applyFont="1" applyFill="1" applyBorder="1" applyAlignment="1">
      <alignment horizontal="center" vertical="center"/>
    </xf>
    <xf numFmtId="164" fontId="19" fillId="11" borderId="12" xfId="1" applyFont="1" applyFill="1" applyBorder="1" applyAlignment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 cent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" name="shapetype_202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" name="shapetype_20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" name="shapetype_202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5" name="shapetype_202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6" name="shapetype_202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7" name="shapetype_202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8" name="shapetype_202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9" name="shapetype_202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0" name="shapetype_202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1" name="shapetype_202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2" name="shapetype_202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3" name="shapetype_202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4" name="shapetype_202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5" name="shapetype_202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6" name="shapetype_202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7" name="shapetype_202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8" name="shapetype_202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19" name="shapetype_202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0" name="shapetype_202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1" name="shapetype_202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2" name="shapetype_202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3" name="shapetype_20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4" name="shapetype_202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5" name="shapetype_202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6" name="shapetype_202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7" name="shapetype_202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8" name="shapetype_202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29" name="shapetype_202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0" name="shapetype_202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1" name="shapetype_202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2" name="shapetype_202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3" name="shapetype_202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4" name="shapetype_202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5" name="shapetype_202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6" name="shapetype_20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7" name="shapetype_202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8" name="shapetype_202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39" name="shapetype_202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0" name="shapetype_20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1" name="shapetype_202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2" name="shapetype_202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3" name="shapetype_202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4" name="shapetype_202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5" name="shapetype_202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6" name="shapetype_202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7" name="shapetype_202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8" name="shapetype_202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49" name="shapetype_202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50" name="shapetype_202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1356195</xdr:colOff>
      <xdr:row>51</xdr:row>
      <xdr:rowOff>93210</xdr:rowOff>
    </xdr:to>
    <xdr:sp macro="" textlink="">
      <xdr:nvSpPr>
        <xdr:cNvPr id="51" name="shapetype_202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0" y="0"/>
          <a:ext cx="9719145" cy="95039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20</xdr:col>
      <xdr:colOff>67320</xdr:colOff>
      <xdr:row>52</xdr:row>
      <xdr:rowOff>7560</xdr:rowOff>
    </xdr:to>
    <xdr:sp macro="" textlink="">
      <xdr:nvSpPr>
        <xdr:cNvPr id="50" name="shapetype_202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/>
      </xdr:nvSpPr>
      <xdr:spPr>
        <a:xfrm>
          <a:off x="0" y="0"/>
          <a:ext cx="10014480" cy="90849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55095</xdr:colOff>
      <xdr:row>56</xdr:row>
      <xdr:rowOff>45720</xdr:rowOff>
    </xdr:to>
    <xdr:sp macro="" textlink="">
      <xdr:nvSpPr>
        <xdr:cNvPr id="51" name="shapetype_202" hidden="1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/>
      </xdr:nvSpPr>
      <xdr:spPr>
        <a:xfrm>
          <a:off x="0" y="0"/>
          <a:ext cx="10078560" cy="9322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55095</xdr:colOff>
      <xdr:row>56</xdr:row>
      <xdr:rowOff>45720</xdr:rowOff>
    </xdr:to>
    <xdr:sp macro="" textlink="">
      <xdr:nvSpPr>
        <xdr:cNvPr id="52" name="shapetype_202" hidden="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/>
      </xdr:nvSpPr>
      <xdr:spPr>
        <a:xfrm>
          <a:off x="0" y="0"/>
          <a:ext cx="10078560" cy="9322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55095</xdr:colOff>
      <xdr:row>56</xdr:row>
      <xdr:rowOff>45720</xdr:rowOff>
    </xdr:to>
    <xdr:sp macro="" textlink="">
      <xdr:nvSpPr>
        <xdr:cNvPr id="53" name="shapetype_202" hidden="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/>
      </xdr:nvSpPr>
      <xdr:spPr>
        <a:xfrm>
          <a:off x="0" y="0"/>
          <a:ext cx="10078560" cy="9322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55095</xdr:colOff>
      <xdr:row>56</xdr:row>
      <xdr:rowOff>45720</xdr:rowOff>
    </xdr:to>
    <xdr:sp macro="" textlink="">
      <xdr:nvSpPr>
        <xdr:cNvPr id="54" name="shapetype_202" hidden="1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/>
      </xdr:nvSpPr>
      <xdr:spPr>
        <a:xfrm>
          <a:off x="0" y="0"/>
          <a:ext cx="10078560" cy="9322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55095</xdr:colOff>
      <xdr:row>56</xdr:row>
      <xdr:rowOff>45720</xdr:rowOff>
    </xdr:to>
    <xdr:sp macro="" textlink="">
      <xdr:nvSpPr>
        <xdr:cNvPr id="55" name="shapetype_202" hidden="1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/>
      </xdr:nvSpPr>
      <xdr:spPr>
        <a:xfrm>
          <a:off x="0" y="0"/>
          <a:ext cx="10078560" cy="9322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55095</xdr:colOff>
      <xdr:row>56</xdr:row>
      <xdr:rowOff>45720</xdr:rowOff>
    </xdr:to>
    <xdr:sp macro="" textlink="">
      <xdr:nvSpPr>
        <xdr:cNvPr id="56" name="shapetype_202" hidden="1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/>
      </xdr:nvSpPr>
      <xdr:spPr>
        <a:xfrm>
          <a:off x="0" y="0"/>
          <a:ext cx="10078560" cy="9322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55095</xdr:colOff>
      <xdr:row>56</xdr:row>
      <xdr:rowOff>45720</xdr:rowOff>
    </xdr:to>
    <xdr:sp macro="" textlink="">
      <xdr:nvSpPr>
        <xdr:cNvPr id="57" name="shapetype_202" hidden="1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/>
      </xdr:nvSpPr>
      <xdr:spPr>
        <a:xfrm>
          <a:off x="0" y="0"/>
          <a:ext cx="10078560" cy="9322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133200</xdr:colOff>
      <xdr:row>4</xdr:row>
      <xdr:rowOff>28440</xdr:rowOff>
    </xdr:from>
    <xdr:to>
      <xdr:col>0</xdr:col>
      <xdr:colOff>1398960</xdr:colOff>
      <xdr:row>6</xdr:row>
      <xdr:rowOff>46440</xdr:rowOff>
    </xdr:to>
    <xdr:pic>
      <xdr:nvPicPr>
        <xdr:cNvPr id="58" name="Picture 2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33320"/>
          <a:ext cx="1265760" cy="342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85680</xdr:colOff>
      <xdr:row>7</xdr:row>
      <xdr:rowOff>9360</xdr:rowOff>
    </xdr:from>
    <xdr:to>
      <xdr:col>0</xdr:col>
      <xdr:colOff>2103840</xdr:colOff>
      <xdr:row>9</xdr:row>
      <xdr:rowOff>36720</xdr:rowOff>
    </xdr:to>
    <xdr:pic>
      <xdr:nvPicPr>
        <xdr:cNvPr id="59" name="Picture 1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199880"/>
          <a:ext cx="2018160" cy="351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40"/>
  <sheetViews>
    <sheetView view="pageBreakPreview" topLeftCell="A183" zoomScale="130" zoomScaleNormal="100" zoomScaleSheetLayoutView="130" zoomScalePageLayoutView="160" workbookViewId="0">
      <selection activeCell="D178" sqref="D178"/>
    </sheetView>
  </sheetViews>
  <sheetFormatPr defaultColWidth="6" defaultRowHeight="12.75"/>
  <cols>
    <col min="1" max="1" width="63" style="109" bestFit="1" customWidth="1"/>
    <col min="2" max="2" width="10.42578125" style="109" customWidth="1"/>
    <col min="3" max="3" width="13.140625" style="109" customWidth="1"/>
    <col min="4" max="4" width="12.85546875" style="210" customWidth="1"/>
    <col min="5" max="5" width="13.28515625" style="210" customWidth="1"/>
    <col min="6" max="6" width="12.7109375" style="210" customWidth="1"/>
    <col min="7" max="7" width="20.42578125" style="210" customWidth="1"/>
    <col min="8" max="8" width="6" style="109"/>
    <col min="9" max="9" width="10" style="109" customWidth="1"/>
    <col min="10" max="10" width="9.42578125" style="109" customWidth="1"/>
    <col min="11" max="1024" width="6" style="109"/>
    <col min="1025" max="16384" width="6" style="110"/>
  </cols>
  <sheetData>
    <row r="1" spans="1:7" s="108" customFormat="1" ht="18">
      <c r="A1" s="306" t="s">
        <v>0</v>
      </c>
      <c r="B1" s="306"/>
      <c r="C1" s="306"/>
      <c r="D1" s="306"/>
      <c r="E1" s="306"/>
      <c r="F1" s="306"/>
      <c r="G1" s="221"/>
    </row>
    <row r="2" spans="1:7" ht="21.75" customHeight="1">
      <c r="A2" s="307" t="s">
        <v>1</v>
      </c>
      <c r="B2" s="307"/>
      <c r="C2" s="307"/>
      <c r="D2" s="307"/>
      <c r="E2" s="307"/>
      <c r="F2" s="307"/>
      <c r="G2" s="221"/>
    </row>
    <row r="3" spans="1:7" s="109" customFormat="1" ht="10.5" customHeight="1">
      <c r="A3" s="111"/>
      <c r="B3" s="112"/>
      <c r="C3" s="112"/>
      <c r="D3" s="210"/>
      <c r="E3" s="210"/>
      <c r="F3" s="222"/>
      <c r="G3" s="210"/>
    </row>
    <row r="4" spans="1:7" ht="15.75" customHeight="1">
      <c r="A4" s="308" t="s">
        <v>2</v>
      </c>
      <c r="B4" s="308"/>
      <c r="C4" s="308"/>
      <c r="D4" s="308"/>
      <c r="E4" s="308"/>
      <c r="F4" s="308"/>
    </row>
    <row r="5" spans="1:7" ht="15.75" customHeight="1">
      <c r="A5" s="223" t="s">
        <v>3</v>
      </c>
      <c r="B5" s="224"/>
      <c r="C5" s="224"/>
      <c r="D5" s="225"/>
      <c r="E5" s="226" t="s">
        <v>4</v>
      </c>
      <c r="F5" s="227" t="s">
        <v>5</v>
      </c>
    </row>
    <row r="6" spans="1:7" s="115" customFormat="1" ht="15.75" customHeight="1">
      <c r="A6" s="228" t="str">
        <f>A36</f>
        <v>1. Mão-de-obra</v>
      </c>
      <c r="B6" s="113"/>
      <c r="C6" s="229"/>
      <c r="D6" s="229"/>
      <c r="E6" s="114">
        <f>+F89</f>
        <v>-23.68</v>
      </c>
      <c r="F6" s="230">
        <f t="shared" ref="F6:F20" si="0">IFERROR(E6/$E$21,0)</f>
        <v>0.99760972709388307</v>
      </c>
      <c r="G6" s="231"/>
    </row>
    <row r="7" spans="1:7" s="109" customFormat="1" ht="15.75" customHeight="1">
      <c r="A7" s="232" t="str">
        <f>A38</f>
        <v>1.1. Operador Turno do Dia</v>
      </c>
      <c r="B7" s="116"/>
      <c r="C7" s="233"/>
      <c r="D7" s="233"/>
      <c r="E7" s="117">
        <f>F52</f>
        <v>-23.68</v>
      </c>
      <c r="F7" s="234">
        <f t="shared" si="0"/>
        <v>0.99760972709388307</v>
      </c>
      <c r="G7" s="210"/>
    </row>
    <row r="8" spans="1:7" s="109" customFormat="1" ht="15.75" customHeight="1">
      <c r="A8" s="232" t="s">
        <v>6</v>
      </c>
      <c r="B8" s="116"/>
      <c r="C8" s="233"/>
      <c r="D8" s="233"/>
      <c r="E8" s="117">
        <f>F67</f>
        <v>0</v>
      </c>
      <c r="F8" s="234">
        <f t="shared" si="0"/>
        <v>0</v>
      </c>
      <c r="G8" s="210"/>
    </row>
    <row r="9" spans="1:7" s="109" customFormat="1" ht="15.75" customHeight="1">
      <c r="A9" s="232" t="str">
        <f>A70</f>
        <v>1.3. Vale Transporte</v>
      </c>
      <c r="B9" s="116"/>
      <c r="C9" s="233"/>
      <c r="D9" s="233"/>
      <c r="E9" s="117">
        <f>F76</f>
        <v>0</v>
      </c>
      <c r="F9" s="234">
        <f t="shared" si="0"/>
        <v>0</v>
      </c>
      <c r="G9" s="210"/>
    </row>
    <row r="10" spans="1:7" s="109" customFormat="1" ht="15.75" customHeight="1">
      <c r="A10" s="232" t="str">
        <f>A78</f>
        <v>1.4. Vale-refeição (diário)</v>
      </c>
      <c r="B10" s="116"/>
      <c r="C10" s="233"/>
      <c r="D10" s="233"/>
      <c r="E10" s="117">
        <f>F82</f>
        <v>0</v>
      </c>
      <c r="F10" s="234">
        <f t="shared" si="0"/>
        <v>0</v>
      </c>
      <c r="G10" s="210"/>
    </row>
    <row r="11" spans="1:7" s="109" customFormat="1" ht="15.75" customHeight="1">
      <c r="A11" s="232" t="str">
        <f>A84</f>
        <v>1.5. Auxílio Alimentação (mensal)</v>
      </c>
      <c r="B11" s="116"/>
      <c r="C11" s="233"/>
      <c r="D11" s="233"/>
      <c r="E11" s="117">
        <f>F87</f>
        <v>0</v>
      </c>
      <c r="F11" s="234">
        <f t="shared" si="0"/>
        <v>0</v>
      </c>
      <c r="G11" s="210"/>
    </row>
    <row r="12" spans="1:7" s="115" customFormat="1" ht="15.75" customHeight="1">
      <c r="A12" s="309" t="str">
        <f>A92</f>
        <v>2. Uniformes e Equipamentos de Proteção Individual</v>
      </c>
      <c r="B12" s="309"/>
      <c r="C12" s="309"/>
      <c r="D12" s="229"/>
      <c r="E12" s="114">
        <f>+F107</f>
        <v>0</v>
      </c>
      <c r="F12" s="230">
        <f t="shared" si="0"/>
        <v>0</v>
      </c>
      <c r="G12" s="231"/>
    </row>
    <row r="13" spans="1:7" ht="15.75" customHeight="1">
      <c r="A13" s="235" t="str">
        <f>A110</f>
        <v>3. Escavadeira Hidráulica Para Carregamento de Resíduos Sólidos</v>
      </c>
      <c r="B13" s="118"/>
      <c r="C13" s="229"/>
      <c r="D13" s="229"/>
      <c r="E13" s="114">
        <f>+F169</f>
        <v>0</v>
      </c>
      <c r="F13" s="230">
        <f t="shared" si="0"/>
        <v>0</v>
      </c>
      <c r="G13" s="231"/>
    </row>
    <row r="14" spans="1:7" s="109" customFormat="1" ht="15.75" customHeight="1">
      <c r="A14" s="236" t="str">
        <f>A112</f>
        <v>3.1. Depreciação</v>
      </c>
      <c r="B14" s="119"/>
      <c r="C14" s="233"/>
      <c r="D14" s="233"/>
      <c r="E14" s="117">
        <f>F121</f>
        <v>0</v>
      </c>
      <c r="F14" s="234">
        <f t="shared" si="0"/>
        <v>0</v>
      </c>
      <c r="G14" s="210"/>
    </row>
    <row r="15" spans="1:7" s="109" customFormat="1" ht="15.75" customHeight="1">
      <c r="A15" s="236" t="str">
        <f>A123</f>
        <v>3.2. Remuneração do Capital</v>
      </c>
      <c r="B15" s="119"/>
      <c r="C15" s="233"/>
      <c r="D15" s="233"/>
      <c r="E15" s="117">
        <f>F132</f>
        <v>0</v>
      </c>
      <c r="F15" s="234">
        <f>IFERROR(E15/$E$21,0)</f>
        <v>0</v>
      </c>
      <c r="G15" s="210"/>
    </row>
    <row r="16" spans="1:7" s="109" customFormat="1" ht="15.75" customHeight="1">
      <c r="A16" s="236" t="str">
        <f>A134</f>
        <v>3.3. Consumos</v>
      </c>
      <c r="B16" s="119"/>
      <c r="C16" s="233"/>
      <c r="D16" s="233"/>
      <c r="E16" s="117">
        <f>F150</f>
        <v>0</v>
      </c>
      <c r="F16" s="234">
        <f t="shared" si="0"/>
        <v>0</v>
      </c>
      <c r="G16" s="210"/>
    </row>
    <row r="17" spans="1:7" s="109" customFormat="1" ht="15.75" customHeight="1">
      <c r="A17" s="236" t="str">
        <f>A152</f>
        <v>3.4. Manutenção</v>
      </c>
      <c r="B17" s="119"/>
      <c r="C17" s="233"/>
      <c r="D17" s="233"/>
      <c r="E17" s="117">
        <f>F155</f>
        <v>0</v>
      </c>
      <c r="F17" s="234">
        <f t="shared" si="0"/>
        <v>0</v>
      </c>
      <c r="G17" s="210"/>
    </row>
    <row r="18" spans="1:7" s="109" customFormat="1" ht="15.75" customHeight="1">
      <c r="A18" s="236" t="str">
        <f>A160</f>
        <v>3.5. Material Rodante</v>
      </c>
      <c r="B18" s="119"/>
      <c r="C18" s="233"/>
      <c r="D18" s="233"/>
      <c r="E18" s="117">
        <f>F166</f>
        <v>0</v>
      </c>
      <c r="F18" s="234">
        <f t="shared" si="0"/>
        <v>0</v>
      </c>
      <c r="G18" s="210"/>
    </row>
    <row r="19" spans="1:7" s="115" customFormat="1" ht="15.75" customHeight="1">
      <c r="A19" s="235" t="str">
        <f>A172</f>
        <v>4. Monitoramento da Frota</v>
      </c>
      <c r="B19" s="118"/>
      <c r="C19" s="229"/>
      <c r="D19" s="229"/>
      <c r="E19" s="114">
        <f>+F181</f>
        <v>0</v>
      </c>
      <c r="F19" s="230">
        <f t="shared" si="0"/>
        <v>0</v>
      </c>
      <c r="G19" s="231"/>
    </row>
    <row r="20" spans="1:7" ht="15.75" customHeight="1">
      <c r="A20" s="235" t="str">
        <f>A185</f>
        <v>5. Benefícios e Despesas Indiretas - BDI</v>
      </c>
      <c r="B20" s="118"/>
      <c r="C20" s="229"/>
      <c r="D20" s="229"/>
      <c r="E20" s="120">
        <f>+F191</f>
        <v>-5.6737280000000008E-2</v>
      </c>
      <c r="F20" s="230">
        <f t="shared" si="0"/>
        <v>2.3902729061169442E-3</v>
      </c>
      <c r="G20" s="231"/>
    </row>
    <row r="21" spans="1:7" s="109" customFormat="1" ht="15.75" customHeight="1">
      <c r="A21" s="237" t="s">
        <v>7</v>
      </c>
      <c r="B21" s="121"/>
      <c r="C21" s="238"/>
      <c r="D21" s="238"/>
      <c r="E21" s="122">
        <f>E6+E12+E13+E19+E20</f>
        <v>-23.73673728</v>
      </c>
      <c r="F21" s="239">
        <f>F6+F12+F13+F19+F20</f>
        <v>1</v>
      </c>
      <c r="G21" s="210"/>
    </row>
    <row r="24" spans="1:7" s="109" customFormat="1" ht="15" customHeight="1">
      <c r="A24" s="308" t="s">
        <v>8</v>
      </c>
      <c r="B24" s="308"/>
      <c r="C24" s="308"/>
      <c r="D24" s="308"/>
      <c r="E24" s="308"/>
      <c r="F24" s="210"/>
      <c r="G24" s="210"/>
    </row>
    <row r="25" spans="1:7" ht="15" customHeight="1">
      <c r="A25" s="302" t="s">
        <v>9</v>
      </c>
      <c r="B25" s="302"/>
      <c r="C25" s="302"/>
      <c r="D25" s="302"/>
      <c r="E25" s="240" t="s">
        <v>10</v>
      </c>
    </row>
    <row r="26" spans="1:7" ht="15" customHeight="1">
      <c r="A26" s="232" t="str">
        <f>A38</f>
        <v>1.1. Operador Turno do Dia</v>
      </c>
      <c r="B26" s="233"/>
      <c r="C26" s="233"/>
      <c r="D26" s="123"/>
      <c r="E26" s="241">
        <f>C51</f>
        <v>1</v>
      </c>
    </row>
    <row r="27" spans="1:7" ht="15" customHeight="1">
      <c r="A27" s="232" t="s">
        <v>6</v>
      </c>
      <c r="B27" s="233"/>
      <c r="C27" s="233"/>
      <c r="D27" s="123"/>
      <c r="E27" s="241">
        <f>C66</f>
        <v>1</v>
      </c>
    </row>
    <row r="28" spans="1:7" ht="15" customHeight="1">
      <c r="A28" s="242" t="s">
        <v>11</v>
      </c>
      <c r="B28" s="124"/>
      <c r="C28" s="124"/>
      <c r="D28" s="125"/>
      <c r="E28" s="243">
        <f>SUM(E26+E27)</f>
        <v>2</v>
      </c>
    </row>
    <row r="29" spans="1:7" ht="15" customHeight="1">
      <c r="A29" s="244"/>
      <c r="B29" s="126"/>
      <c r="C29" s="210"/>
      <c r="E29" s="222"/>
    </row>
    <row r="30" spans="1:7" ht="15" customHeight="1">
      <c r="A30" s="303" t="s">
        <v>12</v>
      </c>
      <c r="B30" s="303"/>
      <c r="C30" s="303"/>
      <c r="D30" s="303"/>
      <c r="E30" s="240" t="s">
        <v>10</v>
      </c>
      <c r="F30" s="109"/>
    </row>
    <row r="31" spans="1:7" ht="15" customHeight="1">
      <c r="A31" s="245" t="s">
        <v>13</v>
      </c>
      <c r="B31" s="246"/>
      <c r="C31" s="246"/>
      <c r="D31" s="125"/>
      <c r="E31" s="247">
        <v>1</v>
      </c>
      <c r="F31" s="109"/>
    </row>
    <row r="32" spans="1:7" ht="15" customHeight="1">
      <c r="A32" s="210"/>
      <c r="B32" s="210"/>
      <c r="C32" s="210"/>
      <c r="D32" s="109"/>
      <c r="E32" s="248"/>
      <c r="F32" s="109"/>
    </row>
    <row r="33" spans="1:8">
      <c r="A33" s="210"/>
      <c r="B33" s="210"/>
      <c r="C33" s="210"/>
      <c r="D33" s="109"/>
      <c r="E33" s="249"/>
      <c r="F33" s="109"/>
    </row>
    <row r="34" spans="1:8" s="115" customFormat="1" ht="15.75" customHeight="1">
      <c r="A34" s="250" t="s">
        <v>14</v>
      </c>
      <c r="B34" s="251">
        <v>1</v>
      </c>
      <c r="C34" s="231"/>
      <c r="E34" s="252"/>
      <c r="G34" s="231"/>
    </row>
    <row r="35" spans="1:8" s="109" customFormat="1" ht="15.75" customHeight="1">
      <c r="A35" s="210"/>
      <c r="B35" s="210"/>
      <c r="C35" s="210"/>
      <c r="E35" s="249"/>
      <c r="G35" s="210"/>
    </row>
    <row r="36" spans="1:8" ht="12.75" customHeight="1">
      <c r="A36" s="115" t="s">
        <v>15</v>
      </c>
    </row>
    <row r="37" spans="1:8" ht="11.25" customHeight="1"/>
    <row r="38" spans="1:8">
      <c r="A38" s="109" t="s">
        <v>16</v>
      </c>
    </row>
    <row r="39" spans="1:8" s="129" customFormat="1" ht="12.75" customHeight="1">
      <c r="A39" s="127" t="s">
        <v>17</v>
      </c>
      <c r="B39" s="128" t="s">
        <v>18</v>
      </c>
      <c r="C39" s="128" t="s">
        <v>10</v>
      </c>
      <c r="D39" s="209" t="s">
        <v>19</v>
      </c>
      <c r="E39" s="209" t="s">
        <v>20</v>
      </c>
      <c r="F39" s="208" t="s">
        <v>21</v>
      </c>
      <c r="G39" s="210"/>
    </row>
    <row r="40" spans="1:8">
      <c r="A40" s="130" t="s">
        <v>22</v>
      </c>
      <c r="B40" s="131" t="s">
        <v>23</v>
      </c>
      <c r="C40" s="131">
        <v>1</v>
      </c>
      <c r="D40" s="253"/>
      <c r="E40" s="207">
        <f>C40*D40</f>
        <v>0</v>
      </c>
    </row>
    <row r="41" spans="1:8">
      <c r="A41" s="130" t="s">
        <v>24</v>
      </c>
      <c r="B41" s="131" t="s">
        <v>23</v>
      </c>
      <c r="C41" s="131">
        <v>1</v>
      </c>
      <c r="D41" s="253"/>
      <c r="E41" s="207"/>
    </row>
    <row r="42" spans="1:8">
      <c r="A42" s="132" t="s">
        <v>25</v>
      </c>
      <c r="B42" s="133" t="s">
        <v>26</v>
      </c>
      <c r="C42" s="134"/>
      <c r="D42" s="136">
        <f>D40/220*2</f>
        <v>0</v>
      </c>
      <c r="E42" s="136">
        <f>C42*D42</f>
        <v>0</v>
      </c>
    </row>
    <row r="43" spans="1:8">
      <c r="A43" s="132" t="s">
        <v>27</v>
      </c>
      <c r="B43" s="133" t="s">
        <v>26</v>
      </c>
      <c r="C43" s="134">
        <v>16</v>
      </c>
      <c r="D43" s="136">
        <f>(D40+E46)/220*1.5</f>
        <v>0</v>
      </c>
      <c r="E43" s="136">
        <f>C43*D43</f>
        <v>0</v>
      </c>
      <c r="F43" s="254"/>
    </row>
    <row r="44" spans="1:8" ht="12.75" customHeight="1">
      <c r="A44" s="132" t="s">
        <v>28</v>
      </c>
      <c r="B44" s="133" t="s">
        <v>29</v>
      </c>
      <c r="C44" s="135"/>
      <c r="D44" s="136">
        <f>63/302*(E43)</f>
        <v>0</v>
      </c>
      <c r="E44" s="136">
        <f>D44</f>
        <v>0</v>
      </c>
      <c r="G44" s="210">
        <f>(16/26)*4*D43</f>
        <v>0</v>
      </c>
      <c r="H44" s="109" t="s">
        <v>30</v>
      </c>
    </row>
    <row r="45" spans="1:8">
      <c r="A45" s="132" t="s">
        <v>31</v>
      </c>
      <c r="B45" s="133"/>
      <c r="C45" s="137">
        <v>2</v>
      </c>
      <c r="D45" s="136"/>
      <c r="E45" s="136"/>
    </row>
    <row r="46" spans="1:8">
      <c r="A46" s="132" t="s">
        <v>32</v>
      </c>
      <c r="B46" s="133" t="s">
        <v>5</v>
      </c>
      <c r="C46" s="138">
        <v>40</v>
      </c>
      <c r="D46" s="136">
        <f>D41</f>
        <v>0</v>
      </c>
      <c r="E46" s="136">
        <f>C46*D46/100</f>
        <v>0</v>
      </c>
    </row>
    <row r="47" spans="1:8" s="115" customFormat="1">
      <c r="A47" s="139" t="s">
        <v>33</v>
      </c>
      <c r="B47" s="140"/>
      <c r="C47" s="140"/>
      <c r="D47" s="215"/>
      <c r="E47" s="213">
        <f>SUM(E40:E46)</f>
        <v>0</v>
      </c>
      <c r="F47" s="231"/>
      <c r="G47" s="231"/>
    </row>
    <row r="48" spans="1:8">
      <c r="A48" s="132" t="s">
        <v>34</v>
      </c>
      <c r="B48" s="133" t="s">
        <v>5</v>
      </c>
      <c r="C48" s="255">
        <f>'2.Encargos Sociais'!C36</f>
        <v>0.69789999999999996</v>
      </c>
      <c r="D48" s="136">
        <f>E47</f>
        <v>0</v>
      </c>
      <c r="E48" s="136">
        <f>D48*C48/100</f>
        <v>0</v>
      </c>
    </row>
    <row r="49" spans="1:10">
      <c r="A49" s="132" t="s">
        <v>35</v>
      </c>
      <c r="B49" s="141" t="s">
        <v>5</v>
      </c>
      <c r="C49" s="256"/>
      <c r="D49" s="257">
        <f>D40-(23.68-D80)</f>
        <v>-23.68</v>
      </c>
      <c r="E49" s="136">
        <f>D40-D49</f>
        <v>23.68</v>
      </c>
    </row>
    <row r="50" spans="1:10" s="115" customFormat="1">
      <c r="A50" s="139" t="s">
        <v>36</v>
      </c>
      <c r="B50" s="142"/>
      <c r="C50" s="143"/>
      <c r="D50" s="258"/>
      <c r="E50" s="213">
        <f>E47+E48-E49</f>
        <v>-23.68</v>
      </c>
      <c r="F50" s="231"/>
      <c r="G50" s="231"/>
    </row>
    <row r="51" spans="1:10">
      <c r="A51" s="132" t="s">
        <v>37</v>
      </c>
      <c r="B51" s="133" t="s">
        <v>38</v>
      </c>
      <c r="C51" s="138">
        <v>1</v>
      </c>
      <c r="D51" s="136">
        <f>E50</f>
        <v>-23.68</v>
      </c>
      <c r="E51" s="136">
        <f>C51*D51</f>
        <v>-23.68</v>
      </c>
    </row>
    <row r="52" spans="1:10">
      <c r="D52" s="212" t="s">
        <v>39</v>
      </c>
      <c r="E52" s="211">
        <f>$B$34</f>
        <v>1</v>
      </c>
      <c r="F52" s="259">
        <f>E51*E52</f>
        <v>-23.68</v>
      </c>
      <c r="G52" s="210" t="s">
        <v>40</v>
      </c>
    </row>
    <row r="53" spans="1:10" ht="11.25" customHeight="1"/>
    <row r="54" spans="1:10">
      <c r="A54" s="109" t="s">
        <v>6</v>
      </c>
    </row>
    <row r="55" spans="1:10" s="129" customFormat="1" ht="12.75" customHeight="1">
      <c r="A55" s="127" t="s">
        <v>17</v>
      </c>
      <c r="B55" s="128" t="s">
        <v>18</v>
      </c>
      <c r="C55" s="128" t="s">
        <v>10</v>
      </c>
      <c r="D55" s="209" t="s">
        <v>19</v>
      </c>
      <c r="E55" s="209" t="s">
        <v>20</v>
      </c>
      <c r="F55" s="208" t="s">
        <v>21</v>
      </c>
      <c r="G55" s="210"/>
    </row>
    <row r="56" spans="1:10">
      <c r="A56" s="130" t="s">
        <v>22</v>
      </c>
      <c r="B56" s="131" t="s">
        <v>23</v>
      </c>
      <c r="C56" s="131">
        <v>1</v>
      </c>
      <c r="D56" s="253"/>
      <c r="E56" s="207">
        <f>C56*D56</f>
        <v>0</v>
      </c>
      <c r="G56" s="210" t="s">
        <v>41</v>
      </c>
    </row>
    <row r="57" spans="1:10">
      <c r="A57" s="130" t="s">
        <v>24</v>
      </c>
      <c r="B57" s="131" t="s">
        <v>23</v>
      </c>
      <c r="C57" s="131">
        <v>1</v>
      </c>
      <c r="D57" s="253"/>
      <c r="E57" s="207"/>
    </row>
    <row r="58" spans="1:10">
      <c r="A58" s="132" t="s">
        <v>25</v>
      </c>
      <c r="B58" s="133" t="s">
        <v>26</v>
      </c>
      <c r="C58" s="134"/>
      <c r="D58" s="136">
        <f>D56/220*2</f>
        <v>0</v>
      </c>
      <c r="E58" s="136">
        <f>C58*D58</f>
        <v>0</v>
      </c>
    </row>
    <row r="59" spans="1:10">
      <c r="A59" s="132" t="s">
        <v>27</v>
      </c>
      <c r="B59" s="133" t="s">
        <v>26</v>
      </c>
      <c r="C59" s="134">
        <v>16</v>
      </c>
      <c r="D59" s="136">
        <f>(D56+E62)/220*1.5</f>
        <v>0</v>
      </c>
      <c r="E59" s="136">
        <f>C59*D59</f>
        <v>0</v>
      </c>
      <c r="G59" s="210" t="s">
        <v>42</v>
      </c>
      <c r="H59" s="109" t="s">
        <v>43</v>
      </c>
    </row>
    <row r="60" spans="1:10" ht="12.75" customHeight="1">
      <c r="A60" s="132" t="s">
        <v>28</v>
      </c>
      <c r="B60" s="133" t="s">
        <v>29</v>
      </c>
      <c r="C60" s="132"/>
      <c r="D60" s="211">
        <f>63/302*E59</f>
        <v>0</v>
      </c>
      <c r="E60" s="211">
        <f>D60</f>
        <v>0</v>
      </c>
      <c r="H60" s="109" t="s">
        <v>30</v>
      </c>
      <c r="J60" s="109" t="s">
        <v>44</v>
      </c>
    </row>
    <row r="61" spans="1:10">
      <c r="A61" s="132" t="s">
        <v>31</v>
      </c>
      <c r="B61" s="133"/>
      <c r="C61" s="137">
        <v>2</v>
      </c>
      <c r="D61" s="136"/>
      <c r="E61" s="136"/>
    </row>
    <row r="62" spans="1:10">
      <c r="A62" s="132" t="s">
        <v>32</v>
      </c>
      <c r="B62" s="133" t="s">
        <v>5</v>
      </c>
      <c r="C62" s="138">
        <v>40</v>
      </c>
      <c r="D62" s="136">
        <f>D57</f>
        <v>0</v>
      </c>
      <c r="E62" s="136">
        <f>C62*D62/100</f>
        <v>0</v>
      </c>
    </row>
    <row r="63" spans="1:10" s="115" customFormat="1">
      <c r="A63" s="139" t="s">
        <v>33</v>
      </c>
      <c r="B63" s="140"/>
      <c r="C63" s="140"/>
      <c r="D63" s="215"/>
      <c r="E63" s="213">
        <f>SUM(E56:E62)</f>
        <v>0</v>
      </c>
      <c r="F63" s="231"/>
      <c r="G63" s="231"/>
    </row>
    <row r="64" spans="1:10">
      <c r="A64" s="132" t="s">
        <v>34</v>
      </c>
      <c r="B64" s="133" t="s">
        <v>5</v>
      </c>
      <c r="C64" s="260">
        <f>'2.Encargos Sociais'!C36</f>
        <v>0.69789999999999996</v>
      </c>
      <c r="D64" s="136">
        <f>E63</f>
        <v>0</v>
      </c>
      <c r="E64" s="136">
        <f>D64*C64/100</f>
        <v>0</v>
      </c>
    </row>
    <row r="65" spans="1:9" s="115" customFormat="1">
      <c r="A65" s="139" t="s">
        <v>36</v>
      </c>
      <c r="B65" s="142"/>
      <c r="C65" s="142"/>
      <c r="D65" s="258"/>
      <c r="E65" s="213">
        <f>E63+E64</f>
        <v>0</v>
      </c>
      <c r="F65" s="231"/>
      <c r="G65" s="231"/>
    </row>
    <row r="66" spans="1:9">
      <c r="A66" s="132" t="s">
        <v>37</v>
      </c>
      <c r="B66" s="133" t="s">
        <v>38</v>
      </c>
      <c r="C66" s="138">
        <v>1</v>
      </c>
      <c r="D66" s="136">
        <f>E65</f>
        <v>0</v>
      </c>
      <c r="E66" s="136">
        <f>C66*D66</f>
        <v>0</v>
      </c>
    </row>
    <row r="67" spans="1:9">
      <c r="D67" s="212" t="s">
        <v>39</v>
      </c>
      <c r="E67" s="211">
        <f>$B$34</f>
        <v>1</v>
      </c>
      <c r="F67" s="259">
        <f>E66*E67</f>
        <v>0</v>
      </c>
    </row>
    <row r="68" spans="1:9" ht="11.25" customHeight="1"/>
    <row r="69" spans="1:9" ht="11.25" customHeight="1">
      <c r="G69" s="109"/>
    </row>
    <row r="70" spans="1:9" s="109" customFormat="1">
      <c r="A70" s="109" t="s">
        <v>45</v>
      </c>
      <c r="B70" s="144"/>
      <c r="F70" s="210"/>
    </row>
    <row r="71" spans="1:9" s="109" customFormat="1">
      <c r="A71" s="127" t="s">
        <v>17</v>
      </c>
      <c r="B71" s="128" t="s">
        <v>18</v>
      </c>
      <c r="C71" s="145" t="s">
        <v>10</v>
      </c>
      <c r="D71" s="219" t="s">
        <v>19</v>
      </c>
      <c r="E71" s="219" t="s">
        <v>20</v>
      </c>
      <c r="F71" s="208" t="s">
        <v>21</v>
      </c>
    </row>
    <row r="72" spans="1:9">
      <c r="A72" s="132" t="s">
        <v>46</v>
      </c>
      <c r="B72" s="146" t="s">
        <v>29</v>
      </c>
      <c r="C72" s="147">
        <v>1</v>
      </c>
      <c r="D72" s="148"/>
      <c r="E72" s="149"/>
      <c r="F72" s="150"/>
      <c r="G72" s="109"/>
    </row>
    <row r="73" spans="1:9">
      <c r="A73" s="132" t="s">
        <v>47</v>
      </c>
      <c r="B73" s="146" t="s">
        <v>48</v>
      </c>
      <c r="C73" s="147">
        <v>26</v>
      </c>
      <c r="D73" s="149"/>
      <c r="E73" s="149"/>
      <c r="F73" s="150"/>
      <c r="G73" s="109"/>
    </row>
    <row r="74" spans="1:9">
      <c r="A74" s="130" t="s">
        <v>49</v>
      </c>
      <c r="B74" s="151" t="s">
        <v>50</v>
      </c>
      <c r="C74" s="147">
        <f>$C$73*2*(C51)*C75</f>
        <v>104</v>
      </c>
      <c r="D74" s="152"/>
      <c r="E74" s="149">
        <f>IFERROR(C74*D74,"-")</f>
        <v>0</v>
      </c>
      <c r="F74" s="150"/>
      <c r="G74" s="109"/>
    </row>
    <row r="75" spans="1:9">
      <c r="A75" s="130" t="s">
        <v>37</v>
      </c>
      <c r="B75" s="151" t="s">
        <v>38</v>
      </c>
      <c r="C75" s="153">
        <v>2</v>
      </c>
      <c r="D75" s="147"/>
      <c r="E75" s="147"/>
      <c r="F75" s="150"/>
      <c r="G75" s="109"/>
    </row>
    <row r="76" spans="1:9">
      <c r="C76" s="150"/>
      <c r="D76" s="150"/>
      <c r="E76" s="150"/>
      <c r="F76" s="154">
        <f>SUM(E74:E74)</f>
        <v>0</v>
      </c>
      <c r="G76" s="109"/>
    </row>
    <row r="77" spans="1:9" ht="11.25" customHeight="1">
      <c r="G77" s="109"/>
    </row>
    <row r="78" spans="1:9">
      <c r="A78" s="109" t="s">
        <v>51</v>
      </c>
      <c r="F78" s="231"/>
      <c r="G78" s="109"/>
    </row>
    <row r="79" spans="1:9" s="109" customFormat="1">
      <c r="A79" s="127" t="s">
        <v>17</v>
      </c>
      <c r="B79" s="128" t="s">
        <v>18</v>
      </c>
      <c r="C79" s="145" t="s">
        <v>10</v>
      </c>
      <c r="D79" s="219" t="s">
        <v>19</v>
      </c>
      <c r="E79" s="219" t="s">
        <v>20</v>
      </c>
      <c r="F79" s="208" t="s">
        <v>21</v>
      </c>
      <c r="I79" s="109">
        <f>23.68-(23.68*19%)</f>
        <v>19.180799999999998</v>
      </c>
    </row>
    <row r="80" spans="1:9" s="109" customFormat="1">
      <c r="A80" s="132" t="str">
        <f>+A74</f>
        <v>Operador e Auxiliar</v>
      </c>
      <c r="B80" s="146" t="s">
        <v>52</v>
      </c>
      <c r="C80" s="155">
        <f>C73*(E26)*C81</f>
        <v>52</v>
      </c>
      <c r="D80" s="156"/>
      <c r="E80" s="157">
        <f>C80*D80</f>
        <v>0</v>
      </c>
      <c r="F80" s="231"/>
    </row>
    <row r="81" spans="1:9" s="109" customFormat="1">
      <c r="A81" s="132" t="s">
        <v>37</v>
      </c>
      <c r="B81" s="133" t="s">
        <v>38</v>
      </c>
      <c r="C81" s="158">
        <v>2</v>
      </c>
      <c r="D81" s="261"/>
      <c r="E81" s="262"/>
      <c r="F81" s="231"/>
    </row>
    <row r="82" spans="1:9">
      <c r="F82" s="263">
        <f>SUM(E80:E80)</f>
        <v>0</v>
      </c>
      <c r="G82" s="109"/>
    </row>
    <row r="83" spans="1:9">
      <c r="G83" s="109"/>
      <c r="I83" s="109">
        <v>0</v>
      </c>
    </row>
    <row r="84" spans="1:9">
      <c r="A84" s="109" t="s">
        <v>53</v>
      </c>
      <c r="F84" s="231"/>
      <c r="G84" s="109"/>
    </row>
    <row r="85" spans="1:9" s="109" customFormat="1">
      <c r="A85" s="127" t="s">
        <v>17</v>
      </c>
      <c r="B85" s="128" t="s">
        <v>18</v>
      </c>
      <c r="C85" s="128" t="s">
        <v>10</v>
      </c>
      <c r="D85" s="209" t="s">
        <v>19</v>
      </c>
      <c r="E85" s="209" t="s">
        <v>20</v>
      </c>
      <c r="F85" s="208" t="s">
        <v>21</v>
      </c>
    </row>
    <row r="86" spans="1:9" s="109" customFormat="1">
      <c r="A86" s="132" t="str">
        <f>+A80</f>
        <v>Operador e Auxiliar</v>
      </c>
      <c r="B86" s="133" t="s">
        <v>52</v>
      </c>
      <c r="C86" s="264">
        <f>E28</f>
        <v>2</v>
      </c>
      <c r="D86" s="205">
        <v>0</v>
      </c>
      <c r="E86" s="211">
        <f>C86*D86</f>
        <v>0</v>
      </c>
      <c r="F86" s="231"/>
    </row>
    <row r="87" spans="1:9" s="109" customFormat="1" ht="15.95" customHeight="1">
      <c r="D87" s="212" t="s">
        <v>39</v>
      </c>
      <c r="E87" s="211">
        <f>$B$34</f>
        <v>1</v>
      </c>
      <c r="F87" s="263">
        <f>SUM(E86:E86)*E87</f>
        <v>0</v>
      </c>
    </row>
    <row r="88" spans="1:9">
      <c r="G88" s="109"/>
    </row>
    <row r="89" spans="1:9" s="109" customFormat="1">
      <c r="A89" s="159" t="s">
        <v>54</v>
      </c>
      <c r="B89" s="160"/>
      <c r="C89" s="160"/>
      <c r="D89" s="238"/>
      <c r="E89" s="265"/>
      <c r="F89" s="263">
        <f>F52+F67+F76+F82+F87</f>
        <v>-23.68</v>
      </c>
    </row>
    <row r="92" spans="1:9">
      <c r="A92" s="115" t="s">
        <v>55</v>
      </c>
      <c r="G92" s="109"/>
    </row>
    <row r="93" spans="1:9" ht="11.25" customHeight="1">
      <c r="G93" s="109"/>
    </row>
    <row r="94" spans="1:9" ht="13.5" customHeight="1">
      <c r="A94" s="109" t="s">
        <v>56</v>
      </c>
      <c r="G94" s="109"/>
    </row>
    <row r="95" spans="1:9" ht="11.25" customHeight="1"/>
    <row r="96" spans="1:9" ht="22.5">
      <c r="A96" s="127" t="s">
        <v>17</v>
      </c>
      <c r="B96" s="128" t="s">
        <v>18</v>
      </c>
      <c r="C96" s="161" t="s">
        <v>57</v>
      </c>
      <c r="D96" s="209" t="s">
        <v>19</v>
      </c>
      <c r="E96" s="209" t="s">
        <v>20</v>
      </c>
      <c r="F96" s="208" t="s">
        <v>21</v>
      </c>
    </row>
    <row r="97" spans="1:7">
      <c r="A97" s="130" t="s">
        <v>58</v>
      </c>
      <c r="B97" s="131" t="s">
        <v>52</v>
      </c>
      <c r="C97" s="162">
        <v>6</v>
      </c>
      <c r="D97" s="317"/>
      <c r="E97" s="207">
        <f t="shared" ref="E97:E102" si="1">IFERROR(D97/C97,0)</f>
        <v>0</v>
      </c>
    </row>
    <row r="98" spans="1:7">
      <c r="A98" s="132" t="s">
        <v>59</v>
      </c>
      <c r="B98" s="133" t="s">
        <v>52</v>
      </c>
      <c r="C98" s="162">
        <v>4</v>
      </c>
      <c r="D98" s="318"/>
      <c r="E98" s="207">
        <f>IFERROR(D98/C98,0)</f>
        <v>0</v>
      </c>
    </row>
    <row r="99" spans="1:7">
      <c r="A99" s="132" t="s">
        <v>60</v>
      </c>
      <c r="B99" s="133" t="s">
        <v>52</v>
      </c>
      <c r="C99" s="162">
        <v>4</v>
      </c>
      <c r="D99" s="318"/>
      <c r="E99" s="207">
        <f t="shared" si="1"/>
        <v>0</v>
      </c>
    </row>
    <row r="100" spans="1:7">
      <c r="A100" s="132" t="s">
        <v>61</v>
      </c>
      <c r="B100" s="133" t="s">
        <v>62</v>
      </c>
      <c r="C100" s="162">
        <v>4</v>
      </c>
      <c r="D100" s="318"/>
      <c r="E100" s="207">
        <f t="shared" si="1"/>
        <v>0</v>
      </c>
    </row>
    <row r="101" spans="1:7">
      <c r="A101" s="132" t="s">
        <v>63</v>
      </c>
      <c r="B101" s="133" t="s">
        <v>52</v>
      </c>
      <c r="C101" s="162">
        <v>6</v>
      </c>
      <c r="D101" s="318"/>
      <c r="E101" s="207">
        <f t="shared" si="1"/>
        <v>0</v>
      </c>
      <c r="G101" s="109"/>
    </row>
    <row r="102" spans="1:7">
      <c r="A102" s="132" t="s">
        <v>64</v>
      </c>
      <c r="B102" s="133" t="s">
        <v>65</v>
      </c>
      <c r="C102" s="162">
        <v>1</v>
      </c>
      <c r="D102" s="318"/>
      <c r="E102" s="207">
        <f t="shared" si="1"/>
        <v>0</v>
      </c>
      <c r="G102" s="109"/>
    </row>
    <row r="103" spans="1:7">
      <c r="A103" s="132" t="s">
        <v>66</v>
      </c>
      <c r="B103" s="133" t="s">
        <v>67</v>
      </c>
      <c r="C103" s="163">
        <v>1</v>
      </c>
      <c r="D103" s="317"/>
      <c r="E103" s="136">
        <f>C103*D103*4</f>
        <v>0</v>
      </c>
      <c r="G103" s="109"/>
    </row>
    <row r="104" spans="1:7">
      <c r="A104" s="132" t="s">
        <v>37</v>
      </c>
      <c r="B104" s="133" t="s">
        <v>38</v>
      </c>
      <c r="C104" s="164">
        <f>E28</f>
        <v>2</v>
      </c>
      <c r="D104" s="318"/>
      <c r="E104" s="136">
        <f>C104*D104</f>
        <v>0</v>
      </c>
      <c r="G104" s="109"/>
    </row>
    <row r="105" spans="1:7" s="109" customFormat="1">
      <c r="C105" s="305" t="s">
        <v>39</v>
      </c>
      <c r="D105" s="305"/>
      <c r="E105" s="211">
        <f>$B$34</f>
        <v>1</v>
      </c>
      <c r="F105" s="259">
        <f>E104*E105</f>
        <v>0</v>
      </c>
    </row>
    <row r="106" spans="1:7" ht="11.25" customHeight="1">
      <c r="G106" s="109"/>
    </row>
    <row r="107" spans="1:7" s="109" customFormat="1">
      <c r="A107" s="159" t="s">
        <v>68</v>
      </c>
      <c r="B107" s="165"/>
      <c r="C107" s="165"/>
      <c r="D107" s="266"/>
      <c r="E107" s="267"/>
      <c r="F107" s="204">
        <f>+F105</f>
        <v>0</v>
      </c>
    </row>
    <row r="108" spans="1:7" ht="11.25" customHeight="1">
      <c r="G108" s="109"/>
    </row>
    <row r="109" spans="1:7" ht="11.25" customHeight="1">
      <c r="G109" s="109"/>
    </row>
    <row r="110" spans="1:7">
      <c r="A110" s="115" t="s">
        <v>69</v>
      </c>
      <c r="G110" s="109"/>
    </row>
    <row r="111" spans="1:7" ht="11.25" customHeight="1">
      <c r="B111" s="220"/>
      <c r="G111" s="109"/>
    </row>
    <row r="112" spans="1:7">
      <c r="A112" s="220" t="s">
        <v>70</v>
      </c>
      <c r="G112" s="109"/>
    </row>
    <row r="113" spans="1:10" s="109" customFormat="1">
      <c r="A113" s="127" t="s">
        <v>17</v>
      </c>
      <c r="B113" s="128" t="s">
        <v>18</v>
      </c>
      <c r="C113" s="128" t="s">
        <v>10</v>
      </c>
      <c r="D113" s="209" t="s">
        <v>19</v>
      </c>
      <c r="E113" s="209" t="s">
        <v>20</v>
      </c>
      <c r="F113" s="208" t="s">
        <v>21</v>
      </c>
    </row>
    <row r="114" spans="1:10" s="109" customFormat="1">
      <c r="A114" s="130" t="s">
        <v>71</v>
      </c>
      <c r="B114" s="131" t="s">
        <v>52</v>
      </c>
      <c r="C114" s="131">
        <v>1</v>
      </c>
      <c r="D114" s="253"/>
      <c r="E114" s="207">
        <f>C114*D114</f>
        <v>0</v>
      </c>
      <c r="F114" s="218" t="s">
        <v>72</v>
      </c>
    </row>
    <row r="115" spans="1:10">
      <c r="A115" s="132" t="s">
        <v>73</v>
      </c>
      <c r="B115" s="133" t="s">
        <v>74</v>
      </c>
      <c r="C115" s="138">
        <v>5</v>
      </c>
      <c r="D115" s="136"/>
      <c r="E115" s="136"/>
      <c r="G115" s="109"/>
    </row>
    <row r="116" spans="1:10">
      <c r="A116" s="132" t="s">
        <v>75</v>
      </c>
      <c r="B116" s="133" t="s">
        <v>74</v>
      </c>
      <c r="C116" s="138">
        <v>0</v>
      </c>
      <c r="D116" s="136"/>
      <c r="E116" s="136"/>
      <c r="F116" s="217"/>
      <c r="I116" s="166"/>
      <c r="J116" s="166"/>
    </row>
    <row r="117" spans="1:10">
      <c r="A117" s="132" t="s">
        <v>76</v>
      </c>
      <c r="B117" s="133" t="s">
        <v>5</v>
      </c>
      <c r="C117" s="167">
        <f>IFERROR(VLOOKUP(C115,'5. Depreciação'!A3:B17,2,0),0)</f>
        <v>55.68</v>
      </c>
      <c r="D117" s="136">
        <f>E114</f>
        <v>0</v>
      </c>
      <c r="E117" s="136">
        <f>C117*D117/100</f>
        <v>0</v>
      </c>
      <c r="F117" s="218" t="str">
        <f>(F114)</f>
        <v>DNIT E9515</v>
      </c>
    </row>
    <row r="118" spans="1:10">
      <c r="A118" s="168" t="s">
        <v>77</v>
      </c>
      <c r="B118" s="169" t="s">
        <v>23</v>
      </c>
      <c r="C118" s="169">
        <f>C115*12</f>
        <v>60</v>
      </c>
      <c r="D118" s="216">
        <f>IF(C116&lt;=C115,E117,0)</f>
        <v>0</v>
      </c>
      <c r="E118" s="216">
        <f>IFERROR(D118/C118,0)</f>
        <v>0</v>
      </c>
    </row>
    <row r="119" spans="1:10">
      <c r="A119" s="170" t="s">
        <v>78</v>
      </c>
      <c r="B119" s="140"/>
      <c r="C119" s="140"/>
      <c r="D119" s="215"/>
      <c r="E119" s="214">
        <f>E118</f>
        <v>0</v>
      </c>
    </row>
    <row r="120" spans="1:10">
      <c r="A120" s="139" t="s">
        <v>79</v>
      </c>
      <c r="B120" s="171" t="s">
        <v>52</v>
      </c>
      <c r="C120" s="138">
        <v>1</v>
      </c>
      <c r="D120" s="213">
        <f>E119</f>
        <v>0</v>
      </c>
      <c r="E120" s="214">
        <f>C120*D120</f>
        <v>0</v>
      </c>
    </row>
    <row r="121" spans="1:10">
      <c r="A121" s="172"/>
      <c r="B121" s="172"/>
      <c r="C121" s="172"/>
      <c r="D121" s="212" t="s">
        <v>39</v>
      </c>
      <c r="E121" s="211">
        <f>$B$34</f>
        <v>1</v>
      </c>
      <c r="F121" s="204">
        <f>E120*E121</f>
        <v>0</v>
      </c>
    </row>
    <row r="122" spans="1:10" ht="11.25" customHeight="1">
      <c r="A122" s="180"/>
      <c r="B122" s="180"/>
      <c r="C122" s="180"/>
      <c r="D122" s="289"/>
      <c r="E122" s="289"/>
      <c r="F122" s="289"/>
    </row>
    <row r="123" spans="1:10">
      <c r="A123" s="291" t="s">
        <v>80</v>
      </c>
      <c r="B123" s="180"/>
      <c r="C123" s="180"/>
      <c r="D123" s="289"/>
      <c r="E123" s="289"/>
      <c r="F123" s="289"/>
    </row>
    <row r="124" spans="1:10">
      <c r="A124" s="181" t="s">
        <v>17</v>
      </c>
      <c r="B124" s="182" t="s">
        <v>18</v>
      </c>
      <c r="C124" s="183" t="s">
        <v>10</v>
      </c>
      <c r="D124" s="286" t="s">
        <v>19</v>
      </c>
      <c r="E124" s="287" t="s">
        <v>20</v>
      </c>
      <c r="F124" s="288" t="s">
        <v>81</v>
      </c>
      <c r="I124" s="166"/>
      <c r="J124" s="166"/>
    </row>
    <row r="125" spans="1:10">
      <c r="A125" s="184" t="s">
        <v>82</v>
      </c>
      <c r="B125" s="185" t="s">
        <v>52</v>
      </c>
      <c r="C125" s="186">
        <v>1</v>
      </c>
      <c r="D125" s="283">
        <f>D114</f>
        <v>0</v>
      </c>
      <c r="E125" s="283">
        <f>C125*D125</f>
        <v>0</v>
      </c>
      <c r="F125" s="284" t="str">
        <f>(F114)</f>
        <v>DNIT E9515</v>
      </c>
      <c r="I125" s="166"/>
      <c r="J125" s="166"/>
    </row>
    <row r="126" spans="1:10">
      <c r="A126" s="184" t="s">
        <v>83</v>
      </c>
      <c r="B126" s="185" t="s">
        <v>5</v>
      </c>
      <c r="C126" s="187">
        <f>'4.BDI'!E13*100</f>
        <v>10.4</v>
      </c>
      <c r="D126" s="283"/>
      <c r="E126" s="283"/>
      <c r="F126" s="281"/>
      <c r="I126" s="166"/>
      <c r="J126" s="166"/>
    </row>
    <row r="127" spans="1:10">
      <c r="A127" s="184" t="s">
        <v>84</v>
      </c>
      <c r="B127" s="185" t="s">
        <v>29</v>
      </c>
      <c r="C127" s="188">
        <f>IFERROR(IF(C116&lt;=C115,E114-(C117/(100*C115)*C116)*E114,E114-E117),0)</f>
        <v>0</v>
      </c>
      <c r="D127" s="283"/>
      <c r="E127" s="283"/>
      <c r="F127" s="281"/>
      <c r="I127" s="166"/>
      <c r="J127" s="166"/>
    </row>
    <row r="128" spans="1:10">
      <c r="A128" s="184" t="s">
        <v>85</v>
      </c>
      <c r="B128" s="185" t="s">
        <v>29</v>
      </c>
      <c r="C128" s="283">
        <f>IFERROR(IF(C116&gt;=C115,C127,((((C127)-(E114-E117))*(((C115-C116)+1)/(2*(C115-C116))))+(E114-E117))),0)</f>
        <v>0</v>
      </c>
      <c r="D128" s="283"/>
      <c r="E128" s="283"/>
      <c r="F128" s="281"/>
      <c r="I128" s="166"/>
      <c r="J128" s="166"/>
    </row>
    <row r="129" spans="1:10">
      <c r="A129" s="189" t="s">
        <v>86</v>
      </c>
      <c r="B129" s="190" t="s">
        <v>29</v>
      </c>
      <c r="C129" s="190"/>
      <c r="D129" s="280">
        <f>C126*C128/12/100</f>
        <v>0</v>
      </c>
      <c r="E129" s="280">
        <f>D129</f>
        <v>0</v>
      </c>
      <c r="F129" s="281"/>
      <c r="I129" s="166"/>
      <c r="J129" s="166"/>
    </row>
    <row r="130" spans="1:10">
      <c r="A130" s="191" t="s">
        <v>78</v>
      </c>
      <c r="B130" s="192"/>
      <c r="C130" s="192"/>
      <c r="D130" s="279"/>
      <c r="E130" s="277">
        <f>E129</f>
        <v>0</v>
      </c>
      <c r="F130" s="281"/>
      <c r="I130" s="166"/>
      <c r="J130" s="166"/>
    </row>
    <row r="131" spans="1:10">
      <c r="A131" s="193" t="s">
        <v>79</v>
      </c>
      <c r="B131" s="194" t="s">
        <v>52</v>
      </c>
      <c r="C131" s="185">
        <f>C120</f>
        <v>1</v>
      </c>
      <c r="D131" s="285">
        <f>E130</f>
        <v>0</v>
      </c>
      <c r="E131" s="277">
        <f>C131*D131</f>
        <v>0</v>
      </c>
      <c r="F131" s="281"/>
      <c r="I131" s="166"/>
      <c r="J131" s="166"/>
    </row>
    <row r="132" spans="1:10">
      <c r="A132" s="180"/>
      <c r="B132" s="180"/>
      <c r="C132" s="195"/>
      <c r="D132" s="290" t="s">
        <v>39</v>
      </c>
      <c r="E132" s="278">
        <f>$B$34</f>
        <v>1</v>
      </c>
      <c r="F132" s="282">
        <f>E131*E132</f>
        <v>0</v>
      </c>
      <c r="I132" s="166"/>
      <c r="J132" s="166"/>
    </row>
    <row r="133" spans="1:10" ht="11.25" customHeight="1">
      <c r="A133" s="180"/>
      <c r="B133" s="180"/>
      <c r="C133" s="180"/>
      <c r="D133" s="289"/>
      <c r="E133" s="289"/>
      <c r="F133" s="289"/>
      <c r="I133" s="166"/>
      <c r="J133" s="166"/>
    </row>
    <row r="134" spans="1:10">
      <c r="A134" s="180" t="s">
        <v>87</v>
      </c>
      <c r="B134" s="196"/>
      <c r="C134" s="180"/>
      <c r="D134" s="289"/>
      <c r="E134" s="289"/>
      <c r="F134" s="289"/>
      <c r="I134" s="166"/>
      <c r="J134" s="166"/>
    </row>
    <row r="135" spans="1:10">
      <c r="B135" s="173"/>
      <c r="I135" s="166"/>
      <c r="J135" s="166"/>
    </row>
    <row r="136" spans="1:10">
      <c r="A136" s="193" t="s">
        <v>88</v>
      </c>
      <c r="B136" s="197">
        <v>208</v>
      </c>
      <c r="C136" s="180"/>
      <c r="D136" s="289"/>
      <c r="E136" s="289"/>
      <c r="F136" s="289"/>
      <c r="I136" s="166"/>
      <c r="J136" s="166"/>
    </row>
    <row r="137" spans="1:10">
      <c r="A137" s="180"/>
      <c r="B137" s="196"/>
      <c r="C137" s="180"/>
      <c r="D137" s="289"/>
      <c r="E137" s="289"/>
      <c r="F137" s="289"/>
      <c r="I137" s="166"/>
      <c r="J137" s="166"/>
    </row>
    <row r="138" spans="1:10">
      <c r="A138" s="198" t="s">
        <v>17</v>
      </c>
      <c r="B138" s="199" t="s">
        <v>18</v>
      </c>
      <c r="C138" s="199" t="s">
        <v>89</v>
      </c>
      <c r="D138" s="286" t="s">
        <v>19</v>
      </c>
      <c r="E138" s="286" t="s">
        <v>20</v>
      </c>
      <c r="F138" s="288" t="s">
        <v>81</v>
      </c>
      <c r="I138" s="166"/>
      <c r="J138" s="166"/>
    </row>
    <row r="139" spans="1:10">
      <c r="A139" s="200" t="s">
        <v>90</v>
      </c>
      <c r="B139" s="186" t="s">
        <v>91</v>
      </c>
      <c r="C139" s="201">
        <v>14.8</v>
      </c>
      <c r="D139" s="298"/>
      <c r="E139" s="299"/>
      <c r="F139" s="289"/>
      <c r="I139" s="166"/>
      <c r="J139" s="166"/>
    </row>
    <row r="140" spans="1:10">
      <c r="A140" s="184" t="s">
        <v>92</v>
      </c>
      <c r="B140" s="185" t="s">
        <v>93</v>
      </c>
      <c r="C140" s="295">
        <f>B136</f>
        <v>208</v>
      </c>
      <c r="D140" s="297">
        <f>IFERROR(+D139*C139,"-")</f>
        <v>0</v>
      </c>
      <c r="E140" s="283">
        <f>IFERROR(C140*D140,"-")</f>
        <v>0</v>
      </c>
      <c r="F140" s="289"/>
      <c r="I140" s="166"/>
      <c r="J140" s="166"/>
    </row>
    <row r="141" spans="1:10">
      <c r="A141" s="184" t="s">
        <v>94</v>
      </c>
      <c r="B141" s="185" t="s">
        <v>91</v>
      </c>
      <c r="C141" s="202">
        <v>0.14000000000000001</v>
      </c>
      <c r="D141" s="292"/>
      <c r="E141" s="283"/>
      <c r="F141" s="289"/>
      <c r="I141" s="166"/>
      <c r="J141" s="166"/>
    </row>
    <row r="142" spans="1:10">
      <c r="A142" s="184" t="s">
        <v>95</v>
      </c>
      <c r="B142" s="185" t="s">
        <v>93</v>
      </c>
      <c r="C142" s="295">
        <f>C140</f>
        <v>208</v>
      </c>
      <c r="D142" s="293">
        <f>+C141*D141</f>
        <v>0</v>
      </c>
      <c r="E142" s="283">
        <f>C142*D142</f>
        <v>0</v>
      </c>
      <c r="F142" s="289"/>
      <c r="G142" s="210" t="s">
        <v>96</v>
      </c>
      <c r="I142" s="166"/>
      <c r="J142" s="166"/>
    </row>
    <row r="143" spans="1:10">
      <c r="A143" s="184" t="s">
        <v>97</v>
      </c>
      <c r="B143" s="185" t="s">
        <v>91</v>
      </c>
      <c r="C143" s="202">
        <v>0.08</v>
      </c>
      <c r="D143" s="292"/>
      <c r="E143" s="283"/>
      <c r="F143" s="289"/>
      <c r="I143" s="166"/>
      <c r="J143" s="166"/>
    </row>
    <row r="144" spans="1:10">
      <c r="A144" s="184" t="s">
        <v>98</v>
      </c>
      <c r="B144" s="185" t="s">
        <v>93</v>
      </c>
      <c r="C144" s="295">
        <f>C140</f>
        <v>208</v>
      </c>
      <c r="D144" s="293">
        <f>+C143*D143</f>
        <v>0</v>
      </c>
      <c r="E144" s="283">
        <f>C144*D144</f>
        <v>0</v>
      </c>
      <c r="F144" s="289"/>
      <c r="G144" s="210" t="s">
        <v>99</v>
      </c>
      <c r="I144" s="166"/>
      <c r="J144" s="166"/>
    </row>
    <row r="145" spans="1:10">
      <c r="A145" s="184" t="s">
        <v>100</v>
      </c>
      <c r="B145" s="185" t="s">
        <v>91</v>
      </c>
      <c r="C145" s="202">
        <v>0.14000000000000001</v>
      </c>
      <c r="D145" s="292"/>
      <c r="E145" s="283"/>
      <c r="F145" s="289"/>
      <c r="I145" s="166"/>
      <c r="J145" s="166"/>
    </row>
    <row r="146" spans="1:10">
      <c r="A146" s="184" t="s">
        <v>101</v>
      </c>
      <c r="B146" s="185" t="s">
        <v>93</v>
      </c>
      <c r="C146" s="295">
        <f>C140</f>
        <v>208</v>
      </c>
      <c r="D146" s="293">
        <f>+C145*D145/1000</f>
        <v>0</v>
      </c>
      <c r="E146" s="283">
        <f>C146*D146</f>
        <v>0</v>
      </c>
      <c r="F146" s="289"/>
      <c r="G146" s="210" t="s">
        <v>102</v>
      </c>
      <c r="I146" s="166"/>
      <c r="J146" s="166"/>
    </row>
    <row r="147" spans="1:10">
      <c r="A147" s="184" t="s">
        <v>103</v>
      </c>
      <c r="B147" s="185" t="s">
        <v>104</v>
      </c>
      <c r="C147" s="202">
        <v>0.1</v>
      </c>
      <c r="D147" s="292"/>
      <c r="E147" s="283"/>
      <c r="F147" s="289"/>
      <c r="I147" s="166"/>
      <c r="J147" s="166"/>
    </row>
    <row r="148" spans="1:10">
      <c r="A148" s="184" t="s">
        <v>105</v>
      </c>
      <c r="B148" s="185" t="s">
        <v>93</v>
      </c>
      <c r="C148" s="295">
        <f>C140</f>
        <v>208</v>
      </c>
      <c r="D148" s="293">
        <f>+C147*D147</f>
        <v>0</v>
      </c>
      <c r="E148" s="283">
        <f>C148*D148</f>
        <v>0</v>
      </c>
      <c r="F148" s="289"/>
      <c r="G148" s="210" t="s">
        <v>106</v>
      </c>
      <c r="H148" s="109" t="s">
        <v>107</v>
      </c>
      <c r="I148" s="166" t="s">
        <v>108</v>
      </c>
      <c r="J148" s="166"/>
    </row>
    <row r="149" spans="1:10">
      <c r="A149" s="193" t="s">
        <v>109</v>
      </c>
      <c r="B149" s="203" t="s">
        <v>110</v>
      </c>
      <c r="C149" s="296"/>
      <c r="D149" s="294">
        <f>IFERROR(D140+D142+D144+D146+D148,0)</f>
        <v>0</v>
      </c>
      <c r="E149" s="283"/>
      <c r="F149" s="289"/>
      <c r="G149" s="210" t="s">
        <v>111</v>
      </c>
      <c r="H149" s="109" t="s">
        <v>112</v>
      </c>
      <c r="I149" s="166"/>
      <c r="J149" s="166"/>
    </row>
    <row r="150" spans="1:10">
      <c r="A150" s="180"/>
      <c r="B150" s="180"/>
      <c r="C150" s="180"/>
      <c r="D150" s="289"/>
      <c r="E150" s="289"/>
      <c r="F150" s="282">
        <f>SUM(E139:E148)</f>
        <v>0</v>
      </c>
      <c r="I150" s="166"/>
      <c r="J150" s="166"/>
    </row>
    <row r="151" spans="1:10" ht="11.25" customHeight="1">
      <c r="I151" s="166"/>
      <c r="J151" s="166"/>
    </row>
    <row r="152" spans="1:10">
      <c r="A152" s="109" t="s">
        <v>113</v>
      </c>
      <c r="I152" s="166"/>
      <c r="J152" s="166"/>
    </row>
    <row r="153" spans="1:10">
      <c r="A153" s="127" t="s">
        <v>17</v>
      </c>
      <c r="B153" s="128" t="s">
        <v>18</v>
      </c>
      <c r="C153" s="128" t="s">
        <v>10</v>
      </c>
      <c r="D153" s="209" t="s">
        <v>19</v>
      </c>
      <c r="E153" s="209" t="s">
        <v>20</v>
      </c>
      <c r="F153" s="208" t="s">
        <v>21</v>
      </c>
      <c r="I153" s="166"/>
      <c r="J153" s="166"/>
    </row>
    <row r="154" spans="1:10">
      <c r="A154" s="130" t="s">
        <v>114</v>
      </c>
      <c r="B154" s="131" t="s">
        <v>115</v>
      </c>
      <c r="C154" s="206">
        <f>B136</f>
        <v>208</v>
      </c>
      <c r="D154" s="253">
        <f>(D114*0.7)/(2496*10)</f>
        <v>0</v>
      </c>
      <c r="E154" s="207">
        <f>C154*D154</f>
        <v>0</v>
      </c>
      <c r="I154" s="166"/>
      <c r="J154" s="166"/>
    </row>
    <row r="155" spans="1:10">
      <c r="F155" s="204">
        <f>E154</f>
        <v>0</v>
      </c>
      <c r="I155" s="166">
        <f>(D114*0.7)/(2496*10)</f>
        <v>0</v>
      </c>
      <c r="J155" s="166" t="s">
        <v>116</v>
      </c>
    </row>
    <row r="156" spans="1:10">
      <c r="F156" s="300"/>
      <c r="I156" s="166"/>
      <c r="J156" s="166"/>
    </row>
    <row r="157" spans="1:10">
      <c r="F157" s="300"/>
      <c r="I157" s="166"/>
      <c r="J157" s="166"/>
    </row>
    <row r="158" spans="1:10">
      <c r="F158" s="300"/>
      <c r="I158" s="166"/>
      <c r="J158" s="166"/>
    </row>
    <row r="159" spans="1:10" ht="11.25" customHeight="1">
      <c r="I159" s="166"/>
      <c r="J159" s="166"/>
    </row>
    <row r="160" spans="1:10">
      <c r="A160" s="109" t="s">
        <v>117</v>
      </c>
      <c r="I160" s="166"/>
      <c r="J160" s="166"/>
    </row>
    <row r="161" spans="1:10">
      <c r="A161" s="127" t="s">
        <v>17</v>
      </c>
      <c r="B161" s="128" t="s">
        <v>18</v>
      </c>
      <c r="C161" s="128" t="s">
        <v>10</v>
      </c>
      <c r="D161" s="209" t="s">
        <v>19</v>
      </c>
      <c r="E161" s="209" t="s">
        <v>20</v>
      </c>
      <c r="F161" s="208" t="s">
        <v>21</v>
      </c>
      <c r="I161" s="166"/>
      <c r="J161" s="166"/>
    </row>
    <row r="162" spans="1:10">
      <c r="A162" s="130" t="s">
        <v>118</v>
      </c>
      <c r="B162" s="131" t="s">
        <v>52</v>
      </c>
      <c r="C162" s="158">
        <v>1</v>
      </c>
      <c r="D162" s="253"/>
      <c r="E162" s="207">
        <f>C162*D162</f>
        <v>0</v>
      </c>
      <c r="I162" s="166"/>
      <c r="J162" s="166"/>
    </row>
    <row r="163" spans="1:10">
      <c r="A163" s="130" t="s">
        <v>119</v>
      </c>
      <c r="B163" s="131" t="s">
        <v>52</v>
      </c>
      <c r="C163" s="158">
        <v>1</v>
      </c>
      <c r="D163" s="207"/>
      <c r="E163" s="207"/>
      <c r="I163" s="166"/>
      <c r="J163" s="166"/>
    </row>
    <row r="164" spans="1:10">
      <c r="A164" s="132" t="s">
        <v>120</v>
      </c>
      <c r="B164" s="133" t="s">
        <v>93</v>
      </c>
      <c r="C164" s="174">
        <v>3000</v>
      </c>
      <c r="D164" s="136">
        <f>E162</f>
        <v>0</v>
      </c>
      <c r="E164" s="136">
        <f>IFERROR(D164/C164,"-")</f>
        <v>0</v>
      </c>
      <c r="I164" s="166"/>
      <c r="J164" s="166"/>
    </row>
    <row r="165" spans="1:10">
      <c r="A165" s="132" t="s">
        <v>121</v>
      </c>
      <c r="B165" s="133" t="s">
        <v>93</v>
      </c>
      <c r="C165" s="206">
        <f>B136</f>
        <v>208</v>
      </c>
      <c r="D165" s="136">
        <f>E164</f>
        <v>0</v>
      </c>
      <c r="E165" s="136">
        <f>IFERROR(C165*D165,0)</f>
        <v>0</v>
      </c>
      <c r="I165" s="166"/>
      <c r="J165" s="166"/>
    </row>
    <row r="166" spans="1:10">
      <c r="F166" s="204">
        <f>E165</f>
        <v>0</v>
      </c>
      <c r="I166" s="166"/>
      <c r="J166" s="166"/>
    </row>
    <row r="167" spans="1:10" ht="11.25" customHeight="1">
      <c r="I167" s="166"/>
      <c r="J167" s="166"/>
    </row>
    <row r="168" spans="1:10" ht="11.25" customHeight="1">
      <c r="G168" s="109"/>
    </row>
    <row r="169" spans="1:10" s="109" customFormat="1">
      <c r="A169" s="159" t="s">
        <v>122</v>
      </c>
      <c r="B169" s="160"/>
      <c r="C169" s="160"/>
      <c r="D169" s="238"/>
      <c r="E169" s="265"/>
      <c r="F169" s="204">
        <f>+SUM(F114:F168)</f>
        <v>0</v>
      </c>
    </row>
    <row r="170" spans="1:10" ht="11.25" customHeight="1">
      <c r="G170" s="109"/>
    </row>
    <row r="171" spans="1:10" ht="11.25" customHeight="1">
      <c r="G171" s="109"/>
    </row>
    <row r="172" spans="1:10">
      <c r="A172" s="115" t="s">
        <v>123</v>
      </c>
      <c r="B172" s="115"/>
      <c r="C172" s="115"/>
      <c r="D172" s="231"/>
      <c r="E172" s="231"/>
      <c r="F172" s="215"/>
    </row>
    <row r="173" spans="1:10" ht="11.25" customHeight="1"/>
    <row r="174" spans="1:10">
      <c r="A174" s="127" t="s">
        <v>17</v>
      </c>
      <c r="B174" s="128" t="s">
        <v>18</v>
      </c>
      <c r="C174" s="128" t="s">
        <v>10</v>
      </c>
      <c r="D174" s="209" t="s">
        <v>19</v>
      </c>
      <c r="E174" s="209" t="s">
        <v>20</v>
      </c>
      <c r="F174" s="208" t="s">
        <v>21</v>
      </c>
    </row>
    <row r="175" spans="1:10">
      <c r="A175" s="132" t="s">
        <v>124</v>
      </c>
      <c r="B175" s="175" t="s">
        <v>125</v>
      </c>
      <c r="C175" s="176">
        <v>1</v>
      </c>
      <c r="D175" s="205"/>
      <c r="E175" s="136">
        <f>+D175*C175/C176</f>
        <v>0</v>
      </c>
      <c r="F175" s="217"/>
    </row>
    <row r="176" spans="1:10">
      <c r="A176" s="132" t="s">
        <v>126</v>
      </c>
      <c r="B176" s="175" t="s">
        <v>23</v>
      </c>
      <c r="C176" s="133">
        <v>120</v>
      </c>
      <c r="D176" s="268"/>
      <c r="E176" s="268">
        <f>+D176</f>
        <v>0</v>
      </c>
      <c r="F176" s="217"/>
    </row>
    <row r="177" spans="1:7">
      <c r="A177" s="132" t="s">
        <v>127</v>
      </c>
      <c r="B177" s="133" t="s">
        <v>52</v>
      </c>
      <c r="C177" s="176">
        <f>+C175</f>
        <v>1</v>
      </c>
      <c r="D177" s="205"/>
      <c r="E177" s="136">
        <f>C177*D177</f>
        <v>0</v>
      </c>
      <c r="F177" s="217"/>
    </row>
    <row r="178" spans="1:7">
      <c r="A178" s="132" t="s">
        <v>128</v>
      </c>
      <c r="B178" s="175" t="s">
        <v>23</v>
      </c>
      <c r="C178" s="133">
        <v>1</v>
      </c>
      <c r="D178" s="268"/>
      <c r="E178" s="268">
        <f>+D178/C178</f>
        <v>0</v>
      </c>
      <c r="F178" s="217"/>
    </row>
    <row r="179" spans="1:7">
      <c r="A179" s="129"/>
      <c r="B179" s="129"/>
      <c r="C179" s="129"/>
      <c r="D179" s="212" t="s">
        <v>39</v>
      </c>
      <c r="E179" s="211">
        <f>$B$34</f>
        <v>1</v>
      </c>
      <c r="F179" s="204">
        <f>(E176+E175+E178+E177)*E179</f>
        <v>0</v>
      </c>
    </row>
    <row r="180" spans="1:7" s="177" customFormat="1" ht="11.25" customHeight="1">
      <c r="A180" s="109"/>
      <c r="B180" s="109"/>
      <c r="C180" s="109"/>
      <c r="D180" s="210"/>
      <c r="E180" s="210"/>
      <c r="F180" s="210"/>
      <c r="G180" s="269"/>
    </row>
    <row r="181" spans="1:7">
      <c r="A181" s="159" t="s">
        <v>129</v>
      </c>
      <c r="B181" s="160"/>
      <c r="C181" s="160"/>
      <c r="D181" s="238"/>
      <c r="E181" s="265"/>
      <c r="F181" s="204">
        <f>+F179</f>
        <v>0</v>
      </c>
    </row>
    <row r="182" spans="1:7" ht="11.25" customHeight="1"/>
    <row r="183" spans="1:7" ht="17.25" customHeight="1">
      <c r="A183" s="159" t="s">
        <v>130</v>
      </c>
      <c r="B183" s="165"/>
      <c r="C183" s="165"/>
      <c r="D183" s="266"/>
      <c r="E183" s="267"/>
      <c r="F183" s="263">
        <f>+F89+F107+F169+F181</f>
        <v>-23.68</v>
      </c>
    </row>
    <row r="184" spans="1:7" ht="11.25" customHeight="1"/>
    <row r="185" spans="1:7">
      <c r="A185" s="115" t="s">
        <v>131</v>
      </c>
    </row>
    <row r="186" spans="1:7" ht="11.25" customHeight="1"/>
    <row r="187" spans="1:7">
      <c r="A187" s="127" t="s">
        <v>17</v>
      </c>
      <c r="B187" s="128" t="s">
        <v>18</v>
      </c>
      <c r="C187" s="128" t="s">
        <v>10</v>
      </c>
      <c r="D187" s="209" t="s">
        <v>19</v>
      </c>
      <c r="E187" s="209" t="s">
        <v>20</v>
      </c>
      <c r="F187" s="208" t="s">
        <v>21</v>
      </c>
    </row>
    <row r="188" spans="1:7">
      <c r="A188" s="130" t="s">
        <v>132</v>
      </c>
      <c r="B188" s="131" t="s">
        <v>5</v>
      </c>
      <c r="C188" s="270">
        <f>'4.BDI'!C18</f>
        <v>0.23960000000000001</v>
      </c>
      <c r="D188" s="207">
        <f>+F183</f>
        <v>-23.68</v>
      </c>
      <c r="E188" s="207">
        <f>C188*D188/100</f>
        <v>-5.6737280000000008E-2</v>
      </c>
    </row>
    <row r="189" spans="1:7">
      <c r="F189" s="204">
        <f>+E188</f>
        <v>-5.6737280000000008E-2</v>
      </c>
    </row>
    <row r="190" spans="1:7" ht="11.25" customHeight="1"/>
    <row r="191" spans="1:7">
      <c r="A191" s="159" t="s">
        <v>133</v>
      </c>
      <c r="B191" s="165"/>
      <c r="C191" s="165"/>
      <c r="D191" s="266"/>
      <c r="E191" s="267"/>
      <c r="F191" s="263">
        <f>F189</f>
        <v>-5.6737280000000008E-2</v>
      </c>
    </row>
    <row r="192" spans="1:7">
      <c r="A192" s="115"/>
      <c r="B192" s="115"/>
      <c r="C192" s="115"/>
      <c r="D192" s="231"/>
      <c r="E192" s="231"/>
      <c r="F192" s="215"/>
    </row>
    <row r="193" spans="1:6" ht="11.25" customHeight="1"/>
    <row r="194" spans="1:6" ht="24.75" customHeight="1">
      <c r="A194" s="159" t="s">
        <v>134</v>
      </c>
      <c r="B194" s="165"/>
      <c r="C194" s="165"/>
      <c r="D194" s="266"/>
      <c r="E194" s="267"/>
      <c r="F194" s="271">
        <f>F183+F191</f>
        <v>-23.73673728</v>
      </c>
    </row>
    <row r="195" spans="1:6" ht="13.5" customHeight="1">
      <c r="A195" s="115"/>
      <c r="B195" s="178"/>
      <c r="C195" s="178"/>
      <c r="D195" s="272"/>
      <c r="E195" s="272"/>
      <c r="F195" s="272"/>
    </row>
    <row r="196" spans="1:6" ht="14.25">
      <c r="A196" s="108"/>
      <c r="B196" s="108"/>
      <c r="C196" s="108"/>
      <c r="D196" s="221"/>
      <c r="E196" s="221"/>
    </row>
    <row r="197" spans="1:6" ht="15.75" customHeight="1">
      <c r="A197" s="179" t="s">
        <v>135</v>
      </c>
      <c r="B197" s="123"/>
      <c r="C197" s="123"/>
      <c r="D197" s="273">
        <v>2400</v>
      </c>
      <c r="E197" s="274" t="s">
        <v>136</v>
      </c>
    </row>
    <row r="199" spans="1:6" ht="25.5" customHeight="1">
      <c r="A199" s="159" t="s">
        <v>137</v>
      </c>
      <c r="B199" s="160"/>
      <c r="C199" s="160"/>
      <c r="D199" s="238"/>
      <c r="E199" s="275" t="s">
        <v>138</v>
      </c>
      <c r="F199" s="276">
        <f>IFERROR(F194/D197,"-")</f>
        <v>-9.8903072000000002E-3</v>
      </c>
    </row>
    <row r="200" spans="1:6" ht="12" customHeight="1"/>
    <row r="201" spans="1:6" ht="12" customHeight="1"/>
    <row r="202" spans="1:6" ht="12" customHeight="1"/>
    <row r="203" spans="1:6" ht="12" customHeight="1">
      <c r="A203" s="144"/>
      <c r="B203" s="301" t="s">
        <v>139</v>
      </c>
      <c r="C203" s="301"/>
      <c r="D203" s="301"/>
    </row>
    <row r="204" spans="1:6" ht="12" customHeight="1">
      <c r="A204" s="144"/>
      <c r="B204" s="301" t="s">
        <v>140</v>
      </c>
      <c r="C204" s="301"/>
      <c r="D204" s="301"/>
    </row>
    <row r="205" spans="1:6" ht="12" customHeight="1">
      <c r="B205" s="304" t="s">
        <v>141</v>
      </c>
      <c r="C205" s="304"/>
      <c r="D205" s="304"/>
    </row>
    <row r="206" spans="1:6" ht="12" customHeight="1">
      <c r="B206" s="301" t="s">
        <v>142</v>
      </c>
      <c r="C206" s="301"/>
      <c r="D206" s="301"/>
    </row>
    <row r="207" spans="1:6" ht="12" customHeight="1">
      <c r="B207" s="301" t="s">
        <v>143</v>
      </c>
      <c r="C207" s="301"/>
      <c r="D207" s="301"/>
    </row>
    <row r="208" spans="1:6" ht="12" customHeight="1">
      <c r="B208" s="301" t="s">
        <v>144</v>
      </c>
      <c r="C208" s="301"/>
      <c r="D208" s="301"/>
    </row>
    <row r="209" ht="12" customHeight="1"/>
    <row r="240" ht="9" customHeight="1"/>
  </sheetData>
  <mergeCells count="14">
    <mergeCell ref="A1:F1"/>
    <mergeCell ref="A2:F2"/>
    <mergeCell ref="A4:F4"/>
    <mergeCell ref="A12:C12"/>
    <mergeCell ref="A24:E24"/>
    <mergeCell ref="B206:D206"/>
    <mergeCell ref="B207:D207"/>
    <mergeCell ref="B208:D208"/>
    <mergeCell ref="A25:D25"/>
    <mergeCell ref="A30:D30"/>
    <mergeCell ref="B203:D203"/>
    <mergeCell ref="B204:D204"/>
    <mergeCell ref="B205:D205"/>
    <mergeCell ref="C105:D105"/>
  </mergeCells>
  <pageMargins left="0.905555555555556" right="0.51180555555555596" top="0.74791666666666701" bottom="0.74791666666666701" header="0.511811023622047" footer="0.31527777777777799"/>
  <pageSetup paperSize="9" scale="71" fitToHeight="0" orientation="portrait" horizontalDpi="300" verticalDpi="300" r:id="rId1"/>
  <headerFooter>
    <oddFooter>&amp;R&amp;P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6"/>
  <sheetViews>
    <sheetView view="pageBreakPreview" topLeftCell="A20" zoomScale="160" zoomScaleNormal="100" zoomScalePageLayoutView="160" workbookViewId="0">
      <selection activeCell="D34" sqref="D34"/>
    </sheetView>
  </sheetViews>
  <sheetFormatPr defaultColWidth="6" defaultRowHeight="13.15"/>
  <cols>
    <col min="1" max="1" width="9.5703125" customWidth="1"/>
    <col min="2" max="2" width="38.5703125" customWidth="1"/>
    <col min="3" max="3" width="11.140625" customWidth="1"/>
    <col min="4" max="4" width="27.5703125" customWidth="1"/>
    <col min="11" max="11" width="7.42578125" customWidth="1"/>
  </cols>
  <sheetData>
    <row r="1" spans="1:6">
      <c r="A1" s="4" t="s">
        <v>145</v>
      </c>
    </row>
    <row r="2" spans="1:6">
      <c r="A2" s="3" t="s">
        <v>146</v>
      </c>
    </row>
    <row r="4" spans="1:6" ht="17.45">
      <c r="A4" s="310" t="s">
        <v>147</v>
      </c>
      <c r="B4" s="310"/>
      <c r="C4" s="310"/>
      <c r="D4" s="5"/>
      <c r="E4" s="5"/>
      <c r="F4" s="5"/>
    </row>
    <row r="5" spans="1:6" ht="13.9">
      <c r="A5" s="6" t="s">
        <v>148</v>
      </c>
      <c r="B5" s="7" t="s">
        <v>149</v>
      </c>
      <c r="C5" s="8" t="s">
        <v>150</v>
      </c>
      <c r="D5" s="9"/>
    </row>
    <row r="6" spans="1:6" ht="13.9">
      <c r="A6" s="6" t="s">
        <v>151</v>
      </c>
      <c r="B6" s="7" t="s">
        <v>152</v>
      </c>
      <c r="C6" s="10">
        <v>0.2</v>
      </c>
      <c r="D6" s="9"/>
    </row>
    <row r="7" spans="1:6" ht="13.9">
      <c r="A7" s="6" t="s">
        <v>153</v>
      </c>
      <c r="B7" s="7" t="s">
        <v>154</v>
      </c>
      <c r="C7" s="10">
        <v>1.4999999999999999E-2</v>
      </c>
      <c r="D7" s="9"/>
    </row>
    <row r="8" spans="1:6" ht="13.9">
      <c r="A8" s="6" t="s">
        <v>155</v>
      </c>
      <c r="B8" s="7" t="s">
        <v>156</v>
      </c>
      <c r="C8" s="10">
        <v>0.01</v>
      </c>
      <c r="D8" s="9"/>
    </row>
    <row r="9" spans="1:6" ht="13.9">
      <c r="A9" s="6" t="s">
        <v>157</v>
      </c>
      <c r="B9" s="7" t="s">
        <v>158</v>
      </c>
      <c r="C9" s="10">
        <v>2E-3</v>
      </c>
      <c r="D9" s="9"/>
    </row>
    <row r="10" spans="1:6" ht="13.9">
      <c r="A10" s="6" t="s">
        <v>159</v>
      </c>
      <c r="B10" s="7" t="s">
        <v>160</v>
      </c>
      <c r="C10" s="10">
        <v>6.0000000000000001E-3</v>
      </c>
      <c r="D10" s="9"/>
    </row>
    <row r="11" spans="1:6" ht="13.9">
      <c r="A11" s="6" t="s">
        <v>161</v>
      </c>
      <c r="B11" s="7" t="s">
        <v>162</v>
      </c>
      <c r="C11" s="10">
        <v>2.5000000000000001E-2</v>
      </c>
      <c r="D11" s="9"/>
    </row>
    <row r="12" spans="1:6" ht="13.9">
      <c r="A12" s="6" t="s">
        <v>163</v>
      </c>
      <c r="B12" s="7" t="s">
        <v>164</v>
      </c>
      <c r="C12" s="10">
        <v>0.03</v>
      </c>
      <c r="D12" s="9"/>
    </row>
    <row r="13" spans="1:6" ht="13.9">
      <c r="A13" s="6" t="s">
        <v>165</v>
      </c>
      <c r="B13" s="7" t="s">
        <v>166</v>
      </c>
      <c r="C13" s="10">
        <v>0.08</v>
      </c>
      <c r="D13" s="9"/>
    </row>
    <row r="14" spans="1:6" ht="13.9">
      <c r="A14" s="6" t="s">
        <v>167</v>
      </c>
      <c r="B14" s="7" t="s">
        <v>168</v>
      </c>
      <c r="C14" s="10">
        <v>0</v>
      </c>
      <c r="D14" s="9"/>
    </row>
    <row r="15" spans="1:6" ht="13.9">
      <c r="A15" s="11" t="s">
        <v>169</v>
      </c>
      <c r="B15" s="12" t="s">
        <v>170</v>
      </c>
      <c r="C15" s="13">
        <v>0.36799999999999999</v>
      </c>
      <c r="D15" s="9"/>
    </row>
    <row r="16" spans="1:6" ht="13.9">
      <c r="A16" s="6"/>
      <c r="B16" s="7"/>
      <c r="C16" s="10"/>
      <c r="D16" s="9"/>
    </row>
    <row r="17" spans="1:8" ht="13.9">
      <c r="A17" s="6" t="s">
        <v>171</v>
      </c>
      <c r="B17" s="7" t="s">
        <v>172</v>
      </c>
      <c r="C17" s="10">
        <v>6.4000000000000003E-3</v>
      </c>
      <c r="D17" s="9"/>
    </row>
    <row r="18" spans="1:8" ht="13.9">
      <c r="A18" s="6" t="s">
        <v>173</v>
      </c>
      <c r="B18" s="7" t="s">
        <v>174</v>
      </c>
      <c r="C18" s="10">
        <v>8.3299999999999999E-2</v>
      </c>
      <c r="D18" s="9"/>
    </row>
    <row r="19" spans="1:8" ht="13.9">
      <c r="A19" s="6" t="s">
        <v>175</v>
      </c>
      <c r="B19" s="7" t="s">
        <v>176</v>
      </c>
      <c r="C19" s="10">
        <v>4.0000000000000002E-4</v>
      </c>
      <c r="D19" s="9"/>
    </row>
    <row r="20" spans="1:8" ht="13.9">
      <c r="A20" s="6" t="s">
        <v>177</v>
      </c>
      <c r="B20" s="7" t="s">
        <v>178</v>
      </c>
      <c r="C20" s="10">
        <v>5.5999999999999999E-3</v>
      </c>
      <c r="D20" s="9"/>
    </row>
    <row r="21" spans="1:8" ht="13.9">
      <c r="A21" s="6" t="s">
        <v>179</v>
      </c>
      <c r="B21" s="7" t="s">
        <v>180</v>
      </c>
      <c r="C21" s="10">
        <v>8.0000000000000004E-4</v>
      </c>
      <c r="D21" s="9"/>
    </row>
    <row r="22" spans="1:8" ht="13.9">
      <c r="A22" s="6" t="s">
        <v>181</v>
      </c>
      <c r="B22" s="7" t="s">
        <v>182</v>
      </c>
      <c r="C22" s="10">
        <v>8.7400000000000005E-2</v>
      </c>
      <c r="D22" s="14"/>
    </row>
    <row r="23" spans="1:8" ht="13.9">
      <c r="A23" s="6" t="s">
        <v>183</v>
      </c>
      <c r="B23" s="7" t="s">
        <v>184</v>
      </c>
      <c r="C23" s="10">
        <v>2.9999999999999997E-4</v>
      </c>
      <c r="D23" s="14"/>
    </row>
    <row r="24" spans="1:8" s="21" customFormat="1" ht="13.9">
      <c r="A24" s="96" t="s">
        <v>185</v>
      </c>
      <c r="B24" s="97" t="s">
        <v>186</v>
      </c>
      <c r="C24" s="98">
        <v>0.1842</v>
      </c>
      <c r="D24" s="18"/>
      <c r="E24" s="95"/>
    </row>
    <row r="25" spans="1:8" ht="13.9">
      <c r="A25" s="6"/>
      <c r="B25" s="7"/>
      <c r="C25" s="10"/>
      <c r="D25" s="9"/>
      <c r="H25" s="16"/>
    </row>
    <row r="26" spans="1:8" ht="13.9">
      <c r="A26" s="6" t="s">
        <v>187</v>
      </c>
      <c r="B26" s="7" t="s">
        <v>188</v>
      </c>
      <c r="C26" s="10">
        <v>3.4700000000000002E-2</v>
      </c>
      <c r="D26" s="9"/>
    </row>
    <row r="27" spans="1:8" ht="13.9">
      <c r="A27" s="6" t="s">
        <v>189</v>
      </c>
      <c r="B27" s="7" t="s">
        <v>190</v>
      </c>
      <c r="C27" s="10">
        <v>8.0000000000000004E-4</v>
      </c>
      <c r="D27" s="9"/>
      <c r="G27" s="15"/>
    </row>
    <row r="28" spans="1:8" ht="13.9">
      <c r="A28" s="6" t="s">
        <v>191</v>
      </c>
      <c r="B28" s="7" t="s">
        <v>192</v>
      </c>
      <c r="C28" s="10">
        <v>1.7100000000000001E-2</v>
      </c>
      <c r="D28" s="9"/>
    </row>
    <row r="29" spans="1:8" ht="13.9">
      <c r="A29" s="6" t="s">
        <v>193</v>
      </c>
      <c r="B29" s="7" t="s">
        <v>194</v>
      </c>
      <c r="C29" s="10">
        <v>1.9300000000000001E-2</v>
      </c>
      <c r="D29" s="14"/>
    </row>
    <row r="30" spans="1:8" ht="13.9">
      <c r="A30" s="6" t="s">
        <v>195</v>
      </c>
      <c r="B30" s="7" t="s">
        <v>196</v>
      </c>
      <c r="C30" s="10">
        <v>2.8999999999999998E-3</v>
      </c>
      <c r="D30" s="14"/>
    </row>
    <row r="31" spans="1:8" ht="13.9">
      <c r="A31" s="96" t="s">
        <v>197</v>
      </c>
      <c r="B31" s="97" t="s">
        <v>198</v>
      </c>
      <c r="C31" s="98">
        <v>7.4800000000000005E-2</v>
      </c>
      <c r="D31" s="9"/>
    </row>
    <row r="32" spans="1:8" ht="13.9">
      <c r="A32" s="6"/>
      <c r="B32" s="17"/>
      <c r="C32" s="10"/>
      <c r="D32" s="9"/>
    </row>
    <row r="33" spans="1:4" ht="13.9">
      <c r="A33" s="6" t="s">
        <v>199</v>
      </c>
      <c r="B33" s="7" t="s">
        <v>200</v>
      </c>
      <c r="C33" s="10">
        <v>6.7799999999999999E-2</v>
      </c>
      <c r="D33" s="14"/>
    </row>
    <row r="34" spans="1:4" ht="13.9">
      <c r="A34" s="99" t="s">
        <v>201</v>
      </c>
      <c r="B34" s="100" t="s">
        <v>202</v>
      </c>
      <c r="C34" s="101">
        <v>3.0999999999999999E-3</v>
      </c>
      <c r="D34" s="14"/>
    </row>
    <row r="35" spans="1:4" ht="13.9">
      <c r="A35" s="104" t="s">
        <v>203</v>
      </c>
      <c r="B35" s="104" t="s">
        <v>204</v>
      </c>
      <c r="C35" s="105">
        <v>7.0900000000000005E-2</v>
      </c>
      <c r="D35" s="19"/>
    </row>
    <row r="36" spans="1:4" ht="13.9">
      <c r="A36" s="102"/>
      <c r="B36" s="102" t="s">
        <v>205</v>
      </c>
      <c r="C36" s="103">
        <v>0.69789999999999996</v>
      </c>
      <c r="D36" s="20"/>
    </row>
  </sheetData>
  <mergeCells count="1">
    <mergeCell ref="A4:C4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1"/>
  <sheetViews>
    <sheetView view="pageBreakPreview" topLeftCell="B1" zoomScale="160" zoomScaleNormal="100" zoomScalePageLayoutView="160" workbookViewId="0">
      <selection activeCell="N13" sqref="N13"/>
    </sheetView>
  </sheetViews>
  <sheetFormatPr defaultColWidth="6" defaultRowHeight="13.15"/>
  <cols>
    <col min="2" max="2" width="67.42578125" customWidth="1"/>
    <col min="3" max="3" width="12.7109375" customWidth="1"/>
    <col min="4" max="9" width="11.42578125" hidden="1" customWidth="1"/>
    <col min="10" max="10" width="8" hidden="1" customWidth="1"/>
    <col min="11" max="11" width="13.42578125" hidden="1" customWidth="1"/>
  </cols>
  <sheetData>
    <row r="1" spans="1:3">
      <c r="A1" s="21" t="s">
        <v>206</v>
      </c>
    </row>
    <row r="3" spans="1:3">
      <c r="A3" t="s">
        <v>207</v>
      </c>
    </row>
    <row r="4" spans="1:3">
      <c r="A4" t="s">
        <v>208</v>
      </c>
    </row>
    <row r="5" spans="1:3" ht="25.5" customHeight="1">
      <c r="A5" s="311" t="s">
        <v>209</v>
      </c>
      <c r="B5" s="311"/>
      <c r="C5" s="311"/>
    </row>
    <row r="6" spans="1:3">
      <c r="A6" t="s">
        <v>210</v>
      </c>
    </row>
    <row r="7" spans="1:3" ht="26.25" customHeight="1">
      <c r="A7" s="311" t="s">
        <v>211</v>
      </c>
      <c r="B7" s="311"/>
      <c r="C7" s="311"/>
    </row>
    <row r="8" spans="1:3">
      <c r="A8" t="s">
        <v>212</v>
      </c>
    </row>
    <row r="9" spans="1:3">
      <c r="A9" t="s">
        <v>213</v>
      </c>
    </row>
    <row r="11" spans="1:3" ht="17.45">
      <c r="B11" s="312" t="s">
        <v>214</v>
      </c>
      <c r="C11" s="312"/>
    </row>
    <row r="12" spans="1:3" ht="13.9">
      <c r="B12" s="22" t="s">
        <v>215</v>
      </c>
      <c r="C12" s="23"/>
    </row>
    <row r="13" spans="1:3" ht="13.9">
      <c r="B13" s="24" t="s">
        <v>216</v>
      </c>
      <c r="C13" s="25">
        <v>3981</v>
      </c>
    </row>
    <row r="14" spans="1:3" ht="13.9">
      <c r="B14" s="26" t="s">
        <v>217</v>
      </c>
      <c r="C14" s="25">
        <v>3405</v>
      </c>
    </row>
    <row r="15" spans="1:3" ht="13.9">
      <c r="B15" s="27" t="s">
        <v>218</v>
      </c>
      <c r="C15" s="28">
        <v>90</v>
      </c>
    </row>
    <row r="16" spans="1:3" ht="13.9">
      <c r="B16" s="27" t="s">
        <v>219</v>
      </c>
      <c r="C16" s="28">
        <v>2237</v>
      </c>
    </row>
    <row r="17" spans="1:7" ht="13.9">
      <c r="B17" s="27" t="s">
        <v>220</v>
      </c>
      <c r="C17" s="28">
        <v>473</v>
      </c>
    </row>
    <row r="18" spans="1:7" ht="13.9">
      <c r="B18" s="27" t="s">
        <v>221</v>
      </c>
      <c r="C18" s="28">
        <v>98</v>
      </c>
    </row>
    <row r="19" spans="1:7" ht="13.9">
      <c r="B19" s="27" t="s">
        <v>222</v>
      </c>
      <c r="C19" s="28">
        <v>470</v>
      </c>
    </row>
    <row r="20" spans="1:7" ht="13.9">
      <c r="B20" s="27" t="s">
        <v>223</v>
      </c>
      <c r="C20" s="28">
        <v>2</v>
      </c>
    </row>
    <row r="21" spans="1:7" ht="13.9">
      <c r="B21" s="27" t="s">
        <v>224</v>
      </c>
      <c r="C21" s="28">
        <v>35</v>
      </c>
    </row>
    <row r="22" spans="1:7" ht="13.9">
      <c r="B22" s="29" t="s">
        <v>225</v>
      </c>
      <c r="C22" s="30">
        <v>0</v>
      </c>
    </row>
    <row r="23" spans="1:7" ht="13.9">
      <c r="A23" t="s">
        <v>226</v>
      </c>
      <c r="B23" s="22" t="s">
        <v>227</v>
      </c>
      <c r="C23" s="23"/>
    </row>
    <row r="24" spans="1:7" ht="13.9">
      <c r="B24" s="31" t="s">
        <v>228</v>
      </c>
      <c r="C24" s="32">
        <v>0</v>
      </c>
    </row>
    <row r="25" spans="1:7" ht="13.9">
      <c r="B25" s="27" t="s">
        <v>229</v>
      </c>
      <c r="C25" s="28">
        <v>6908</v>
      </c>
    </row>
    <row r="26" spans="1:7" ht="13.9">
      <c r="B26" s="27" t="s">
        <v>230</v>
      </c>
      <c r="C26" s="28">
        <f>SUM(C13-C14)</f>
        <v>576</v>
      </c>
    </row>
    <row r="27" spans="1:7" ht="13.9">
      <c r="B27" s="33"/>
      <c r="C27" s="34"/>
    </row>
    <row r="28" spans="1:7" ht="13.9">
      <c r="B28" s="35" t="s">
        <v>231</v>
      </c>
      <c r="C28" s="36">
        <f>MEDIAN(C13,C14)/MEDIAN(C24,C25)</f>
        <v>1.069195136074117</v>
      </c>
      <c r="G28">
        <f>12/C28</f>
        <v>11.223395613322502</v>
      </c>
    </row>
    <row r="29" spans="1:7" ht="13.9">
      <c r="B29" s="24" t="s">
        <v>232</v>
      </c>
      <c r="C29" s="36">
        <f>C16/MEDIAN(C24,C25)</f>
        <v>0.64765489287782285</v>
      </c>
    </row>
    <row r="30" spans="1:7" ht="13.9">
      <c r="B30" s="37" t="s">
        <v>233</v>
      </c>
      <c r="C30" s="38">
        <v>360</v>
      </c>
    </row>
    <row r="31" spans="1:7" ht="13.9">
      <c r="B31" s="24" t="s">
        <v>234</v>
      </c>
      <c r="C31" s="38">
        <v>10</v>
      </c>
    </row>
    <row r="32" spans="1:7" ht="13.9">
      <c r="B32" s="24" t="s">
        <v>235</v>
      </c>
      <c r="C32" s="38">
        <v>30</v>
      </c>
      <c r="G32">
        <f>TRUNC(G37)</f>
        <v>11</v>
      </c>
    </row>
    <row r="33" spans="1:11" ht="13.9">
      <c r="B33" s="24" t="s">
        <v>236</v>
      </c>
      <c r="C33" s="38">
        <v>30</v>
      </c>
    </row>
    <row r="34" spans="1:11" s="21" customFormat="1" ht="13.9">
      <c r="B34" s="24" t="s">
        <v>237</v>
      </c>
      <c r="C34" s="39">
        <f>MEDIAN(C24,C25)</f>
        <v>3454</v>
      </c>
    </row>
    <row r="35" spans="1:11" ht="13.9">
      <c r="A35" s="21"/>
      <c r="B35" s="24" t="s">
        <v>166</v>
      </c>
      <c r="C35" s="40">
        <v>0.08</v>
      </c>
      <c r="D35" s="21"/>
      <c r="E35" s="21"/>
      <c r="F35" s="21"/>
      <c r="G35" s="21"/>
      <c r="H35" s="21"/>
      <c r="I35" s="21"/>
      <c r="J35" s="21"/>
      <c r="K35" s="41">
        <f>IF(C39&gt;12,C39-12,C39)</f>
        <v>11.223395613322502</v>
      </c>
    </row>
    <row r="36" spans="1:11" ht="13.9">
      <c r="A36" s="21"/>
      <c r="B36" s="24" t="s">
        <v>238</v>
      </c>
      <c r="C36" s="40">
        <v>0.5</v>
      </c>
      <c r="D36" s="21"/>
      <c r="E36" s="21"/>
      <c r="F36" s="21"/>
      <c r="G36" s="21"/>
      <c r="H36" s="21"/>
      <c r="I36" s="21"/>
      <c r="J36" s="21"/>
      <c r="K36" s="42" t="e">
        <f>IF(#REF!&gt;12,#REF!-12,#REF!)</f>
        <v>#REF!</v>
      </c>
    </row>
    <row r="37" spans="1:11" ht="13.9">
      <c r="A37" s="21"/>
      <c r="B37" s="24" t="s">
        <v>239</v>
      </c>
      <c r="C37" s="43">
        <f>((1/C28)-TRUNC(E37))</f>
        <v>0.93528296777687514</v>
      </c>
      <c r="D37" s="21">
        <f>TRUNC(E37)</f>
        <v>0</v>
      </c>
      <c r="E37" s="21">
        <f>1/C28</f>
        <v>0.93528296777687514</v>
      </c>
      <c r="F37" s="21">
        <f>((1/C28)-TRUNC(E37))</f>
        <v>0.93528296777687514</v>
      </c>
      <c r="G37" s="21">
        <f>12*F37</f>
        <v>11.223395613322502</v>
      </c>
      <c r="K37" s="21" t="e">
        <f>IF(#REF!&gt;12,#REF!-12,#REF!)</f>
        <v>#REF!</v>
      </c>
    </row>
    <row r="38" spans="1:11" ht="13.9">
      <c r="A38" s="21"/>
      <c r="B38" s="22" t="s">
        <v>240</v>
      </c>
      <c r="C38" s="44">
        <f>30+D38</f>
        <v>30</v>
      </c>
      <c r="D38" s="21">
        <f>3*D37</f>
        <v>0</v>
      </c>
      <c r="G38" s="21">
        <f>G37/12*40/360</f>
        <v>0.10392032975298612</v>
      </c>
      <c r="K38" s="21" t="e">
        <f>IF(#REF!&gt;12,#REF!-12,#REF!)</f>
        <v>#REF!</v>
      </c>
    </row>
    <row r="39" spans="1:11" ht="13.9">
      <c r="A39" s="21"/>
      <c r="B39" s="45" t="s">
        <v>241</v>
      </c>
      <c r="C39" s="46">
        <f>12/C28</f>
        <v>11.223395613322502</v>
      </c>
      <c r="K39" s="21" t="e">
        <f>IF(#REF!&gt;12,#REF!-12,#REF!)</f>
        <v>#REF!</v>
      </c>
    </row>
    <row r="40" spans="1:11">
      <c r="K40" t="e">
        <f>IF(K39&gt;12,K39-12,K39)</f>
        <v>#REF!</v>
      </c>
    </row>
    <row r="41" spans="1:11">
      <c r="K41" t="e">
        <f>IF(K40&gt;12,K40-12,K40)</f>
        <v>#REF!</v>
      </c>
    </row>
  </sheetData>
  <mergeCells count="3">
    <mergeCell ref="A5:C5"/>
    <mergeCell ref="A7:C7"/>
    <mergeCell ref="B11:C1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colBreaks count="1" manualBreakCount="1">
    <brk id="3" max="1048575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tabSelected="1" view="pageBreakPreview" zoomScale="160" zoomScaleNormal="100" zoomScalePageLayoutView="160" workbookViewId="0">
      <selection activeCell="I18" sqref="I18"/>
    </sheetView>
  </sheetViews>
  <sheetFormatPr defaultColWidth="9" defaultRowHeight="13.15"/>
  <cols>
    <col min="1" max="1" width="30.85546875" customWidth="1"/>
    <col min="2" max="2" width="5.28515625" bestFit="1" customWidth="1"/>
    <col min="4" max="4" width="8.42578125" customWidth="1"/>
    <col min="5" max="5" width="8.140625" style="47" customWidth="1"/>
    <col min="6" max="6" width="8.42578125" customWidth="1"/>
  </cols>
  <sheetData>
    <row r="1" spans="1:8" s="48" customFormat="1" ht="13.9">
      <c r="A1" s="4" t="s">
        <v>145</v>
      </c>
      <c r="B1" s="2"/>
      <c r="C1" s="2"/>
      <c r="E1" s="49"/>
    </row>
    <row r="2" spans="1:8" ht="13.9">
      <c r="A2" s="3" t="s">
        <v>242</v>
      </c>
      <c r="B2" s="2"/>
      <c r="C2" s="2"/>
      <c r="E2" s="49"/>
    </row>
    <row r="3" spans="1:8" ht="13.9">
      <c r="A3" s="1" t="s">
        <v>243</v>
      </c>
      <c r="B3" s="2"/>
      <c r="C3" s="2"/>
      <c r="E3" s="49"/>
    </row>
    <row r="4" spans="1:8" ht="13.9">
      <c r="A4" s="3"/>
      <c r="B4" s="2"/>
      <c r="C4" s="2"/>
      <c r="E4" s="49"/>
    </row>
    <row r="5" spans="1:8" ht="13.9">
      <c r="B5" s="2"/>
      <c r="C5" s="2"/>
      <c r="E5" s="49"/>
    </row>
    <row r="6" spans="1:8" ht="15.6">
      <c r="A6" s="313" t="s">
        <v>244</v>
      </c>
      <c r="B6" s="313"/>
      <c r="C6" s="313"/>
      <c r="D6" s="313"/>
      <c r="E6" s="313"/>
      <c r="F6" s="313"/>
    </row>
    <row r="7" spans="1:8" ht="15.6">
      <c r="A7" s="50"/>
      <c r="B7" s="51"/>
      <c r="C7" s="51"/>
      <c r="D7" s="51"/>
      <c r="E7" s="51"/>
      <c r="F7" s="52"/>
    </row>
    <row r="8" spans="1:8" ht="13.9">
      <c r="A8" s="53"/>
      <c r="B8" s="2"/>
      <c r="C8" s="2"/>
      <c r="D8" s="314" t="s">
        <v>245</v>
      </c>
      <c r="E8" s="314"/>
      <c r="F8" s="314"/>
      <c r="G8" s="48"/>
      <c r="H8" s="48"/>
    </row>
    <row r="9" spans="1:8" ht="13.9">
      <c r="A9" s="33"/>
      <c r="B9" s="48"/>
      <c r="C9" s="48"/>
      <c r="D9" s="54" t="s">
        <v>246</v>
      </c>
      <c r="E9" s="55" t="s">
        <v>247</v>
      </c>
      <c r="F9" s="56" t="s">
        <v>248</v>
      </c>
      <c r="G9" s="48"/>
      <c r="H9" s="48"/>
    </row>
    <row r="10" spans="1:8" ht="13.9">
      <c r="A10" s="57" t="s">
        <v>249</v>
      </c>
      <c r="B10" s="58" t="s">
        <v>250</v>
      </c>
      <c r="C10" s="59">
        <f>D10</f>
        <v>2.9700000000000001E-2</v>
      </c>
      <c r="D10" s="60">
        <v>2.9700000000000001E-2</v>
      </c>
      <c r="E10" s="61">
        <v>5.0799999999999998E-2</v>
      </c>
      <c r="F10" s="62">
        <v>6.2700000000000006E-2</v>
      </c>
      <c r="G10" s="48"/>
      <c r="H10" s="48"/>
    </row>
    <row r="11" spans="1:8" ht="13.9">
      <c r="A11" s="63" t="s">
        <v>251</v>
      </c>
      <c r="B11" s="64" t="s">
        <v>252</v>
      </c>
      <c r="C11" s="65">
        <f>D11</f>
        <v>8.6E-3</v>
      </c>
      <c r="D11" s="60">
        <f>0.003+0.0056</f>
        <v>8.6E-3</v>
      </c>
      <c r="E11" s="61">
        <f>0.0048+0.0085</f>
        <v>1.3299999999999999E-2</v>
      </c>
      <c r="F11" s="62">
        <f>0.0082+0.0089</f>
        <v>1.7100000000000001E-2</v>
      </c>
      <c r="G11" s="48"/>
      <c r="H11" s="48"/>
    </row>
    <row r="12" spans="1:8" ht="13.9">
      <c r="A12" s="63" t="s">
        <v>253</v>
      </c>
      <c r="B12" s="64" t="s">
        <v>254</v>
      </c>
      <c r="C12" s="65">
        <f>D12</f>
        <v>7.7799999999999994E-2</v>
      </c>
      <c r="D12" s="60">
        <v>7.7799999999999994E-2</v>
      </c>
      <c r="E12" s="61">
        <v>0.1085</v>
      </c>
      <c r="F12" s="62">
        <v>0.13550000000000001</v>
      </c>
      <c r="G12" s="48"/>
      <c r="H12" s="48"/>
    </row>
    <row r="13" spans="1:8" ht="13.9">
      <c r="A13" s="63" t="s">
        <v>255</v>
      </c>
      <c r="B13" s="64" t="s">
        <v>256</v>
      </c>
      <c r="C13" s="66">
        <f>(1+E13)^(E14/252)-1</f>
        <v>1.1848205673102186E-2</v>
      </c>
      <c r="D13" s="60" t="s">
        <v>257</v>
      </c>
      <c r="E13" s="67">
        <v>0.104</v>
      </c>
      <c r="F13" s="68"/>
      <c r="G13" s="48"/>
      <c r="H13" s="48"/>
    </row>
    <row r="14" spans="1:8" ht="13.9">
      <c r="A14" s="63" t="s">
        <v>258</v>
      </c>
      <c r="B14" s="315" t="s">
        <v>259</v>
      </c>
      <c r="C14" s="65">
        <v>5.0029999999999998E-2</v>
      </c>
      <c r="D14" s="69" t="s">
        <v>260</v>
      </c>
      <c r="E14" s="70">
        <v>30</v>
      </c>
      <c r="F14" s="71"/>
      <c r="G14" s="48"/>
      <c r="H14" s="48"/>
    </row>
    <row r="15" spans="1:8" ht="13.9">
      <c r="A15" s="72" t="s">
        <v>261</v>
      </c>
      <c r="B15" s="315"/>
      <c r="C15" s="73">
        <v>3.6499999999999998E-2</v>
      </c>
      <c r="D15" s="27"/>
      <c r="E15" s="74"/>
      <c r="F15" s="71"/>
      <c r="G15" s="48"/>
      <c r="H15" s="48"/>
    </row>
    <row r="16" spans="1:8" ht="13.9">
      <c r="A16" s="75" t="s">
        <v>262</v>
      </c>
      <c r="B16" s="76"/>
      <c r="C16" s="77"/>
      <c r="D16" s="27"/>
      <c r="E16" s="74"/>
      <c r="F16" s="71"/>
      <c r="G16" s="48"/>
      <c r="H16" s="48"/>
    </row>
    <row r="17" spans="1:8" ht="13.9">
      <c r="A17" s="78" t="s">
        <v>263</v>
      </c>
      <c r="B17" s="79"/>
      <c r="C17" s="80"/>
      <c r="D17" s="27"/>
      <c r="E17" s="74"/>
      <c r="F17" s="71"/>
      <c r="G17" s="48"/>
      <c r="H17" s="48"/>
    </row>
    <row r="18" spans="1:8" ht="13.9">
      <c r="A18" s="81" t="s">
        <v>264</v>
      </c>
      <c r="B18" s="82"/>
      <c r="C18" s="83">
        <f>ROUND((((1+C10+C11)*(1+C12)*(1+C13))/(1-(C14+C15))-1),4)</f>
        <v>0.23960000000000001</v>
      </c>
      <c r="D18" s="84">
        <v>0.21429999999999999</v>
      </c>
      <c r="E18" s="85">
        <v>0.2717</v>
      </c>
      <c r="F18" s="86">
        <v>0.3362</v>
      </c>
      <c r="G18" s="48"/>
      <c r="H18" s="48"/>
    </row>
  </sheetData>
  <mergeCells count="3">
    <mergeCell ref="A6:F6"/>
    <mergeCell ref="D8:F8"/>
    <mergeCell ref="B14:B15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view="pageBreakPreview" topLeftCell="A12" zoomScale="160" zoomScaleNormal="100" zoomScalePageLayoutView="160" workbookViewId="0">
      <selection activeCell="D4" sqref="D4"/>
    </sheetView>
  </sheetViews>
  <sheetFormatPr defaultColWidth="6" defaultRowHeight="13.15"/>
  <cols>
    <col min="1" max="1" width="22.5703125" customWidth="1"/>
    <col min="2" max="2" width="21.140625" customWidth="1"/>
  </cols>
  <sheetData>
    <row r="1" spans="1:2" ht="19.5" customHeight="1">
      <c r="A1" s="316" t="s">
        <v>265</v>
      </c>
      <c r="B1" s="316"/>
    </row>
    <row r="2" spans="1:2" s="21" customFormat="1" ht="19.5" customHeight="1">
      <c r="A2" s="106" t="s">
        <v>266</v>
      </c>
      <c r="B2" s="107" t="s">
        <v>267</v>
      </c>
    </row>
    <row r="3" spans="1:2" ht="19.5" customHeight="1">
      <c r="A3" s="87">
        <v>1</v>
      </c>
      <c r="B3" s="88">
        <v>33.630000000000003</v>
      </c>
    </row>
    <row r="4" spans="1:2" ht="19.5" customHeight="1">
      <c r="A4" s="87">
        <v>2</v>
      </c>
      <c r="B4" s="88">
        <v>43.13</v>
      </c>
    </row>
    <row r="5" spans="1:2" ht="19.5" customHeight="1">
      <c r="A5" s="87">
        <v>3</v>
      </c>
      <c r="B5" s="88">
        <v>48.68</v>
      </c>
    </row>
    <row r="6" spans="1:2" ht="19.5" customHeight="1">
      <c r="A6" s="87">
        <v>4</v>
      </c>
      <c r="B6" s="88">
        <v>52.62</v>
      </c>
    </row>
    <row r="7" spans="1:2" ht="19.5" customHeight="1">
      <c r="A7" s="87">
        <v>5</v>
      </c>
      <c r="B7" s="88">
        <v>55.68</v>
      </c>
    </row>
    <row r="8" spans="1:2" ht="19.5" customHeight="1">
      <c r="A8" s="87">
        <v>6</v>
      </c>
      <c r="B8" s="88">
        <v>58.18</v>
      </c>
    </row>
    <row r="9" spans="1:2" ht="19.5" customHeight="1">
      <c r="A9" s="87">
        <v>7</v>
      </c>
      <c r="B9" s="88">
        <v>60.29</v>
      </c>
    </row>
    <row r="10" spans="1:2" ht="19.5" customHeight="1">
      <c r="A10" s="87">
        <v>8</v>
      </c>
      <c r="B10" s="88">
        <v>62.12</v>
      </c>
    </row>
    <row r="11" spans="1:2" ht="19.5" customHeight="1">
      <c r="A11" s="87">
        <v>9</v>
      </c>
      <c r="B11" s="88">
        <v>63.73</v>
      </c>
    </row>
    <row r="12" spans="1:2" ht="19.5" customHeight="1">
      <c r="A12" s="87">
        <v>10</v>
      </c>
      <c r="B12" s="88">
        <v>65.180000000000007</v>
      </c>
    </row>
    <row r="13" spans="1:2" ht="19.5" customHeight="1">
      <c r="A13" s="87">
        <v>11</v>
      </c>
      <c r="B13" s="88">
        <v>66.48</v>
      </c>
    </row>
    <row r="14" spans="1:2" ht="19.5" customHeight="1">
      <c r="A14" s="87">
        <v>12</v>
      </c>
      <c r="B14" s="88">
        <v>67.67</v>
      </c>
    </row>
    <row r="15" spans="1:2" ht="19.5" customHeight="1">
      <c r="A15" s="87">
        <v>13</v>
      </c>
      <c r="B15" s="88">
        <v>68.77</v>
      </c>
    </row>
    <row r="16" spans="1:2" ht="19.5" customHeight="1">
      <c r="A16" s="87">
        <v>14</v>
      </c>
      <c r="B16" s="88">
        <v>69.790000000000006</v>
      </c>
    </row>
    <row r="17" spans="1:2" ht="19.5" customHeight="1">
      <c r="A17" s="89">
        <v>15</v>
      </c>
      <c r="B17" s="90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view="pageBreakPreview" zoomScale="160" zoomScaleNormal="100" zoomScalePageLayoutView="160" workbookViewId="0">
      <selection activeCell="F16" sqref="F16"/>
    </sheetView>
  </sheetViews>
  <sheetFormatPr defaultColWidth="6" defaultRowHeight="13.15"/>
  <cols>
    <col min="1" max="1" width="52.85546875" customWidth="1"/>
    <col min="4" max="4" width="8.5703125" customWidth="1"/>
  </cols>
  <sheetData>
    <row r="1" spans="1:1" ht="17.45">
      <c r="A1" s="91" t="s">
        <v>268</v>
      </c>
    </row>
    <row r="2" spans="1:1">
      <c r="A2" s="92"/>
    </row>
    <row r="3" spans="1:1">
      <c r="A3" s="92" t="s">
        <v>269</v>
      </c>
    </row>
    <row r="4" spans="1:1">
      <c r="A4" s="92"/>
    </row>
    <row r="5" spans="1:1">
      <c r="A5" s="92"/>
    </row>
    <row r="6" spans="1:1">
      <c r="A6" s="92"/>
    </row>
    <row r="7" spans="1:1">
      <c r="A7" s="92"/>
    </row>
    <row r="8" spans="1:1">
      <c r="A8" s="92"/>
    </row>
    <row r="9" spans="1:1">
      <c r="A9" s="92"/>
    </row>
    <row r="10" spans="1:1">
      <c r="A10" s="92"/>
    </row>
    <row r="11" spans="1:1">
      <c r="A11" s="92"/>
    </row>
    <row r="12" spans="1:1" ht="18.600000000000001">
      <c r="A12" s="93" t="s">
        <v>270</v>
      </c>
    </row>
    <row r="13" spans="1:1" ht="30">
      <c r="A13" s="93" t="s">
        <v>271</v>
      </c>
    </row>
    <row r="14" spans="1:1" ht="15">
      <c r="A14" s="93" t="s">
        <v>272</v>
      </c>
    </row>
    <row r="15" spans="1:1" ht="18.600000000000001">
      <c r="A15" s="93" t="s">
        <v>273</v>
      </c>
    </row>
    <row r="16" spans="1:1" ht="18.600000000000001">
      <c r="A16" s="93" t="s">
        <v>274</v>
      </c>
    </row>
    <row r="17" spans="1:1" ht="15">
      <c r="A17" s="94" t="s">
        <v>275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dmlu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cp:keywords/>
  <dc:description/>
  <cp:lastModifiedBy/>
  <cp:revision>119</cp:revision>
  <dcterms:created xsi:type="dcterms:W3CDTF">2000-12-13T10:02:50Z</dcterms:created>
  <dcterms:modified xsi:type="dcterms:W3CDTF">2024-07-01T16:06:05Z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