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\\arquivos.bage.net\compras\2024\#LICITACOES\Pregao Eletronico_______________\PE_0017_2024_Carregamento_Transporte_Lixo\"/>
    </mc:Choice>
  </mc:AlternateContent>
  <xr:revisionPtr revIDLastSave="0" documentId="13_ncr:1_{7027709C-1268-4EC5-AE8A-5B180A021CC3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1. Transporte" sheetId="1" r:id="rId1"/>
    <sheet name="2.Encargos Sociais" sheetId="2" r:id="rId2"/>
    <sheet name="3.CAGED" sheetId="3" r:id="rId3"/>
    <sheet name="4.BDI" sheetId="4" r:id="rId4"/>
    <sheet name="5. Depreciação" sheetId="5" r:id="rId5"/>
    <sheet name="6.Remuneração de capital" sheetId="6" r:id="rId6"/>
  </sheets>
  <definedNames>
    <definedName name="AbaDeprec">'5. Depreciação'!$A$1</definedName>
    <definedName name="AbaRemun">'6.Remuneração de capital'!$A$1</definedName>
    <definedName name="_xlnm.Print_Area" localSheetId="0">'1. Transporte'!$A$1:$F$232</definedName>
    <definedName name="_xlnm.Print_Area" localSheetId="1">'2.Encargos Sociais'!$A$1:$C$38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10" i="1" l="1"/>
  <c r="E201" i="1"/>
  <c r="E192" i="1"/>
  <c r="D164" i="1"/>
  <c r="E190" i="1"/>
  <c r="D193" i="1" s="1"/>
  <c r="C185" i="1"/>
  <c r="E185" i="1" s="1"/>
  <c r="C60" i="1"/>
  <c r="D48" i="1"/>
  <c r="C175" i="1"/>
  <c r="D176" i="1"/>
  <c r="C176" i="1"/>
  <c r="E202" i="1"/>
  <c r="C13" i="4"/>
  <c r="C174" i="1"/>
  <c r="C170" i="1"/>
  <c r="C168" i="1"/>
  <c r="D168" i="1" s="1"/>
  <c r="E168" i="1" s="1"/>
  <c r="C166" i="1"/>
  <c r="D166" i="1" s="1"/>
  <c r="C172" i="1"/>
  <c r="D174" i="1" s="1"/>
  <c r="E174" i="1" s="1"/>
  <c r="E27" i="1"/>
  <c r="C68" i="1" s="1"/>
  <c r="E68" i="1" s="1"/>
  <c r="E204" i="1"/>
  <c r="E42" i="1"/>
  <c r="D60" i="1" s="1"/>
  <c r="E135" i="1"/>
  <c r="C118" i="1"/>
  <c r="C123" i="1" s="1"/>
  <c r="E48" i="1"/>
  <c r="C104" i="1"/>
  <c r="C15" i="2"/>
  <c r="C24" i="2"/>
  <c r="C10" i="4"/>
  <c r="D11" i="4"/>
  <c r="C11" i="4"/>
  <c r="C12" i="4"/>
  <c r="C18" i="4"/>
  <c r="C213" i="1" s="1"/>
  <c r="F11" i="4"/>
  <c r="E11" i="4"/>
  <c r="K39" i="3"/>
  <c r="K40" i="3" s="1"/>
  <c r="K41" i="3" s="1"/>
  <c r="C28" i="3"/>
  <c r="C39" i="3" s="1"/>
  <c r="K35" i="3" s="1"/>
  <c r="K38" i="3"/>
  <c r="K37" i="3"/>
  <c r="K36" i="3"/>
  <c r="C34" i="3"/>
  <c r="C29" i="3"/>
  <c r="C31" i="2"/>
  <c r="E73" i="1"/>
  <c r="E74" i="1"/>
  <c r="E53" i="1"/>
  <c r="E83" i="1"/>
  <c r="E84" i="1"/>
  <c r="E85" i="1"/>
  <c r="E86" i="1"/>
  <c r="E87" i="1"/>
  <c r="E88" i="1"/>
  <c r="E89" i="1"/>
  <c r="E91" i="1"/>
  <c r="E101" i="1"/>
  <c r="C105" i="1"/>
  <c r="C109" i="1"/>
  <c r="C106" i="1"/>
  <c r="E106" i="1" s="1"/>
  <c r="E113" i="1"/>
  <c r="F117" i="1"/>
  <c r="F122" i="1"/>
  <c r="C128" i="1"/>
  <c r="E129" i="1"/>
  <c r="C133" i="1"/>
  <c r="C134" i="1"/>
  <c r="C136" i="1"/>
  <c r="E136" i="1" s="1"/>
  <c r="E138" i="1"/>
  <c r="C164" i="1"/>
  <c r="C194" i="1"/>
  <c r="C203" i="1"/>
  <c r="E203" i="1" s="1"/>
  <c r="E205" i="1"/>
  <c r="D117" i="1"/>
  <c r="D133" i="1" s="1"/>
  <c r="A73" i="1"/>
  <c r="A27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E164" i="1" l="1"/>
  <c r="D104" i="1"/>
  <c r="C119" i="1"/>
  <c r="D90" i="1"/>
  <c r="D44" i="1"/>
  <c r="D45" i="1"/>
  <c r="E60" i="1"/>
  <c r="F61" i="1" s="1"/>
  <c r="E193" i="1"/>
  <c r="D194" i="1" s="1"/>
  <c r="E194" i="1" s="1"/>
  <c r="E176" i="1"/>
  <c r="E44" i="1"/>
  <c r="E45" i="1"/>
  <c r="D46" i="1" s="1"/>
  <c r="E28" i="1"/>
  <c r="F69" i="1"/>
  <c r="D170" i="1"/>
  <c r="E170" i="1" s="1"/>
  <c r="F205" i="1"/>
  <c r="F207" i="1" s="1"/>
  <c r="E20" i="1" s="1"/>
  <c r="E166" i="1"/>
  <c r="C34" i="2"/>
  <c r="C33" i="2"/>
  <c r="D172" i="1"/>
  <c r="E172" i="1" s="1"/>
  <c r="E134" i="1"/>
  <c r="E133" i="1"/>
  <c r="E117" i="1"/>
  <c r="F74" i="1"/>
  <c r="E10" i="1" s="1"/>
  <c r="C90" i="1"/>
  <c r="E90" i="1" s="1"/>
  <c r="E104" i="1"/>
  <c r="D105" i="1" s="1"/>
  <c r="E105" i="1" s="1"/>
  <c r="D109" i="1"/>
  <c r="E109" i="1" s="1"/>
  <c r="D110" i="1" s="1"/>
  <c r="E110" i="1" s="1"/>
  <c r="C124" i="1"/>
  <c r="E9" i="1"/>
  <c r="C122" i="1"/>
  <c r="E122" i="1" s="1"/>
  <c r="E37" i="3"/>
  <c r="D37" i="3" s="1"/>
  <c r="D38" i="3" s="1"/>
  <c r="C38" i="3" s="1"/>
  <c r="F37" i="3"/>
  <c r="G37" i="3" s="1"/>
  <c r="G32" i="3" s="1"/>
  <c r="G28" i="3"/>
  <c r="C37" i="3"/>
  <c r="F186" i="1"/>
  <c r="E18" i="1" s="1"/>
  <c r="C35" i="2"/>
  <c r="C36" i="2" s="1"/>
  <c r="C50" i="1" s="1"/>
  <c r="F195" i="1" l="1"/>
  <c r="E19" i="1" s="1"/>
  <c r="F178" i="1"/>
  <c r="E17" i="1" s="1"/>
  <c r="E46" i="1"/>
  <c r="E49" i="1"/>
  <c r="E8" i="1"/>
  <c r="D137" i="1"/>
  <c r="D177" i="1"/>
  <c r="E111" i="1"/>
  <c r="D112" i="1" s="1"/>
  <c r="E112" i="1" s="1"/>
  <c r="F113" i="1" s="1"/>
  <c r="F91" i="1"/>
  <c r="F93" i="1" s="1"/>
  <c r="E11" i="1" s="1"/>
  <c r="C120" i="1"/>
  <c r="D121" i="1" s="1"/>
  <c r="E121" i="1" s="1"/>
  <c r="C125" i="1"/>
  <c r="D126" i="1" s="1"/>
  <c r="E126" i="1" s="1"/>
  <c r="G38" i="3"/>
  <c r="E127" i="1" l="1"/>
  <c r="E14" i="1"/>
  <c r="E137" i="1"/>
  <c r="D128" i="1"/>
  <c r="E128" i="1" s="1"/>
  <c r="F129" i="1" s="1"/>
  <c r="F138" i="1" l="1"/>
  <c r="F197" i="1" s="1"/>
  <c r="E15" i="1"/>
  <c r="D50" i="1"/>
  <c r="E50" i="1" s="1"/>
  <c r="E51" i="1" s="1"/>
  <c r="E16" i="1" l="1"/>
  <c r="E13" i="1" s="1"/>
  <c r="D52" i="1"/>
  <c r="E12" i="1" l="1"/>
  <c r="E52" i="1"/>
  <c r="F53" i="1" s="1"/>
  <c r="F75" i="1" s="1"/>
  <c r="F209" i="1" s="1"/>
  <c r="D213" i="1" s="1"/>
  <c r="E7" i="1"/>
  <c r="E6" i="1" l="1"/>
  <c r="E213" i="1" l="1"/>
  <c r="F214" i="1" l="1"/>
  <c r="F216" i="1" s="1"/>
  <c r="F218" i="1" s="1"/>
  <c r="F222" i="1" s="1"/>
  <c r="E21" i="1" l="1"/>
  <c r="E22" i="1" l="1"/>
  <c r="F21" i="1" s="1"/>
  <c r="F15" i="1" l="1"/>
  <c r="F20" i="1"/>
  <c r="F9" i="1"/>
  <c r="F14" i="1"/>
  <c r="F12" i="1"/>
  <c r="F11" i="1"/>
  <c r="F13" i="1"/>
  <c r="F18" i="1"/>
  <c r="F10" i="1"/>
  <c r="F19" i="1"/>
  <c r="F8" i="1"/>
  <c r="F16" i="1"/>
  <c r="F17" i="1"/>
  <c r="F7" i="1"/>
  <c r="F6" i="1"/>
  <c r="F2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A4" authorId="0" shapeId="0" xr:uid="{00000000-0006-0000-0000-000001000000}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B35" authorId="0" shapeId="0" xr:uid="{00000000-0006-0000-0000-000004000000}">
      <text>
        <r>
          <rPr>
            <sz val="10"/>
            <rFont val="Arial"/>
            <family val="2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42" authorId="0" shapeId="0" xr:uid="{00000000-0006-0000-0000-000023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D43" authorId="0" shapeId="0" xr:uid="{00000000-0006-0000-0000-000024000000}">
      <text>
        <r>
          <rPr>
            <sz val="10"/>
            <rFont val="Arial"/>
            <family val="2"/>
          </rPr>
          <t>Informar o valor do salário Mínimo Nacional</t>
        </r>
      </text>
    </comment>
    <comment ref="C44" authorId="0" shapeId="0" xr:uid="{00000000-0006-0000-0000-000006000000}">
      <text>
        <r>
          <rPr>
            <sz val="10"/>
            <rFont val="Arial"/>
            <family val="2"/>
          </rPr>
          <t>Informar o número de horas extras trabalhadas em horário diurno nos domingos e feriados</t>
        </r>
      </text>
    </comment>
    <comment ref="C45" authorId="0" shapeId="0" xr:uid="{00000000-0006-0000-0000-000007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A46" authorId="0" shapeId="0" xr:uid="{00000000-0006-0000-0000-000002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47" authorId="0" shapeId="0" xr:uid="{00000000-0006-0000-0000-000008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48" authorId="0" shapeId="0" xr:uid="{00000000-0006-0000-0000-000009000000}">
      <text>
        <r>
          <rPr>
            <sz val="10"/>
            <rFont val="Arial"/>
            <family val="2"/>
          </rPr>
          <t>Percentual estabelecido nas Normas de Segurança de Trabalho ou pelo laudo de responsável técnico devidamente habilitado</t>
        </r>
      </text>
    </comment>
    <comment ref="C50" authorId="0" shapeId="0" xr:uid="{00000000-0006-0000-0000-00000A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52" authorId="0" shapeId="0" xr:uid="{00000000-0006-0000-0000-00000B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58" authorId="0" shapeId="0" xr:uid="{00000000-0006-0000-0000-000025000000}">
      <text>
        <r>
          <rPr>
            <sz val="10"/>
            <rFont val="Arial"/>
            <family val="2"/>
          </rPr>
          <t>Informar o valor unitário do VT no município</t>
        </r>
      </text>
    </comment>
    <comment ref="C59" authorId="0" shapeId="0" xr:uid="{00000000-0006-0000-0000-00000C000000}">
      <text>
        <r>
          <rPr>
            <sz val="10"/>
            <rFont val="Arial"/>
            <family val="2"/>
          </rPr>
          <t>Informar o número médio de dias trabalhados por mês</t>
        </r>
      </text>
    </comment>
    <comment ref="D60" authorId="0" shapeId="0" xr:uid="{00000000-0006-0000-0000-000026000000}">
      <text>
        <r>
          <rPr>
            <sz val="10"/>
            <rFont val="Arial"/>
            <family val="2"/>
          </rPr>
          <t xml:space="preserve">Valor Unitário considerando o desconto legal de até 6% do salário
</t>
        </r>
      </text>
    </comment>
    <comment ref="D66" authorId="0" shapeId="0" xr:uid="{00000000-0006-0000-0000-000027000000}">
      <text>
        <r>
          <rPr>
            <sz val="10"/>
            <rFont val="Arial"/>
            <family val="2"/>
          </rPr>
          <t>Informar o valor unitário diário do vale refeição conforme Convenção Coletiva da categoria</t>
        </r>
      </text>
    </comment>
    <comment ref="D73" authorId="0" shapeId="0" xr:uid="{00000000-0006-0000-0000-000028000000}">
      <text>
        <r>
          <rPr>
            <sz val="10"/>
            <rFont val="Arial"/>
            <family val="2"/>
          </rPr>
          <t>Informar o valor mensal do auxilio alimentação conforme Convenção Coletiva da categoria</t>
        </r>
      </text>
    </comment>
    <comment ref="C83" authorId="0" shapeId="0" xr:uid="{00000000-0006-0000-0000-00000D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84" authorId="0" shapeId="0" xr:uid="{00000000-0006-0000-0000-00000E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85" authorId="0" shapeId="0" xr:uid="{00000000-0006-0000-0000-00000F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86" authorId="0" shapeId="0" xr:uid="{00000000-0006-0000-0000-000010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87" authorId="0" shapeId="0" xr:uid="{00000000-0006-0000-0000-000011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88" authorId="0" shapeId="0" xr:uid="{00000000-0006-0000-0000-000012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89" authorId="0" shapeId="0" xr:uid="{00000000-0006-0000-0000-000029000000}">
      <text>
        <r>
          <rPr>
            <sz val="10"/>
            <rFont val="Arial"/>
            <family val="2"/>
          </rPr>
          <t>Informar o valor mensal de higienização de uniforme para 1 funcionário</t>
        </r>
      </text>
    </comment>
    <comment ref="D101" authorId="0" shapeId="0" xr:uid="{00000000-0006-0000-0000-00002A000000}">
      <text>
        <r>
          <rPr>
            <sz val="10"/>
            <rFont val="Arial"/>
            <family val="2"/>
          </rPr>
          <t>Informar o preço unitário do chassis do caminhão de coleta</t>
        </r>
      </text>
    </comment>
    <comment ref="C102" authorId="0" shapeId="0" xr:uid="{00000000-0006-0000-0000-000013000000}">
      <text>
        <r>
          <rPr>
            <sz val="10"/>
            <rFont val="Arial"/>
            <family val="2"/>
          </rPr>
          <t>Informar a vida útil estimada para o caminhão, em anos</t>
        </r>
      </text>
    </comment>
    <comment ref="C104" authorId="0" shapeId="0" xr:uid="{00000000-0006-0000-0000-000014000000}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D106" authorId="0" shapeId="0" xr:uid="{00000000-0006-0000-0000-00002B000000}">
      <text>
        <r>
          <rPr>
            <sz val="10"/>
            <rFont val="Arial"/>
            <family val="2"/>
          </rPr>
          <t xml:space="preserve">Informar o preço unitário do equipamento compactador
</t>
        </r>
      </text>
    </comment>
    <comment ref="C107" authorId="0" shapeId="0" xr:uid="{00000000-0006-0000-0000-000015000000}">
      <text>
        <r>
          <rPr>
            <sz val="10"/>
            <rFont val="Arial"/>
            <family val="2"/>
          </rPr>
          <t>Informar a vida útil estimada para o compactador, em anos</t>
        </r>
      </text>
    </comment>
    <comment ref="C108" authorId="0" shapeId="0" xr:uid="{00000000-0006-0000-0000-000016000000}">
      <text>
        <r>
          <rPr>
            <sz val="10"/>
            <rFont val="Arial"/>
            <family val="2"/>
          </rPr>
          <t>Na elaboração do orçamento-base da licitação, informar 0 (zero). Na proposta da licitante, informar a idade do compactador proposto.</t>
        </r>
      </text>
    </comment>
    <comment ref="C109" authorId="0" shapeId="0" xr:uid="{00000000-0006-0000-0000-000017000000}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</comment>
    <comment ref="C112" authorId="0" shapeId="0" xr:uid="{00000000-0006-0000-0000-000018000000}">
      <text>
        <r>
          <rPr>
            <sz val="10"/>
            <rFont val="Arial"/>
            <family val="2"/>
          </rPr>
          <t>Informar a quantidade de caminhões compactadores do respectivo modelo</t>
        </r>
      </text>
    </comment>
    <comment ref="C118" authorId="0" shapeId="0" xr:uid="{00000000-0006-0000-0000-000019000000}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D134" authorId="0" shapeId="0" xr:uid="{00000000-0006-0000-0000-00002C000000}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</comment>
    <comment ref="D136" authorId="0" shapeId="0" xr:uid="{00000000-0006-0000-0000-00002D000000}">
      <text>
        <r>
          <rPr>
            <sz val="10"/>
            <rFont val="Arial"/>
            <family val="2"/>
          </rPr>
          <t xml:space="preserve">Informar o valor do seguro contra terceiros de um caminhão, se houver
</t>
        </r>
      </text>
    </comment>
    <comment ref="B160" authorId="0" shapeId="0" xr:uid="{00000000-0006-0000-0000-000005000000}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C163" authorId="0" shapeId="0" xr:uid="{00000000-0006-0000-0000-00001A000000}">
      <text>
        <r>
          <rPr>
            <sz val="10"/>
            <rFont val="Arial"/>
            <family val="2"/>
          </rPr>
          <t>Informar o consumo estimado do veículo em km/l</t>
        </r>
      </text>
    </comment>
    <comment ref="D163" authorId="0" shapeId="0" xr:uid="{00000000-0006-0000-0000-00002E000000}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C165" authorId="0" shapeId="0" xr:uid="{00000000-0006-0000-0000-00001B000000}">
      <text>
        <r>
          <rPr>
            <sz val="10"/>
            <rFont val="Arial"/>
            <family val="2"/>
          </rPr>
          <t>Informar o consumo de óleo do motor a cada 1000km</t>
        </r>
      </text>
    </comment>
    <comment ref="D165" authorId="0" shapeId="0" xr:uid="{00000000-0006-0000-0000-00002F000000}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C167" authorId="0" shapeId="0" xr:uid="{00000000-0006-0000-0000-00001C000000}">
      <text>
        <r>
          <rPr>
            <sz val="10"/>
            <rFont val="Arial"/>
            <family val="2"/>
          </rPr>
          <t>Informar o consumo de óleo da transmissão a cada 1000km</t>
        </r>
      </text>
    </comment>
    <comment ref="D167" authorId="0" shapeId="0" xr:uid="{00000000-0006-0000-0000-000030000000}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C169" authorId="0" shapeId="0" xr:uid="{00000000-0006-0000-0000-00001D000000}">
      <text>
        <r>
          <rPr>
            <sz val="10"/>
            <rFont val="Arial"/>
            <family val="2"/>
          </rPr>
          <t>Informar o consumo de óleo hidráulico a cada 1000km</t>
        </r>
      </text>
    </comment>
    <comment ref="D169" authorId="0" shapeId="0" xr:uid="{00000000-0006-0000-0000-000031000000}">
      <text>
        <r>
          <rPr>
            <sz val="10"/>
            <rFont val="Arial"/>
            <family val="2"/>
          </rPr>
          <t xml:space="preserve">Informar o preço unitário do litro do óleo hidráulico
</t>
        </r>
      </text>
    </comment>
    <comment ref="C173" authorId="0" shapeId="0" xr:uid="{00000000-0006-0000-0000-00001E000000}">
      <text>
        <r>
          <rPr>
            <sz val="10"/>
            <rFont val="Arial"/>
            <family val="2"/>
          </rPr>
          <t>Informar o consumo de graxa a cada 1000km</t>
        </r>
      </text>
    </comment>
    <comment ref="D173" authorId="0" shapeId="0" xr:uid="{00000000-0006-0000-0000-000032000000}">
      <text>
        <r>
          <rPr>
            <sz val="10"/>
            <rFont val="Arial"/>
            <family val="2"/>
          </rPr>
          <t xml:space="preserve">Informar o preço unitário do litro da graxa
</t>
        </r>
      </text>
    </comment>
    <comment ref="D185" authorId="0" shapeId="0" xr:uid="{00000000-0006-0000-0000-000033000000}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C190" authorId="0" shapeId="0" xr:uid="{00000000-0006-0000-0000-00001F000000}">
      <text>
        <r>
          <rPr>
            <sz val="10"/>
            <rFont val="Arial"/>
            <family val="2"/>
          </rPr>
          <t>Informar a quantidade de pneus novos de 1 caminhão</t>
        </r>
      </text>
    </comment>
    <comment ref="D190" authorId="0" shapeId="0" xr:uid="{00000000-0006-0000-0000-000034000000}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C191" authorId="0" shapeId="0" xr:uid="{00000000-0006-0000-0000-000020000000}">
      <text>
        <r>
          <rPr>
            <sz val="10"/>
            <rFont val="Arial"/>
            <family val="2"/>
          </rPr>
          <t>Informar o número de recapagens por pneu</t>
        </r>
      </text>
    </comment>
    <comment ref="D192" authorId="0" shapeId="0" xr:uid="{00000000-0006-0000-0000-000035000000}">
      <text>
        <r>
          <rPr>
            <sz val="10"/>
            <rFont val="Arial"/>
            <family val="2"/>
          </rPr>
          <t xml:space="preserve">Informar o preço unitário de cada recapagem
</t>
        </r>
      </text>
    </comment>
    <comment ref="C193" authorId="0" shapeId="0" xr:uid="{00000000-0006-0000-0000-000021000000}">
      <text>
        <r>
          <rPr>
            <sz val="10"/>
            <rFont val="Arial"/>
            <family val="2"/>
          </rPr>
          <t xml:space="preserve">Informar a durabilidade média dos pneus considerando as recapagens, em km
</t>
        </r>
      </text>
    </comment>
    <comment ref="A199" authorId="0" shapeId="0" xr:uid="{00000000-0006-0000-0000-000003000000}">
      <text>
        <r>
          <rPr>
            <sz val="10"/>
            <rFont val="Arial"/>
            <family val="2"/>
          </rPr>
          <t xml:space="preserve">Especificar somente quando for exigido no Projeto Básico
</t>
        </r>
      </text>
    </comment>
    <comment ref="D201" authorId="0" shapeId="0" xr:uid="{00000000-0006-0000-0000-000036000000}">
      <text>
        <r>
          <rPr>
            <sz val="10"/>
            <rFont val="Arial"/>
            <family val="2"/>
          </rPr>
          <t>Informar o valor total para instalação do equipamento de monitoramento da frota, se houver</t>
        </r>
      </text>
    </comment>
    <comment ref="D203" authorId="0" shapeId="0" xr:uid="{00000000-0006-0000-0000-000037000000}">
      <text>
        <r>
          <rPr>
            <sz val="10"/>
            <rFont val="Arial"/>
            <family val="2"/>
          </rPr>
          <t>Informar o valor unitário mensal para manutenção dos equipamentos de monitoramento</t>
        </r>
      </text>
    </comment>
    <comment ref="C213" authorId="0" shapeId="0" xr:uid="{00000000-0006-0000-0000-000022000000}">
      <text>
        <r>
          <rPr>
            <sz val="10"/>
            <rFont val="Arial"/>
            <family val="2"/>
          </rPr>
          <t>Preencher a aba 4.BDI</t>
        </r>
      </text>
    </comment>
    <comment ref="D220" authorId="0" shapeId="0" xr:uid="{00000000-0006-0000-0000-000038000000}">
      <text>
        <r>
          <rPr>
            <sz val="10"/>
            <rFont val="Arial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G37" authorId="0" shapeId="0" xr:uid="{00000000-0006-0000-0200-000001000000}">
      <text>
        <r>
          <rPr>
            <sz val="10"/>
            <rFont val="Arial"/>
            <family val="2"/>
          </rPr>
          <t xml:space="preserve">Jorge Mesquita:
</t>
        </r>
        <r>
          <rPr>
            <sz val="9"/>
            <color rgb="FF000000"/>
            <rFont val="Tahoma"/>
            <family val="2"/>
            <charset val="1"/>
          </rPr>
          <t xml:space="preserve">Criar um tipo de arredondamento.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C10" authorId="0" shapeId="0" xr:uid="{00000000-0006-0000-0300-000001000000}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1" authorId="0" shapeId="0" xr:uid="{00000000-0006-0000-0300-000002000000}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2" authorId="0" shapeId="0" xr:uid="{00000000-0006-0000-0300-000003000000}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E13" authorId="0" shapeId="0" xr:uid="{00000000-0006-0000-0300-000006000000}">
      <text>
        <r>
          <rPr>
            <sz val="10"/>
            <rFont val="Arial"/>
            <family val="2"/>
          </rPr>
          <t>Informar o valor anual da taxa financeira, em percentual. Admite-se utilizar a SELIC</t>
        </r>
      </text>
    </comment>
    <comment ref="C14" authorId="0" shapeId="0" xr:uid="{00000000-0006-0000-0300-000004000000}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E14" authorId="0" shapeId="0" xr:uid="{00000000-0006-0000-0300-000007000000}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  <comment ref="C15" authorId="0" shapeId="0" xr:uid="{00000000-0006-0000-0300-000005000000}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<sst xmlns="http://schemas.openxmlformats.org/spreadsheetml/2006/main" count="429" uniqueCount="285">
  <si>
    <t xml:space="preserve">1. Transporte de Resíduos Sólidos BAGÉ - CANDIOTA  </t>
  </si>
  <si>
    <t>Planilha de Composição de Custos</t>
  </si>
  <si>
    <t>Orçamento Sintético</t>
  </si>
  <si>
    <t>Descrição do Item</t>
  </si>
  <si>
    <t>Custo (R$/mês)</t>
  </si>
  <si>
    <t>%</t>
  </si>
  <si>
    <t>PREÇO TOTAL MENSAL DO TRANSPORTE</t>
  </si>
  <si>
    <t>Quantitativos</t>
  </si>
  <si>
    <t>Mão-de-obra</t>
  </si>
  <si>
    <t>Quantidade</t>
  </si>
  <si>
    <t>Total de mão-de-obra (postos de trabalho)</t>
  </si>
  <si>
    <t>Veículos e Equipamentos</t>
  </si>
  <si>
    <t>3.1. Custo de aquisição dos chassis</t>
  </si>
  <si>
    <t>3.2. Custo de aquição das caçamba</t>
  </si>
  <si>
    <t>Fator de utilização (FU)</t>
  </si>
  <si>
    <t>1. Mão-de-obra</t>
  </si>
  <si>
    <t>1.1. Motorista Turno do Dia</t>
  </si>
  <si>
    <t>Discriminação</t>
  </si>
  <si>
    <t>Unidade</t>
  </si>
  <si>
    <t>Custo unitário</t>
  </si>
  <si>
    <t>Subtotal</t>
  </si>
  <si>
    <r>
      <rPr>
        <b/>
        <sz val="9"/>
        <rFont val="Arial"/>
        <family val="2"/>
        <charset val="1"/>
      </rPr>
      <t xml:space="preserve">Total </t>
    </r>
    <r>
      <rPr>
        <b/>
        <u/>
        <sz val="9"/>
        <rFont val="Arial"/>
        <family val="2"/>
        <charset val="1"/>
      </rPr>
      <t>(R$)</t>
    </r>
  </si>
  <si>
    <t>Piso da categoria (1)</t>
  </si>
  <si>
    <t>mês</t>
  </si>
  <si>
    <t>Salário mínimo nacional (2)</t>
  </si>
  <si>
    <t>Horas Extras (100%)</t>
  </si>
  <si>
    <t>hora</t>
  </si>
  <si>
    <t>Horas Extras (50%)</t>
  </si>
  <si>
    <t>Descanso Semanal Remunerado (DSR) - hora extra</t>
  </si>
  <si>
    <t>R$</t>
  </si>
  <si>
    <t>Base de cálculo da Insalubridade</t>
  </si>
  <si>
    <t>Adicional de Insalubridade</t>
  </si>
  <si>
    <t>Soma</t>
  </si>
  <si>
    <t>Encargos Sociais</t>
  </si>
  <si>
    <t>Total por Motorista</t>
  </si>
  <si>
    <t>Total do Efetivo</t>
  </si>
  <si>
    <t>homem</t>
  </si>
  <si>
    <t>Fator de utilização</t>
  </si>
  <si>
    <t>1.2. Vale Transporte</t>
  </si>
  <si>
    <t>Vale Transporte</t>
  </si>
  <si>
    <t>Dias Trabalhados por mês</t>
  </si>
  <si>
    <t>dia</t>
  </si>
  <si>
    <t>Motorista</t>
  </si>
  <si>
    <t>vale</t>
  </si>
  <si>
    <t>1.3. Vale-refeição (diário)</t>
  </si>
  <si>
    <t>Vale  refeição</t>
  </si>
  <si>
    <t>1.4. Auxílio Alimentação (mensal)</t>
  </si>
  <si>
    <t>unidade</t>
  </si>
  <si>
    <t>Custo Mensal com Mão-de-obra (R$/mês)</t>
  </si>
  <si>
    <t>2. Uniformes e Equipamentos de Proteção Individual</t>
  </si>
  <si>
    <t>2.1. Uniformes e EPIs para Motorista</t>
  </si>
  <si>
    <t>Durabilidade (meses)</t>
  </si>
  <si>
    <t>Jaqueta com reflexivo (NBR 15.292)</t>
  </si>
  <si>
    <t>Calça</t>
  </si>
  <si>
    <t>Camiseta</t>
  </si>
  <si>
    <t>Botina de segurança c/ palmilha aço</t>
  </si>
  <si>
    <t>par</t>
  </si>
  <si>
    <t>Capa de chuva amarela com reflexivo</t>
  </si>
  <si>
    <t>Protetor solar FPS 30</t>
  </si>
  <si>
    <t>frasco 120g</t>
  </si>
  <si>
    <t>Higienização de uniformes e EPIs</t>
  </si>
  <si>
    <t>R$ mensal</t>
  </si>
  <si>
    <t>Custo Mensal com Uniformes e EPIs (R$/mês)</t>
  </si>
  <si>
    <t>3. Veículos e Equipamentos</t>
  </si>
  <si>
    <t>3.1. Caminhão de Transporte de Resíduos</t>
  </si>
  <si>
    <t>3.1.1. Depreciação</t>
  </si>
  <si>
    <t>Custo de aquisição do chassis</t>
  </si>
  <si>
    <t>SICRO/DNIT A9311</t>
  </si>
  <si>
    <t>Vida útil do chassis</t>
  </si>
  <si>
    <t>anos</t>
  </si>
  <si>
    <t>Idade do caminhão</t>
  </si>
  <si>
    <t>Depreciação do chassis</t>
  </si>
  <si>
    <t>Depreciação mensal do caminhão</t>
  </si>
  <si>
    <t>Custo de aquisição da caçamba basculante 50m³</t>
  </si>
  <si>
    <t>SICRO/DNIT A9315</t>
  </si>
  <si>
    <t>Vida útil da caçamba basculante 50m³</t>
  </si>
  <si>
    <t>Idade da caçamba basculante 50m³</t>
  </si>
  <si>
    <t xml:space="preserve">Depreciação da caçamba basculante 50m³ </t>
  </si>
  <si>
    <t>Depreciação mensal caçamba basculante</t>
  </si>
  <si>
    <t>Total por Veículo</t>
  </si>
  <si>
    <t>Total da frota</t>
  </si>
  <si>
    <t>3.1.2. Remuneração do Capital</t>
  </si>
  <si>
    <t>Custo do chassis</t>
  </si>
  <si>
    <t>Taxa de juros anual nominal</t>
  </si>
  <si>
    <t>Valor do caminhão proposto (V0)</t>
  </si>
  <si>
    <t>Investimento médio total do chassis</t>
  </si>
  <si>
    <t>Remuneração mensal de capital do chassis</t>
  </si>
  <si>
    <t>Custo da caçamba basculante 50m³</t>
  </si>
  <si>
    <t>Valor da caçamba basculante 50m³ proposto (V0)</t>
  </si>
  <si>
    <t>Investimento médio total da caçamba basculante 50m³</t>
  </si>
  <si>
    <t>Remuneração mensal de capital da caçamba basculante 50m³</t>
  </si>
  <si>
    <t>3.1.3. Impostos e Seguros</t>
  </si>
  <si>
    <t>IPVA</t>
  </si>
  <si>
    <t>Licenciamento e Seguro obrigatório</t>
  </si>
  <si>
    <t>Seguro do Motorista</t>
  </si>
  <si>
    <t>Seguro contra terceiros</t>
  </si>
  <si>
    <t>Impostos e seguros mensais</t>
  </si>
  <si>
    <t>3.1.4. Consumos</t>
  </si>
  <si>
    <t>Quilometragem mensal</t>
  </si>
  <si>
    <t>Consumo</t>
  </si>
  <si>
    <t>Custo de óleo diesel / km rodado</t>
  </si>
  <si>
    <t>km/l</t>
  </si>
  <si>
    <t>Custo mensal com óleo diesel</t>
  </si>
  <si>
    <t>km</t>
  </si>
  <si>
    <t>Custo de óleo do motor /10.000 km rodados</t>
  </si>
  <si>
    <t>l/10.000 km</t>
  </si>
  <si>
    <t>Custo mensal com óleo do motor</t>
  </si>
  <si>
    <t>Custo de óleo da transmissão /10.000 km</t>
  </si>
  <si>
    <t>Custo mensal com óleo da transmissão</t>
  </si>
  <si>
    <t>Custo de óleo hidráulico / 10.000 km</t>
  </si>
  <si>
    <t>Custo mensal com óleo hidráulico</t>
  </si>
  <si>
    <t>Custo filtro de óleo do motor/10.000 km rodados</t>
  </si>
  <si>
    <t>Custo mensal</t>
  </si>
  <si>
    <t>Custo de graxa /10.000 km rodados</t>
  </si>
  <si>
    <t>kg/10.000 km</t>
  </si>
  <si>
    <t>Custo mensal com graxa</t>
  </si>
  <si>
    <t>Custo com ARLA 32</t>
  </si>
  <si>
    <t>Custo mensal com ARLA 32</t>
  </si>
  <si>
    <t>Custo com consumos/km rodado</t>
  </si>
  <si>
    <t>R$/km rodado</t>
  </si>
  <si>
    <t>3.1.5. Manutenção*</t>
  </si>
  <si>
    <t>Custo de manutenção dos caminhões</t>
  </si>
  <si>
    <t>R$/hora</t>
  </si>
  <si>
    <t>*Valor de referência foi calculado com base no trajeto de 144 km/dia por caminhão, considerando que cada caminhão demora 3 horas para completar o percurso</t>
  </si>
  <si>
    <t>3.1.6. Pneus</t>
  </si>
  <si>
    <t>Custo do jogo de pneus 295/80 R22,5</t>
  </si>
  <si>
    <t>Número de recapagens por pneu</t>
  </si>
  <si>
    <t>Custo de recapagem</t>
  </si>
  <si>
    <r>
      <t xml:space="preserve">Custo jg. compl. + </t>
    </r>
    <r>
      <rPr>
        <sz val="10"/>
        <color rgb="FFFF0000"/>
        <rFont val="Arial"/>
        <family val="2"/>
        <charset val="1"/>
      </rPr>
      <t>2</t>
    </r>
    <r>
      <rPr>
        <sz val="10"/>
        <rFont val="Arial"/>
        <family val="2"/>
        <charset val="1"/>
      </rPr>
      <t xml:space="preserve"> recap./ km rodado</t>
    </r>
  </si>
  <si>
    <t>km/jogo</t>
  </si>
  <si>
    <t>Custo mensal com pneus</t>
  </si>
  <si>
    <t>Custo Mensal com Veículos e Equipamentos (R$/mês)</t>
  </si>
  <si>
    <t>4. Monitoramento da Frota</t>
  </si>
  <si>
    <t>Implantação dos equipamentos de monitoramento</t>
  </si>
  <si>
    <t>cj</t>
  </si>
  <si>
    <t>Custo mensal com implantação</t>
  </si>
  <si>
    <t>Manutenção dos equipamentos de monitoramento</t>
  </si>
  <si>
    <t>Custo mensal com manutenção</t>
  </si>
  <si>
    <t>Custo Mensal com Monitoramento da Frota (R$/mês)</t>
  </si>
  <si>
    <t>CUSTO TOTAL MENSAL COM DESPESAS OPERACIONAIS (R$/mês)</t>
  </si>
  <si>
    <t>5. Benefícios e Despesas Indiretas - BDI</t>
  </si>
  <si>
    <t>Benefícios e despesas indiretas</t>
  </si>
  <si>
    <t>CUSTO MENSAL DO BDI (R$/mês)</t>
  </si>
  <si>
    <t>PREÇO MENSAL TOTAL COM BDI (R$/mês)</t>
  </si>
  <si>
    <t xml:space="preserve">Quantidade média de resíduos transportado por mês: </t>
  </si>
  <si>
    <t>toneladas</t>
  </si>
  <si>
    <t>PREÇO POR TONELADA TRANSPORTADA:  [A/B]</t>
  </si>
  <si>
    <t>R$/tonelada</t>
  </si>
  <si>
    <t>____________________________</t>
  </si>
  <si>
    <t>Responsável técnico</t>
  </si>
  <si>
    <t>NAEL ABD ALI</t>
  </si>
  <si>
    <t>Arquiteto &amp; Urbanista</t>
  </si>
  <si>
    <t>Engenheiro de Segurança do Trabalho</t>
  </si>
  <si>
    <t>CAU – A35721-9</t>
  </si>
  <si>
    <t>Orientações para preenchimento:</t>
  </si>
  <si>
    <t>1. Preencha previamente os dados de entrada na planilha 3.CAGED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</si>
  <si>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</si>
  <si>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</si>
  <si>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</si>
  <si>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</si>
  <si>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</si>
  <si>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</si>
  <si>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</si>
  <si>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</si>
  <si>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</si>
  <si>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</si>
  <si>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</si>
  <si>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</si>
  <si>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</si>
  <si>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</si>
  <si>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</si>
  <si>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</si>
  <si>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</si>
  <si>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</si>
  <si>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</si>
  <si>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</si>
  <si>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</si>
  <si>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</si>
  <si>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</si>
  <si>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SOMA GRUPO A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</si>
  <si>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</si>
  <si>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</si>
  <si>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</si>
  <si>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</si>
  <si>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</si>
  <si>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</si>
  <si>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</si>
  <si>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</si>
  <si>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</si>
  <si>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</si>
  <si>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</si>
  <si>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</si>
  <si>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</si>
  <si>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</si>
  <si>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</si>
  <si>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SOMA GRUPO B</t>
  </si>
  <si>
    <t>C1</t>
  </si>
  <si>
    <t>Aviso prévio indenizado</t>
  </si>
  <si>
    <t>C2</t>
  </si>
  <si>
    <t>Aviso prévio trabalhado</t>
  </si>
  <si>
    <t>C3</t>
  </si>
  <si>
    <t xml:space="preserve">Férias indenizadas 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</si>
  <si>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</si>
  <si>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</si>
  <si>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</si>
  <si>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</si>
  <si>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</si>
  <si>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</si>
  <si>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</si>
  <si>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</si>
  <si>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</si>
  <si>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</si>
  <si>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</si>
  <si>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SOMA GRUPO D</t>
  </si>
  <si>
    <t>SOMA (A+B+C+D)</t>
  </si>
  <si>
    <t>CÁLCULO DAS VERBAS INDENIZATÓRIAS DOS EMPREGADOS NO SETOR DE COLETA DE RSU</t>
  </si>
  <si>
    <t>Para preencher esta planilha siga os passos 1 a 5:</t>
  </si>
  <si>
    <t xml:space="preserve">1. Acesse o Portal do CAGED no link http://bi.mte.gov.br/cagedestabelecimento/pages/consulta.xhtml </t>
  </si>
  <si>
    <t>2. Na Especificação da Consulta, selecione "Demonstrativo por período" e informe as competências relativas ao período Inicial e Final (últimos 12 meses)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</si>
  <si>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</si>
  <si>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</si>
  <si>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</si>
  <si>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6. Preencha as células em amarelo</t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</si>
  <si>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</si>
  <si>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</si>
  <si>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</si>
  <si>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</si>
  <si>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</si>
  <si>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</si>
  <si>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</si>
  <si>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</si>
  <si>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</si>
  <si>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</si>
  <si>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</si>
  <si>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</si>
  <si>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</si>
  <si>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</si>
  <si>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Estoque recuperado início do Período 01-01-2019</t>
  </si>
  <si>
    <t>Estoque recuperado final do Período 31-12-2019</t>
  </si>
  <si>
    <t>Rotatividade</t>
  </si>
  <si>
    <t>Demitidos s/ Justa Causa em relação ao Estoque Médio</t>
  </si>
  <si>
    <t>Dias ano</t>
  </si>
  <si>
    <t>1/3 de férias (dias)</t>
  </si>
  <si>
    <t>Férias (dias)</t>
  </si>
  <si>
    <t>13º Salário (dias)</t>
  </si>
  <si>
    <t>Estoque Médio</t>
  </si>
  <si>
    <t>Multa FGTS</t>
  </si>
  <si>
    <t>Fração de tempo para gozo férias</t>
  </si>
  <si>
    <t>Dias de Aviso prévio</t>
  </si>
  <si>
    <t>Rotatividade temporal (meses)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</si>
  <si>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</si>
  <si>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</si>
  <si>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</si>
  <si>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</si>
  <si>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</si>
  <si>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</si>
  <si>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</si>
  <si>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</si>
  <si>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</si>
  <si>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</si>
  <si>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</si>
  <si>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</si>
  <si>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</si>
  <si>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</si>
  <si>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</si>
  <si>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</si>
  <si>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</si>
  <si>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</si>
  <si>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</si>
  <si>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</si>
  <si>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</si>
  <si>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</si>
  <si>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</si>
  <si>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</si>
  <si>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</si>
  <si>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</si>
  <si>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</si>
  <si>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</si>
  <si>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rgb="FF000000"/>
        <rFont val="Arial"/>
        <family val="2"/>
        <charset val="1"/>
      </rPr>
      <t>J</t>
    </r>
    <r>
      <rPr>
        <vertAlign val="subscript"/>
        <sz val="12"/>
        <color rgb="FF000000"/>
        <rFont val="Arial"/>
        <family val="2"/>
        <charset val="1"/>
      </rPr>
      <t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</si>
  <si>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</si>
  <si>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</si>
  <si>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</si>
  <si>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r</t>
    </r>
    <r>
      <rPr>
        <sz val="12"/>
        <color rgb="FF000000"/>
        <rFont val="Arial"/>
        <family val="2"/>
        <charset val="1"/>
      </rPr>
      <t xml:space="preserve"> = valor residual do bem</t>
    </r>
  </si>
  <si>
    <t>n = vida útil do bem em anos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</si>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</sst>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_(* #,##0_);_(* \(#,##0\);_(* \-??_);_(@_)"/>
    <numFmt numFmtId="168" formatCode="_-* #,##0.00_-;\-* #,##0.00_-;_-* \-??_-;_-@_-"/>
    <numFmt numFmtId="169" formatCode="_(* #,##0.000_);_(* \(#,##0.000\);_(* \-??_);_(@_)"/>
    <numFmt numFmtId="170" formatCode="0.0000"/>
    <numFmt numFmtId="171" formatCode="_(* #,##0.0000_);_(* \(#,##0.0000\);_(* \-??_);_(@_)"/>
    <numFmt numFmtId="172" formatCode="#,##0.0000"/>
    <numFmt numFmtId="173" formatCode="#,##0.0"/>
    <numFmt numFmtId="174" formatCode="#,##0.000"/>
    <numFmt numFmtId="175" formatCode="&quot;R$&quot;\ #,##0.00"/>
    <numFmt numFmtId="176" formatCode="_-[$R$-416]\ * #,##0.00_-;\-[$R$-416]\ * #,##0.00_-;_-[$R$-416]\ * &quot;-&quot;??_-;_-@_-"/>
  </numFmts>
  <fonts count="22" x14ac:knownFonts="1">
    <font>
      <sz val="10"/>
      <name val="Arial"/>
      <family val="2"/>
      <charset val="1"/>
    </font>
    <font>
      <b/>
      <sz val="14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b/>
      <u/>
      <sz val="9"/>
      <name val="Arial"/>
      <family val="2"/>
      <charset val="1"/>
    </font>
    <font>
      <sz val="8"/>
      <name val="Arial"/>
      <family val="2"/>
      <charset val="1"/>
    </font>
    <font>
      <u/>
      <sz val="10"/>
      <color rgb="FF0000FF"/>
      <name val="Arial"/>
      <family val="2"/>
      <charset val="1"/>
    </font>
    <font>
      <sz val="8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i/>
      <sz val="10"/>
      <name val="Arial"/>
      <family val="2"/>
      <charset val="1"/>
    </font>
    <font>
      <sz val="10"/>
      <name val="Arial"/>
      <family val="2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9"/>
      <color rgb="FF000000"/>
      <name val="Tahoma"/>
      <family val="2"/>
      <charset val="1"/>
    </font>
    <font>
      <sz val="12"/>
      <color rgb="FF000000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0"/>
      <name val="Arial"/>
      <family val="2"/>
      <charset val="1"/>
    </font>
    <font>
      <b/>
      <sz val="10"/>
      <color rgb="FF000000"/>
      <name val="Arial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B2B2B2"/>
        <bgColor rgb="FFA6A6A6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2B2B2"/>
      </patternFill>
    </fill>
    <fill>
      <patternFill patternType="solid">
        <fgColor rgb="FFFFFFFF"/>
        <bgColor rgb="FFEEECE1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164" fontId="20" fillId="0" borderId="0" applyBorder="0" applyProtection="0"/>
    <xf numFmtId="9" fontId="20" fillId="0" borderId="0" applyBorder="0" applyProtection="0"/>
    <xf numFmtId="0" fontId="9" fillId="0" borderId="0" applyBorder="0" applyProtection="0"/>
  </cellStyleXfs>
  <cellXfs count="285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0" borderId="10" xfId="1" applyFont="1" applyBorder="1" applyAlignment="1" applyProtection="1">
      <alignment horizontal="left" vertical="center"/>
    </xf>
    <xf numFmtId="0" fontId="0" fillId="0" borderId="0" xfId="0" applyAlignment="1">
      <alignment vertical="center"/>
    </xf>
    <xf numFmtId="164" fontId="0" fillId="0" borderId="0" xfId="1" applyFont="1" applyBorder="1" applyAlignment="1" applyProtection="1">
      <alignment vertical="center"/>
    </xf>
    <xf numFmtId="164" fontId="2" fillId="0" borderId="0" xfId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4" fontId="0" fillId="0" borderId="0" xfId="0" applyNumberFormat="1" applyAlignment="1">
      <alignment vertical="center"/>
    </xf>
    <xf numFmtId="164" fontId="0" fillId="0" borderId="4" xfId="1" applyFont="1" applyBorder="1" applyAlignment="1" applyProtection="1">
      <alignment vertical="center"/>
    </xf>
    <xf numFmtId="164" fontId="5" fillId="0" borderId="6" xfId="1" applyFont="1" applyBorder="1" applyAlignment="1" applyProtection="1">
      <alignment horizontal="center" vertical="center"/>
    </xf>
    <xf numFmtId="164" fontId="0" fillId="0" borderId="7" xfId="1" applyFont="1" applyBorder="1" applyAlignment="1" applyProtection="1">
      <alignment vertical="center"/>
    </xf>
    <xf numFmtId="164" fontId="5" fillId="0" borderId="7" xfId="1" applyFont="1" applyBorder="1" applyAlignment="1" applyProtection="1">
      <alignment vertical="center"/>
    </xf>
    <xf numFmtId="164" fontId="5" fillId="0" borderId="8" xfId="1" applyFont="1" applyBorder="1" applyAlignment="1" applyProtection="1">
      <alignment vertical="center"/>
    </xf>
    <xf numFmtId="164" fontId="5" fillId="0" borderId="9" xfId="1" applyFont="1" applyBorder="1" applyAlignment="1" applyProtection="1">
      <alignment horizontal="center" vertical="center"/>
    </xf>
    <xf numFmtId="164" fontId="5" fillId="0" borderId="10" xfId="1" applyFont="1" applyBorder="1" applyAlignment="1" applyProtection="1">
      <alignment vertical="center"/>
    </xf>
    <xf numFmtId="164" fontId="5" fillId="0" borderId="11" xfId="0" applyNumberFormat="1" applyFont="1" applyBorder="1" applyAlignment="1">
      <alignment vertical="center"/>
    </xf>
    <xf numFmtId="164" fontId="5" fillId="0" borderId="11" xfId="1" applyFont="1" applyBorder="1" applyAlignment="1" applyProtection="1">
      <alignment vertical="center"/>
    </xf>
    <xf numFmtId="165" fontId="5" fillId="0" borderId="12" xfId="0" applyNumberFormat="1" applyFont="1" applyBorder="1" applyAlignment="1">
      <alignment vertical="center"/>
    </xf>
    <xf numFmtId="10" fontId="5" fillId="0" borderId="13" xfId="2" applyNumberFormat="1" applyFont="1" applyBorder="1" applyAlignment="1" applyProtection="1">
      <alignment vertical="center"/>
    </xf>
    <xf numFmtId="164" fontId="5" fillId="0" borderId="0" xfId="1" applyFont="1" applyBorder="1" applyAlignment="1" applyProtection="1">
      <alignment vertical="center"/>
    </xf>
    <xf numFmtId="0" fontId="5" fillId="0" borderId="0" xfId="0" applyFont="1" applyAlignment="1">
      <alignment vertical="center"/>
    </xf>
    <xf numFmtId="164" fontId="0" fillId="0" borderId="10" xfId="1" applyFont="1" applyBorder="1" applyAlignment="1" applyProtection="1">
      <alignment vertical="center"/>
    </xf>
    <xf numFmtId="164" fontId="0" fillId="0" borderId="11" xfId="0" applyNumberFormat="1" applyBorder="1" applyAlignment="1">
      <alignment vertical="center"/>
    </xf>
    <xf numFmtId="164" fontId="0" fillId="0" borderId="11" xfId="1" applyFont="1" applyBorder="1" applyAlignment="1" applyProtection="1">
      <alignment vertical="center"/>
    </xf>
    <xf numFmtId="165" fontId="0" fillId="0" borderId="12" xfId="0" applyNumberFormat="1" applyBorder="1" applyAlignment="1">
      <alignment vertical="center"/>
    </xf>
    <xf numFmtId="10" fontId="0" fillId="0" borderId="13" xfId="2" applyNumberFormat="1" applyFont="1" applyBorder="1" applyAlignment="1" applyProtection="1">
      <alignment vertical="center"/>
    </xf>
    <xf numFmtId="4" fontId="5" fillId="0" borderId="11" xfId="0" applyNumberFormat="1" applyFont="1" applyBorder="1" applyAlignment="1">
      <alignment horizontal="center" vertical="center"/>
    </xf>
    <xf numFmtId="164" fontId="0" fillId="0" borderId="10" xfId="1" applyFont="1" applyBorder="1" applyAlignment="1" applyProtection="1">
      <alignment horizontal="left" vertical="center"/>
    </xf>
    <xf numFmtId="4" fontId="0" fillId="0" borderId="11" xfId="0" applyNumberFormat="1" applyBorder="1" applyAlignment="1">
      <alignment horizontal="center" vertical="center"/>
    </xf>
    <xf numFmtId="165" fontId="5" fillId="0" borderId="14" xfId="0" applyNumberFormat="1" applyFont="1" applyBorder="1" applyAlignment="1">
      <alignment vertical="center"/>
    </xf>
    <xf numFmtId="164" fontId="5" fillId="0" borderId="15" xfId="1" applyFont="1" applyBorder="1" applyAlignment="1" applyProtection="1">
      <alignment horizontal="left" vertical="center"/>
    </xf>
    <xf numFmtId="4" fontId="5" fillId="0" borderId="16" xfId="0" applyNumberFormat="1" applyFont="1" applyBorder="1" applyAlignment="1">
      <alignment horizontal="center" vertical="center"/>
    </xf>
    <xf numFmtId="164" fontId="5" fillId="0" borderId="16" xfId="1" applyFont="1" applyBorder="1" applyAlignment="1" applyProtection="1">
      <alignment vertical="center"/>
    </xf>
    <xf numFmtId="166" fontId="5" fillId="0" borderId="17" xfId="0" applyNumberFormat="1" applyFont="1" applyBorder="1" applyAlignment="1">
      <alignment vertical="center"/>
    </xf>
    <xf numFmtId="9" fontId="5" fillId="0" borderId="18" xfId="2" applyFont="1" applyBorder="1" applyAlignment="1" applyProtection="1">
      <alignment vertical="center"/>
    </xf>
    <xf numFmtId="164" fontId="5" fillId="0" borderId="20" xfId="1" applyFont="1" applyBorder="1" applyAlignment="1" applyProtection="1">
      <alignment horizontal="right" vertical="center"/>
    </xf>
    <xf numFmtId="0" fontId="0" fillId="0" borderId="11" xfId="0" applyBorder="1" applyAlignment="1">
      <alignment vertical="center"/>
    </xf>
    <xf numFmtId="1" fontId="0" fillId="0" borderId="21" xfId="1" applyNumberFormat="1" applyFont="1" applyBorder="1" applyAlignment="1" applyProtection="1">
      <alignment horizontal="center" vertical="center"/>
    </xf>
    <xf numFmtId="164" fontId="5" fillId="0" borderId="22" xfId="1" applyFont="1" applyBorder="1" applyAlignment="1" applyProtection="1">
      <alignment vertical="center"/>
    </xf>
    <xf numFmtId="4" fontId="5" fillId="0" borderId="23" xfId="0" applyNumberFormat="1" applyFont="1" applyBorder="1" applyAlignment="1">
      <alignment vertical="center"/>
    </xf>
    <xf numFmtId="0" fontId="0" fillId="0" borderId="23" xfId="0" applyBorder="1" applyAlignment="1">
      <alignment vertical="center"/>
    </xf>
    <xf numFmtId="1" fontId="5" fillId="0" borderId="24" xfId="1" applyNumberFormat="1" applyFont="1" applyBorder="1" applyAlignment="1" applyProtection="1">
      <alignment horizontal="center" vertical="center"/>
    </xf>
    <xf numFmtId="164" fontId="5" fillId="0" borderId="3" xfId="1" applyFont="1" applyBorder="1" applyAlignment="1" applyProtection="1">
      <alignment vertical="center"/>
    </xf>
    <xf numFmtId="4" fontId="5" fillId="0" borderId="0" xfId="0" applyNumberFormat="1" applyFont="1" applyAlignment="1">
      <alignment vertical="center"/>
    </xf>
    <xf numFmtId="164" fontId="0" fillId="0" borderId="26" xfId="1" applyFont="1" applyBorder="1" applyAlignment="1" applyProtection="1">
      <alignment vertical="center"/>
    </xf>
    <xf numFmtId="164" fontId="0" fillId="0" borderId="27" xfId="1" applyFont="1" applyBorder="1" applyAlignment="1" applyProtection="1">
      <alignment vertical="center"/>
    </xf>
    <xf numFmtId="0" fontId="0" fillId="0" borderId="27" xfId="0" applyBorder="1" applyAlignment="1">
      <alignment vertical="center"/>
    </xf>
    <xf numFmtId="1" fontId="0" fillId="0" borderId="28" xfId="1" applyNumberFormat="1" applyFont="1" applyBorder="1" applyAlignment="1" applyProtection="1">
      <alignment horizontal="center" vertical="center"/>
    </xf>
    <xf numFmtId="1" fontId="0" fillId="0" borderId="0" xfId="1" applyNumberFormat="1" applyFont="1" applyBorder="1" applyAlignment="1" applyProtection="1">
      <alignment horizontal="center" vertical="center"/>
    </xf>
    <xf numFmtId="167" fontId="0" fillId="0" borderId="0" xfId="1" applyNumberFormat="1" applyFont="1" applyBorder="1" applyAlignment="1" applyProtection="1">
      <alignment horizontal="center" vertical="center"/>
    </xf>
    <xf numFmtId="164" fontId="5" fillId="0" borderId="15" xfId="1" applyFont="1" applyBorder="1" applyAlignment="1" applyProtection="1">
      <alignment vertical="center"/>
    </xf>
    <xf numFmtId="9" fontId="5" fillId="3" borderId="29" xfId="2" applyFont="1" applyFill="1" applyBorder="1" applyAlignment="1" applyProtection="1">
      <alignment vertical="center"/>
    </xf>
    <xf numFmtId="167" fontId="5" fillId="0" borderId="0" xfId="1" applyNumberFormat="1" applyFont="1" applyBorder="1" applyAlignment="1" applyProtection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164" fontId="6" fillId="4" borderId="30" xfId="1" applyFont="1" applyFill="1" applyBorder="1" applyAlignment="1" applyProtection="1">
      <alignment horizontal="center" vertical="center"/>
    </xf>
    <xf numFmtId="164" fontId="6" fillId="4" borderId="18" xfId="1" applyFont="1" applyFill="1" applyBorder="1" applyAlignment="1" applyProtection="1">
      <alignment horizontal="center" vertical="center"/>
    </xf>
    <xf numFmtId="0" fontId="8" fillId="0" borderId="0" xfId="0" applyFont="1" applyAlignment="1">
      <alignment vertical="center"/>
    </xf>
    <xf numFmtId="0" fontId="0" fillId="0" borderId="31" xfId="0" applyBorder="1" applyAlignment="1">
      <alignment vertical="center"/>
    </xf>
    <xf numFmtId="0" fontId="0" fillId="0" borderId="31" xfId="0" applyBorder="1" applyAlignment="1">
      <alignment horizontal="center" vertical="center"/>
    </xf>
    <xf numFmtId="164" fontId="0" fillId="3" borderId="31" xfId="1" applyFont="1" applyFill="1" applyBorder="1" applyAlignment="1" applyProtection="1">
      <alignment horizontal="center" vertical="center"/>
    </xf>
    <xf numFmtId="164" fontId="0" fillId="0" borderId="31" xfId="1" applyFont="1" applyBorder="1" applyAlignment="1" applyProtection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2" fontId="0" fillId="3" borderId="12" xfId="0" applyNumberFormat="1" applyFill="1" applyBorder="1" applyAlignment="1">
      <alignment horizontal="center" vertical="center"/>
    </xf>
    <xf numFmtId="164" fontId="0" fillId="0" borderId="12" xfId="1" applyFont="1" applyBorder="1" applyAlignment="1" applyProtection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164" fontId="5" fillId="0" borderId="0" xfId="1" applyFont="1" applyBorder="1" applyAlignment="1" applyProtection="1">
      <alignment horizontal="center" vertical="center"/>
    </xf>
    <xf numFmtId="164" fontId="5" fillId="0" borderId="12" xfId="1" applyFont="1" applyBorder="1" applyAlignment="1" applyProtection="1">
      <alignment horizontal="center" vertical="center"/>
    </xf>
    <xf numFmtId="164" fontId="0" fillId="5" borderId="12" xfId="1" applyFont="1" applyFill="1" applyBorder="1" applyAlignment="1" applyProtection="1">
      <alignment horizontal="center" vertical="center"/>
    </xf>
    <xf numFmtId="0" fontId="5" fillId="0" borderId="11" xfId="0" applyFont="1" applyBorder="1" applyAlignment="1">
      <alignment horizontal="center" vertical="center"/>
    </xf>
    <xf numFmtId="164" fontId="5" fillId="0" borderId="11" xfId="1" applyFont="1" applyBorder="1" applyAlignment="1" applyProtection="1">
      <alignment horizontal="center" vertical="center"/>
    </xf>
    <xf numFmtId="164" fontId="0" fillId="0" borderId="0" xfId="1" applyFont="1" applyBorder="1" applyAlignment="1" applyProtection="1">
      <alignment horizontal="right" vertical="center"/>
    </xf>
    <xf numFmtId="164" fontId="0" fillId="0" borderId="12" xfId="1" applyFont="1" applyBorder="1" applyAlignment="1" applyProtection="1">
      <alignment vertical="center"/>
    </xf>
    <xf numFmtId="164" fontId="5" fillId="4" borderId="29" xfId="1" applyFont="1" applyFill="1" applyBorder="1" applyAlignment="1" applyProtection="1">
      <alignment horizontal="center" vertical="center"/>
    </xf>
    <xf numFmtId="0" fontId="0" fillId="0" borderId="0" xfId="0" applyAlignment="1">
      <alignment horizontal="right" vertical="center"/>
    </xf>
    <xf numFmtId="167" fontId="0" fillId="0" borderId="12" xfId="1" applyNumberFormat="1" applyFont="1" applyBorder="1" applyAlignment="1" applyProtection="1">
      <alignment horizontal="center" vertical="center"/>
    </xf>
    <xf numFmtId="164" fontId="0" fillId="3" borderId="0" xfId="1" applyFont="1" applyFill="1" applyBorder="1" applyAlignment="1" applyProtection="1">
      <alignment vertical="center"/>
    </xf>
    <xf numFmtId="0" fontId="0" fillId="3" borderId="0" xfId="0" applyFill="1" applyAlignment="1">
      <alignment vertical="center"/>
    </xf>
    <xf numFmtId="167" fontId="0" fillId="0" borderId="12" xfId="1" applyNumberFormat="1" applyFont="1" applyBorder="1" applyAlignment="1" applyProtection="1">
      <alignment vertical="center"/>
    </xf>
    <xf numFmtId="164" fontId="5" fillId="4" borderId="5" xfId="1" applyFont="1" applyFill="1" applyBorder="1" applyAlignment="1" applyProtection="1">
      <alignment vertical="center"/>
    </xf>
    <xf numFmtId="164" fontId="0" fillId="3" borderId="12" xfId="1" applyFont="1" applyFill="1" applyBorder="1" applyAlignment="1" applyProtection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164" fontId="5" fillId="0" borderId="29" xfId="1" applyFont="1" applyBorder="1" applyAlignment="1" applyProtection="1">
      <alignment vertical="center"/>
    </xf>
    <xf numFmtId="1" fontId="0" fillId="0" borderId="12" xfId="0" applyNumberFormat="1" applyBorder="1" applyAlignment="1">
      <alignment horizontal="center" vertical="center"/>
    </xf>
    <xf numFmtId="0" fontId="0" fillId="0" borderId="16" xfId="0" applyBorder="1" applyAlignment="1">
      <alignment vertical="center"/>
    </xf>
    <xf numFmtId="164" fontId="0" fillId="0" borderId="16" xfId="1" applyFont="1" applyBorder="1" applyAlignment="1" applyProtection="1">
      <alignment vertical="center"/>
    </xf>
    <xf numFmtId="164" fontId="0" fillId="0" borderId="29" xfId="1" applyFont="1" applyBorder="1" applyAlignment="1" applyProtection="1">
      <alignment vertical="center"/>
    </xf>
    <xf numFmtId="164" fontId="5" fillId="4" borderId="5" xfId="1" applyFont="1" applyFill="1" applyBorder="1" applyAlignment="1" applyProtection="1">
      <alignment horizontal="center" vertical="center"/>
    </xf>
    <xf numFmtId="0" fontId="9" fillId="0" borderId="0" xfId="3" applyBorder="1" applyAlignment="1" applyProtection="1">
      <alignment vertical="center"/>
    </xf>
    <xf numFmtId="164" fontId="10" fillId="0" borderId="0" xfId="1" applyFont="1" applyBorder="1" applyAlignment="1" applyProtection="1">
      <alignment horizontal="center" vertical="center"/>
    </xf>
    <xf numFmtId="164" fontId="8" fillId="0" borderId="0" xfId="1" applyFont="1" applyBorder="1" applyAlignment="1" applyProtection="1">
      <alignment horizontal="center" vertical="center"/>
    </xf>
    <xf numFmtId="168" fontId="0" fillId="0" borderId="0" xfId="0" applyNumberFormat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2" xfId="0" applyFont="1" applyBorder="1" applyAlignment="1">
      <alignment horizontal="center" vertical="center"/>
    </xf>
    <xf numFmtId="164" fontId="5" fillId="0" borderId="32" xfId="1" applyFont="1" applyBorder="1" applyAlignment="1" applyProtection="1">
      <alignment horizontal="center" vertical="center"/>
    </xf>
    <xf numFmtId="164" fontId="0" fillId="0" borderId="0" xfId="1" applyFont="1" applyBorder="1" applyAlignment="1" applyProtection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3" xfId="0" applyFont="1" applyBorder="1" applyAlignment="1">
      <alignment vertical="center"/>
    </xf>
    <xf numFmtId="164" fontId="5" fillId="0" borderId="33" xfId="1" applyFont="1" applyBorder="1" applyAlignment="1" applyProtection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4" borderId="25" xfId="0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/>
    </xf>
    <xf numFmtId="164" fontId="6" fillId="4" borderId="34" xfId="1" applyFont="1" applyFill="1" applyBorder="1" applyAlignment="1" applyProtection="1">
      <alignment horizontal="center" vertical="center"/>
    </xf>
    <xf numFmtId="3" fontId="0" fillId="0" borderId="0" xfId="0" applyNumberFormat="1" applyAlignment="1">
      <alignment vertical="center"/>
    </xf>
    <xf numFmtId="4" fontId="0" fillId="3" borderId="31" xfId="0" applyNumberFormat="1" applyFill="1" applyBorder="1" applyAlignment="1">
      <alignment horizontal="center" vertical="center"/>
    </xf>
    <xf numFmtId="169" fontId="0" fillId="3" borderId="31" xfId="1" applyNumberFormat="1" applyFont="1" applyFill="1" applyBorder="1" applyAlignment="1" applyProtection="1">
      <alignment horizontal="center" vertical="center"/>
    </xf>
    <xf numFmtId="4" fontId="0" fillId="0" borderId="12" xfId="1" applyNumberFormat="1" applyFont="1" applyBorder="1" applyAlignment="1" applyProtection="1">
      <alignment horizontal="center" vertical="center"/>
    </xf>
    <xf numFmtId="169" fontId="0" fillId="0" borderId="31" xfId="1" applyNumberFormat="1" applyFont="1" applyBorder="1" applyAlignment="1" applyProtection="1">
      <alignment horizontal="center" vertical="center"/>
    </xf>
    <xf numFmtId="4" fontId="0" fillId="3" borderId="12" xfId="0" applyNumberFormat="1" applyFill="1" applyBorder="1" applyAlignment="1">
      <alignment horizontal="center" vertical="center"/>
    </xf>
    <xf numFmtId="169" fontId="0" fillId="0" borderId="12" xfId="1" applyNumberFormat="1" applyFont="1" applyBorder="1" applyAlignment="1" applyProtection="1">
      <alignment horizontal="center" vertical="center"/>
    </xf>
    <xf numFmtId="167" fontId="5" fillId="0" borderId="12" xfId="1" applyNumberFormat="1" applyFont="1" applyBorder="1" applyAlignment="1" applyProtection="1">
      <alignment horizontal="center" vertical="center"/>
    </xf>
    <xf numFmtId="169" fontId="5" fillId="0" borderId="12" xfId="1" applyNumberFormat="1" applyFont="1" applyBorder="1" applyAlignment="1" applyProtection="1">
      <alignment horizontal="center" vertical="center"/>
    </xf>
    <xf numFmtId="4" fontId="0" fillId="3" borderId="12" xfId="1" applyNumberFormat="1" applyFont="1" applyFill="1" applyBorder="1" applyAlignment="1" applyProtection="1">
      <alignment horizontal="center" vertical="center"/>
    </xf>
    <xf numFmtId="0" fontId="0" fillId="3" borderId="31" xfId="0" applyFill="1" applyBorder="1" applyAlignment="1">
      <alignment horizontal="center" vertical="center"/>
    </xf>
    <xf numFmtId="3" fontId="0" fillId="3" borderId="12" xfId="0" applyNumberForma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164" fontId="6" fillId="0" borderId="30" xfId="1" applyFont="1" applyBorder="1" applyAlignment="1" applyProtection="1">
      <alignment horizontal="center" vertical="center"/>
    </xf>
    <xf numFmtId="164" fontId="6" fillId="0" borderId="18" xfId="1" applyFont="1" applyBorder="1" applyAlignment="1" applyProtection="1">
      <alignment horizontal="center" vertical="center"/>
    </xf>
    <xf numFmtId="164" fontId="12" fillId="0" borderId="12" xfId="1" applyFont="1" applyBorder="1" applyAlignment="1" applyProtection="1">
      <alignment horizontal="center" vertical="center"/>
    </xf>
    <xf numFmtId="164" fontId="5" fillId="6" borderId="5" xfId="1" applyFont="1" applyFill="1" applyBorder="1" applyAlignment="1" applyProtection="1">
      <alignment horizontal="center" vertical="center"/>
    </xf>
    <xf numFmtId="164" fontId="11" fillId="0" borderId="0" xfId="1" applyFont="1" applyBorder="1" applyAlignment="1" applyProtection="1">
      <alignment vertical="center"/>
    </xf>
    <xf numFmtId="0" fontId="11" fillId="0" borderId="0" xfId="0" applyFont="1" applyAlignment="1">
      <alignment vertical="center"/>
    </xf>
    <xf numFmtId="0" fontId="0" fillId="0" borderId="36" xfId="0" applyBorder="1" applyAlignment="1">
      <alignment vertical="center"/>
    </xf>
    <xf numFmtId="164" fontId="0" fillId="3" borderId="11" xfId="1" applyFont="1" applyFill="1" applyBorder="1" applyAlignment="1" applyProtection="1">
      <alignment vertical="center"/>
    </xf>
    <xf numFmtId="164" fontId="0" fillId="0" borderId="37" xfId="1" applyFont="1" applyBorder="1" applyAlignment="1" applyProtection="1">
      <alignment vertical="center"/>
    </xf>
    <xf numFmtId="164" fontId="5" fillId="0" borderId="29" xfId="1" applyFont="1" applyBorder="1" applyAlignment="1" applyProtection="1">
      <alignment horizontal="right" vertical="center"/>
    </xf>
    <xf numFmtId="164" fontId="5" fillId="4" borderId="5" xfId="1" applyFont="1" applyFill="1" applyBorder="1" applyAlignment="1" applyProtection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39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2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10" fontId="14" fillId="0" borderId="21" xfId="0" applyNumberFormat="1" applyFont="1" applyBorder="1" applyAlignment="1">
      <alignment horizontal="right" vertical="center"/>
    </xf>
    <xf numFmtId="0" fontId="15" fillId="0" borderId="12" xfId="0" applyFont="1" applyBorder="1" applyAlignment="1">
      <alignment horizontal="left" vertical="center"/>
    </xf>
    <xf numFmtId="10" fontId="15" fillId="0" borderId="21" xfId="0" applyNumberFormat="1" applyFont="1" applyBorder="1" applyAlignment="1">
      <alignment horizontal="right" vertical="center"/>
    </xf>
    <xf numFmtId="0" fontId="14" fillId="7" borderId="39" xfId="0" applyFont="1" applyFill="1" applyBorder="1" applyAlignment="1">
      <alignment horizontal="left" vertical="center"/>
    </xf>
    <xf numFmtId="0" fontId="15" fillId="7" borderId="12" xfId="0" applyFont="1" applyFill="1" applyBorder="1" applyAlignment="1">
      <alignment horizontal="left" vertical="center"/>
    </xf>
    <xf numFmtId="10" fontId="15" fillId="7" borderId="21" xfId="0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left" vertical="center"/>
    </xf>
    <xf numFmtId="10" fontId="0" fillId="0" borderId="0" xfId="0" applyNumberFormat="1"/>
    <xf numFmtId="9" fontId="14" fillId="0" borderId="0" xfId="2" applyFont="1" applyBorder="1" applyAlignment="1" applyProtection="1">
      <alignment horizontal="right" vertical="center"/>
    </xf>
    <xf numFmtId="0" fontId="14" fillId="0" borderId="12" xfId="0" applyFont="1" applyBorder="1" applyAlignment="1">
      <alignment horizontal="left" vertical="center" wrapText="1"/>
    </xf>
    <xf numFmtId="0" fontId="14" fillId="8" borderId="40" xfId="0" applyFont="1" applyFill="1" applyBorder="1" applyAlignment="1">
      <alignment horizontal="left" vertical="center"/>
    </xf>
    <xf numFmtId="0" fontId="15" fillId="8" borderId="14" xfId="0" applyFont="1" applyFill="1" applyBorder="1" applyAlignment="1">
      <alignment horizontal="left" vertical="center"/>
    </xf>
    <xf numFmtId="10" fontId="15" fillId="8" borderId="41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10" fontId="15" fillId="0" borderId="0" xfId="0" applyNumberFormat="1" applyFont="1" applyAlignment="1">
      <alignment horizontal="right" vertical="center"/>
    </xf>
    <xf numFmtId="0" fontId="16" fillId="9" borderId="0" xfId="0" applyFont="1" applyFill="1" applyAlignment="1">
      <alignment horizontal="left" vertical="center"/>
    </xf>
    <xf numFmtId="10" fontId="14" fillId="0" borderId="0" xfId="0" applyNumberFormat="1" applyFont="1" applyAlignment="1">
      <alignment horizontal="right" vertical="center"/>
    </xf>
    <xf numFmtId="0" fontId="14" fillId="9" borderId="0" xfId="0" applyFont="1" applyFill="1" applyAlignment="1">
      <alignment horizontal="left" vertical="center"/>
    </xf>
    <xf numFmtId="0" fontId="5" fillId="0" borderId="0" xfId="0" applyFont="1"/>
    <xf numFmtId="0" fontId="15" fillId="0" borderId="10" xfId="0" applyFont="1" applyBorder="1"/>
    <xf numFmtId="0" fontId="2" fillId="0" borderId="13" xfId="0" applyFont="1" applyBorder="1"/>
    <xf numFmtId="0" fontId="15" fillId="0" borderId="42" xfId="0" applyFont="1" applyBorder="1"/>
    <xf numFmtId="0" fontId="15" fillId="3" borderId="21" xfId="0" applyFont="1" applyFill="1" applyBorder="1"/>
    <xf numFmtId="0" fontId="15" fillId="0" borderId="39" xfId="0" applyFont="1" applyBorder="1"/>
    <xf numFmtId="0" fontId="2" fillId="0" borderId="39" xfId="0" applyFont="1" applyBorder="1"/>
    <xf numFmtId="0" fontId="2" fillId="3" borderId="21" xfId="0" applyFont="1" applyFill="1" applyBorder="1"/>
    <xf numFmtId="0" fontId="2" fillId="0" borderId="42" xfId="0" applyFont="1" applyBorder="1"/>
    <xf numFmtId="0" fontId="2" fillId="3" borderId="43" xfId="0" applyFont="1" applyFill="1" applyBorder="1"/>
    <xf numFmtId="0" fontId="2" fillId="0" borderId="44" xfId="0" applyFont="1" applyBorder="1"/>
    <xf numFmtId="0" fontId="2" fillId="3" borderId="45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15" fillId="0" borderId="46" xfId="0" applyFont="1" applyBorder="1"/>
    <xf numFmtId="170" fontId="15" fillId="0" borderId="43" xfId="0" applyNumberFormat="1" applyFont="1" applyBorder="1"/>
    <xf numFmtId="0" fontId="15" fillId="0" borderId="47" xfId="0" applyFont="1" applyBorder="1"/>
    <xf numFmtId="0" fontId="15" fillId="0" borderId="43" xfId="0" applyFont="1" applyBorder="1"/>
    <xf numFmtId="0" fontId="3" fillId="0" borderId="43" xfId="0" applyFont="1" applyBorder="1"/>
    <xf numFmtId="9" fontId="3" fillId="0" borderId="43" xfId="0" applyNumberFormat="1" applyFont="1" applyBorder="1"/>
    <xf numFmtId="170" fontId="3" fillId="0" borderId="43" xfId="0" applyNumberFormat="1" applyFont="1" applyBorder="1"/>
    <xf numFmtId="0" fontId="15" fillId="0" borderId="21" xfId="0" applyFont="1" applyBorder="1"/>
    <xf numFmtId="0" fontId="15" fillId="0" borderId="22" xfId="0" applyFont="1" applyBorder="1"/>
    <xf numFmtId="170" fontId="3" fillId="0" borderId="24" xfId="0" applyNumberFormat="1" applyFont="1" applyBorder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9" fontId="2" fillId="0" borderId="39" xfId="2" applyFont="1" applyBorder="1" applyProtection="1"/>
    <xf numFmtId="9" fontId="2" fillId="0" borderId="12" xfId="2" applyFont="1" applyBorder="1" applyAlignment="1" applyProtection="1">
      <alignment horizontal="center"/>
    </xf>
    <xf numFmtId="9" fontId="2" fillId="0" borderId="21" xfId="2" applyFont="1" applyBorder="1" applyProtection="1"/>
    <xf numFmtId="0" fontId="2" fillId="0" borderId="48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/>
    </xf>
    <xf numFmtId="10" fontId="2" fillId="3" borderId="9" xfId="0" applyNumberFormat="1" applyFont="1" applyFill="1" applyBorder="1" applyAlignment="1">
      <alignment horizontal="center" vertical="center"/>
    </xf>
    <xf numFmtId="10" fontId="2" fillId="0" borderId="39" xfId="2" applyNumberFormat="1" applyFont="1" applyBorder="1" applyAlignment="1" applyProtection="1">
      <alignment horizontal="right"/>
    </xf>
    <xf numFmtId="10" fontId="2" fillId="0" borderId="12" xfId="2" applyNumberFormat="1" applyFont="1" applyBorder="1" applyAlignment="1" applyProtection="1">
      <alignment horizontal="right"/>
    </xf>
    <xf numFmtId="10" fontId="2" fillId="0" borderId="21" xfId="2" applyNumberFormat="1" applyFont="1" applyBorder="1" applyAlignment="1" applyProtection="1">
      <alignment horizontal="right"/>
    </xf>
    <xf numFmtId="0" fontId="2" fillId="0" borderId="39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10" fontId="2" fillId="3" borderId="21" xfId="0" applyNumberFormat="1" applyFont="1" applyFill="1" applyBorder="1" applyAlignment="1">
      <alignment horizontal="center" vertical="center"/>
    </xf>
    <xf numFmtId="10" fontId="2" fillId="0" borderId="21" xfId="0" applyNumberFormat="1" applyFont="1" applyBorder="1" applyAlignment="1">
      <alignment horizontal="center" vertical="center"/>
    </xf>
    <xf numFmtId="10" fontId="2" fillId="3" borderId="12" xfId="2" applyNumberFormat="1" applyFont="1" applyFill="1" applyBorder="1" applyAlignment="1" applyProtection="1">
      <alignment horizontal="center"/>
    </xf>
    <xf numFmtId="10" fontId="2" fillId="0" borderId="21" xfId="2" applyNumberFormat="1" applyFont="1" applyBorder="1" applyProtection="1"/>
    <xf numFmtId="0" fontId="2" fillId="0" borderId="39" xfId="0" applyFont="1" applyBorder="1" applyAlignment="1">
      <alignment horizontal="right"/>
    </xf>
    <xf numFmtId="0" fontId="2" fillId="3" borderId="12" xfId="0" applyFont="1" applyFill="1" applyBorder="1" applyAlignment="1">
      <alignment horizontal="center"/>
    </xf>
    <xf numFmtId="0" fontId="2" fillId="0" borderId="21" xfId="0" applyFont="1" applyBorder="1"/>
    <xf numFmtId="0" fontId="2" fillId="0" borderId="40" xfId="0" applyFont="1" applyBorder="1" applyAlignment="1">
      <alignment horizontal="left" vertical="center"/>
    </xf>
    <xf numFmtId="10" fontId="2" fillId="3" borderId="41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49" xfId="0" applyFont="1" applyBorder="1" applyAlignment="1">
      <alignment vertical="center"/>
    </xf>
    <xf numFmtId="0" fontId="2" fillId="0" borderId="50" xfId="0" applyFont="1" applyBorder="1" applyAlignment="1">
      <alignment vertical="center"/>
    </xf>
    <xf numFmtId="10" fontId="2" fillId="0" borderId="51" xfId="0" applyNumberFormat="1" applyFont="1" applyBorder="1" applyAlignment="1">
      <alignment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52" xfId="0" applyFont="1" applyBorder="1" applyAlignment="1">
      <alignment vertical="center"/>
    </xf>
    <xf numFmtId="0" fontId="3" fillId="7" borderId="15" xfId="0" applyFont="1" applyFill="1" applyBorder="1" applyAlignment="1">
      <alignment vertical="center" wrapText="1"/>
    </xf>
    <xf numFmtId="0" fontId="2" fillId="7" borderId="16" xfId="0" applyFont="1" applyFill="1" applyBorder="1" applyAlignment="1">
      <alignment vertical="center"/>
    </xf>
    <xf numFmtId="10" fontId="3" fillId="7" borderId="29" xfId="0" applyNumberFormat="1" applyFont="1" applyFill="1" applyBorder="1" applyAlignment="1">
      <alignment horizontal="center" vertical="center" wrapText="1"/>
    </xf>
    <xf numFmtId="10" fontId="2" fillId="0" borderId="40" xfId="2" applyNumberFormat="1" applyFont="1" applyBorder="1" applyAlignment="1" applyProtection="1">
      <alignment horizontal="right"/>
    </xf>
    <xf numFmtId="10" fontId="2" fillId="0" borderId="14" xfId="2" applyNumberFormat="1" applyFont="1" applyBorder="1" applyAlignment="1" applyProtection="1">
      <alignment horizontal="right"/>
    </xf>
    <xf numFmtId="10" fontId="2" fillId="0" borderId="41" xfId="2" applyNumberFormat="1" applyFont="1" applyBorder="1" applyAlignment="1" applyProtection="1">
      <alignment horizontal="right"/>
    </xf>
    <xf numFmtId="0" fontId="14" fillId="0" borderId="39" xfId="0" applyFont="1" applyBorder="1" applyAlignment="1">
      <alignment horizontal="center" vertical="center"/>
    </xf>
    <xf numFmtId="2" fontId="14" fillId="11" borderId="12" xfId="0" applyNumberFormat="1" applyFont="1" applyFill="1" applyBorder="1" applyAlignment="1">
      <alignment horizontal="right" vertical="center"/>
    </xf>
    <xf numFmtId="0" fontId="14" fillId="0" borderId="40" xfId="0" applyFont="1" applyBorder="1" applyAlignment="1">
      <alignment horizontal="center" vertical="center"/>
    </xf>
    <xf numFmtId="2" fontId="14" fillId="11" borderId="14" xfId="0" applyNumberFormat="1" applyFont="1" applyFill="1" applyBorder="1" applyAlignment="1">
      <alignment horizontal="right" vertical="center"/>
    </xf>
    <xf numFmtId="0" fontId="1" fillId="10" borderId="1" xfId="0" applyFont="1" applyFill="1" applyBorder="1" applyAlignment="1">
      <alignment horizontal="center"/>
    </xf>
    <xf numFmtId="0" fontId="0" fillId="0" borderId="53" xfId="0" applyBorder="1"/>
    <xf numFmtId="0" fontId="18" fillId="0" borderId="53" xfId="0" applyFont="1" applyBorder="1" applyAlignment="1">
      <alignment horizontal="justify"/>
    </xf>
    <xf numFmtId="0" fontId="18" fillId="0" borderId="54" xfId="0" applyFont="1" applyBorder="1" applyAlignment="1">
      <alignment horizontal="justify"/>
    </xf>
    <xf numFmtId="0" fontId="15" fillId="3" borderId="45" xfId="0" applyFont="1" applyFill="1" applyBorder="1"/>
    <xf numFmtId="0" fontId="2" fillId="0" borderId="55" xfId="0" applyFont="1" applyBorder="1"/>
    <xf numFmtId="0" fontId="21" fillId="11" borderId="12" xfId="0" applyFont="1" applyFill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6" fillId="4" borderId="34" xfId="0" applyFont="1" applyFill="1" applyBorder="1" applyAlignment="1">
      <alignment horizontal="center" vertical="center" wrapText="1"/>
    </xf>
    <xf numFmtId="0" fontId="0" fillId="12" borderId="12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0" borderId="12" xfId="0" applyBorder="1" applyAlignment="1">
      <alignment horizontal="center"/>
    </xf>
    <xf numFmtId="2" fontId="0" fillId="0" borderId="12" xfId="0" applyNumberFormat="1" applyBorder="1" applyAlignment="1">
      <alignment horizontal="center"/>
    </xf>
    <xf numFmtId="4" fontId="0" fillId="12" borderId="0" xfId="0" applyNumberFormat="1" applyFill="1"/>
    <xf numFmtId="169" fontId="0" fillId="0" borderId="12" xfId="1" applyNumberFormat="1" applyFont="1" applyBorder="1" applyAlignment="1">
      <alignment horizontal="center" vertical="center"/>
    </xf>
    <xf numFmtId="171" fontId="0" fillId="0" borderId="12" xfId="1" applyNumberFormat="1" applyFont="1" applyBorder="1" applyAlignment="1">
      <alignment horizontal="center" vertical="center"/>
    </xf>
    <xf numFmtId="171" fontId="0" fillId="0" borderId="12" xfId="1" applyNumberFormat="1" applyFont="1" applyBorder="1" applyAlignment="1" applyProtection="1">
      <alignment horizontal="center" vertical="center"/>
    </xf>
    <xf numFmtId="172" fontId="0" fillId="0" borderId="12" xfId="1" applyNumberFormat="1" applyFont="1" applyBorder="1" applyAlignment="1" applyProtection="1">
      <alignment horizontal="center" vertical="center"/>
    </xf>
    <xf numFmtId="173" fontId="0" fillId="3" borderId="12" xfId="0" applyNumberFormat="1" applyFill="1" applyBorder="1" applyAlignment="1">
      <alignment horizontal="center" vertical="center"/>
    </xf>
    <xf numFmtId="169" fontId="0" fillId="12" borderId="12" xfId="1" applyNumberFormat="1" applyFont="1" applyFill="1" applyBorder="1" applyAlignment="1" applyProtection="1">
      <alignment horizontal="center" vertical="center"/>
    </xf>
    <xf numFmtId="164" fontId="10" fillId="0" borderId="0" xfId="1" applyFont="1" applyAlignment="1">
      <alignment horizontal="center" vertical="center"/>
    </xf>
    <xf numFmtId="3" fontId="0" fillId="0" borderId="12" xfId="0" applyNumberFormat="1" applyBorder="1" applyAlignment="1">
      <alignment vertical="center"/>
    </xf>
    <xf numFmtId="164" fontId="0" fillId="14" borderId="56" xfId="1" applyFont="1" applyFill="1" applyBorder="1" applyAlignment="1" applyProtection="1">
      <alignment horizontal="center" vertical="center"/>
    </xf>
    <xf numFmtId="0" fontId="0" fillId="13" borderId="56" xfId="0" applyFill="1" applyBorder="1" applyAlignment="1">
      <alignment horizontal="center"/>
    </xf>
    <xf numFmtId="0" fontId="0" fillId="0" borderId="57" xfId="0" applyBorder="1" applyAlignment="1">
      <alignment horizontal="center" vertical="center"/>
    </xf>
    <xf numFmtId="164" fontId="0" fillId="0" borderId="58" xfId="1" applyFont="1" applyBorder="1" applyAlignment="1" applyProtection="1">
      <alignment horizontal="center" vertical="center"/>
    </xf>
    <xf numFmtId="173" fontId="0" fillId="14" borderId="12" xfId="1" applyNumberFormat="1" applyFont="1" applyFill="1" applyBorder="1" applyAlignment="1" applyProtection="1">
      <alignment horizontal="center" vertical="center"/>
    </xf>
    <xf numFmtId="174" fontId="0" fillId="12" borderId="12" xfId="1" applyNumberFormat="1" applyFont="1" applyFill="1" applyBorder="1" applyAlignment="1" applyProtection="1">
      <alignment horizontal="center" vertical="center"/>
    </xf>
    <xf numFmtId="169" fontId="0" fillId="12" borderId="12" xfId="1" applyNumberFormat="1" applyFont="1" applyFill="1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56" xfId="0" applyBorder="1" applyAlignment="1">
      <alignment horizontal="center" vertical="center"/>
    </xf>
    <xf numFmtId="167" fontId="0" fillId="0" borderId="56" xfId="1" applyNumberFormat="1" applyFont="1" applyBorder="1" applyAlignment="1" applyProtection="1">
      <alignment vertical="center"/>
    </xf>
    <xf numFmtId="164" fontId="0" fillId="3" borderId="56" xfId="1" applyFont="1" applyFill="1" applyBorder="1" applyAlignment="1" applyProtection="1">
      <alignment horizontal="center" vertical="center"/>
    </xf>
    <xf numFmtId="164" fontId="0" fillId="0" borderId="56" xfId="1" applyFont="1" applyBorder="1" applyAlignment="1" applyProtection="1">
      <alignment vertical="center"/>
    </xf>
    <xf numFmtId="175" fontId="0" fillId="12" borderId="12" xfId="0" applyNumberFormat="1" applyFill="1" applyBorder="1" applyAlignment="1">
      <alignment horizontal="center"/>
    </xf>
    <xf numFmtId="176" fontId="0" fillId="12" borderId="12" xfId="0" applyNumberFormat="1" applyFill="1" applyBorder="1" applyAlignment="1">
      <alignment horizontal="center"/>
    </xf>
    <xf numFmtId="176" fontId="0" fillId="3" borderId="12" xfId="1" applyNumberFormat="1" applyFont="1" applyFill="1" applyBorder="1" applyAlignment="1" applyProtection="1">
      <alignment horizontal="center" vertical="center"/>
    </xf>
    <xf numFmtId="176" fontId="0" fillId="0" borderId="12" xfId="1" applyNumberFormat="1" applyFont="1" applyBorder="1" applyAlignment="1" applyProtection="1">
      <alignment horizontal="center" vertical="center"/>
    </xf>
    <xf numFmtId="171" fontId="0" fillId="3" borderId="31" xfId="1" applyNumberFormat="1" applyFont="1" applyFill="1" applyBorder="1" applyAlignment="1" applyProtection="1">
      <alignment horizontal="center" vertical="center"/>
    </xf>
    <xf numFmtId="3" fontId="0" fillId="0" borderId="12" xfId="1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5" fillId="0" borderId="19" xfId="1" applyFont="1" applyBorder="1" applyAlignment="1" applyProtection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59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4" fillId="2" borderId="5" xfId="1" applyFont="1" applyFill="1" applyBorder="1" applyAlignment="1" applyProtection="1">
      <alignment horizontal="center" vertical="center"/>
    </xf>
    <xf numFmtId="164" fontId="5" fillId="0" borderId="10" xfId="1" applyFont="1" applyBorder="1" applyAlignment="1" applyProtection="1">
      <alignment horizontal="left" vertical="center"/>
    </xf>
    <xf numFmtId="0" fontId="1" fillId="2" borderId="38" xfId="0" applyFont="1" applyFill="1" applyBorder="1" applyAlignment="1">
      <alignment horizontal="center" vertical="center"/>
    </xf>
    <xf numFmtId="0" fontId="1" fillId="10" borderId="38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4" fillId="10" borderId="1" xfId="0" applyFont="1" applyFill="1" applyBorder="1" applyAlignment="1">
      <alignment horizontal="center" vertical="center"/>
    </xf>
    <xf numFmtId="9" fontId="3" fillId="0" borderId="38" xfId="2" applyFont="1" applyBorder="1" applyAlignment="1" applyProtection="1">
      <alignment horizontal="center"/>
    </xf>
    <xf numFmtId="0" fontId="2" fillId="0" borderId="14" xfId="0" applyFont="1" applyBorder="1" applyAlignment="1">
      <alignment horizontal="center" vertical="center"/>
    </xf>
    <xf numFmtId="0" fontId="5" fillId="10" borderId="15" xfId="0" applyFont="1" applyFill="1" applyBorder="1" applyAlignment="1">
      <alignment horizontal="center" vertical="center"/>
    </xf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B2B2B2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6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" name="shapetype_202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" name="shapetype_202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" name="shapetype_202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" name="shapetype_202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6" name="shapetype_202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7" name="shapetype_202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8" name="shapetype_202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9" name="shapetype_202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0" name="shapetype_202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1" name="shapetype_202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2" name="shapetype_202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3" name="shapetype_202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4" name="shapetype_202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5" name="shapetype_202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6" name="shapetype_202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7" name="shapetype_202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8" name="shapetype_202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19" name="shapetype_202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0" name="shapetype_202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1" name="shapetype_202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2" name="shapetype_202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3" name="shapetype_20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4" name="shapetype_202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5" name="shapetype_202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6" name="shapetype_202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7" name="shapetype_202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8" name="shapetype_202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29" name="shapetype_202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0" name="shapetype_202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1" name="shapetype_202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2" name="shapetype_202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3" name="shapetype_202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4" name="shapetype_202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5" name="shapetype_202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6" name="shapetype_20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7" name="shapetype_202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8" name="shapetype_202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39" name="shapetype_202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0" name="shapetype_202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1" name="shapetype_202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2" name="shapetype_202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3" name="shapetype_202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4" name="shapetype_202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5" name="shapetype_202" hidden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6" name="shapetype_202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7" name="shapetype_202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8" name="shapetype_202" hidden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49" name="shapetype_202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0" name="shapetype_202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1" name="shapetype_202" hidden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2" name="shapetype_202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3" name="shapetype_202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4" name="shapetype_202" hidden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5" name="shapetype_202" hidden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6" name="shapetype_202" hidden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7" name="shapetype_202" hidden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8" name="shapetype_202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59" name="shapetype_202" hidden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60" name="shapetype_202" hidden="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61" name="shapetype_202" hidden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62" name="shapetype_202" hidden="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63" name="shapetype_202" hidden="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64" name="shapetype_202" hidden="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65" name="shapetype_202" hidden="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145379</xdr:colOff>
      <xdr:row>51</xdr:row>
      <xdr:rowOff>58133</xdr:rowOff>
    </xdr:to>
    <xdr:sp macro="" textlink="">
      <xdr:nvSpPr>
        <xdr:cNvPr id="66" name="shapetype_202" hidden="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0" y="0"/>
          <a:ext cx="10223640" cy="95086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21</xdr:col>
      <xdr:colOff>359426</xdr:colOff>
      <xdr:row>51</xdr:row>
      <xdr:rowOff>153754</xdr:rowOff>
    </xdr:to>
    <xdr:sp macro="" textlink="">
      <xdr:nvSpPr>
        <xdr:cNvPr id="65" name="shapetype_202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/>
      </xdr:nvSpPr>
      <xdr:spPr>
        <a:xfrm>
          <a:off x="0" y="0"/>
          <a:ext cx="10062000" cy="9089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317160</xdr:colOff>
      <xdr:row>56</xdr:row>
      <xdr:rowOff>50400</xdr:rowOff>
    </xdr:to>
    <xdr:sp macro="" textlink="">
      <xdr:nvSpPr>
        <xdr:cNvPr id="66" name="shapetype_202" hidden="1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/>
      </xdr:nvSpPr>
      <xdr:spPr>
        <a:xfrm>
          <a:off x="0" y="0"/>
          <a:ext cx="10659240" cy="9327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317160</xdr:colOff>
      <xdr:row>56</xdr:row>
      <xdr:rowOff>50400</xdr:rowOff>
    </xdr:to>
    <xdr:sp macro="" textlink="">
      <xdr:nvSpPr>
        <xdr:cNvPr id="67" name="shapetype_202" hidden="1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/>
      </xdr:nvSpPr>
      <xdr:spPr>
        <a:xfrm>
          <a:off x="0" y="0"/>
          <a:ext cx="10659240" cy="9327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317160</xdr:colOff>
      <xdr:row>56</xdr:row>
      <xdr:rowOff>50400</xdr:rowOff>
    </xdr:to>
    <xdr:sp macro="" textlink="">
      <xdr:nvSpPr>
        <xdr:cNvPr id="68" name="shapetype_202" hidden="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/>
      </xdr:nvSpPr>
      <xdr:spPr>
        <a:xfrm>
          <a:off x="0" y="0"/>
          <a:ext cx="10659240" cy="9327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317160</xdr:colOff>
      <xdr:row>56</xdr:row>
      <xdr:rowOff>50400</xdr:rowOff>
    </xdr:to>
    <xdr:sp macro="" textlink="">
      <xdr:nvSpPr>
        <xdr:cNvPr id="69" name="shapetype_202" hidden="1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/>
      </xdr:nvSpPr>
      <xdr:spPr>
        <a:xfrm>
          <a:off x="0" y="0"/>
          <a:ext cx="10659240" cy="9327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317160</xdr:colOff>
      <xdr:row>56</xdr:row>
      <xdr:rowOff>50400</xdr:rowOff>
    </xdr:to>
    <xdr:sp macro="" textlink="">
      <xdr:nvSpPr>
        <xdr:cNvPr id="70" name="shapetype_202" hidden="1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/>
      </xdr:nvSpPr>
      <xdr:spPr>
        <a:xfrm>
          <a:off x="0" y="0"/>
          <a:ext cx="10659240" cy="9327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317160</xdr:colOff>
      <xdr:row>56</xdr:row>
      <xdr:rowOff>50400</xdr:rowOff>
    </xdr:to>
    <xdr:sp macro="" textlink="">
      <xdr:nvSpPr>
        <xdr:cNvPr id="71" name="shapetype_202" hidden="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/>
      </xdr:nvSpPr>
      <xdr:spPr>
        <a:xfrm>
          <a:off x="0" y="0"/>
          <a:ext cx="10659240" cy="9327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317160</xdr:colOff>
      <xdr:row>56</xdr:row>
      <xdr:rowOff>50400</xdr:rowOff>
    </xdr:to>
    <xdr:sp macro="" textlink="">
      <xdr:nvSpPr>
        <xdr:cNvPr id="72" name="shapetype_202" hidden="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/>
      </xdr:nvSpPr>
      <xdr:spPr>
        <a:xfrm>
          <a:off x="0" y="0"/>
          <a:ext cx="10659240" cy="9327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133200</xdr:colOff>
      <xdr:row>4</xdr:row>
      <xdr:rowOff>28440</xdr:rowOff>
    </xdr:from>
    <xdr:to>
      <xdr:col>0</xdr:col>
      <xdr:colOff>1405800</xdr:colOff>
      <xdr:row>6</xdr:row>
      <xdr:rowOff>53280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200" y="733320"/>
          <a:ext cx="1272600" cy="348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85680</xdr:colOff>
      <xdr:row>7</xdr:row>
      <xdr:rowOff>9360</xdr:rowOff>
    </xdr:from>
    <xdr:to>
      <xdr:col>0</xdr:col>
      <xdr:colOff>2110680</xdr:colOff>
      <xdr:row>9</xdr:row>
      <xdr:rowOff>43560</xdr:rowOff>
    </xdr:to>
    <xdr:pic>
      <xdr:nvPicPr>
        <xdr:cNvPr id="74" name="Picture 1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680" y="1199880"/>
          <a:ext cx="2025000" cy="3582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63"/>
  <sheetViews>
    <sheetView tabSelected="1" view="pageBreakPreview" topLeftCell="A170" zoomScale="115" zoomScaleNormal="100" zoomScaleSheetLayoutView="115" zoomScalePageLayoutView="140" workbookViewId="0">
      <selection activeCell="D204" sqref="D204"/>
    </sheetView>
  </sheetViews>
  <sheetFormatPr defaultColWidth="6.42578125" defaultRowHeight="12.75" x14ac:dyDescent="0.2"/>
  <cols>
    <col min="1" max="1" width="40.5703125" style="4" customWidth="1"/>
    <col min="2" max="2" width="12.5703125" style="4" customWidth="1"/>
    <col min="3" max="3" width="17.42578125" style="4" customWidth="1"/>
    <col min="4" max="4" width="17.5703125" style="5" bestFit="1" customWidth="1"/>
    <col min="5" max="5" width="15.28515625" style="5" customWidth="1"/>
    <col min="6" max="6" width="19.140625" style="5" bestFit="1" customWidth="1"/>
    <col min="7" max="7" width="22.42578125" style="5" customWidth="1"/>
    <col min="8" max="8" width="6.42578125" style="4"/>
    <col min="9" max="9" width="10.85546875" style="4" customWidth="1"/>
    <col min="10" max="10" width="10.42578125" style="4" customWidth="1"/>
    <col min="11" max="1024" width="6.42578125" style="4"/>
  </cols>
  <sheetData>
    <row r="1" spans="1:7" s="7" customFormat="1" ht="18" x14ac:dyDescent="0.2">
      <c r="A1" s="273" t="s">
        <v>0</v>
      </c>
      <c r="B1" s="273"/>
      <c r="C1" s="273"/>
      <c r="D1" s="273"/>
      <c r="E1" s="273"/>
      <c r="F1" s="273"/>
      <c r="G1" s="6"/>
    </row>
    <row r="2" spans="1:7" ht="21.75" customHeight="1" x14ac:dyDescent="0.2">
      <c r="A2" s="274" t="s">
        <v>1</v>
      </c>
      <c r="B2" s="274"/>
      <c r="C2" s="274"/>
      <c r="D2" s="274"/>
      <c r="E2" s="274"/>
      <c r="F2" s="274"/>
      <c r="G2" s="6"/>
    </row>
    <row r="3" spans="1:7" s="4" customFormat="1" ht="10.5" customHeight="1" x14ac:dyDescent="0.2">
      <c r="A3" s="8"/>
      <c r="B3" s="9"/>
      <c r="C3" s="9"/>
      <c r="D3" s="5"/>
      <c r="E3" s="5"/>
      <c r="F3" s="10"/>
      <c r="G3" s="5"/>
    </row>
    <row r="4" spans="1:7" ht="15.75" customHeight="1" x14ac:dyDescent="0.2">
      <c r="A4" s="275" t="s">
        <v>2</v>
      </c>
      <c r="B4" s="275"/>
      <c r="C4" s="275"/>
      <c r="D4" s="275"/>
      <c r="E4" s="275"/>
      <c r="F4" s="275"/>
    </row>
    <row r="5" spans="1:7" ht="15.75" customHeight="1" x14ac:dyDescent="0.2">
      <c r="A5" s="11" t="s">
        <v>3</v>
      </c>
      <c r="B5" s="12"/>
      <c r="C5" s="12"/>
      <c r="D5" s="13"/>
      <c r="E5" s="14" t="s">
        <v>4</v>
      </c>
      <c r="F5" s="15" t="s">
        <v>5</v>
      </c>
    </row>
    <row r="6" spans="1:7" s="22" customFormat="1" ht="15.75" customHeight="1" x14ac:dyDescent="0.2">
      <c r="A6" s="16" t="str">
        <f>A38</f>
        <v>1. Mão-de-obra</v>
      </c>
      <c r="B6" s="17"/>
      <c r="C6" s="18"/>
      <c r="D6" s="18"/>
      <c r="E6" s="19">
        <f>+F75</f>
        <v>0</v>
      </c>
      <c r="F6" s="20">
        <f>IFERROR(E6/$E$22,0)</f>
        <v>0</v>
      </c>
      <c r="G6" s="21"/>
    </row>
    <row r="7" spans="1:7" s="4" customFormat="1" ht="15.75" customHeight="1" x14ac:dyDescent="0.2">
      <c r="A7" s="23" t="str">
        <f>A40</f>
        <v>1.1. Motorista Turno do Dia</v>
      </c>
      <c r="B7" s="24"/>
      <c r="C7" s="25"/>
      <c r="D7" s="25"/>
      <c r="E7" s="26">
        <f>F53</f>
        <v>0</v>
      </c>
      <c r="F7" s="27">
        <f t="shared" ref="F7:F21" si="0">IFERROR(E7/$E$22,0)</f>
        <v>0</v>
      </c>
      <c r="G7" s="5"/>
    </row>
    <row r="8" spans="1:7" s="4" customFormat="1" ht="15.75" customHeight="1" x14ac:dyDescent="0.2">
      <c r="A8" s="23" t="str">
        <f>A56</f>
        <v>1.2. Vale Transporte</v>
      </c>
      <c r="B8" s="24"/>
      <c r="C8" s="25"/>
      <c r="D8" s="25"/>
      <c r="E8" s="26">
        <f>F61</f>
        <v>0</v>
      </c>
      <c r="F8" s="27">
        <f t="shared" si="0"/>
        <v>0</v>
      </c>
      <c r="G8" s="5"/>
    </row>
    <row r="9" spans="1:7" s="4" customFormat="1" ht="15.75" customHeight="1" x14ac:dyDescent="0.2">
      <c r="A9" s="23" t="str">
        <f>A64</f>
        <v>1.3. Vale-refeição (diário)</v>
      </c>
      <c r="B9" s="24"/>
      <c r="C9" s="25"/>
      <c r="D9" s="25"/>
      <c r="E9" s="26">
        <f>F69</f>
        <v>0</v>
      </c>
      <c r="F9" s="27">
        <f t="shared" si="0"/>
        <v>0</v>
      </c>
      <c r="G9" s="5"/>
    </row>
    <row r="10" spans="1:7" s="4" customFormat="1" ht="15.75" customHeight="1" x14ac:dyDescent="0.2">
      <c r="A10" s="23" t="str">
        <f>A71</f>
        <v>1.4. Auxílio Alimentação (mensal)</v>
      </c>
      <c r="B10" s="24"/>
      <c r="C10" s="25"/>
      <c r="D10" s="25"/>
      <c r="E10" s="26">
        <f>F74</f>
        <v>0</v>
      </c>
      <c r="F10" s="27">
        <f t="shared" si="0"/>
        <v>0</v>
      </c>
      <c r="G10" s="5"/>
    </row>
    <row r="11" spans="1:7" s="22" customFormat="1" ht="15.75" customHeight="1" x14ac:dyDescent="0.2">
      <c r="A11" s="276" t="str">
        <f>A78</f>
        <v>2. Uniformes e Equipamentos de Proteção Individual</v>
      </c>
      <c r="B11" s="276"/>
      <c r="C11" s="276"/>
      <c r="D11" s="18"/>
      <c r="E11" s="19">
        <f>+F93</f>
        <v>0</v>
      </c>
      <c r="F11" s="20">
        <f t="shared" si="0"/>
        <v>0</v>
      </c>
      <c r="G11" s="21"/>
    </row>
    <row r="12" spans="1:7" ht="15.75" customHeight="1" x14ac:dyDescent="0.2">
      <c r="A12" s="3" t="str">
        <f>A95</f>
        <v>3. Veículos e Equipamentos</v>
      </c>
      <c r="B12" s="28"/>
      <c r="C12" s="18"/>
      <c r="D12" s="18"/>
      <c r="E12" s="19">
        <f>+F197</f>
        <v>0</v>
      </c>
      <c r="F12" s="20">
        <f t="shared" si="0"/>
        <v>0</v>
      </c>
      <c r="G12" s="21"/>
    </row>
    <row r="13" spans="1:7" s="4" customFormat="1" ht="15.75" customHeight="1" x14ac:dyDescent="0.2">
      <c r="A13" s="29" t="str">
        <f>A97</f>
        <v>3.1. Caminhão de Transporte de Resíduos</v>
      </c>
      <c r="B13" s="30"/>
      <c r="C13" s="25"/>
      <c r="D13" s="25"/>
      <c r="E13" s="26">
        <f>SUM(E14:E19)</f>
        <v>0</v>
      </c>
      <c r="F13" s="27">
        <f t="shared" si="0"/>
        <v>0</v>
      </c>
      <c r="G13" s="5"/>
    </row>
    <row r="14" spans="1:7" s="4" customFormat="1" ht="15.75" customHeight="1" x14ac:dyDescent="0.2">
      <c r="A14" s="29" t="str">
        <f>A99</f>
        <v>3.1.1. Depreciação</v>
      </c>
      <c r="B14" s="30"/>
      <c r="C14" s="25"/>
      <c r="D14" s="25"/>
      <c r="E14" s="26">
        <f>F113</f>
        <v>0</v>
      </c>
      <c r="F14" s="27">
        <f t="shared" si="0"/>
        <v>0</v>
      </c>
      <c r="G14" s="5"/>
    </row>
    <row r="15" spans="1:7" s="4" customFormat="1" ht="15.75" customHeight="1" x14ac:dyDescent="0.2">
      <c r="A15" s="29" t="str">
        <f>A115</f>
        <v>3.1.2. Remuneração do Capital</v>
      </c>
      <c r="B15" s="30"/>
      <c r="C15" s="25"/>
      <c r="D15" s="25"/>
      <c r="E15" s="26">
        <f>F129</f>
        <v>0</v>
      </c>
      <c r="F15" s="27">
        <f t="shared" si="0"/>
        <v>0</v>
      </c>
      <c r="G15" s="5"/>
    </row>
    <row r="16" spans="1:7" s="4" customFormat="1" ht="15.75" customHeight="1" x14ac:dyDescent="0.2">
      <c r="A16" s="29" t="str">
        <f>A131</f>
        <v>3.1.3. Impostos e Seguros</v>
      </c>
      <c r="B16" s="30"/>
      <c r="C16" s="25"/>
      <c r="D16" s="25"/>
      <c r="E16" s="26">
        <f>F138</f>
        <v>0</v>
      </c>
      <c r="F16" s="27">
        <f t="shared" si="0"/>
        <v>0</v>
      </c>
      <c r="G16" s="5"/>
    </row>
    <row r="17" spans="1:7" s="4" customFormat="1" ht="15.75" customHeight="1" x14ac:dyDescent="0.2">
      <c r="A17" s="29" t="str">
        <f>A158</f>
        <v>3.1.4. Consumos</v>
      </c>
      <c r="B17" s="30"/>
      <c r="C17" s="25"/>
      <c r="D17" s="25"/>
      <c r="E17" s="26">
        <f>F178</f>
        <v>0</v>
      </c>
      <c r="F17" s="27">
        <f t="shared" si="0"/>
        <v>0</v>
      </c>
      <c r="G17" s="5"/>
    </row>
    <row r="18" spans="1:7" s="4" customFormat="1" ht="15.75" customHeight="1" x14ac:dyDescent="0.2">
      <c r="A18" s="29" t="str">
        <f>A183</f>
        <v>3.1.5. Manutenção*</v>
      </c>
      <c r="B18" s="30"/>
      <c r="C18" s="25"/>
      <c r="D18" s="25"/>
      <c r="E18" s="26">
        <f>F186</f>
        <v>0</v>
      </c>
      <c r="F18" s="27">
        <f t="shared" si="0"/>
        <v>0</v>
      </c>
      <c r="G18" s="5"/>
    </row>
    <row r="19" spans="1:7" s="4" customFormat="1" ht="15.75" customHeight="1" x14ac:dyDescent="0.2">
      <c r="A19" s="29" t="str">
        <f>A188</f>
        <v>3.1.6. Pneus</v>
      </c>
      <c r="B19" s="30"/>
      <c r="C19" s="25"/>
      <c r="D19" s="25"/>
      <c r="E19" s="26">
        <f>F195</f>
        <v>0</v>
      </c>
      <c r="F19" s="27">
        <f t="shared" si="0"/>
        <v>0</v>
      </c>
      <c r="G19" s="5"/>
    </row>
    <row r="20" spans="1:7" s="22" customFormat="1" ht="15.75" customHeight="1" x14ac:dyDescent="0.2">
      <c r="A20" s="3" t="str">
        <f>A199</f>
        <v>4. Monitoramento da Frota</v>
      </c>
      <c r="B20" s="28"/>
      <c r="C20" s="18"/>
      <c r="D20" s="18"/>
      <c r="E20" s="19" t="e">
        <f>+F207</f>
        <v>#VALUE!</v>
      </c>
      <c r="F20" s="20">
        <f t="shared" si="0"/>
        <v>0</v>
      </c>
      <c r="G20" s="21"/>
    </row>
    <row r="21" spans="1:7" ht="15.75" customHeight="1" x14ac:dyDescent="0.2">
      <c r="A21" s="3" t="str">
        <f>A211</f>
        <v>5. Benefícios e Despesas Indiretas - BDI</v>
      </c>
      <c r="B21" s="28"/>
      <c r="C21" s="18"/>
      <c r="D21" s="18"/>
      <c r="E21" s="31" t="e">
        <f>+F216</f>
        <v>#VALUE!</v>
      </c>
      <c r="F21" s="20">
        <f t="shared" si="0"/>
        <v>0</v>
      </c>
      <c r="G21" s="21"/>
    </row>
    <row r="22" spans="1:7" s="4" customFormat="1" ht="15.75" customHeight="1" x14ac:dyDescent="0.2">
      <c r="A22" s="32" t="s">
        <v>6</v>
      </c>
      <c r="B22" s="33"/>
      <c r="C22" s="34"/>
      <c r="D22" s="34"/>
      <c r="E22" s="35" t="e">
        <f>E6+E11+E12+E20+E21</f>
        <v>#VALUE!</v>
      </c>
      <c r="F22" s="36">
        <f>F6+F11+F12+F20+F21</f>
        <v>0</v>
      </c>
      <c r="G22" s="5"/>
    </row>
    <row r="25" spans="1:7" s="4" customFormat="1" ht="15" customHeight="1" x14ac:dyDescent="0.2">
      <c r="A25" s="275" t="s">
        <v>7</v>
      </c>
      <c r="B25" s="275"/>
      <c r="C25" s="275"/>
      <c r="D25" s="275"/>
      <c r="E25" s="275"/>
      <c r="F25" s="5"/>
      <c r="G25" s="5"/>
    </row>
    <row r="26" spans="1:7" ht="15" customHeight="1" x14ac:dyDescent="0.2">
      <c r="A26" s="268" t="s">
        <v>8</v>
      </c>
      <c r="B26" s="268"/>
      <c r="C26" s="268"/>
      <c r="D26" s="268"/>
      <c r="E26" s="37" t="s">
        <v>9</v>
      </c>
    </row>
    <row r="27" spans="1:7" ht="15" customHeight="1" x14ac:dyDescent="0.2">
      <c r="A27" s="23" t="str">
        <f>+A40</f>
        <v>1.1. Motorista Turno do Dia</v>
      </c>
      <c r="B27" s="25"/>
      <c r="C27" s="25"/>
      <c r="D27" s="38"/>
      <c r="E27" s="39">
        <f>C52</f>
        <v>2</v>
      </c>
    </row>
    <row r="28" spans="1:7" ht="15" customHeight="1" x14ac:dyDescent="0.2">
      <c r="A28" s="40" t="s">
        <v>10</v>
      </c>
      <c r="B28" s="41"/>
      <c r="C28" s="41"/>
      <c r="D28" s="42"/>
      <c r="E28" s="43">
        <f>SUM(E27:E27)</f>
        <v>2</v>
      </c>
    </row>
    <row r="29" spans="1:7" ht="15" customHeight="1" x14ac:dyDescent="0.2">
      <c r="A29" s="44"/>
      <c r="B29" s="45"/>
      <c r="C29" s="5"/>
      <c r="E29" s="10"/>
    </row>
    <row r="30" spans="1:7" ht="15" customHeight="1" x14ac:dyDescent="0.2">
      <c r="A30" s="269" t="s">
        <v>11</v>
      </c>
      <c r="B30" s="269"/>
      <c r="C30" s="269"/>
      <c r="D30" s="269"/>
      <c r="E30" s="37" t="s">
        <v>9</v>
      </c>
      <c r="F30" s="4"/>
    </row>
    <row r="31" spans="1:7" ht="15" customHeight="1" x14ac:dyDescent="0.2">
      <c r="A31" s="46" t="s">
        <v>12</v>
      </c>
      <c r="B31" s="47"/>
      <c r="C31" s="47"/>
      <c r="D31" s="48"/>
      <c r="E31" s="49">
        <v>2</v>
      </c>
      <c r="F31" s="4"/>
    </row>
    <row r="32" spans="1:7" ht="15" customHeight="1" x14ac:dyDescent="0.2">
      <c r="A32" s="46" t="s">
        <v>13</v>
      </c>
      <c r="B32" s="47"/>
      <c r="C32" s="47"/>
      <c r="D32" s="48"/>
      <c r="E32" s="49">
        <v>2</v>
      </c>
      <c r="F32" s="4"/>
    </row>
    <row r="33" spans="1:8" ht="15" customHeight="1" x14ac:dyDescent="0.2">
      <c r="A33" s="5"/>
      <c r="B33" s="5"/>
      <c r="C33" s="5"/>
      <c r="D33" s="4"/>
      <c r="E33" s="50"/>
      <c r="F33" s="4"/>
    </row>
    <row r="34" spans="1:8" x14ac:dyDescent="0.2">
      <c r="A34" s="5"/>
      <c r="B34" s="5"/>
      <c r="C34" s="5"/>
      <c r="D34" s="4"/>
      <c r="E34" s="51"/>
      <c r="F34" s="4"/>
    </row>
    <row r="35" spans="1:8" s="22" customFormat="1" ht="15.75" customHeight="1" x14ac:dyDescent="0.2">
      <c r="A35" s="52" t="s">
        <v>14</v>
      </c>
      <c r="B35" s="53">
        <v>1</v>
      </c>
      <c r="C35" s="21"/>
      <c r="E35" s="54"/>
      <c r="G35" s="21"/>
    </row>
    <row r="36" spans="1:8" s="4" customFormat="1" ht="15.75" customHeight="1" x14ac:dyDescent="0.2">
      <c r="A36" s="5"/>
      <c r="B36" s="5"/>
      <c r="C36" s="5"/>
      <c r="E36" s="51"/>
      <c r="G36" s="5"/>
    </row>
    <row r="37" spans="1:8" s="4" customFormat="1" ht="14.25" customHeight="1" x14ac:dyDescent="0.2">
      <c r="A37" s="5"/>
      <c r="B37" s="5"/>
      <c r="C37" s="5"/>
      <c r="E37" s="51"/>
      <c r="G37" s="5"/>
    </row>
    <row r="38" spans="1:8" ht="12.75" customHeight="1" x14ac:dyDescent="0.2">
      <c r="A38" s="22" t="s">
        <v>15</v>
      </c>
    </row>
    <row r="39" spans="1:8" ht="11.25" customHeight="1" x14ac:dyDescent="0.2"/>
    <row r="40" spans="1:8" x14ac:dyDescent="0.2">
      <c r="A40" s="4" t="s">
        <v>16</v>
      </c>
    </row>
    <row r="41" spans="1:8" s="59" customFormat="1" ht="12.75" customHeight="1" x14ac:dyDescent="0.2">
      <c r="A41" s="55" t="s">
        <v>17</v>
      </c>
      <c r="B41" s="56" t="s">
        <v>18</v>
      </c>
      <c r="C41" s="56" t="s">
        <v>9</v>
      </c>
      <c r="D41" s="57" t="s">
        <v>19</v>
      </c>
      <c r="E41" s="57" t="s">
        <v>20</v>
      </c>
      <c r="F41" s="58" t="s">
        <v>21</v>
      </c>
      <c r="G41" s="5"/>
    </row>
    <row r="42" spans="1:8" x14ac:dyDescent="0.2">
      <c r="A42" s="60" t="s">
        <v>22</v>
      </c>
      <c r="B42" s="61" t="s">
        <v>23</v>
      </c>
      <c r="C42" s="61">
        <v>1</v>
      </c>
      <c r="D42" s="62"/>
      <c r="E42" s="62">
        <f>D42</f>
        <v>0</v>
      </c>
    </row>
    <row r="43" spans="1:8" x14ac:dyDescent="0.2">
      <c r="A43" s="60" t="s">
        <v>24</v>
      </c>
      <c r="B43" s="61" t="s">
        <v>23</v>
      </c>
      <c r="C43" s="61">
        <v>1</v>
      </c>
      <c r="D43" s="62"/>
      <c r="E43" s="63"/>
    </row>
    <row r="44" spans="1:8" x14ac:dyDescent="0.2">
      <c r="A44" s="64" t="s">
        <v>25</v>
      </c>
      <c r="B44" s="65" t="s">
        <v>26</v>
      </c>
      <c r="C44" s="66"/>
      <c r="D44" s="67">
        <f>(D42+E48)/220*2</f>
        <v>0</v>
      </c>
      <c r="E44" s="67">
        <f>C44*D44</f>
        <v>0</v>
      </c>
    </row>
    <row r="45" spans="1:8" x14ac:dyDescent="0.2">
      <c r="A45" s="64" t="s">
        <v>27</v>
      </c>
      <c r="B45" s="65" t="s">
        <v>26</v>
      </c>
      <c r="C45" s="66">
        <v>16</v>
      </c>
      <c r="D45" s="67">
        <f>(D42+E48)/220*1.5</f>
        <v>0</v>
      </c>
      <c r="E45" s="67">
        <f>C45*D45</f>
        <v>0</v>
      </c>
    </row>
    <row r="46" spans="1:8" ht="12.75" customHeight="1" x14ac:dyDescent="0.2">
      <c r="A46" s="64" t="s">
        <v>28</v>
      </c>
      <c r="B46" s="65" t="s">
        <v>29</v>
      </c>
      <c r="C46" s="234"/>
      <c r="D46" s="67">
        <f>63/302*E45</f>
        <v>0</v>
      </c>
      <c r="E46" s="67">
        <f>D46</f>
        <v>0</v>
      </c>
    </row>
    <row r="47" spans="1:8" x14ac:dyDescent="0.2">
      <c r="A47" s="64" t="s">
        <v>30</v>
      </c>
      <c r="B47" s="65"/>
      <c r="C47" s="68">
        <v>2</v>
      </c>
      <c r="D47" s="67"/>
      <c r="E47" s="67"/>
      <c r="H47" s="5"/>
    </row>
    <row r="48" spans="1:8" x14ac:dyDescent="0.2">
      <c r="A48" s="64" t="s">
        <v>31</v>
      </c>
      <c r="B48" s="65" t="s">
        <v>5</v>
      </c>
      <c r="C48" s="69">
        <v>40</v>
      </c>
      <c r="D48" s="67">
        <f>D43</f>
        <v>0</v>
      </c>
      <c r="E48" s="67">
        <f>C48*D48/100</f>
        <v>0</v>
      </c>
    </row>
    <row r="49" spans="1:7" s="22" customFormat="1" x14ac:dyDescent="0.2">
      <c r="A49" s="70" t="s">
        <v>32</v>
      </c>
      <c r="B49" s="1"/>
      <c r="C49" s="1"/>
      <c r="D49" s="71"/>
      <c r="E49" s="72">
        <f>SUM(E42:E48)</f>
        <v>0</v>
      </c>
      <c r="F49" s="21"/>
      <c r="G49" s="21"/>
    </row>
    <row r="50" spans="1:7" x14ac:dyDescent="0.2">
      <c r="A50" s="64" t="s">
        <v>33</v>
      </c>
      <c r="B50" s="65" t="s">
        <v>5</v>
      </c>
      <c r="C50" s="73">
        <f>'2.Encargos Sociais'!$C$36*100</f>
        <v>69.789999999999992</v>
      </c>
      <c r="D50" s="67">
        <f>E49</f>
        <v>0</v>
      </c>
      <c r="E50" s="67">
        <f>D50*C50/100</f>
        <v>0</v>
      </c>
    </row>
    <row r="51" spans="1:7" s="22" customFormat="1" x14ac:dyDescent="0.2">
      <c r="A51" s="70" t="s">
        <v>34</v>
      </c>
      <c r="B51" s="74"/>
      <c r="C51" s="74"/>
      <c r="D51" s="75"/>
      <c r="E51" s="72">
        <f>E49+E50</f>
        <v>0</v>
      </c>
      <c r="F51" s="21"/>
      <c r="G51" s="21"/>
    </row>
    <row r="52" spans="1:7" x14ac:dyDescent="0.2">
      <c r="A52" s="64" t="s">
        <v>35</v>
      </c>
      <c r="B52" s="65" t="s">
        <v>36</v>
      </c>
      <c r="C52" s="69">
        <v>2</v>
      </c>
      <c r="D52" s="67">
        <f>E51</f>
        <v>0</v>
      </c>
      <c r="E52" s="67">
        <f>C52*D52</f>
        <v>0</v>
      </c>
    </row>
    <row r="53" spans="1:7" ht="13.5" thickBot="1" x14ac:dyDescent="0.25">
      <c r="D53" s="76" t="s">
        <v>37</v>
      </c>
      <c r="E53" s="77">
        <f>$B$35</f>
        <v>1</v>
      </c>
      <c r="F53" s="78">
        <f>E52*E53</f>
        <v>0</v>
      </c>
    </row>
    <row r="54" spans="1:7" ht="11.25" customHeight="1" x14ac:dyDescent="0.2"/>
    <row r="55" spans="1:7" ht="11.25" customHeight="1" x14ac:dyDescent="0.2">
      <c r="G55" s="4"/>
    </row>
    <row r="56" spans="1:7" s="4" customFormat="1" x14ac:dyDescent="0.2">
      <c r="A56" s="4" t="s">
        <v>38</v>
      </c>
      <c r="B56" s="79"/>
      <c r="F56" s="5"/>
    </row>
    <row r="57" spans="1:7" s="4" customFormat="1" x14ac:dyDescent="0.2">
      <c r="A57" s="55" t="s">
        <v>17</v>
      </c>
      <c r="B57" s="56" t="s">
        <v>18</v>
      </c>
      <c r="C57" s="56" t="s">
        <v>9</v>
      </c>
      <c r="D57" s="57" t="s">
        <v>19</v>
      </c>
      <c r="E57" s="57" t="s">
        <v>20</v>
      </c>
      <c r="F57" s="58" t="s">
        <v>21</v>
      </c>
    </row>
    <row r="58" spans="1:7" x14ac:dyDescent="0.2">
      <c r="A58" s="64" t="s">
        <v>39</v>
      </c>
      <c r="B58" s="65" t="s">
        <v>29</v>
      </c>
      <c r="C58" s="80">
        <v>1</v>
      </c>
      <c r="D58" s="81"/>
      <c r="E58" s="67"/>
      <c r="G58" s="4"/>
    </row>
    <row r="59" spans="1:7" x14ac:dyDescent="0.2">
      <c r="A59" s="64" t="s">
        <v>40</v>
      </c>
      <c r="B59" s="65" t="s">
        <v>41</v>
      </c>
      <c r="C59" s="82">
        <v>26</v>
      </c>
      <c r="D59" s="67"/>
      <c r="E59" s="67"/>
      <c r="G59" s="4"/>
    </row>
    <row r="60" spans="1:7" x14ac:dyDescent="0.2">
      <c r="A60" s="60" t="s">
        <v>42</v>
      </c>
      <c r="B60" s="61" t="s">
        <v>43</v>
      </c>
      <c r="C60" s="83">
        <f>$C$59*2*(C52)</f>
        <v>104</v>
      </c>
      <c r="D60" s="63">
        <f>IFERROR((($C$59*2*$D$58)-(E42*0.06))/($C$59*2),"-")</f>
        <v>0</v>
      </c>
      <c r="E60" s="63">
        <f>IFERROR(C60*D60,"-")</f>
        <v>0</v>
      </c>
      <c r="G60" s="4"/>
    </row>
    <row r="61" spans="1:7" x14ac:dyDescent="0.2">
      <c r="F61" s="84">
        <f>SUM(E60:E60)</f>
        <v>0</v>
      </c>
      <c r="G61" s="4"/>
    </row>
    <row r="62" spans="1:7" ht="11.25" customHeight="1" x14ac:dyDescent="0.2">
      <c r="G62" s="4"/>
    </row>
    <row r="63" spans="1:7" ht="11.25" customHeight="1" x14ac:dyDescent="0.2">
      <c r="G63" s="4"/>
    </row>
    <row r="64" spans="1:7" x14ac:dyDescent="0.2">
      <c r="A64" s="4" t="s">
        <v>44</v>
      </c>
      <c r="F64" s="21"/>
      <c r="G64" s="4"/>
    </row>
    <row r="65" spans="1:7" s="4" customFormat="1" x14ac:dyDescent="0.2">
      <c r="A65" s="106" t="s">
        <v>17</v>
      </c>
      <c r="B65" s="107" t="s">
        <v>18</v>
      </c>
      <c r="C65" s="107" t="s">
        <v>9</v>
      </c>
      <c r="D65" s="109" t="s">
        <v>19</v>
      </c>
      <c r="E65" s="109" t="s">
        <v>20</v>
      </c>
      <c r="F65" s="58" t="s">
        <v>21</v>
      </c>
    </row>
    <row r="66" spans="1:7" s="4" customFormat="1" x14ac:dyDescent="0.2">
      <c r="A66" s="256" t="s">
        <v>45</v>
      </c>
      <c r="B66" s="257" t="s">
        <v>29</v>
      </c>
      <c r="C66" s="258">
        <v>1</v>
      </c>
      <c r="D66" s="259"/>
      <c r="E66" s="260"/>
      <c r="F66" s="21"/>
    </row>
    <row r="67" spans="1:7" s="4" customFormat="1" x14ac:dyDescent="0.2">
      <c r="A67" s="256" t="s">
        <v>40</v>
      </c>
      <c r="B67" s="257" t="s">
        <v>41</v>
      </c>
      <c r="C67" s="258">
        <v>26</v>
      </c>
      <c r="D67" s="249"/>
      <c r="E67" s="260"/>
      <c r="F67" s="21"/>
    </row>
    <row r="68" spans="1:7" s="4" customFormat="1" x14ac:dyDescent="0.2">
      <c r="A68" s="256" t="s">
        <v>42</v>
      </c>
      <c r="B68" s="257" t="s">
        <v>43</v>
      </c>
      <c r="C68" s="258">
        <f>C67*E27</f>
        <v>52</v>
      </c>
      <c r="D68" s="249"/>
      <c r="E68" s="260">
        <f>C68*D66</f>
        <v>0</v>
      </c>
      <c r="F68" s="21"/>
    </row>
    <row r="69" spans="1:7" x14ac:dyDescent="0.2">
      <c r="F69" s="84">
        <f>SUM(E68:E68)</f>
        <v>0</v>
      </c>
      <c r="G69" s="4"/>
    </row>
    <row r="70" spans="1:7" x14ac:dyDescent="0.2">
      <c r="G70" s="4"/>
    </row>
    <row r="71" spans="1:7" x14ac:dyDescent="0.2">
      <c r="A71" s="4" t="s">
        <v>46</v>
      </c>
      <c r="F71" s="21"/>
      <c r="G71" s="4"/>
    </row>
    <row r="72" spans="1:7" s="4" customFormat="1" x14ac:dyDescent="0.2">
      <c r="A72" s="55" t="s">
        <v>17</v>
      </c>
      <c r="B72" s="56" t="s">
        <v>18</v>
      </c>
      <c r="C72" s="56" t="s">
        <v>9</v>
      </c>
      <c r="D72" s="57" t="s">
        <v>19</v>
      </c>
      <c r="E72" s="57" t="s">
        <v>20</v>
      </c>
      <c r="F72" s="58" t="s">
        <v>21</v>
      </c>
    </row>
    <row r="73" spans="1:7" s="4" customFormat="1" x14ac:dyDescent="0.2">
      <c r="A73" s="64" t="str">
        <f>+A66</f>
        <v>Vale  refeição</v>
      </c>
      <c r="B73" s="65" t="s">
        <v>47</v>
      </c>
      <c r="C73" s="83"/>
      <c r="D73" s="85"/>
      <c r="E73" s="77">
        <f>C73*D73</f>
        <v>0</v>
      </c>
      <c r="F73" s="21"/>
    </row>
    <row r="74" spans="1:7" s="4" customFormat="1" x14ac:dyDescent="0.2">
      <c r="D74" s="76" t="s">
        <v>37</v>
      </c>
      <c r="E74" s="77">
        <f>$B$35</f>
        <v>1</v>
      </c>
      <c r="F74" s="84">
        <f>SUM(E73:E73)*E74</f>
        <v>0</v>
      </c>
    </row>
    <row r="75" spans="1:7" s="4" customFormat="1" x14ac:dyDescent="0.2">
      <c r="A75" s="86" t="s">
        <v>48</v>
      </c>
      <c r="B75" s="87"/>
      <c r="C75" s="87"/>
      <c r="D75" s="34"/>
      <c r="E75" s="88"/>
      <c r="F75" s="84">
        <f>F74+F69+F61+F53</f>
        <v>0</v>
      </c>
    </row>
    <row r="78" spans="1:7" x14ac:dyDescent="0.2">
      <c r="A78" s="22" t="s">
        <v>49</v>
      </c>
      <c r="G78" s="4"/>
    </row>
    <row r="79" spans="1:7" ht="11.25" customHeight="1" x14ac:dyDescent="0.2">
      <c r="G79" s="4"/>
    </row>
    <row r="80" spans="1:7" ht="13.5" customHeight="1" x14ac:dyDescent="0.2">
      <c r="A80" s="4" t="s">
        <v>50</v>
      </c>
      <c r="G80" s="4"/>
    </row>
    <row r="81" spans="1:7" ht="11.25" customHeight="1" thickBot="1" x14ac:dyDescent="0.25"/>
    <row r="82" spans="1:7" ht="24.75" thickBot="1" x14ac:dyDescent="0.25">
      <c r="A82" s="55" t="s">
        <v>17</v>
      </c>
      <c r="B82" s="56" t="s">
        <v>18</v>
      </c>
      <c r="C82" s="235" t="s">
        <v>51</v>
      </c>
      <c r="D82" s="57" t="s">
        <v>19</v>
      </c>
      <c r="E82" s="57" t="s">
        <v>20</v>
      </c>
      <c r="F82" s="58" t="s">
        <v>21</v>
      </c>
    </row>
    <row r="83" spans="1:7" x14ac:dyDescent="0.2">
      <c r="A83" s="60" t="s">
        <v>52</v>
      </c>
      <c r="B83" s="61" t="s">
        <v>47</v>
      </c>
      <c r="C83" s="236">
        <v>6</v>
      </c>
      <c r="D83" s="63"/>
      <c r="E83" s="63">
        <f t="shared" ref="E83:E88" si="1">IFERROR(D83/C83,0)</f>
        <v>0</v>
      </c>
    </row>
    <row r="84" spans="1:7" x14ac:dyDescent="0.2">
      <c r="A84" s="64" t="s">
        <v>53</v>
      </c>
      <c r="B84" s="65" t="s">
        <v>47</v>
      </c>
      <c r="C84" s="236">
        <v>4</v>
      </c>
      <c r="D84" s="67"/>
      <c r="E84" s="63">
        <f t="shared" si="1"/>
        <v>0</v>
      </c>
    </row>
    <row r="85" spans="1:7" x14ac:dyDescent="0.2">
      <c r="A85" s="64" t="s">
        <v>54</v>
      </c>
      <c r="B85" s="65" t="s">
        <v>47</v>
      </c>
      <c r="C85" s="236">
        <v>4</v>
      </c>
      <c r="D85" s="67"/>
      <c r="E85" s="63">
        <f t="shared" si="1"/>
        <v>0</v>
      </c>
    </row>
    <row r="86" spans="1:7" x14ac:dyDescent="0.2">
      <c r="A86" s="64" t="s">
        <v>55</v>
      </c>
      <c r="B86" s="65" t="s">
        <v>56</v>
      </c>
      <c r="C86" s="236">
        <v>4</v>
      </c>
      <c r="D86" s="67"/>
      <c r="E86" s="63">
        <f t="shared" si="1"/>
        <v>0</v>
      </c>
    </row>
    <row r="87" spans="1:7" x14ac:dyDescent="0.2">
      <c r="A87" s="64" t="s">
        <v>57</v>
      </c>
      <c r="B87" s="65" t="s">
        <v>47</v>
      </c>
      <c r="C87" s="236">
        <v>6</v>
      </c>
      <c r="D87" s="67"/>
      <c r="E87" s="63">
        <f t="shared" si="1"/>
        <v>0</v>
      </c>
      <c r="G87" s="4"/>
    </row>
    <row r="88" spans="1:7" x14ac:dyDescent="0.2">
      <c r="A88" s="64" t="s">
        <v>58</v>
      </c>
      <c r="B88" s="65" t="s">
        <v>59</v>
      </c>
      <c r="C88" s="236">
        <v>1</v>
      </c>
      <c r="D88" s="67"/>
      <c r="E88" s="63">
        <f t="shared" si="1"/>
        <v>0</v>
      </c>
      <c r="G88" s="4"/>
    </row>
    <row r="89" spans="1:7" x14ac:dyDescent="0.2">
      <c r="A89" s="64" t="s">
        <v>60</v>
      </c>
      <c r="B89" s="65" t="s">
        <v>61</v>
      </c>
      <c r="C89" s="236">
        <v>1</v>
      </c>
      <c r="D89" s="62"/>
      <c r="E89" s="67">
        <f>C89*D89*4</f>
        <v>0</v>
      </c>
      <c r="G89" s="4"/>
    </row>
    <row r="90" spans="1:7" x14ac:dyDescent="0.2">
      <c r="A90" s="64" t="s">
        <v>35</v>
      </c>
      <c r="B90" s="65" t="s">
        <v>36</v>
      </c>
      <c r="C90" s="236">
        <f>E27</f>
        <v>2</v>
      </c>
      <c r="D90" s="67">
        <f>+SUM(E83:E89)</f>
        <v>0</v>
      </c>
      <c r="E90" s="67">
        <f>C90*D90</f>
        <v>0</v>
      </c>
      <c r="G90" s="4"/>
    </row>
    <row r="91" spans="1:7" s="4" customFormat="1" x14ac:dyDescent="0.2">
      <c r="D91" s="76" t="s">
        <v>37</v>
      </c>
      <c r="E91" s="77">
        <f>$B$35</f>
        <v>1</v>
      </c>
      <c r="F91" s="78">
        <f>E90*E91</f>
        <v>0</v>
      </c>
    </row>
    <row r="92" spans="1:7" ht="11.25" customHeight="1" x14ac:dyDescent="0.2">
      <c r="G92" s="4"/>
    </row>
    <row r="93" spans="1:7" s="4" customFormat="1" x14ac:dyDescent="0.2">
      <c r="A93" s="86" t="s">
        <v>62</v>
      </c>
      <c r="B93" s="90"/>
      <c r="C93" s="90"/>
      <c r="D93" s="91"/>
      <c r="E93" s="92"/>
      <c r="F93" s="93">
        <f>+F91</f>
        <v>0</v>
      </c>
    </row>
    <row r="94" spans="1:7" ht="11.25" customHeight="1" x14ac:dyDescent="0.2">
      <c r="G94" s="4"/>
    </row>
    <row r="95" spans="1:7" x14ac:dyDescent="0.2">
      <c r="A95" s="22" t="s">
        <v>63</v>
      </c>
      <c r="G95" s="4"/>
    </row>
    <row r="96" spans="1:7" ht="11.25" customHeight="1" x14ac:dyDescent="0.2">
      <c r="B96" s="94"/>
      <c r="G96" s="4"/>
    </row>
    <row r="97" spans="1:10" x14ac:dyDescent="0.2">
      <c r="A97" s="4" t="s">
        <v>64</v>
      </c>
      <c r="G97" s="4"/>
    </row>
    <row r="98" spans="1:10" ht="11.25" customHeight="1" x14ac:dyDescent="0.2">
      <c r="G98" s="4"/>
    </row>
    <row r="99" spans="1:10" x14ac:dyDescent="0.2">
      <c r="A99" s="94" t="s">
        <v>65</v>
      </c>
      <c r="G99" s="4"/>
    </row>
    <row r="100" spans="1:10" s="4" customFormat="1" x14ac:dyDescent="0.2">
      <c r="A100" s="55" t="s">
        <v>17</v>
      </c>
      <c r="B100" s="56" t="s">
        <v>18</v>
      </c>
      <c r="C100" s="56" t="s">
        <v>9</v>
      </c>
      <c r="D100" s="57" t="s">
        <v>19</v>
      </c>
      <c r="E100" s="57" t="s">
        <v>20</v>
      </c>
      <c r="F100" s="58" t="s">
        <v>21</v>
      </c>
    </row>
    <row r="101" spans="1:10" s="4" customFormat="1" x14ac:dyDescent="0.2">
      <c r="A101" s="60" t="s">
        <v>66</v>
      </c>
      <c r="B101" s="61" t="s">
        <v>47</v>
      </c>
      <c r="C101" s="61">
        <v>1</v>
      </c>
      <c r="D101" s="240"/>
      <c r="E101" s="63">
        <f>C101*D101</f>
        <v>0</v>
      </c>
      <c r="F101" s="95" t="s">
        <v>67</v>
      </c>
    </row>
    <row r="102" spans="1:10" x14ac:dyDescent="0.2">
      <c r="A102" s="64" t="s">
        <v>68</v>
      </c>
      <c r="B102" s="65" t="s">
        <v>69</v>
      </c>
      <c r="C102" s="69">
        <v>5</v>
      </c>
      <c r="D102" s="67"/>
      <c r="E102" s="67"/>
      <c r="G102" s="4"/>
    </row>
    <row r="103" spans="1:10" x14ac:dyDescent="0.2">
      <c r="A103" s="64" t="s">
        <v>70</v>
      </c>
      <c r="B103" s="65" t="s">
        <v>69</v>
      </c>
      <c r="C103" s="69">
        <v>0</v>
      </c>
      <c r="D103" s="67"/>
      <c r="E103" s="67"/>
      <c r="F103" s="96"/>
      <c r="I103" s="97"/>
      <c r="J103" s="97"/>
    </row>
    <row r="104" spans="1:10" x14ac:dyDescent="0.2">
      <c r="A104" s="64" t="s">
        <v>71</v>
      </c>
      <c r="B104" s="65" t="s">
        <v>5</v>
      </c>
      <c r="C104" s="237">
        <f>IFERROR(VLOOKUP(C102,'5. Depreciação'!A3:B17,2,0),0)</f>
        <v>55.68</v>
      </c>
      <c r="D104" s="67">
        <f>E101</f>
        <v>0</v>
      </c>
      <c r="E104" s="67">
        <f>C104*D104/100</f>
        <v>0</v>
      </c>
    </row>
    <row r="105" spans="1:10" ht="13.5" thickBot="1" x14ac:dyDescent="0.25">
      <c r="A105" s="98" t="s">
        <v>72</v>
      </c>
      <c r="B105" s="99" t="s">
        <v>23</v>
      </c>
      <c r="C105" s="99">
        <f>C102*12</f>
        <v>60</v>
      </c>
      <c r="D105" s="100">
        <f>IF(C103&lt;=C102,E104,0)</f>
        <v>0</v>
      </c>
      <c r="E105" s="100">
        <f>IFERROR(D105/C105,0)</f>
        <v>0</v>
      </c>
    </row>
    <row r="106" spans="1:10" s="4" customFormat="1" x14ac:dyDescent="0.2">
      <c r="A106" s="60" t="s">
        <v>73</v>
      </c>
      <c r="B106" s="61" t="s">
        <v>47</v>
      </c>
      <c r="C106" s="61">
        <f>C101</f>
        <v>1</v>
      </c>
      <c r="D106" s="62"/>
      <c r="E106" s="63">
        <f>C106*D106</f>
        <v>0</v>
      </c>
      <c r="F106" s="95" t="s">
        <v>74</v>
      </c>
    </row>
    <row r="107" spans="1:10" x14ac:dyDescent="0.2">
      <c r="A107" s="64" t="s">
        <v>75</v>
      </c>
      <c r="B107" s="65" t="s">
        <v>69</v>
      </c>
      <c r="C107" s="69">
        <v>5</v>
      </c>
      <c r="D107" s="67"/>
      <c r="E107" s="67"/>
    </row>
    <row r="108" spans="1:10" x14ac:dyDescent="0.2">
      <c r="A108" s="64" t="s">
        <v>76</v>
      </c>
      <c r="B108" s="65" t="s">
        <v>69</v>
      </c>
      <c r="C108" s="69">
        <v>0</v>
      </c>
      <c r="D108" s="67"/>
      <c r="E108" s="67"/>
      <c r="F108" s="101"/>
      <c r="I108" s="97"/>
      <c r="J108" s="97"/>
    </row>
    <row r="109" spans="1:10" x14ac:dyDescent="0.2">
      <c r="A109" s="64" t="s">
        <v>77</v>
      </c>
      <c r="B109" s="65" t="s">
        <v>5</v>
      </c>
      <c r="C109" s="237">
        <f>IFERROR(VLOOKUP(C107,'5. Depreciação'!A3:B17,2,0),0)</f>
        <v>55.68</v>
      </c>
      <c r="D109" s="67">
        <f>E106</f>
        <v>0</v>
      </c>
      <c r="E109" s="67">
        <f>C109*D109/100</f>
        <v>0</v>
      </c>
    </row>
    <row r="110" spans="1:10" x14ac:dyDescent="0.2">
      <c r="A110" s="70" t="s">
        <v>78</v>
      </c>
      <c r="B110" s="102" t="s">
        <v>23</v>
      </c>
      <c r="C110" s="102">
        <f>C107*12</f>
        <v>60</v>
      </c>
      <c r="D110" s="72">
        <f>IF(C108&lt;=C107,E109,0)</f>
        <v>0</v>
      </c>
      <c r="E110" s="72">
        <f>IFERROR(D110/C110,0)</f>
        <v>0</v>
      </c>
    </row>
    <row r="111" spans="1:10" x14ac:dyDescent="0.2">
      <c r="A111" s="103" t="s">
        <v>79</v>
      </c>
      <c r="B111" s="1"/>
      <c r="C111" s="1"/>
      <c r="D111" s="71"/>
      <c r="E111" s="104">
        <f>E105+E110</f>
        <v>0</v>
      </c>
    </row>
    <row r="112" spans="1:10" x14ac:dyDescent="0.2">
      <c r="A112" s="70" t="s">
        <v>80</v>
      </c>
      <c r="B112" s="102" t="s">
        <v>47</v>
      </c>
      <c r="C112" s="69">
        <v>2</v>
      </c>
      <c r="D112" s="72">
        <f>E111</f>
        <v>0</v>
      </c>
      <c r="E112" s="104">
        <f>C112*D112</f>
        <v>0</v>
      </c>
    </row>
    <row r="113" spans="1:10" x14ac:dyDescent="0.2">
      <c r="A113" s="105"/>
      <c r="B113" s="105"/>
      <c r="C113" s="105"/>
      <c r="D113" s="76" t="s">
        <v>37</v>
      </c>
      <c r="E113" s="77">
        <f>$B$35</f>
        <v>1</v>
      </c>
      <c r="F113" s="93">
        <f>E112*E113</f>
        <v>0</v>
      </c>
    </row>
    <row r="114" spans="1:10" ht="11.25" customHeight="1" x14ac:dyDescent="0.2"/>
    <row r="115" spans="1:10" ht="13.5" thickBot="1" x14ac:dyDescent="0.25">
      <c r="A115" s="94" t="s">
        <v>81</v>
      </c>
    </row>
    <row r="116" spans="1:10" ht="13.5" thickBot="1" x14ac:dyDescent="0.25">
      <c r="A116" s="106" t="s">
        <v>17</v>
      </c>
      <c r="B116" s="107" t="s">
        <v>18</v>
      </c>
      <c r="C116" s="108" t="s">
        <v>9</v>
      </c>
      <c r="D116" s="57" t="s">
        <v>19</v>
      </c>
      <c r="E116" s="109" t="s">
        <v>20</v>
      </c>
      <c r="F116" s="58" t="s">
        <v>21</v>
      </c>
      <c r="I116" s="97"/>
      <c r="J116" s="97"/>
    </row>
    <row r="117" spans="1:10" x14ac:dyDescent="0.2">
      <c r="A117" s="64" t="s">
        <v>82</v>
      </c>
      <c r="B117" s="65" t="s">
        <v>47</v>
      </c>
      <c r="C117" s="236">
        <v>1</v>
      </c>
      <c r="D117" s="263">
        <f>D101</f>
        <v>0</v>
      </c>
      <c r="E117" s="264">
        <f>C117*D117</f>
        <v>0</v>
      </c>
      <c r="F117" s="95" t="str">
        <f>(F101)</f>
        <v>SICRO/DNIT A9311</v>
      </c>
      <c r="I117" s="97"/>
      <c r="J117" s="97"/>
    </row>
    <row r="118" spans="1:10" x14ac:dyDescent="0.2">
      <c r="A118" s="64" t="s">
        <v>83</v>
      </c>
      <c r="B118" s="65" t="s">
        <v>5</v>
      </c>
      <c r="C118" s="236">
        <f>'4.BDI'!E13*100</f>
        <v>10.4</v>
      </c>
      <c r="D118" s="67"/>
      <c r="E118" s="67"/>
      <c r="F118" s="101"/>
      <c r="I118" s="97"/>
      <c r="J118" s="97"/>
    </row>
    <row r="119" spans="1:10" x14ac:dyDescent="0.2">
      <c r="A119" s="64" t="s">
        <v>84</v>
      </c>
      <c r="B119" s="65" t="s">
        <v>29</v>
      </c>
      <c r="C119" s="262">
        <f>IFERROR(IF(C103&lt;=C102,E101-(C104/(100*C102)*C103)*E101,E101-E104),0)</f>
        <v>0</v>
      </c>
      <c r="D119" s="67"/>
      <c r="E119" s="67"/>
      <c r="F119" s="101"/>
      <c r="I119" s="97"/>
      <c r="J119" s="97"/>
    </row>
    <row r="120" spans="1:10" x14ac:dyDescent="0.2">
      <c r="A120" s="64" t="s">
        <v>85</v>
      </c>
      <c r="B120" s="65" t="s">
        <v>29</v>
      </c>
      <c r="C120" s="262">
        <f>IFERROR(IF(C103&gt;=C102,C119,((((C119)-(E101-E104))*(((C102-C103)+1)/(2*(C102-C103))))+(E101-E104))),0)</f>
        <v>0</v>
      </c>
      <c r="D120" s="67"/>
      <c r="E120" s="67"/>
      <c r="F120" s="101"/>
      <c r="I120" s="97"/>
      <c r="J120" s="97"/>
    </row>
    <row r="121" spans="1:10" ht="13.5" thickBot="1" x14ac:dyDescent="0.25">
      <c r="A121" s="98" t="s">
        <v>86</v>
      </c>
      <c r="B121" s="99" t="s">
        <v>29</v>
      </c>
      <c r="C121" s="236"/>
      <c r="D121" s="100">
        <f>C118*C120/12/100</f>
        <v>0</v>
      </c>
      <c r="E121" s="100">
        <f>D121</f>
        <v>0</v>
      </c>
      <c r="F121" s="101"/>
      <c r="I121" s="97"/>
      <c r="J121" s="97"/>
    </row>
    <row r="122" spans="1:10" x14ac:dyDescent="0.2">
      <c r="A122" s="60" t="s">
        <v>87</v>
      </c>
      <c r="B122" s="61" t="s">
        <v>47</v>
      </c>
      <c r="C122" s="236">
        <f>C106</f>
        <v>1</v>
      </c>
      <c r="D122" s="240"/>
      <c r="E122" s="63">
        <f>C122*D122</f>
        <v>0</v>
      </c>
      <c r="F122" s="95" t="str">
        <f>(F106)</f>
        <v>SICRO/DNIT A9315</v>
      </c>
      <c r="I122" s="97"/>
      <c r="J122" s="97"/>
    </row>
    <row r="123" spans="1:10" x14ac:dyDescent="0.2">
      <c r="A123" s="64" t="s">
        <v>83</v>
      </c>
      <c r="B123" s="65" t="s">
        <v>5</v>
      </c>
      <c r="C123" s="236">
        <f>C118</f>
        <v>10.4</v>
      </c>
      <c r="D123" s="67"/>
      <c r="E123" s="67"/>
      <c r="F123" s="101"/>
      <c r="I123" s="97"/>
      <c r="J123" s="97"/>
    </row>
    <row r="124" spans="1:10" x14ac:dyDescent="0.2">
      <c r="A124" s="64" t="s">
        <v>88</v>
      </c>
      <c r="B124" s="65" t="s">
        <v>29</v>
      </c>
      <c r="C124" s="261">
        <f>IFERROR(IF(C108&lt;=C107,E106-(C109/(100*C107)*C108)*E106,E106-E109),0)</f>
        <v>0</v>
      </c>
      <c r="D124" s="67"/>
      <c r="E124" s="67"/>
      <c r="F124" s="101"/>
      <c r="I124" s="97"/>
      <c r="J124" s="97"/>
    </row>
    <row r="125" spans="1:10" x14ac:dyDescent="0.2">
      <c r="A125" s="64" t="s">
        <v>89</v>
      </c>
      <c r="B125" s="65" t="s">
        <v>29</v>
      </c>
      <c r="C125" s="261">
        <f>IFERROR(IF(C108&gt;=C107,C124,((((C124)-(E106-E109))*(((C107-C108)+1)/(2*(C107-C108))))+(E106-E109))),0)</f>
        <v>0</v>
      </c>
      <c r="D125" s="67"/>
      <c r="E125" s="67"/>
      <c r="F125" s="101"/>
      <c r="I125" s="97"/>
      <c r="J125" s="97"/>
    </row>
    <row r="126" spans="1:10" x14ac:dyDescent="0.2">
      <c r="A126" s="70" t="s">
        <v>90</v>
      </c>
      <c r="B126" s="102" t="s">
        <v>29</v>
      </c>
      <c r="C126" s="102"/>
      <c r="D126" s="72">
        <f>C123*C125/12/100</f>
        <v>0</v>
      </c>
      <c r="E126" s="72">
        <f>D126</f>
        <v>0</v>
      </c>
      <c r="F126" s="101"/>
      <c r="I126" s="97"/>
      <c r="J126" s="97"/>
    </row>
    <row r="127" spans="1:10" x14ac:dyDescent="0.2">
      <c r="A127" s="103" t="s">
        <v>79</v>
      </c>
      <c r="B127" s="1"/>
      <c r="C127" s="1"/>
      <c r="D127" s="71"/>
      <c r="E127" s="104">
        <f>E121+E126</f>
        <v>0</v>
      </c>
      <c r="F127" s="101"/>
      <c r="I127" s="97"/>
      <c r="J127" s="97"/>
    </row>
    <row r="128" spans="1:10" x14ac:dyDescent="0.2">
      <c r="A128" s="70" t="s">
        <v>80</v>
      </c>
      <c r="B128" s="102" t="s">
        <v>47</v>
      </c>
      <c r="C128" s="65">
        <f>C112</f>
        <v>2</v>
      </c>
      <c r="D128" s="72">
        <f>E127</f>
        <v>0</v>
      </c>
      <c r="E128" s="104">
        <f>C128*D128</f>
        <v>0</v>
      </c>
      <c r="F128" s="101"/>
      <c r="I128" s="97"/>
      <c r="J128" s="97"/>
    </row>
    <row r="129" spans="1:10" x14ac:dyDescent="0.2">
      <c r="C129" s="2"/>
      <c r="D129" s="76" t="s">
        <v>37</v>
      </c>
      <c r="E129" s="77">
        <f>$B$35</f>
        <v>1</v>
      </c>
      <c r="F129" s="93">
        <f>E128*E129</f>
        <v>0</v>
      </c>
      <c r="I129" s="97"/>
      <c r="J129" s="97"/>
    </row>
    <row r="130" spans="1:10" ht="11.25" customHeight="1" x14ac:dyDescent="0.2">
      <c r="I130" s="97"/>
      <c r="J130" s="97"/>
    </row>
    <row r="131" spans="1:10" ht="13.5" thickBot="1" x14ac:dyDescent="0.25">
      <c r="A131" s="4" t="s">
        <v>91</v>
      </c>
      <c r="I131" s="97"/>
      <c r="J131" s="97"/>
    </row>
    <row r="132" spans="1:10" ht="13.5" thickBot="1" x14ac:dyDescent="0.25">
      <c r="A132" s="55" t="s">
        <v>17</v>
      </c>
      <c r="B132" s="56" t="s">
        <v>18</v>
      </c>
      <c r="C132" s="107" t="s">
        <v>9</v>
      </c>
      <c r="D132" s="57" t="s">
        <v>19</v>
      </c>
      <c r="E132" s="57" t="s">
        <v>20</v>
      </c>
      <c r="F132" s="58" t="s">
        <v>21</v>
      </c>
      <c r="I132" s="97"/>
      <c r="J132" s="97"/>
    </row>
    <row r="133" spans="1:10" x14ac:dyDescent="0.2">
      <c r="A133" s="60" t="s">
        <v>92</v>
      </c>
      <c r="B133" s="61" t="s">
        <v>47</v>
      </c>
      <c r="C133" s="238">
        <f>C112</f>
        <v>2</v>
      </c>
      <c r="D133" s="63">
        <f>(D117*0.1)</f>
        <v>0</v>
      </c>
      <c r="E133" s="63">
        <f>C133*D133</f>
        <v>0</v>
      </c>
      <c r="I133" s="97"/>
      <c r="J133" s="97"/>
    </row>
    <row r="134" spans="1:10" x14ac:dyDescent="0.2">
      <c r="A134" s="64" t="s">
        <v>93</v>
      </c>
      <c r="B134" s="65" t="s">
        <v>47</v>
      </c>
      <c r="C134" s="238">
        <f>C112</f>
        <v>2</v>
      </c>
      <c r="D134" s="85"/>
      <c r="E134" s="67">
        <f>C134*D134</f>
        <v>0</v>
      </c>
      <c r="I134" s="97"/>
      <c r="J134" s="97"/>
    </row>
    <row r="135" spans="1:10" x14ac:dyDescent="0.2">
      <c r="A135" s="64" t="s">
        <v>94</v>
      </c>
      <c r="B135" s="65" t="s">
        <v>47</v>
      </c>
      <c r="C135" s="238">
        <v>2</v>
      </c>
      <c r="D135" s="85"/>
      <c r="E135" s="67">
        <f>(C135*D135)</f>
        <v>0</v>
      </c>
      <c r="I135" s="97"/>
      <c r="J135" s="97"/>
    </row>
    <row r="136" spans="1:10" x14ac:dyDescent="0.2">
      <c r="A136" s="64" t="s">
        <v>95</v>
      </c>
      <c r="B136" s="65" t="s">
        <v>47</v>
      </c>
      <c r="C136" s="238">
        <f>C112</f>
        <v>2</v>
      </c>
      <c r="D136" s="85"/>
      <c r="E136" s="67">
        <f>C136*D136</f>
        <v>0</v>
      </c>
      <c r="F136" s="247" t="s">
        <v>67</v>
      </c>
      <c r="G136"/>
      <c r="I136" s="97"/>
      <c r="J136" s="97"/>
    </row>
    <row r="137" spans="1:10" ht="13.5" thickBot="1" x14ac:dyDescent="0.25">
      <c r="A137" s="70" t="s">
        <v>96</v>
      </c>
      <c r="B137" s="102" t="s">
        <v>23</v>
      </c>
      <c r="C137" s="102">
        <v>12</v>
      </c>
      <c r="D137" s="72">
        <f>SUM(E133:E136)</f>
        <v>0</v>
      </c>
      <c r="E137" s="72">
        <f>D137/C137</f>
        <v>0</v>
      </c>
      <c r="I137" s="97"/>
      <c r="J137" s="97"/>
    </row>
    <row r="138" spans="1:10" x14ac:dyDescent="0.2">
      <c r="D138" s="76" t="s">
        <v>37</v>
      </c>
      <c r="E138" s="77">
        <f>$B$35</f>
        <v>1</v>
      </c>
      <c r="F138" s="78">
        <f>E137*E138</f>
        <v>0</v>
      </c>
      <c r="I138" s="97"/>
      <c r="J138" s="97"/>
    </row>
    <row r="139" spans="1:10" x14ac:dyDescent="0.2">
      <c r="D139" s="76"/>
      <c r="F139" s="71"/>
      <c r="I139" s="97"/>
      <c r="J139" s="97"/>
    </row>
    <row r="140" spans="1:10" x14ac:dyDescent="0.2">
      <c r="D140" s="76"/>
      <c r="F140" s="71"/>
      <c r="I140" s="97"/>
      <c r="J140" s="97"/>
    </row>
    <row r="141" spans="1:10" x14ac:dyDescent="0.2">
      <c r="D141" s="76"/>
      <c r="F141" s="71"/>
      <c r="I141" s="97"/>
      <c r="J141" s="97"/>
    </row>
    <row r="142" spans="1:10" x14ac:dyDescent="0.2">
      <c r="D142" s="76"/>
      <c r="F142" s="71"/>
      <c r="I142" s="97"/>
      <c r="J142" s="97"/>
    </row>
    <row r="143" spans="1:10" x14ac:dyDescent="0.2">
      <c r="D143" s="76"/>
      <c r="F143" s="71"/>
      <c r="I143" s="97"/>
      <c r="J143" s="97"/>
    </row>
    <row r="144" spans="1:10" x14ac:dyDescent="0.2">
      <c r="D144" s="76"/>
      <c r="F144" s="71"/>
      <c r="I144" s="97"/>
      <c r="J144" s="97"/>
    </row>
    <row r="145" spans="1:10" x14ac:dyDescent="0.2">
      <c r="D145" s="76"/>
      <c r="F145" s="71"/>
      <c r="I145" s="97"/>
      <c r="J145" s="97"/>
    </row>
    <row r="146" spans="1:10" x14ac:dyDescent="0.2">
      <c r="D146" s="76"/>
      <c r="F146" s="71"/>
      <c r="I146" s="97"/>
      <c r="J146" s="97"/>
    </row>
    <row r="147" spans="1:10" x14ac:dyDescent="0.2">
      <c r="D147" s="76"/>
      <c r="F147" s="71"/>
      <c r="I147" s="97"/>
      <c r="J147" s="97"/>
    </row>
    <row r="148" spans="1:10" x14ac:dyDescent="0.2">
      <c r="D148" s="76"/>
      <c r="F148" s="71"/>
      <c r="I148" s="97"/>
      <c r="J148" s="97"/>
    </row>
    <row r="149" spans="1:10" x14ac:dyDescent="0.2">
      <c r="D149" s="76"/>
      <c r="F149" s="71"/>
      <c r="I149" s="97"/>
      <c r="J149" s="97"/>
    </row>
    <row r="150" spans="1:10" x14ac:dyDescent="0.2">
      <c r="D150" s="76"/>
      <c r="F150" s="71"/>
      <c r="I150" s="97"/>
      <c r="J150" s="97"/>
    </row>
    <row r="151" spans="1:10" ht="13.5" customHeight="1" x14ac:dyDescent="0.2">
      <c r="D151" s="76"/>
      <c r="F151" s="71"/>
      <c r="I151" s="97"/>
      <c r="J151" s="97"/>
    </row>
    <row r="152" spans="1:10" x14ac:dyDescent="0.2">
      <c r="D152" s="76"/>
      <c r="F152" s="71"/>
      <c r="I152" s="97"/>
      <c r="J152" s="97"/>
    </row>
    <row r="153" spans="1:10" x14ac:dyDescent="0.2">
      <c r="D153" s="76"/>
      <c r="F153" s="71"/>
      <c r="I153" s="97"/>
      <c r="J153" s="97"/>
    </row>
    <row r="154" spans="1:10" x14ac:dyDescent="0.2">
      <c r="D154" s="76"/>
      <c r="F154" s="71"/>
      <c r="I154" s="97"/>
      <c r="J154" s="97"/>
    </row>
    <row r="155" spans="1:10" x14ac:dyDescent="0.2">
      <c r="D155" s="76"/>
      <c r="F155" s="71"/>
      <c r="I155" s="97"/>
      <c r="J155" s="97"/>
    </row>
    <row r="156" spans="1:10" x14ac:dyDescent="0.2">
      <c r="D156" s="76"/>
      <c r="F156" s="71"/>
      <c r="I156" s="97"/>
      <c r="J156" s="97"/>
    </row>
    <row r="157" spans="1:10" ht="11.25" customHeight="1" x14ac:dyDescent="0.2">
      <c r="I157" s="97"/>
      <c r="J157" s="97"/>
    </row>
    <row r="158" spans="1:10" x14ac:dyDescent="0.2">
      <c r="A158" s="4" t="s">
        <v>97</v>
      </c>
      <c r="B158" s="110"/>
      <c r="I158" s="97"/>
      <c r="J158" s="97"/>
    </row>
    <row r="159" spans="1:10" ht="5.25" customHeight="1" x14ac:dyDescent="0.2">
      <c r="B159" s="110"/>
      <c r="I159" s="97"/>
      <c r="J159" s="97"/>
    </row>
    <row r="160" spans="1:10" x14ac:dyDescent="0.2">
      <c r="A160" s="70" t="s">
        <v>98</v>
      </c>
      <c r="B160" s="248">
        <v>7488</v>
      </c>
      <c r="I160" s="97"/>
      <c r="J160" s="97"/>
    </row>
    <row r="161" spans="1:10" ht="5.25" customHeight="1" x14ac:dyDescent="0.2">
      <c r="B161" s="110"/>
      <c r="I161" s="97"/>
      <c r="J161" s="97"/>
    </row>
    <row r="162" spans="1:10" x14ac:dyDescent="0.2">
      <c r="A162" s="55" t="s">
        <v>17</v>
      </c>
      <c r="B162" s="56" t="s">
        <v>18</v>
      </c>
      <c r="C162" s="56" t="s">
        <v>99</v>
      </c>
      <c r="D162" s="57" t="s">
        <v>19</v>
      </c>
      <c r="E162" s="57" t="s">
        <v>20</v>
      </c>
      <c r="F162" s="58" t="s">
        <v>21</v>
      </c>
      <c r="I162" s="97"/>
      <c r="J162" s="97"/>
    </row>
    <row r="163" spans="1:10" x14ac:dyDescent="0.2">
      <c r="A163" s="60" t="s">
        <v>100</v>
      </c>
      <c r="B163" s="61" t="s">
        <v>101</v>
      </c>
      <c r="C163" s="111">
        <v>1.5</v>
      </c>
      <c r="D163" s="112"/>
      <c r="E163" s="63"/>
      <c r="I163" s="97"/>
      <c r="J163" s="97"/>
    </row>
    <row r="164" spans="1:10" x14ac:dyDescent="0.2">
      <c r="A164" s="64" t="s">
        <v>102</v>
      </c>
      <c r="B164" s="65" t="s">
        <v>103</v>
      </c>
      <c r="C164" s="113">
        <f>B160</f>
        <v>7488</v>
      </c>
      <c r="D164" s="114">
        <f>IFERROR(+D163/C163,"-")</f>
        <v>0</v>
      </c>
      <c r="E164" s="67">
        <f>IFERROR(C164*D164,"-")</f>
        <v>0</v>
      </c>
      <c r="I164" s="97"/>
      <c r="J164" s="97"/>
    </row>
    <row r="165" spans="1:10" x14ac:dyDescent="0.2">
      <c r="A165" s="64" t="s">
        <v>104</v>
      </c>
      <c r="B165" s="65" t="s">
        <v>105</v>
      </c>
      <c r="C165" s="245">
        <v>1</v>
      </c>
      <c r="D165" s="85"/>
      <c r="E165" s="67"/>
      <c r="I165" s="97"/>
      <c r="J165" s="97"/>
    </row>
    <row r="166" spans="1:10" x14ac:dyDescent="0.2">
      <c r="A166" s="64" t="s">
        <v>106</v>
      </c>
      <c r="B166" s="65" t="s">
        <v>103</v>
      </c>
      <c r="C166" s="244">
        <f>B160/10000</f>
        <v>0.74880000000000002</v>
      </c>
      <c r="D166" s="242">
        <f>D165*C166</f>
        <v>0</v>
      </c>
      <c r="E166" s="67">
        <f>D166</f>
        <v>0</v>
      </c>
      <c r="I166" s="97"/>
      <c r="J166" s="97"/>
    </row>
    <row r="167" spans="1:10" x14ac:dyDescent="0.2">
      <c r="A167" s="64" t="s">
        <v>107</v>
      </c>
      <c r="B167" s="65" t="s">
        <v>105</v>
      </c>
      <c r="C167" s="245">
        <v>1</v>
      </c>
      <c r="D167" s="85"/>
      <c r="E167" s="67"/>
      <c r="I167" s="97"/>
      <c r="J167" s="97"/>
    </row>
    <row r="168" spans="1:10" x14ac:dyDescent="0.2">
      <c r="A168" s="64" t="s">
        <v>108</v>
      </c>
      <c r="B168" s="65" t="s">
        <v>103</v>
      </c>
      <c r="C168" s="244">
        <f>B160/10000</f>
        <v>0.74880000000000002</v>
      </c>
      <c r="D168" s="243">
        <f>D167*C168</f>
        <v>0</v>
      </c>
      <c r="E168" s="67">
        <f>D168</f>
        <v>0</v>
      </c>
      <c r="I168" s="97"/>
      <c r="J168" s="97"/>
    </row>
    <row r="169" spans="1:10" x14ac:dyDescent="0.2">
      <c r="A169" s="64" t="s">
        <v>109</v>
      </c>
      <c r="B169" s="65" t="s">
        <v>105</v>
      </c>
      <c r="C169" s="245">
        <v>1</v>
      </c>
      <c r="D169" s="85"/>
      <c r="E169" s="67"/>
      <c r="I169" s="97"/>
      <c r="J169" s="97"/>
    </row>
    <row r="170" spans="1:10" x14ac:dyDescent="0.2">
      <c r="A170" s="64" t="s">
        <v>110</v>
      </c>
      <c r="B170" s="65" t="s">
        <v>103</v>
      </c>
      <c r="C170" s="244">
        <f>B160/10000</f>
        <v>0.74880000000000002</v>
      </c>
      <c r="D170" s="243">
        <f>D169*C170</f>
        <v>0</v>
      </c>
      <c r="E170" s="67">
        <f>D170</f>
        <v>0</v>
      </c>
      <c r="I170" s="97"/>
      <c r="J170" s="97"/>
    </row>
    <row r="171" spans="1:10" x14ac:dyDescent="0.2">
      <c r="A171" s="64" t="s">
        <v>111</v>
      </c>
      <c r="B171" s="65" t="s">
        <v>47</v>
      </c>
      <c r="C171" s="234">
        <v>1</v>
      </c>
      <c r="D171" s="246"/>
      <c r="E171" s="67"/>
      <c r="I171" s="97"/>
      <c r="J171" s="97"/>
    </row>
    <row r="172" spans="1:10" x14ac:dyDescent="0.2">
      <c r="A172" s="64" t="s">
        <v>112</v>
      </c>
      <c r="B172" s="65"/>
      <c r="C172" s="244">
        <f>B160/10000</f>
        <v>0.74880000000000002</v>
      </c>
      <c r="D172" s="116">
        <f>D171*C172</f>
        <v>0</v>
      </c>
      <c r="E172" s="67">
        <f>D172</f>
        <v>0</v>
      </c>
      <c r="I172" s="97"/>
      <c r="J172" s="97"/>
    </row>
    <row r="173" spans="1:10" x14ac:dyDescent="0.2">
      <c r="A173" s="64" t="s">
        <v>113</v>
      </c>
      <c r="B173" s="65" t="s">
        <v>114</v>
      </c>
      <c r="C173" s="115">
        <v>25</v>
      </c>
      <c r="D173" s="85"/>
      <c r="E173" s="67"/>
      <c r="I173" s="97"/>
      <c r="J173" s="97"/>
    </row>
    <row r="174" spans="1:10" x14ac:dyDescent="0.2">
      <c r="A174" s="64" t="s">
        <v>115</v>
      </c>
      <c r="B174" s="65" t="s">
        <v>103</v>
      </c>
      <c r="C174" s="244">
        <f>0.7488</f>
        <v>0.74880000000000002</v>
      </c>
      <c r="D174" s="241">
        <f>C173*(D173/20)*C172</f>
        <v>0</v>
      </c>
      <c r="E174" s="67">
        <f>D174</f>
        <v>0</v>
      </c>
      <c r="I174" s="97"/>
      <c r="J174" s="97"/>
    </row>
    <row r="175" spans="1:10" x14ac:dyDescent="0.2">
      <c r="A175" s="64" t="s">
        <v>116</v>
      </c>
      <c r="B175" s="65" t="s">
        <v>101</v>
      </c>
      <c r="C175" s="254">
        <f>((B160/C163)/20)/B160</f>
        <v>3.3333333333333333E-2</v>
      </c>
      <c r="D175" s="255"/>
      <c r="E175" s="67"/>
      <c r="I175" s="97"/>
      <c r="J175" s="97"/>
    </row>
    <row r="176" spans="1:10" x14ac:dyDescent="0.2">
      <c r="A176" s="64" t="s">
        <v>117</v>
      </c>
      <c r="B176" s="65" t="s">
        <v>103</v>
      </c>
      <c r="C176" s="253">
        <f>B160</f>
        <v>7488</v>
      </c>
      <c r="D176" s="241">
        <f>D175*C175</f>
        <v>0</v>
      </c>
      <c r="E176" s="67">
        <f>D176*C176</f>
        <v>0</v>
      </c>
      <c r="I176" s="97"/>
      <c r="J176" s="97"/>
    </row>
    <row r="177" spans="1:10" x14ac:dyDescent="0.2">
      <c r="A177" s="70" t="s">
        <v>118</v>
      </c>
      <c r="B177" s="102" t="s">
        <v>119</v>
      </c>
      <c r="C177" s="117"/>
      <c r="D177" s="118">
        <f>IFERROR(D164+D166+D168+D170+D174+D172,0)</f>
        <v>0</v>
      </c>
      <c r="E177" s="67"/>
      <c r="I177" s="97"/>
      <c r="J177" s="97"/>
    </row>
    <row r="178" spans="1:10" ht="12.6" customHeight="1" thickBot="1" x14ac:dyDescent="0.25">
      <c r="F178" s="93">
        <f>SUM(E163:E176)</f>
        <v>0</v>
      </c>
      <c r="I178" s="97"/>
      <c r="J178" s="97"/>
    </row>
    <row r="179" spans="1:10" ht="11.1" customHeight="1" x14ac:dyDescent="0.2">
      <c r="I179" s="97"/>
      <c r="J179" s="97"/>
    </row>
    <row r="180" spans="1:10" ht="11.1" customHeight="1" x14ac:dyDescent="0.2">
      <c r="I180" s="97"/>
      <c r="J180" s="97"/>
    </row>
    <row r="181" spans="1:10" ht="11.1" customHeight="1" x14ac:dyDescent="0.2">
      <c r="I181" s="97"/>
      <c r="J181" s="97"/>
    </row>
    <row r="182" spans="1:10" ht="11.1" customHeight="1" x14ac:dyDescent="0.2">
      <c r="I182" s="97"/>
      <c r="J182" s="97"/>
    </row>
    <row r="183" spans="1:10" x14ac:dyDescent="0.2">
      <c r="A183" s="4" t="s">
        <v>120</v>
      </c>
      <c r="I183" s="97"/>
      <c r="J183" s="97"/>
    </row>
    <row r="184" spans="1:10" x14ac:dyDescent="0.2">
      <c r="A184" s="55" t="s">
        <v>17</v>
      </c>
      <c r="B184" s="56" t="s">
        <v>18</v>
      </c>
      <c r="C184" s="56" t="s">
        <v>9</v>
      </c>
      <c r="D184" s="57" t="s">
        <v>19</v>
      </c>
      <c r="E184" s="57" t="s">
        <v>20</v>
      </c>
      <c r="F184" s="58" t="s">
        <v>21</v>
      </c>
      <c r="I184" s="97"/>
      <c r="J184" s="97"/>
    </row>
    <row r="185" spans="1:10" x14ac:dyDescent="0.2">
      <c r="A185" s="60" t="s">
        <v>121</v>
      </c>
      <c r="B185" s="61" t="s">
        <v>122</v>
      </c>
      <c r="C185" s="119">
        <f>6*C59</f>
        <v>156</v>
      </c>
      <c r="D185" s="265"/>
      <c r="E185" s="63">
        <f>C185*D185</f>
        <v>0</v>
      </c>
      <c r="F185" s="5" t="s">
        <v>67</v>
      </c>
      <c r="I185" s="97"/>
      <c r="J185" s="97"/>
    </row>
    <row r="186" spans="1:10" ht="13.15" customHeight="1" x14ac:dyDescent="0.2">
      <c r="A186" s="271" t="s">
        <v>123</v>
      </c>
      <c r="B186" s="271"/>
      <c r="C186" s="271"/>
      <c r="D186" s="271"/>
      <c r="E186" s="271"/>
      <c r="F186" s="93">
        <f>E185</f>
        <v>0</v>
      </c>
      <c r="I186" s="97"/>
      <c r="J186" s="97"/>
    </row>
    <row r="187" spans="1:10" ht="9.75" customHeight="1" x14ac:dyDescent="0.2">
      <c r="A187" s="272"/>
      <c r="B187" s="272"/>
      <c r="C187" s="272"/>
      <c r="D187" s="272"/>
      <c r="E187" s="272"/>
      <c r="I187" s="97"/>
      <c r="J187" s="97"/>
    </row>
    <row r="188" spans="1:10" x14ac:dyDescent="0.2">
      <c r="A188" s="4" t="s">
        <v>124</v>
      </c>
      <c r="I188" s="97"/>
      <c r="J188" s="97"/>
    </row>
    <row r="189" spans="1:10" x14ac:dyDescent="0.2">
      <c r="A189" s="55" t="s">
        <v>17</v>
      </c>
      <c r="B189" s="56" t="s">
        <v>18</v>
      </c>
      <c r="C189" s="56" t="s">
        <v>9</v>
      </c>
      <c r="D189" s="57" t="s">
        <v>19</v>
      </c>
      <c r="E189" s="57" t="s">
        <v>20</v>
      </c>
      <c r="F189" s="58" t="s">
        <v>21</v>
      </c>
      <c r="I189" s="97"/>
      <c r="J189" s="97"/>
    </row>
    <row r="190" spans="1:10" x14ac:dyDescent="0.2">
      <c r="A190" s="60" t="s">
        <v>125</v>
      </c>
      <c r="B190" s="61" t="s">
        <v>47</v>
      </c>
      <c r="C190" s="120">
        <v>26</v>
      </c>
      <c r="D190" s="62"/>
      <c r="E190" s="63">
        <f>C190*D190</f>
        <v>0</v>
      </c>
      <c r="I190" s="97"/>
      <c r="J190" s="97"/>
    </row>
    <row r="191" spans="1:10" x14ac:dyDescent="0.2">
      <c r="A191" s="60" t="s">
        <v>126</v>
      </c>
      <c r="B191" s="61" t="s">
        <v>47</v>
      </c>
      <c r="C191" s="120">
        <v>2</v>
      </c>
      <c r="D191" s="63"/>
      <c r="E191" s="63"/>
      <c r="I191" s="97"/>
      <c r="J191" s="97"/>
    </row>
    <row r="192" spans="1:10" x14ac:dyDescent="0.2">
      <c r="A192" s="60" t="s">
        <v>127</v>
      </c>
      <c r="B192" s="61" t="s">
        <v>47</v>
      </c>
      <c r="C192" s="239">
        <v>52</v>
      </c>
      <c r="D192" s="62"/>
      <c r="E192" s="63">
        <f>C192*D192</f>
        <v>0</v>
      </c>
      <c r="I192" s="97"/>
      <c r="J192" s="97"/>
    </row>
    <row r="193" spans="1:10" x14ac:dyDescent="0.2">
      <c r="A193" s="64" t="s">
        <v>128</v>
      </c>
      <c r="B193" s="65" t="s">
        <v>129</v>
      </c>
      <c r="C193" s="121">
        <v>45000</v>
      </c>
      <c r="D193" s="67">
        <f>E190+E192</f>
        <v>0</v>
      </c>
      <c r="E193" s="67">
        <f>IFERROR(D193/C193,"-")</f>
        <v>0</v>
      </c>
      <c r="I193" s="97"/>
      <c r="J193" s="97"/>
    </row>
    <row r="194" spans="1:10" x14ac:dyDescent="0.2">
      <c r="A194" s="64" t="s">
        <v>130</v>
      </c>
      <c r="B194" s="65" t="s">
        <v>103</v>
      </c>
      <c r="C194" s="266">
        <f>B160</f>
        <v>7488</v>
      </c>
      <c r="D194" s="67">
        <f>E193</f>
        <v>0</v>
      </c>
      <c r="E194" s="67">
        <f>IFERROR(C194*D194,0)</f>
        <v>0</v>
      </c>
      <c r="I194" s="97"/>
      <c r="J194" s="97"/>
    </row>
    <row r="195" spans="1:10" x14ac:dyDescent="0.2">
      <c r="F195" s="93">
        <f>E194</f>
        <v>0</v>
      </c>
      <c r="I195" s="97"/>
      <c r="J195" s="97"/>
    </row>
    <row r="196" spans="1:10" ht="5.25" customHeight="1" x14ac:dyDescent="0.2">
      <c r="I196" s="97"/>
      <c r="J196" s="97"/>
    </row>
    <row r="197" spans="1:10" s="4" customFormat="1" x14ac:dyDescent="0.2">
      <c r="A197" s="86" t="s">
        <v>131</v>
      </c>
      <c r="B197" s="87"/>
      <c r="C197" s="87"/>
      <c r="D197" s="34"/>
      <c r="E197" s="88"/>
      <c r="F197" s="93">
        <f>+SUM(F101:F196)</f>
        <v>0</v>
      </c>
    </row>
    <row r="198" spans="1:10" ht="5.25" customHeight="1" x14ac:dyDescent="0.2">
      <c r="G198" s="4"/>
    </row>
    <row r="199" spans="1:10" x14ac:dyDescent="0.2">
      <c r="A199" s="22" t="s">
        <v>132</v>
      </c>
      <c r="B199" s="22"/>
      <c r="C199" s="22"/>
      <c r="D199" s="21"/>
      <c r="E199" s="21"/>
      <c r="F199" s="71"/>
    </row>
    <row r="200" spans="1:10" x14ac:dyDescent="0.2">
      <c r="A200" s="122" t="s">
        <v>17</v>
      </c>
      <c r="B200" s="123" t="s">
        <v>18</v>
      </c>
      <c r="C200" s="123" t="s">
        <v>9</v>
      </c>
      <c r="D200" s="124" t="s">
        <v>19</v>
      </c>
      <c r="E200" s="124" t="s">
        <v>20</v>
      </c>
      <c r="F200" s="125" t="s">
        <v>21</v>
      </c>
    </row>
    <row r="201" spans="1:10" x14ac:dyDescent="0.2">
      <c r="A201" s="64" t="s">
        <v>133</v>
      </c>
      <c r="B201" s="65" t="s">
        <v>134</v>
      </c>
      <c r="C201" s="89">
        <v>2</v>
      </c>
      <c r="D201" s="85"/>
      <c r="E201" s="67">
        <f>+D201*C201/C202</f>
        <v>0</v>
      </c>
      <c r="F201" s="101"/>
    </row>
    <row r="202" spans="1:10" x14ac:dyDescent="0.2">
      <c r="A202" s="64" t="s">
        <v>135</v>
      </c>
      <c r="B202" s="65" t="s">
        <v>23</v>
      </c>
      <c r="C202" s="65">
        <v>120</v>
      </c>
      <c r="D202" s="126"/>
      <c r="E202" s="126">
        <f>D202*C201</f>
        <v>0</v>
      </c>
      <c r="F202" s="101"/>
    </row>
    <row r="203" spans="1:10" x14ac:dyDescent="0.2">
      <c r="A203" s="64" t="s">
        <v>136</v>
      </c>
      <c r="B203" s="65" t="s">
        <v>47</v>
      </c>
      <c r="C203" s="89">
        <f>+C201</f>
        <v>2</v>
      </c>
      <c r="D203" s="85"/>
      <c r="E203" s="67">
        <f>C203*D203</f>
        <v>0</v>
      </c>
      <c r="F203" s="101"/>
    </row>
    <row r="204" spans="1:10" x14ac:dyDescent="0.2">
      <c r="A204" s="64" t="s">
        <v>137</v>
      </c>
      <c r="B204" s="65" t="s">
        <v>23</v>
      </c>
      <c r="C204" s="65">
        <v>2</v>
      </c>
      <c r="D204" s="126" t="s">
        <v>284</v>
      </c>
      <c r="E204" s="126" t="e">
        <f>+D204*C204</f>
        <v>#VALUE!</v>
      </c>
      <c r="F204" s="101"/>
    </row>
    <row r="205" spans="1:10" x14ac:dyDescent="0.2">
      <c r="A205" s="59"/>
      <c r="B205" s="59"/>
      <c r="C205" s="59"/>
      <c r="D205" s="76" t="s">
        <v>37</v>
      </c>
      <c r="E205" s="77">
        <f>$B$35</f>
        <v>1</v>
      </c>
      <c r="F205" s="127" t="e">
        <f>(E202+E204+E201+E203)*E205</f>
        <v>#VALUE!</v>
      </c>
    </row>
    <row r="206" spans="1:10" s="129" customFormat="1" ht="5.25" customHeight="1" x14ac:dyDescent="0.2">
      <c r="A206" s="4"/>
      <c r="B206" s="4"/>
      <c r="C206" s="4"/>
      <c r="D206" s="5"/>
      <c r="E206" s="5"/>
      <c r="F206" s="5"/>
      <c r="G206" s="128"/>
    </row>
    <row r="207" spans="1:10" x14ac:dyDescent="0.2">
      <c r="A207" s="86" t="s">
        <v>138</v>
      </c>
      <c r="B207" s="87"/>
      <c r="C207" s="87"/>
      <c r="D207" s="34"/>
      <c r="E207" s="88"/>
      <c r="F207" s="93" t="e">
        <f>+F205</f>
        <v>#VALUE!</v>
      </c>
    </row>
    <row r="208" spans="1:10" ht="5.25" customHeight="1" x14ac:dyDescent="0.2"/>
    <row r="209" spans="1:6" ht="17.25" customHeight="1" x14ac:dyDescent="0.2">
      <c r="A209" s="86" t="s">
        <v>139</v>
      </c>
      <c r="B209" s="90"/>
      <c r="C209" s="90"/>
      <c r="D209" s="91"/>
      <c r="E209" s="92"/>
      <c r="F209" s="84" t="e">
        <f>+F75+F93+F197+F207</f>
        <v>#VALUE!</v>
      </c>
    </row>
    <row r="210" spans="1:6" ht="5.25" customHeight="1" x14ac:dyDescent="0.2"/>
    <row r="211" spans="1:6" x14ac:dyDescent="0.2">
      <c r="A211" s="22" t="s">
        <v>140</v>
      </c>
    </row>
    <row r="212" spans="1:6" x14ac:dyDescent="0.2">
      <c r="A212" s="55" t="s">
        <v>17</v>
      </c>
      <c r="B212" s="56" t="s">
        <v>18</v>
      </c>
      <c r="C212" s="107" t="s">
        <v>9</v>
      </c>
      <c r="D212" s="57" t="s">
        <v>19</v>
      </c>
      <c r="E212" s="57" t="s">
        <v>20</v>
      </c>
      <c r="F212" s="58" t="s">
        <v>21</v>
      </c>
    </row>
    <row r="213" spans="1:6" x14ac:dyDescent="0.2">
      <c r="A213" s="60" t="s">
        <v>141</v>
      </c>
      <c r="B213" s="251" t="s">
        <v>5</v>
      </c>
      <c r="C213" s="250">
        <f>'4.BDI'!C18*100</f>
        <v>23.96</v>
      </c>
      <c r="D213" s="252" t="e">
        <f>+F209</f>
        <v>#VALUE!</v>
      </c>
      <c r="E213" s="63" t="e">
        <f>C213*D213/100</f>
        <v>#VALUE!</v>
      </c>
    </row>
    <row r="214" spans="1:6" ht="13.5" thickBot="1" x14ac:dyDescent="0.25">
      <c r="F214" s="93" t="e">
        <f>+E213</f>
        <v>#VALUE!</v>
      </c>
    </row>
    <row r="215" spans="1:6" ht="5.25" customHeight="1" x14ac:dyDescent="0.2"/>
    <row r="216" spans="1:6" x14ac:dyDescent="0.2">
      <c r="A216" s="86" t="s">
        <v>142</v>
      </c>
      <c r="B216" s="90"/>
      <c r="C216" s="90"/>
      <c r="D216" s="91"/>
      <c r="E216" s="92"/>
      <c r="F216" s="84" t="e">
        <f>F214</f>
        <v>#VALUE!</v>
      </c>
    </row>
    <row r="217" spans="1:6" ht="6" customHeight="1" x14ac:dyDescent="0.2"/>
    <row r="218" spans="1:6" ht="24.75" customHeight="1" x14ac:dyDescent="0.2">
      <c r="A218" s="86" t="s">
        <v>143</v>
      </c>
      <c r="B218" s="90"/>
      <c r="C218" s="90"/>
      <c r="D218" s="91"/>
      <c r="E218" s="92"/>
      <c r="F218" s="84" t="e">
        <f>F209+F216</f>
        <v>#VALUE!</v>
      </c>
    </row>
    <row r="219" spans="1:6" ht="9.75" customHeight="1" x14ac:dyDescent="0.2">
      <c r="A219" s="7"/>
      <c r="B219" s="7"/>
      <c r="C219" s="7"/>
      <c r="D219" s="6"/>
      <c r="E219" s="6"/>
    </row>
    <row r="220" spans="1:6" ht="15.75" customHeight="1" x14ac:dyDescent="0.2">
      <c r="A220" s="130" t="s">
        <v>144</v>
      </c>
      <c r="B220" s="38"/>
      <c r="C220" s="38"/>
      <c r="D220" s="131">
        <v>2400</v>
      </c>
      <c r="E220" s="132" t="s">
        <v>145</v>
      </c>
    </row>
    <row r="221" spans="1:6" ht="8.25" customHeight="1" x14ac:dyDescent="0.2"/>
    <row r="222" spans="1:6" ht="25.5" customHeight="1" x14ac:dyDescent="0.2">
      <c r="A222" s="86" t="s">
        <v>146</v>
      </c>
      <c r="B222" s="87"/>
      <c r="C222" s="87"/>
      <c r="D222" s="34"/>
      <c r="E222" s="133" t="s">
        <v>147</v>
      </c>
      <c r="F222" s="134" t="str">
        <f>IFERROR(F218/D220,"-")</f>
        <v>-</v>
      </c>
    </row>
    <row r="223" spans="1:6" ht="12" customHeight="1" x14ac:dyDescent="0.2"/>
    <row r="224" spans="1:6" ht="12" customHeight="1" x14ac:dyDescent="0.2"/>
    <row r="225" spans="2:5" ht="12" customHeight="1" x14ac:dyDescent="0.2"/>
    <row r="226" spans="2:5" ht="12" customHeight="1" x14ac:dyDescent="0.2">
      <c r="B226" s="267" t="s">
        <v>148</v>
      </c>
      <c r="C226" s="267"/>
      <c r="D226" s="267"/>
    </row>
    <row r="227" spans="2:5" ht="12" customHeight="1" x14ac:dyDescent="0.2">
      <c r="B227" s="267" t="s">
        <v>149</v>
      </c>
      <c r="C227" s="267"/>
      <c r="D227" s="267"/>
      <c r="E227" s="135"/>
    </row>
    <row r="228" spans="2:5" ht="12" customHeight="1" x14ac:dyDescent="0.2">
      <c r="B228" s="270" t="s">
        <v>150</v>
      </c>
      <c r="C228" s="270"/>
      <c r="D228" s="270"/>
    </row>
    <row r="229" spans="2:5" ht="12" customHeight="1" x14ac:dyDescent="0.2">
      <c r="B229" s="267" t="s">
        <v>151</v>
      </c>
      <c r="C229" s="267"/>
      <c r="D229" s="267"/>
    </row>
    <row r="230" spans="2:5" ht="12" customHeight="1" x14ac:dyDescent="0.2">
      <c r="B230" s="267" t="s">
        <v>152</v>
      </c>
      <c r="C230" s="267"/>
      <c r="D230" s="267"/>
    </row>
    <row r="231" spans="2:5" ht="12" customHeight="1" x14ac:dyDescent="0.2">
      <c r="B231" s="267" t="s">
        <v>153</v>
      </c>
      <c r="C231" s="267"/>
      <c r="D231" s="267"/>
    </row>
    <row r="232" spans="2:5" ht="12" customHeight="1" x14ac:dyDescent="0.2">
      <c r="B232" s="267"/>
      <c r="C232" s="267"/>
      <c r="D232" s="267"/>
    </row>
    <row r="263" ht="9" customHeight="1" x14ac:dyDescent="0.2"/>
  </sheetData>
  <mergeCells count="15">
    <mergeCell ref="A1:F1"/>
    <mergeCell ref="A2:F2"/>
    <mergeCell ref="A4:F4"/>
    <mergeCell ref="A11:C11"/>
    <mergeCell ref="A25:E25"/>
    <mergeCell ref="B229:D229"/>
    <mergeCell ref="B230:D230"/>
    <mergeCell ref="B231:D231"/>
    <mergeCell ref="B232:D232"/>
    <mergeCell ref="A26:D26"/>
    <mergeCell ref="A30:D30"/>
    <mergeCell ref="B226:D226"/>
    <mergeCell ref="B227:D227"/>
    <mergeCell ref="B228:D228"/>
    <mergeCell ref="A186:E187"/>
  </mergeCells>
  <hyperlinks>
    <hyperlink ref="A99" location="AbaDeprec" display="3.1.1. Depreciação" xr:uid="{00000000-0004-0000-0000-000000000000}"/>
    <hyperlink ref="A115" location="AbaRemun" display="3.1.2. Remuneração do Capital" xr:uid="{00000000-0004-0000-0000-000001000000}"/>
  </hyperlinks>
  <pageMargins left="0.905555555555556" right="0.51180555555555596" top="0.74791666666666701" bottom="0.74791666666666701" header="0.511811023622047" footer="0.31527777777777799"/>
  <pageSetup paperSize="9" scale="72" fitToHeight="0" orientation="portrait" horizontalDpi="300" verticalDpi="300" r:id="rId1"/>
  <headerFooter>
    <oddFooter>&amp;R&amp;P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8"/>
  <sheetViews>
    <sheetView view="pageBreakPreview" zoomScale="140" zoomScaleNormal="100" zoomScalePageLayoutView="140" workbookViewId="0">
      <selection activeCell="A4" sqref="A4:C36"/>
    </sheetView>
  </sheetViews>
  <sheetFormatPr defaultColWidth="6.42578125" defaultRowHeight="12.75" x14ac:dyDescent="0.2"/>
  <cols>
    <col min="1" max="1" width="10.42578125" customWidth="1"/>
    <col min="2" max="2" width="39" customWidth="1"/>
    <col min="3" max="3" width="13.140625" customWidth="1"/>
    <col min="4" max="4" width="29.7109375" customWidth="1"/>
    <col min="11" max="11" width="8.42578125" customWidth="1"/>
  </cols>
  <sheetData>
    <row r="1" spans="1:6" x14ac:dyDescent="0.2">
      <c r="A1" s="22" t="s">
        <v>154</v>
      </c>
    </row>
    <row r="2" spans="1:6" x14ac:dyDescent="0.2">
      <c r="A2" s="9" t="s">
        <v>155</v>
      </c>
    </row>
    <row r="4" spans="1:6" ht="18" x14ac:dyDescent="0.2">
      <c r="A4" s="277" t="s">
        <v>156</v>
      </c>
      <c r="B4" s="277"/>
      <c r="C4" s="277"/>
      <c r="D4" s="136"/>
      <c r="E4" s="136"/>
      <c r="F4" s="136"/>
    </row>
    <row r="5" spans="1:6" ht="14.25" x14ac:dyDescent="0.2">
      <c r="A5" s="137" t="s">
        <v>157</v>
      </c>
      <c r="B5" s="138" t="s">
        <v>158</v>
      </c>
      <c r="C5" s="139" t="s">
        <v>159</v>
      </c>
      <c r="D5" s="140"/>
    </row>
    <row r="6" spans="1:6" ht="14.25" x14ac:dyDescent="0.2">
      <c r="A6" s="137" t="s">
        <v>160</v>
      </c>
      <c r="B6" s="138" t="s">
        <v>161</v>
      </c>
      <c r="C6" s="141">
        <v>0.2</v>
      </c>
      <c r="D6" s="140"/>
    </row>
    <row r="7" spans="1:6" ht="14.25" x14ac:dyDescent="0.2">
      <c r="A7" s="137" t="s">
        <v>162</v>
      </c>
      <c r="B7" s="138" t="s">
        <v>163</v>
      </c>
      <c r="C7" s="141">
        <v>1.4999999999999999E-2</v>
      </c>
      <c r="D7" s="140"/>
    </row>
    <row r="8" spans="1:6" ht="14.25" x14ac:dyDescent="0.2">
      <c r="A8" s="137" t="s">
        <v>164</v>
      </c>
      <c r="B8" s="138" t="s">
        <v>165</v>
      </c>
      <c r="C8" s="141">
        <v>0.01</v>
      </c>
      <c r="D8" s="140"/>
    </row>
    <row r="9" spans="1:6" ht="14.25" x14ac:dyDescent="0.2">
      <c r="A9" s="137" t="s">
        <v>166</v>
      </c>
      <c r="B9" s="138" t="s">
        <v>167</v>
      </c>
      <c r="C9" s="141">
        <v>2E-3</v>
      </c>
      <c r="D9" s="140"/>
    </row>
    <row r="10" spans="1:6" ht="14.25" x14ac:dyDescent="0.2">
      <c r="A10" s="137" t="s">
        <v>168</v>
      </c>
      <c r="B10" s="138" t="s">
        <v>169</v>
      </c>
      <c r="C10" s="141">
        <v>6.0000000000000001E-3</v>
      </c>
      <c r="D10" s="140"/>
    </row>
    <row r="11" spans="1:6" ht="14.25" x14ac:dyDescent="0.2">
      <c r="A11" s="137" t="s">
        <v>170</v>
      </c>
      <c r="B11" s="138" t="s">
        <v>171</v>
      </c>
      <c r="C11" s="141">
        <v>2.5000000000000001E-2</v>
      </c>
      <c r="D11" s="140"/>
    </row>
    <row r="12" spans="1:6" ht="14.25" x14ac:dyDescent="0.2">
      <c r="A12" s="137" t="s">
        <v>172</v>
      </c>
      <c r="B12" s="138" t="s">
        <v>173</v>
      </c>
      <c r="C12" s="141">
        <v>0.03</v>
      </c>
      <c r="D12" s="140"/>
    </row>
    <row r="13" spans="1:6" ht="14.25" x14ac:dyDescent="0.2">
      <c r="A13" s="137" t="s">
        <v>174</v>
      </c>
      <c r="B13" s="138" t="s">
        <v>175</v>
      </c>
      <c r="C13" s="141">
        <v>0.08</v>
      </c>
      <c r="D13" s="140"/>
    </row>
    <row r="14" spans="1:6" ht="14.25" x14ac:dyDescent="0.2">
      <c r="A14" s="137" t="s">
        <v>176</v>
      </c>
      <c r="B14" s="138" t="s">
        <v>177</v>
      </c>
      <c r="C14" s="141">
        <v>0</v>
      </c>
      <c r="D14" s="140"/>
    </row>
    <row r="15" spans="1:6" ht="15" x14ac:dyDescent="0.2">
      <c r="A15" s="137" t="s">
        <v>178</v>
      </c>
      <c r="B15" s="142" t="s">
        <v>179</v>
      </c>
      <c r="C15" s="143">
        <f>SUM(C6:C14)</f>
        <v>0.36800000000000005</v>
      </c>
      <c r="D15" s="140"/>
    </row>
    <row r="16" spans="1:6" ht="15" x14ac:dyDescent="0.2">
      <c r="A16" s="144"/>
      <c r="B16" s="145"/>
      <c r="C16" s="146"/>
      <c r="D16" s="140"/>
    </row>
    <row r="17" spans="1:8" ht="14.25" x14ac:dyDescent="0.2">
      <c r="A17" s="137" t="s">
        <v>180</v>
      </c>
      <c r="B17" s="138" t="s">
        <v>181</v>
      </c>
      <c r="C17" s="141">
        <v>6.4000000000000003E-3</v>
      </c>
      <c r="D17" s="140"/>
    </row>
    <row r="18" spans="1:8" ht="14.25" x14ac:dyDescent="0.2">
      <c r="A18" s="137" t="s">
        <v>182</v>
      </c>
      <c r="B18" s="138" t="s">
        <v>183</v>
      </c>
      <c r="C18" s="141">
        <v>8.3299999999999999E-2</v>
      </c>
      <c r="D18" s="140"/>
    </row>
    <row r="19" spans="1:8" ht="14.25" x14ac:dyDescent="0.2">
      <c r="A19" s="137" t="s">
        <v>184</v>
      </c>
      <c r="B19" s="138" t="s">
        <v>185</v>
      </c>
      <c r="C19" s="141">
        <v>4.0000000000000002E-4</v>
      </c>
      <c r="D19" s="140"/>
    </row>
    <row r="20" spans="1:8" ht="14.25" x14ac:dyDescent="0.2">
      <c r="A20" s="137" t="s">
        <v>186</v>
      </c>
      <c r="B20" s="138" t="s">
        <v>187</v>
      </c>
      <c r="C20" s="141">
        <v>5.5999999999999999E-3</v>
      </c>
      <c r="D20" s="140"/>
    </row>
    <row r="21" spans="1:8" ht="14.25" x14ac:dyDescent="0.2">
      <c r="A21" s="137" t="s">
        <v>188</v>
      </c>
      <c r="B21" s="138" t="s">
        <v>189</v>
      </c>
      <c r="C21" s="141">
        <v>8.0000000000000004E-4</v>
      </c>
      <c r="D21" s="140"/>
    </row>
    <row r="22" spans="1:8" ht="14.25" x14ac:dyDescent="0.2">
      <c r="A22" s="137" t="s">
        <v>190</v>
      </c>
      <c r="B22" s="138" t="s">
        <v>191</v>
      </c>
      <c r="C22" s="141">
        <v>8.7400000000000005E-2</v>
      </c>
      <c r="D22" s="140"/>
    </row>
    <row r="23" spans="1:8" ht="14.25" x14ac:dyDescent="0.2">
      <c r="A23" s="137" t="s">
        <v>192</v>
      </c>
      <c r="B23" s="138" t="s">
        <v>193</v>
      </c>
      <c r="C23" s="141">
        <v>2.9999999999999997E-4</v>
      </c>
      <c r="D23" s="140"/>
    </row>
    <row r="24" spans="1:8" ht="15" x14ac:dyDescent="0.2">
      <c r="A24" s="137" t="s">
        <v>194</v>
      </c>
      <c r="B24" s="142" t="s">
        <v>195</v>
      </c>
      <c r="C24" s="143">
        <f>SUM(C17:C23)</f>
        <v>0.1842</v>
      </c>
      <c r="D24" s="147"/>
    </row>
    <row r="25" spans="1:8" ht="15" x14ac:dyDescent="0.2">
      <c r="A25" s="144"/>
      <c r="B25" s="145"/>
      <c r="C25" s="146"/>
      <c r="D25" s="147"/>
    </row>
    <row r="26" spans="1:8" ht="14.25" x14ac:dyDescent="0.2">
      <c r="A26" s="137" t="s">
        <v>196</v>
      </c>
      <c r="B26" s="138" t="s">
        <v>197</v>
      </c>
      <c r="C26" s="141">
        <v>3.4700000000000002E-2</v>
      </c>
      <c r="D26" s="140"/>
      <c r="E26" s="148"/>
    </row>
    <row r="27" spans="1:8" ht="14.25" x14ac:dyDescent="0.2">
      <c r="A27" s="137" t="s">
        <v>198</v>
      </c>
      <c r="B27" s="138" t="s">
        <v>199</v>
      </c>
      <c r="C27" s="141">
        <v>8.0000000000000004E-4</v>
      </c>
      <c r="D27" s="140"/>
      <c r="E27" s="148"/>
    </row>
    <row r="28" spans="1:8" ht="14.25" x14ac:dyDescent="0.2">
      <c r="A28" s="137" t="s">
        <v>200</v>
      </c>
      <c r="B28" s="138" t="s">
        <v>201</v>
      </c>
      <c r="C28" s="141">
        <v>1.7100000000000001E-2</v>
      </c>
      <c r="D28" s="140"/>
      <c r="H28" s="149"/>
    </row>
    <row r="29" spans="1:8" ht="14.25" x14ac:dyDescent="0.2">
      <c r="A29" s="137" t="s">
        <v>202</v>
      </c>
      <c r="B29" s="138" t="s">
        <v>203</v>
      </c>
      <c r="C29" s="141">
        <v>1.9300000000000001E-2</v>
      </c>
      <c r="D29" s="140"/>
      <c r="G29" s="148"/>
    </row>
    <row r="30" spans="1:8" ht="14.25" x14ac:dyDescent="0.2">
      <c r="A30" s="137" t="s">
        <v>204</v>
      </c>
      <c r="B30" s="138" t="s">
        <v>205</v>
      </c>
      <c r="C30" s="141">
        <v>2.8999999999999998E-3</v>
      </c>
      <c r="D30" s="140"/>
    </row>
    <row r="31" spans="1:8" ht="15" x14ac:dyDescent="0.2">
      <c r="A31" s="137" t="s">
        <v>206</v>
      </c>
      <c r="B31" s="142" t="s">
        <v>207</v>
      </c>
      <c r="C31" s="143">
        <f>SUM(C26:C30)</f>
        <v>7.4800000000000005E-2</v>
      </c>
      <c r="D31" s="147"/>
    </row>
    <row r="32" spans="1:8" ht="15" x14ac:dyDescent="0.2">
      <c r="A32" s="144"/>
      <c r="B32" s="145"/>
      <c r="C32" s="146"/>
      <c r="D32" s="147"/>
    </row>
    <row r="33" spans="1:4" ht="14.25" x14ac:dyDescent="0.2">
      <c r="A33" s="137" t="s">
        <v>208</v>
      </c>
      <c r="B33" s="138" t="s">
        <v>209</v>
      </c>
      <c r="C33" s="141">
        <f>ROUND(C15*C24,4)</f>
        <v>6.7799999999999999E-2</v>
      </c>
      <c r="D33" s="140"/>
    </row>
    <row r="34" spans="1:4" ht="42.75" x14ac:dyDescent="0.2">
      <c r="A34" s="137" t="s">
        <v>210</v>
      </c>
      <c r="B34" s="150" t="s">
        <v>211</v>
      </c>
      <c r="C34" s="141">
        <f>ROUND((C27*C15+C13*C26),4)</f>
        <v>3.0999999999999999E-3</v>
      </c>
      <c r="D34" s="140"/>
    </row>
    <row r="35" spans="1:4" ht="15" x14ac:dyDescent="0.2">
      <c r="A35" s="137" t="s">
        <v>212</v>
      </c>
      <c r="B35" s="142" t="s">
        <v>213</v>
      </c>
      <c r="C35" s="143">
        <f>SUM(C33:C34)</f>
        <v>7.0900000000000005E-2</v>
      </c>
      <c r="D35" s="147"/>
    </row>
    <row r="36" spans="1:4" ht="15" x14ac:dyDescent="0.2">
      <c r="A36" s="151"/>
      <c r="B36" s="152" t="s">
        <v>214</v>
      </c>
      <c r="C36" s="153">
        <f>C35+C31+C24+C15</f>
        <v>0.69789999999999996</v>
      </c>
      <c r="D36" s="147"/>
    </row>
    <row r="37" spans="1:4" ht="15" x14ac:dyDescent="0.2">
      <c r="A37" s="140"/>
      <c r="B37" s="154"/>
      <c r="C37" s="155"/>
      <c r="D37" s="156"/>
    </row>
    <row r="38" spans="1:4" ht="14.25" x14ac:dyDescent="0.2">
      <c r="A38" s="140"/>
      <c r="B38" s="140"/>
      <c r="C38" s="157"/>
      <c r="D38" s="158"/>
    </row>
  </sheetData>
  <mergeCells count="1">
    <mergeCell ref="A4:C4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1"/>
  <sheetViews>
    <sheetView view="pageBreakPreview" topLeftCell="A5" zoomScale="140" zoomScaleNormal="100" zoomScalePageLayoutView="140" workbookViewId="0">
      <selection activeCell="C36" sqref="C36"/>
    </sheetView>
  </sheetViews>
  <sheetFormatPr defaultColWidth="6.42578125" defaultRowHeight="12.75" x14ac:dyDescent="0.2"/>
  <cols>
    <col min="1" max="1" width="6" customWidth="1"/>
    <col min="2" max="2" width="54.28515625" customWidth="1"/>
    <col min="3" max="3" width="15" customWidth="1"/>
    <col min="4" max="11" width="11.42578125" hidden="1" customWidth="1"/>
  </cols>
  <sheetData>
    <row r="1" spans="1:3" x14ac:dyDescent="0.2">
      <c r="A1" s="159" t="s">
        <v>215</v>
      </c>
    </row>
    <row r="3" spans="1:3" x14ac:dyDescent="0.2">
      <c r="A3" t="s">
        <v>216</v>
      </c>
    </row>
    <row r="4" spans="1:3" x14ac:dyDescent="0.2">
      <c r="A4" t="s">
        <v>217</v>
      </c>
    </row>
    <row r="5" spans="1:3" ht="25.5" customHeight="1" x14ac:dyDescent="0.2">
      <c r="A5" s="280" t="s">
        <v>218</v>
      </c>
      <c r="B5" s="280"/>
      <c r="C5" s="280"/>
    </row>
    <row r="6" spans="1:3" x14ac:dyDescent="0.2">
      <c r="A6" t="s">
        <v>219</v>
      </c>
    </row>
    <row r="7" spans="1:3" ht="26.25" customHeight="1" x14ac:dyDescent="0.2">
      <c r="A7" s="280" t="s">
        <v>220</v>
      </c>
      <c r="B7" s="280"/>
      <c r="C7" s="280"/>
    </row>
    <row r="8" spans="1:3" x14ac:dyDescent="0.2">
      <c r="A8" t="s">
        <v>221</v>
      </c>
    </row>
    <row r="9" spans="1:3" x14ac:dyDescent="0.2">
      <c r="A9" t="s">
        <v>222</v>
      </c>
    </row>
    <row r="11" spans="1:3" ht="18.75" thickBot="1" x14ac:dyDescent="0.3">
      <c r="B11" s="278" t="s">
        <v>223</v>
      </c>
      <c r="C11" s="279"/>
    </row>
    <row r="12" spans="1:3" ht="15.75" thickBot="1" x14ac:dyDescent="0.3">
      <c r="B12" s="160" t="s">
        <v>224</v>
      </c>
      <c r="C12" s="231"/>
    </row>
    <row r="13" spans="1:3" ht="15" x14ac:dyDescent="0.25">
      <c r="B13" s="162" t="s">
        <v>225</v>
      </c>
      <c r="C13" s="230">
        <v>3981</v>
      </c>
    </row>
    <row r="14" spans="1:3" ht="15" x14ac:dyDescent="0.25">
      <c r="B14" s="164" t="s">
        <v>226</v>
      </c>
      <c r="C14" s="163">
        <v>3405</v>
      </c>
    </row>
    <row r="15" spans="1:3" ht="14.25" x14ac:dyDescent="0.2">
      <c r="B15" s="165" t="s">
        <v>227</v>
      </c>
      <c r="C15" s="166">
        <v>90</v>
      </c>
    </row>
    <row r="16" spans="1:3" ht="14.25" x14ac:dyDescent="0.2">
      <c r="B16" s="165" t="s">
        <v>228</v>
      </c>
      <c r="C16" s="166">
        <v>2337</v>
      </c>
    </row>
    <row r="17" spans="1:7" ht="14.25" x14ac:dyDescent="0.2">
      <c r="B17" s="165" t="s">
        <v>229</v>
      </c>
      <c r="C17" s="166">
        <v>473</v>
      </c>
    </row>
    <row r="18" spans="1:7" ht="14.25" x14ac:dyDescent="0.2">
      <c r="B18" s="165" t="s">
        <v>230</v>
      </c>
      <c r="C18" s="166">
        <v>98</v>
      </c>
    </row>
    <row r="19" spans="1:7" ht="14.25" x14ac:dyDescent="0.2">
      <c r="B19" s="165" t="s">
        <v>231</v>
      </c>
      <c r="C19" s="166">
        <v>470</v>
      </c>
    </row>
    <row r="20" spans="1:7" ht="14.25" x14ac:dyDescent="0.2">
      <c r="B20" s="165" t="s">
        <v>232</v>
      </c>
      <c r="C20" s="166">
        <v>2</v>
      </c>
    </row>
    <row r="21" spans="1:7" ht="14.25" x14ac:dyDescent="0.2">
      <c r="B21" s="165" t="s">
        <v>233</v>
      </c>
      <c r="C21" s="166">
        <v>35</v>
      </c>
    </row>
    <row r="22" spans="1:7" ht="14.25" x14ac:dyDescent="0.2">
      <c r="B22" s="167" t="s">
        <v>234</v>
      </c>
      <c r="C22" s="168">
        <v>0</v>
      </c>
    </row>
    <row r="23" spans="1:7" ht="15" x14ac:dyDescent="0.25">
      <c r="A23" t="s">
        <v>235</v>
      </c>
      <c r="B23" s="160" t="s">
        <v>236</v>
      </c>
      <c r="C23" s="161"/>
    </row>
    <row r="24" spans="1:7" ht="14.25" x14ac:dyDescent="0.2">
      <c r="B24" s="169" t="s">
        <v>237</v>
      </c>
      <c r="C24" s="170">
        <v>0</v>
      </c>
    </row>
    <row r="25" spans="1:7" ht="14.25" x14ac:dyDescent="0.2">
      <c r="B25" s="165" t="s">
        <v>238</v>
      </c>
      <c r="C25" s="166">
        <v>6908</v>
      </c>
    </row>
    <row r="26" spans="1:7" ht="14.25" x14ac:dyDescent="0.2">
      <c r="B26" s="165"/>
      <c r="C26" s="166">
        <v>-817</v>
      </c>
    </row>
    <row r="27" spans="1:7" ht="14.25" x14ac:dyDescent="0.2">
      <c r="B27" s="171"/>
      <c r="C27" s="172"/>
    </row>
    <row r="28" spans="1:7" ht="15" x14ac:dyDescent="0.25">
      <c r="B28" s="173" t="s">
        <v>239</v>
      </c>
      <c r="C28" s="174">
        <f>MEDIAN(C13,C14)/MEDIAN(C24,C25)</f>
        <v>1.069195136074117</v>
      </c>
      <c r="G28">
        <f>12/C28</f>
        <v>11.223395613322502</v>
      </c>
    </row>
    <row r="29" spans="1:7" ht="15" x14ac:dyDescent="0.25">
      <c r="B29" s="162" t="s">
        <v>240</v>
      </c>
      <c r="C29" s="174">
        <f>C16/MEDIAN(C24,C25)</f>
        <v>0.67660683265778809</v>
      </c>
    </row>
    <row r="30" spans="1:7" ht="15" x14ac:dyDescent="0.25">
      <c r="B30" s="175" t="s">
        <v>241</v>
      </c>
      <c r="C30" s="176">
        <v>360</v>
      </c>
    </row>
    <row r="31" spans="1:7" ht="15" x14ac:dyDescent="0.25">
      <c r="B31" s="162" t="s">
        <v>242</v>
      </c>
      <c r="C31" s="176">
        <v>10</v>
      </c>
    </row>
    <row r="32" spans="1:7" ht="15" x14ac:dyDescent="0.25">
      <c r="B32" s="162" t="s">
        <v>243</v>
      </c>
      <c r="C32" s="176">
        <v>30</v>
      </c>
      <c r="G32">
        <f>TRUNC(G37)</f>
        <v>11</v>
      </c>
    </row>
    <row r="33" spans="1:11" ht="15" x14ac:dyDescent="0.25">
      <c r="B33" s="162" t="s">
        <v>244</v>
      </c>
      <c r="C33" s="176">
        <v>30</v>
      </c>
    </row>
    <row r="34" spans="1:11" s="159" customFormat="1" ht="15" x14ac:dyDescent="0.25">
      <c r="B34" s="162" t="s">
        <v>245</v>
      </c>
      <c r="C34" s="177">
        <f>MEDIAN(C24,C25)</f>
        <v>3454</v>
      </c>
    </row>
    <row r="35" spans="1:11" ht="15" x14ac:dyDescent="0.25">
      <c r="A35" s="159"/>
      <c r="B35" s="162" t="s">
        <v>175</v>
      </c>
      <c r="C35" s="178">
        <v>0.08</v>
      </c>
      <c r="D35" s="159"/>
      <c r="E35" s="159"/>
      <c r="F35" s="159"/>
      <c r="G35" s="159"/>
      <c r="H35" s="159"/>
      <c r="I35" s="159"/>
      <c r="J35" s="159"/>
      <c r="K35" s="159">
        <f>IF(C39&gt;12,C39-12,C39)</f>
        <v>11.223395613322502</v>
      </c>
    </row>
    <row r="36" spans="1:11" ht="15" x14ac:dyDescent="0.25">
      <c r="A36" s="159"/>
      <c r="B36" s="162" t="s">
        <v>246</v>
      </c>
      <c r="C36" s="178">
        <v>0.5</v>
      </c>
      <c r="D36" s="159"/>
      <c r="E36" s="159"/>
      <c r="F36" s="159"/>
      <c r="G36" s="159"/>
      <c r="H36" s="159"/>
      <c r="I36" s="159"/>
      <c r="J36" s="159"/>
      <c r="K36" s="159" t="e">
        <f>IF(#REF!&gt;12,#REF!-12,#REF!)</f>
        <v>#REF!</v>
      </c>
    </row>
    <row r="37" spans="1:11" ht="15" x14ac:dyDescent="0.25">
      <c r="A37" s="159"/>
      <c r="B37" s="162" t="s">
        <v>247</v>
      </c>
      <c r="C37" s="179">
        <f>((1/C28)-TRUNC(E37))</f>
        <v>0.93528296777687514</v>
      </c>
      <c r="D37" s="159">
        <f>TRUNC(E37)</f>
        <v>0</v>
      </c>
      <c r="E37" s="159">
        <f>1/C28</f>
        <v>0.93528296777687514</v>
      </c>
      <c r="F37" s="159">
        <f>((1/C28)-TRUNC(E37))</f>
        <v>0.93528296777687514</v>
      </c>
      <c r="G37" s="159">
        <f>12*F37</f>
        <v>11.223395613322502</v>
      </c>
      <c r="K37" s="159" t="e">
        <f>IF(#REF!&gt;12,#REF!-12,#REF!)</f>
        <v>#REF!</v>
      </c>
    </row>
    <row r="38" spans="1:11" ht="15" x14ac:dyDescent="0.25">
      <c r="A38" s="159"/>
      <c r="B38" s="160" t="s">
        <v>248</v>
      </c>
      <c r="C38" s="180">
        <f>30+D38</f>
        <v>30</v>
      </c>
      <c r="D38" s="159">
        <f>3*D37</f>
        <v>0</v>
      </c>
      <c r="G38" s="159">
        <f>G37/12*40/360</f>
        <v>0.10392032975298612</v>
      </c>
      <c r="K38" s="159" t="e">
        <f>IF(#REF!&gt;12,#REF!-12,#REF!)</f>
        <v>#REF!</v>
      </c>
    </row>
    <row r="39" spans="1:11" ht="15.75" thickBot="1" x14ac:dyDescent="0.3">
      <c r="A39" s="159"/>
      <c r="B39" s="181" t="s">
        <v>249</v>
      </c>
      <c r="C39" s="182">
        <f>12/C28</f>
        <v>11.223395613322502</v>
      </c>
      <c r="K39" s="159" t="e">
        <f>IF(#REF!&gt;12,#REF!-12,#REF!)</f>
        <v>#REF!</v>
      </c>
    </row>
    <row r="40" spans="1:11" x14ac:dyDescent="0.2">
      <c r="K40" t="e">
        <f>IF(K39&gt;12,K39-12,K39)</f>
        <v>#REF!</v>
      </c>
    </row>
    <row r="41" spans="1:11" x14ac:dyDescent="0.2">
      <c r="K41" t="e">
        <f>IF(K40&gt;12,K40-12,K40)</f>
        <v>#REF!</v>
      </c>
    </row>
  </sheetData>
  <mergeCells count="3">
    <mergeCell ref="B11:C11"/>
    <mergeCell ref="A7:C7"/>
    <mergeCell ref="A5:C5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view="pageBreakPreview" topLeftCell="A6" zoomScale="140" zoomScaleNormal="100" zoomScalePageLayoutView="140" workbookViewId="0">
      <selection activeCell="C13" sqref="C13"/>
    </sheetView>
  </sheetViews>
  <sheetFormatPr defaultColWidth="8.5703125" defaultRowHeight="12.75" x14ac:dyDescent="0.2"/>
  <cols>
    <col min="1" max="1" width="33.42578125" customWidth="1"/>
    <col min="2" max="2" width="6" customWidth="1"/>
    <col min="4" max="4" width="9.7109375" customWidth="1"/>
    <col min="5" max="5" width="10.140625" style="183" customWidth="1"/>
    <col min="6" max="6" width="9.85546875" customWidth="1"/>
  </cols>
  <sheetData>
    <row r="1" spans="1:8" s="184" customFormat="1" ht="14.25" x14ac:dyDescent="0.2">
      <c r="A1" s="22" t="s">
        <v>154</v>
      </c>
      <c r="B1" s="7"/>
      <c r="C1" s="7"/>
      <c r="E1" s="185"/>
    </row>
    <row r="2" spans="1:8" ht="14.25" x14ac:dyDescent="0.2">
      <c r="A2" s="9" t="s">
        <v>250</v>
      </c>
      <c r="B2" s="7"/>
      <c r="C2" s="7"/>
      <c r="E2" s="185"/>
    </row>
    <row r="3" spans="1:8" ht="14.25" x14ac:dyDescent="0.2">
      <c r="A3" s="4" t="s">
        <v>251</v>
      </c>
      <c r="B3" s="7"/>
      <c r="C3" s="7"/>
      <c r="E3" s="185"/>
    </row>
    <row r="4" spans="1:8" ht="14.25" x14ac:dyDescent="0.2">
      <c r="A4" s="9"/>
      <c r="B4" s="7"/>
      <c r="C4" s="7"/>
      <c r="E4" s="185"/>
    </row>
    <row r="5" spans="1:8" ht="14.25" x14ac:dyDescent="0.2">
      <c r="B5" s="7"/>
      <c r="C5" s="7"/>
      <c r="E5" s="185"/>
    </row>
    <row r="6" spans="1:8" ht="15.75" x14ac:dyDescent="0.2">
      <c r="A6" s="281" t="s">
        <v>252</v>
      </c>
      <c r="B6" s="281"/>
      <c r="C6" s="281"/>
      <c r="D6" s="281"/>
      <c r="E6" s="281"/>
      <c r="F6" s="281"/>
    </row>
    <row r="7" spans="1:8" ht="15.75" x14ac:dyDescent="0.2">
      <c r="A7" s="186"/>
      <c r="B7" s="135"/>
      <c r="C7" s="135"/>
      <c r="D7" s="135"/>
      <c r="E7" s="135"/>
      <c r="F7" s="187"/>
    </row>
    <row r="8" spans="1:8" ht="15" x14ac:dyDescent="0.25">
      <c r="A8" s="188"/>
      <c r="B8" s="7"/>
      <c r="C8" s="7"/>
      <c r="D8" s="282" t="s">
        <v>253</v>
      </c>
      <c r="E8" s="282"/>
      <c r="F8" s="282"/>
      <c r="G8" s="184"/>
      <c r="H8" s="184"/>
    </row>
    <row r="9" spans="1:8" ht="14.25" x14ac:dyDescent="0.2">
      <c r="A9" s="171"/>
      <c r="B9" s="184"/>
      <c r="C9" s="184"/>
      <c r="D9" s="189" t="s">
        <v>254</v>
      </c>
      <c r="E9" s="190" t="s">
        <v>255</v>
      </c>
      <c r="F9" s="191" t="s">
        <v>256</v>
      </c>
      <c r="G9" s="184"/>
      <c r="H9" s="184"/>
    </row>
    <row r="10" spans="1:8" ht="14.25" x14ac:dyDescent="0.2">
      <c r="A10" s="192" t="s">
        <v>257</v>
      </c>
      <c r="B10" s="193" t="s">
        <v>258</v>
      </c>
      <c r="C10" s="194">
        <f>D10</f>
        <v>2.9700000000000001E-2</v>
      </c>
      <c r="D10" s="195">
        <v>2.9700000000000001E-2</v>
      </c>
      <c r="E10" s="196">
        <v>5.0799999999999998E-2</v>
      </c>
      <c r="F10" s="197">
        <v>6.2700000000000006E-2</v>
      </c>
      <c r="G10" s="184"/>
      <c r="H10" s="184"/>
    </row>
    <row r="11" spans="1:8" ht="14.25" x14ac:dyDescent="0.2">
      <c r="A11" s="198" t="s">
        <v>259</v>
      </c>
      <c r="B11" s="199" t="s">
        <v>260</v>
      </c>
      <c r="C11" s="200">
        <f>D11</f>
        <v>8.6E-3</v>
      </c>
      <c r="D11" s="195">
        <f>0.003+0.0056</f>
        <v>8.6E-3</v>
      </c>
      <c r="E11" s="196">
        <f>0.0048+0.0085</f>
        <v>1.3299999999999999E-2</v>
      </c>
      <c r="F11" s="197">
        <f>0.0082+0.0089</f>
        <v>1.7100000000000001E-2</v>
      </c>
      <c r="G11" s="184"/>
      <c r="H11" s="184"/>
    </row>
    <row r="12" spans="1:8" ht="14.25" x14ac:dyDescent="0.2">
      <c r="A12" s="198" t="s">
        <v>261</v>
      </c>
      <c r="B12" s="199" t="s">
        <v>262</v>
      </c>
      <c r="C12" s="200">
        <f>D12</f>
        <v>7.7799999999999994E-2</v>
      </c>
      <c r="D12" s="195">
        <v>7.7799999999999994E-2</v>
      </c>
      <c r="E12" s="196">
        <v>0.1085</v>
      </c>
      <c r="F12" s="197">
        <v>0.13550000000000001</v>
      </c>
      <c r="G12" s="184"/>
      <c r="H12" s="184"/>
    </row>
    <row r="13" spans="1:8" ht="14.25" x14ac:dyDescent="0.2">
      <c r="A13" s="198" t="s">
        <v>263</v>
      </c>
      <c r="B13" s="199" t="s">
        <v>264</v>
      </c>
      <c r="C13" s="201">
        <f>(1+E13)^(E14/252)-1</f>
        <v>1.1848205673102186E-2</v>
      </c>
      <c r="D13" s="195" t="s">
        <v>265</v>
      </c>
      <c r="E13" s="202">
        <v>0.104</v>
      </c>
      <c r="F13" s="203"/>
      <c r="G13" s="184"/>
      <c r="H13" s="184"/>
    </row>
    <row r="14" spans="1:8" ht="14.25" x14ac:dyDescent="0.2">
      <c r="A14" s="198" t="s">
        <v>266</v>
      </c>
      <c r="B14" s="283" t="s">
        <v>267</v>
      </c>
      <c r="C14" s="200">
        <v>5.0029999999999998E-2</v>
      </c>
      <c r="D14" s="204" t="s">
        <v>268</v>
      </c>
      <c r="E14" s="205">
        <v>30</v>
      </c>
      <c r="F14" s="206"/>
      <c r="G14" s="184"/>
      <c r="H14" s="184"/>
    </row>
    <row r="15" spans="1:8" ht="14.25" x14ac:dyDescent="0.2">
      <c r="A15" s="207" t="s">
        <v>269</v>
      </c>
      <c r="B15" s="283"/>
      <c r="C15" s="208">
        <v>3.6499999999999998E-2</v>
      </c>
      <c r="D15" s="165"/>
      <c r="E15" s="209"/>
      <c r="F15" s="206"/>
      <c r="G15" s="184"/>
      <c r="H15" s="184"/>
    </row>
    <row r="16" spans="1:8" ht="14.25" x14ac:dyDescent="0.2">
      <c r="A16" s="210" t="s">
        <v>270</v>
      </c>
      <c r="B16" s="211"/>
      <c r="C16" s="212"/>
      <c r="D16" s="165"/>
      <c r="E16" s="209"/>
      <c r="F16" s="206"/>
      <c r="G16" s="184"/>
      <c r="H16" s="184"/>
    </row>
    <row r="17" spans="1:8" ht="14.25" x14ac:dyDescent="0.2">
      <c r="A17" s="213" t="s">
        <v>271</v>
      </c>
      <c r="B17" s="214"/>
      <c r="C17" s="215"/>
      <c r="D17" s="165"/>
      <c r="E17" s="209"/>
      <c r="F17" s="206"/>
      <c r="G17" s="184"/>
      <c r="H17" s="184"/>
    </row>
    <row r="18" spans="1:8" ht="15" x14ac:dyDescent="0.2">
      <c r="A18" s="216" t="s">
        <v>272</v>
      </c>
      <c r="B18" s="217"/>
      <c r="C18" s="218">
        <f>ROUND((((1+C10+C11)*(1+C12)*(1+C13))/(1-(C14+C15))-1),4)</f>
        <v>0.23960000000000001</v>
      </c>
      <c r="D18" s="219">
        <v>0.21429999999999999</v>
      </c>
      <c r="E18" s="220">
        <v>0.2717</v>
      </c>
      <c r="F18" s="221">
        <v>0.3362</v>
      </c>
      <c r="G18" s="184"/>
      <c r="H18" s="184"/>
    </row>
  </sheetData>
  <mergeCells count="3">
    <mergeCell ref="A6:F6"/>
    <mergeCell ref="D8:F8"/>
    <mergeCell ref="B14:B15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view="pageBreakPreview" zoomScale="140" zoomScaleNormal="100" zoomScalePageLayoutView="140" workbookViewId="0">
      <selection activeCell="B13" sqref="B12:B13"/>
    </sheetView>
  </sheetViews>
  <sheetFormatPr defaultColWidth="6.42578125" defaultRowHeight="12.75" x14ac:dyDescent="0.2"/>
  <cols>
    <col min="1" max="1" width="23.5703125" customWidth="1"/>
    <col min="2" max="2" width="20.140625" customWidth="1"/>
  </cols>
  <sheetData>
    <row r="1" spans="1:2" ht="19.5" customHeight="1" x14ac:dyDescent="0.2">
      <c r="A1" s="284" t="s">
        <v>273</v>
      </c>
      <c r="B1" s="284"/>
    </row>
    <row r="2" spans="1:2" s="159" customFormat="1" ht="19.5" customHeight="1" x14ac:dyDescent="0.2">
      <c r="A2" s="233" t="s">
        <v>274</v>
      </c>
      <c r="B2" s="232" t="s">
        <v>275</v>
      </c>
    </row>
    <row r="3" spans="1:2" ht="19.5" customHeight="1" x14ac:dyDescent="0.2">
      <c r="A3" s="222">
        <v>1</v>
      </c>
      <c r="B3" s="223">
        <v>33.630000000000003</v>
      </c>
    </row>
    <row r="4" spans="1:2" ht="19.5" customHeight="1" x14ac:dyDescent="0.2">
      <c r="A4" s="222">
        <v>2</v>
      </c>
      <c r="B4" s="223">
        <v>43.13</v>
      </c>
    </row>
    <row r="5" spans="1:2" ht="19.5" customHeight="1" x14ac:dyDescent="0.2">
      <c r="A5" s="222">
        <v>3</v>
      </c>
      <c r="B5" s="223">
        <v>48.68</v>
      </c>
    </row>
    <row r="6" spans="1:2" ht="19.5" customHeight="1" x14ac:dyDescent="0.2">
      <c r="A6" s="222">
        <v>4</v>
      </c>
      <c r="B6" s="223">
        <v>52.62</v>
      </c>
    </row>
    <row r="7" spans="1:2" ht="19.5" customHeight="1" x14ac:dyDescent="0.2">
      <c r="A7" s="222">
        <v>5</v>
      </c>
      <c r="B7" s="223">
        <v>55.68</v>
      </c>
    </row>
    <row r="8" spans="1:2" ht="19.5" customHeight="1" x14ac:dyDescent="0.2">
      <c r="A8" s="222">
        <v>6</v>
      </c>
      <c r="B8" s="223">
        <v>58.18</v>
      </c>
    </row>
    <row r="9" spans="1:2" ht="19.5" customHeight="1" x14ac:dyDescent="0.2">
      <c r="A9" s="222">
        <v>7</v>
      </c>
      <c r="B9" s="223">
        <v>60.29</v>
      </c>
    </row>
    <row r="10" spans="1:2" ht="19.5" customHeight="1" x14ac:dyDescent="0.2">
      <c r="A10" s="222">
        <v>8</v>
      </c>
      <c r="B10" s="223">
        <v>62.12</v>
      </c>
    </row>
    <row r="11" spans="1:2" ht="19.5" customHeight="1" x14ac:dyDescent="0.2">
      <c r="A11" s="222">
        <v>9</v>
      </c>
      <c r="B11" s="223">
        <v>63.73</v>
      </c>
    </row>
    <row r="12" spans="1:2" ht="19.5" customHeight="1" x14ac:dyDescent="0.2">
      <c r="A12" s="222">
        <v>10</v>
      </c>
      <c r="B12" s="223">
        <v>65.180000000000007</v>
      </c>
    </row>
    <row r="13" spans="1:2" ht="19.5" customHeight="1" x14ac:dyDescent="0.2">
      <c r="A13" s="222">
        <v>11</v>
      </c>
      <c r="B13" s="223">
        <v>66.48</v>
      </c>
    </row>
    <row r="14" spans="1:2" ht="19.5" customHeight="1" x14ac:dyDescent="0.2">
      <c r="A14" s="222">
        <v>12</v>
      </c>
      <c r="B14" s="223">
        <v>67.67</v>
      </c>
    </row>
    <row r="15" spans="1:2" ht="19.5" customHeight="1" x14ac:dyDescent="0.2">
      <c r="A15" s="222">
        <v>13</v>
      </c>
      <c r="B15" s="223">
        <v>68.77</v>
      </c>
    </row>
    <row r="16" spans="1:2" ht="19.5" customHeight="1" x14ac:dyDescent="0.2">
      <c r="A16" s="222">
        <v>14</v>
      </c>
      <c r="B16" s="223">
        <v>69.790000000000006</v>
      </c>
    </row>
    <row r="17" spans="1:2" ht="19.5" customHeight="1" x14ac:dyDescent="0.2">
      <c r="A17" s="224">
        <v>15</v>
      </c>
      <c r="B17" s="225">
        <v>70.73</v>
      </c>
    </row>
  </sheetData>
  <mergeCells count="1">
    <mergeCell ref="A1:B1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view="pageBreakPreview" zoomScale="140" zoomScaleNormal="100" zoomScalePageLayoutView="140" workbookViewId="0">
      <selection activeCell="F16" sqref="F16"/>
    </sheetView>
  </sheetViews>
  <sheetFormatPr defaultColWidth="6.42578125" defaultRowHeight="12.75" x14ac:dyDescent="0.2"/>
  <cols>
    <col min="1" max="1" width="56.85546875" customWidth="1"/>
    <col min="4" max="4" width="9.7109375" customWidth="1"/>
  </cols>
  <sheetData>
    <row r="1" spans="1:1" ht="18" x14ac:dyDescent="0.25">
      <c r="A1" s="226" t="s">
        <v>276</v>
      </c>
    </row>
    <row r="2" spans="1:1" x14ac:dyDescent="0.2">
      <c r="A2" s="227"/>
    </row>
    <row r="3" spans="1:1" x14ac:dyDescent="0.2">
      <c r="A3" s="227" t="s">
        <v>277</v>
      </c>
    </row>
    <row r="4" spans="1:1" x14ac:dyDescent="0.2">
      <c r="A4" s="227"/>
    </row>
    <row r="5" spans="1:1" x14ac:dyDescent="0.2">
      <c r="A5" s="227"/>
    </row>
    <row r="6" spans="1:1" x14ac:dyDescent="0.2">
      <c r="A6" s="227"/>
    </row>
    <row r="7" spans="1:1" x14ac:dyDescent="0.2">
      <c r="A7" s="227"/>
    </row>
    <row r="8" spans="1:1" x14ac:dyDescent="0.2">
      <c r="A8" s="227"/>
    </row>
    <row r="9" spans="1:1" x14ac:dyDescent="0.2">
      <c r="A9" s="227"/>
    </row>
    <row r="10" spans="1:1" x14ac:dyDescent="0.2">
      <c r="A10" s="227"/>
    </row>
    <row r="11" spans="1:1" x14ac:dyDescent="0.2">
      <c r="A11" s="227"/>
    </row>
    <row r="12" spans="1:1" ht="19.5" x14ac:dyDescent="0.35">
      <c r="A12" s="228" t="s">
        <v>278</v>
      </c>
    </row>
    <row r="13" spans="1:1" ht="30" x14ac:dyDescent="0.2">
      <c r="A13" s="228" t="s">
        <v>279</v>
      </c>
    </row>
    <row r="14" spans="1:1" ht="15" x14ac:dyDescent="0.2">
      <c r="A14" s="228" t="s">
        <v>280</v>
      </c>
    </row>
    <row r="15" spans="1:1" ht="19.5" x14ac:dyDescent="0.35">
      <c r="A15" s="228" t="s">
        <v>281</v>
      </c>
    </row>
    <row r="16" spans="1:1" ht="19.5" x14ac:dyDescent="0.35">
      <c r="A16" s="228" t="s">
        <v>282</v>
      </c>
    </row>
    <row r="17" spans="1:1" ht="15" x14ac:dyDescent="0.2">
      <c r="A17" s="229" t="s">
        <v>283</v>
      </c>
    </row>
  </sheetData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1. Transporte</vt:lpstr>
      <vt:lpstr>2.Encargos Sociais</vt:lpstr>
      <vt:lpstr>3.CAGED</vt:lpstr>
      <vt:lpstr>4.BDI</vt:lpstr>
      <vt:lpstr>5. Depreciação</vt:lpstr>
      <vt:lpstr>6.Remuneração de capital</vt:lpstr>
      <vt:lpstr>AbaDeprec</vt:lpstr>
      <vt:lpstr>AbaRemun</vt:lpstr>
      <vt:lpstr>'1. Transporte'!Area_de_impressao</vt:lpstr>
      <vt:lpstr>'2.Encargos Sociais'!Area_de_impressao</vt:lpstr>
    </vt:vector>
  </TitlesOfParts>
  <Manager/>
  <Company>dmlu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cp:keywords/>
  <dc:description/>
  <cp:lastModifiedBy>SEFIR</cp:lastModifiedBy>
  <cp:revision>101</cp:revision>
  <dcterms:created xsi:type="dcterms:W3CDTF">2000-12-13T10:02:50Z</dcterms:created>
  <dcterms:modified xsi:type="dcterms:W3CDTF">2024-07-02T13:48:46Z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