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 2025\Pedidos de Compras 2025\PEDIDOS\Nº 08-2025 - TRANSPORTE LICITAÇÃO\PLANILHA DE CUSTOS\"/>
    </mc:Choice>
  </mc:AlternateContent>
  <bookViews>
    <workbookView xWindow="-120" yWindow="-120" windowWidth="29040" windowHeight="15720" firstSheet="2" activeTab="6"/>
  </bookViews>
  <sheets>
    <sheet name="Identificação" sheetId="9" r:id="rId1"/>
    <sheet name="Encargos" sheetId="4" r:id="rId2"/>
    <sheet name="Mão de obra" sheetId="5" r:id="rId3"/>
    <sheet name="Remuneração de capital" sheetId="6" r:id="rId4"/>
    <sheet name="Impostos e manutenção" sheetId="7" r:id="rId5"/>
    <sheet name="BDI" sheetId="8" r:id="rId6"/>
    <sheet name="Composição de custos" sheetId="2" r:id="rId7"/>
    <sheet name="Plan1" sheetId="10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7" l="1"/>
  <c r="B14" i="7" l="1"/>
  <c r="E60" i="5" l="1"/>
  <c r="F61" i="5" s="1"/>
  <c r="E61" i="5" l="1"/>
  <c r="B9" i="2" l="1"/>
  <c r="B21" i="2"/>
  <c r="D28" i="7" l="1"/>
  <c r="C5" i="6"/>
  <c r="C34" i="7" l="1"/>
  <c r="D12" i="6" l="1"/>
  <c r="C4" i="6"/>
  <c r="D25" i="6"/>
  <c r="E17" i="5" l="1"/>
  <c r="E25" i="6" l="1"/>
  <c r="C14" i="6"/>
  <c r="C16" i="6"/>
  <c r="E12" i="6"/>
  <c r="D15" i="6" l="1"/>
  <c r="E15" i="6" s="1"/>
  <c r="D16" i="6" s="1"/>
  <c r="E16" i="6" s="1"/>
  <c r="E17" i="6" s="1"/>
  <c r="D18" i="6" l="1"/>
  <c r="E18" i="6" s="1"/>
  <c r="C11" i="8" l="1"/>
  <c r="C19" i="8" s="1"/>
  <c r="B1" i="7"/>
  <c r="E10" i="7" s="1"/>
  <c r="C8" i="7"/>
  <c r="E8" i="7" s="1"/>
  <c r="C7" i="7"/>
  <c r="E7" i="7" s="1"/>
  <c r="C6" i="7"/>
  <c r="E6" i="7" s="1"/>
  <c r="C43" i="7"/>
  <c r="C41" i="7"/>
  <c r="E41" i="7" s="1"/>
  <c r="E39" i="7"/>
  <c r="D26" i="7"/>
  <c r="D24" i="7"/>
  <c r="D22" i="7"/>
  <c r="D20" i="7"/>
  <c r="D18" i="7"/>
  <c r="C18" i="7"/>
  <c r="C8" i="6"/>
  <c r="C26" i="7" l="1"/>
  <c r="C28" i="7"/>
  <c r="E28" i="7" s="1"/>
  <c r="C24" i="7"/>
  <c r="E24" i="7" s="1"/>
  <c r="D29" i="7"/>
  <c r="E26" i="7"/>
  <c r="F7" i="7"/>
  <c r="F8" i="7"/>
  <c r="F6" i="7"/>
  <c r="E32" i="6"/>
  <c r="E19" i="6"/>
  <c r="F19" i="6" s="1"/>
  <c r="B11" i="2" s="1"/>
  <c r="D9" i="7"/>
  <c r="E9" i="7" s="1"/>
  <c r="F10" i="7" s="1"/>
  <c r="D42" i="7"/>
  <c r="E42" i="7" s="1"/>
  <c r="D43" i="7" s="1"/>
  <c r="E43" i="7" s="1"/>
  <c r="F44" i="7" s="1"/>
  <c r="B16" i="2" s="1"/>
  <c r="C20" i="7"/>
  <c r="E20" i="7" s="1"/>
  <c r="E34" i="7"/>
  <c r="F35" i="7" s="1"/>
  <c r="B15" i="2" s="1"/>
  <c r="E18" i="7"/>
  <c r="C22" i="7"/>
  <c r="E22" i="7" s="1"/>
  <c r="F30" i="7" l="1"/>
  <c r="B14" i="2" s="1"/>
  <c r="B13" i="2"/>
  <c r="C7" i="6"/>
  <c r="C28" i="6" s="1"/>
  <c r="D29" i="6" s="1"/>
  <c r="E29" i="6" s="1"/>
  <c r="E30" i="6" s="1"/>
  <c r="D31" i="6" s="1"/>
  <c r="E31" i="6" s="1"/>
  <c r="F32" i="6" s="1"/>
  <c r="B12" i="2" s="1"/>
  <c r="E56" i="5"/>
  <c r="F46" i="7" l="1"/>
  <c r="B10" i="2"/>
  <c r="C27" i="6"/>
  <c r="E38" i="5"/>
  <c r="E55" i="5"/>
  <c r="E50" i="5"/>
  <c r="F51" i="5" s="1"/>
  <c r="B7" i="2" s="1"/>
  <c r="A50" i="5"/>
  <c r="A55" i="5" s="1"/>
  <c r="A60" i="5" s="1"/>
  <c r="D33" i="5"/>
  <c r="C33" i="5"/>
  <c r="C30" i="5"/>
  <c r="C27" i="5"/>
  <c r="C24" i="5"/>
  <c r="D22" i="5"/>
  <c r="D21" i="5"/>
  <c r="D28" i="5" s="1"/>
  <c r="E28" i="5" s="1"/>
  <c r="D9" i="5"/>
  <c r="E9" i="5" s="1"/>
  <c r="D8" i="5"/>
  <c r="E8" i="5" s="1"/>
  <c r="E6" i="5"/>
  <c r="D45" i="5" s="1"/>
  <c r="D10" i="5" l="1"/>
  <c r="E10" i="5" s="1"/>
  <c r="D12" i="5" s="1"/>
  <c r="E12" i="5" s="1"/>
  <c r="E33" i="5"/>
  <c r="E45" i="5"/>
  <c r="F46" i="5" s="1"/>
  <c r="B6" i="2" s="1"/>
  <c r="F56" i="5"/>
  <c r="D24" i="5"/>
  <c r="E24" i="5" s="1"/>
  <c r="D25" i="5"/>
  <c r="E25" i="5" s="1"/>
  <c r="D30" i="5"/>
  <c r="E30" i="5" s="1"/>
  <c r="E21" i="5"/>
  <c r="D27" i="5"/>
  <c r="E27" i="5" s="1"/>
  <c r="B8" i="2" l="1"/>
  <c r="E13" i="5"/>
  <c r="D14" i="5" s="1"/>
  <c r="D31" i="5"/>
  <c r="E31" i="5" s="1"/>
  <c r="E34" i="5" s="1"/>
  <c r="D35" i="5" l="1"/>
  <c r="C11" i="4" l="1"/>
  <c r="C29" i="4" l="1"/>
  <c r="C19" i="4"/>
  <c r="C28" i="4" s="1"/>
  <c r="C30" i="4" l="1"/>
  <c r="C23" i="4"/>
  <c r="C26" i="4" s="1"/>
  <c r="C31" i="4" l="1"/>
  <c r="C14" i="5" s="1"/>
  <c r="E14" i="5" s="1"/>
  <c r="E15" i="5" s="1"/>
  <c r="D16" i="5" s="1"/>
  <c r="E16" i="5" s="1"/>
  <c r="F17" i="5" s="1"/>
  <c r="B4" i="2" s="1"/>
  <c r="C35" i="5" l="1"/>
  <c r="E35" i="5" s="1"/>
  <c r="E36" i="5" s="1"/>
  <c r="D37" i="5" s="1"/>
  <c r="E37" i="5" s="1"/>
  <c r="F38" i="5" s="1"/>
  <c r="F63" i="5" l="1"/>
  <c r="F15" i="8" s="1"/>
  <c r="D19" i="8" s="1"/>
  <c r="E19" i="8" s="1"/>
  <c r="F20" i="8" s="1"/>
  <c r="F22" i="8" s="1"/>
  <c r="B17" i="2" s="1"/>
  <c r="B5" i="2"/>
  <c r="B3" i="2" l="1"/>
  <c r="B18" i="2" s="1"/>
  <c r="C5" i="2" l="1"/>
  <c r="C6" i="2"/>
  <c r="C8" i="2"/>
  <c r="C4" i="2"/>
  <c r="C22" i="2"/>
  <c r="C16" i="2"/>
  <c r="C14" i="2"/>
  <c r="C17" i="2"/>
  <c r="C7" i="2"/>
  <c r="C12" i="2"/>
  <c r="C11" i="2"/>
  <c r="C9" i="2"/>
  <c r="C13" i="2"/>
  <c r="C15" i="2"/>
  <c r="C10" i="2"/>
  <c r="C3" i="2"/>
  <c r="C18" i="2" l="1"/>
</calcChain>
</file>

<file path=xl/comments1.xml><?xml version="1.0" encoding="utf-8"?>
<comments xmlns="http://schemas.openxmlformats.org/spreadsheetml/2006/main">
  <authors>
    <author>Mara</author>
  </authors>
  <commentList>
    <comment ref="B11" authorId="0" shapeId="0">
      <text>
        <r>
          <rPr>
            <b/>
            <sz val="9"/>
            <color indexed="81"/>
            <rFont val="Tahoma"/>
            <charset val="1"/>
          </rPr>
          <t>Obrigações obrigatórias por Lei que incidem sobre a folha</t>
        </r>
      </text>
    </comment>
    <comment ref="C15" authorId="0" shapeId="0">
      <text>
        <r>
          <rPr>
            <b/>
            <sz val="9"/>
            <color indexed="81"/>
            <rFont val="Tahoma"/>
            <charset val="1"/>
          </rPr>
          <t xml:space="preserve">Orientação do cálculo na apostila e de acordo com o material do TCE RS </t>
        </r>
      </text>
    </comment>
    <comment ref="C16" authorId="0" shapeId="0">
      <text>
        <r>
          <rPr>
            <b/>
            <sz val="9"/>
            <color indexed="81"/>
            <rFont val="Tahoma"/>
            <charset val="1"/>
          </rPr>
          <t xml:space="preserve">Orientação do cálculo na apostila e de acordo com o material do TCE RS </t>
        </r>
      </text>
    </comment>
    <comment ref="C17" authorId="0" shapeId="0">
      <text>
        <r>
          <rPr>
            <b/>
            <sz val="9"/>
            <color indexed="81"/>
            <rFont val="Tahoma"/>
            <charset val="1"/>
          </rPr>
          <t xml:space="preserve">Orientação do cálculo na apostila e de acordo com o material do TCE RS </t>
        </r>
      </text>
    </comment>
    <comment ref="C18" authorId="0" shapeId="0">
      <text>
        <r>
          <rPr>
            <b/>
            <sz val="9"/>
            <color indexed="81"/>
            <rFont val="Tahoma"/>
            <charset val="1"/>
          </rPr>
          <t xml:space="preserve">Orientação do cálculo na apostila e de acordo com o material do TCE RS </t>
        </r>
      </text>
    </comment>
    <comment ref="B19" authorId="0" shapeId="0">
      <text>
        <r>
          <rPr>
            <b/>
            <sz val="9"/>
            <color indexed="81"/>
            <rFont val="Tahoma"/>
            <charset val="1"/>
          </rPr>
          <t>Corresponde aos encargos sobre valores pagos aos trabalhadores
como salário em dias em que não há prestação de serviços</t>
        </r>
      </text>
    </comment>
    <comment ref="B26" authorId="0" shapeId="0">
      <text>
        <r>
          <rPr>
            <b/>
            <sz val="9"/>
            <color indexed="81"/>
            <rFont val="Tahoma"/>
            <charset val="1"/>
          </rPr>
          <t>Encargos sobre valores pagos aos
empregados, mas que não sofrem incidência direta dos encargos do Grupo A</t>
        </r>
      </text>
    </comment>
    <comment ref="B30" authorId="0" shapeId="0">
      <text>
        <r>
          <rPr>
            <b/>
            <sz val="9"/>
            <color indexed="81"/>
            <rFont val="Tahoma"/>
            <charset val="1"/>
          </rPr>
          <t>Corresponde ao percentual de encargos sociais originado da
reincidência de um encargo ou grupo de encargos sobre outro</t>
        </r>
      </text>
    </comment>
  </commentList>
</comments>
</file>

<file path=xl/comments2.xml><?xml version="1.0" encoding="utf-8"?>
<comments xmlns="http://schemas.openxmlformats.org/spreadsheetml/2006/main">
  <authors>
    <author>Mara</author>
    <author>Clauber Bridi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É o percentual referente ao tempo em que os equipamentos, veículos e mão de obra ficam envolvidos com a prestação dos serviços contratados. É calculado em função das horas trabalhadas por semana no cumprimento do contrato.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horas. Ex. 16/44=0,3636 * 100 = 36,36%</t>
        </r>
      </text>
    </comment>
    <comment ref="D6" authorId="0" shapeId="0">
      <text>
        <r>
          <rPr>
            <b/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7" authorId="0" shapeId="0">
      <text>
        <r>
          <rPr>
            <b/>
            <sz val="9"/>
            <color indexed="81"/>
            <rFont val="Tahoma"/>
            <family val="2"/>
          </rPr>
          <t>Informar o valor do salário Mínimo Nacional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 xml:space="preserve">Informar o número de horas extras trabalhadas em horário diurno de segunda a sábado </t>
        </r>
      </text>
    </comment>
    <comment ref="A10" authorId="1" shape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Informar a quantidade de trabalhadores na função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Informar o número de horas extras trabalhadas em horário noturno nos domingos e feriados</t>
        </r>
      </text>
    </comment>
    <comment ref="C26" authorId="0" shapeId="0">
      <text>
        <r>
          <rPr>
            <b/>
            <sz val="8"/>
            <color indexed="81"/>
            <rFont val="Tahoma"/>
            <family val="2"/>
          </rPr>
          <t>Informar o número de horas extras trabalhadas em horário noturno (das 22:00h as 5h) nos domingos e feriados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29" authorId="0" shapeId="0">
      <text>
        <r>
          <rPr>
            <b/>
            <sz val="8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31" authorId="1" shapeId="0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</t>
        </r>
      </text>
    </comment>
    <comment ref="C35" authorId="1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Informar a quantidade de trabalhadores na função</t>
        </r>
      </text>
    </comment>
    <comment ref="D43" authorId="0" shapeId="0">
      <text>
        <r>
          <rPr>
            <b/>
            <sz val="9"/>
            <color indexed="81"/>
            <rFont val="Tahoma"/>
            <family val="2"/>
          </rPr>
          <t>Informar o valor unitário do VT no município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Informar o número médio de dias trabalhados por mês</t>
        </r>
      </text>
    </comment>
    <comment ref="D45" authorId="1" shapeId="0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50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55" authorId="0" shapeId="0">
      <text>
        <r>
          <rPr>
            <b/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60" authorId="0" shapeId="0">
      <text>
        <r>
          <rPr>
            <b/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</commentList>
</comments>
</file>

<file path=xl/comments3.xml><?xml version="1.0" encoding="utf-8"?>
<comments xmlns="http://schemas.openxmlformats.org/spreadsheetml/2006/main">
  <authors>
    <author>Mara</author>
  </authors>
  <commentList>
    <comment ref="C2" authorId="0" shapeId="0">
      <text>
        <r>
          <rPr>
            <b/>
            <sz val="9"/>
            <color indexed="81"/>
            <rFont val="Tahoma"/>
            <family val="2"/>
          </rPr>
          <t xml:space="preserve">Informar o valor do veículo novo. Admitido a utilização da tabela FIPE
</t>
        </r>
      </text>
    </comment>
    <comment ref="C3" authorId="0" shapeId="0">
      <text>
        <r>
          <rPr>
            <sz val="9"/>
            <color indexed="81"/>
            <rFont val="Tahoma"/>
            <family val="2"/>
          </rPr>
          <t>Informar a vida útil estimada para o veículo, em anos</t>
        </r>
      </text>
    </comment>
    <comment ref="C5" authorId="0" shapeId="0">
      <text>
        <r>
          <rPr>
            <b/>
            <sz val="9"/>
            <color indexed="81"/>
            <rFont val="Tahoma"/>
            <family val="2"/>
          </rPr>
          <t>Informar o valor residual estimado</t>
        </r>
      </text>
    </comment>
    <comment ref="C6" authorId="0" shape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 xml:space="preserve">Informar a quantidade de veículos do respectivo modelo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 xml:space="preserve">Informar a taxa de juros anual para remuneração do capital. Recomenda-se o uso da Taxa SELIC
</t>
        </r>
      </text>
    </comment>
  </commentList>
</comments>
</file>

<file path=xl/comments4.xml><?xml version="1.0" encoding="utf-8"?>
<comments xmlns="http://schemas.openxmlformats.org/spreadsheetml/2006/main">
  <authors>
    <author>Mara</author>
    <author>Rafael - Educ</author>
  </authors>
  <commentList>
    <comment ref="D7" authorId="0" shapeId="0">
      <text>
        <r>
          <rPr>
            <b/>
            <sz val="9"/>
            <color indexed="81"/>
            <rFont val="Tahoma"/>
            <family val="2"/>
          </rPr>
          <t>Informar o valor do seguro obrigatório e licenciamento anual do veículo</t>
        </r>
      </text>
    </comment>
    <comment ref="A8" authorId="0" shapeId="0">
      <text>
        <r>
          <rPr>
            <b/>
            <sz val="9"/>
            <color indexed="81"/>
            <rFont val="Tahoma"/>
            <family val="2"/>
          </rPr>
          <t>Apenas quando exigida a contratação no Edital</t>
        </r>
      </text>
    </comment>
    <comment ref="D8" authorId="0" shapeId="0">
      <text>
        <r>
          <rPr>
            <b/>
            <sz val="9"/>
            <color indexed="81"/>
            <rFont val="Tahoma"/>
            <family val="2"/>
          </rPr>
          <t>Informar o valor do seguro contra terceiros de um veículo, se houver previsão no Projeto Básico</t>
        </r>
      </text>
    </comment>
    <comment ref="B13" authorId="1" shapeId="0">
      <text>
        <r>
          <rPr>
            <b/>
            <sz val="9"/>
            <color indexed="81"/>
            <rFont val="Segoe UI"/>
            <family val="2"/>
          </rPr>
          <t>Informal a quilometragem diaria percorrida, de acordo com o projeto básico</t>
        </r>
      </text>
    </comment>
    <comment ref="B14" authorId="0" shapeId="0">
      <text>
        <r>
          <rPr>
            <b/>
            <sz val="9"/>
            <color indexed="81"/>
            <rFont val="Tahoma"/>
            <family val="2"/>
          </rPr>
          <t>Total de quilometragem mensal percorrida, de acordo com o projeto básico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Informar o consumo estimado do veículo em km/l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Informar o preço unitário do combustivel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Informar o consumo de óleo do motor a cada 1000km</t>
        </r>
      </text>
    </comment>
    <comment ref="D19" authorId="0" shapeId="0">
      <text>
        <r>
          <rPr>
            <b/>
            <sz val="9"/>
            <color indexed="81"/>
            <rFont val="Tahoma"/>
            <family val="2"/>
          </rPr>
          <t>Informar o preço unitário do litro do óleo do motor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Informar o consumo de óleo da transmissão a cada 1000km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</rPr>
          <t>Informar o preço unitário do litro do óleo da transmissão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Informar o consumo de óleo do diferencial
a cada 1000km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 xml:space="preserve">Informar o preço unitário do litro do óleo do diferencial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Informar o consumo de graxa a cada 1000km</t>
        </r>
      </text>
    </comment>
    <comment ref="D25" authorId="0" shapeId="0">
      <text>
        <r>
          <rPr>
            <b/>
            <sz val="9"/>
            <color indexed="81"/>
            <rFont val="Tahoma"/>
            <family val="2"/>
          </rPr>
          <t>Informar o preço unitário do litro da graxa</t>
        </r>
      </text>
    </comment>
    <comment ref="C27" authorId="1" shapeId="0">
      <text>
        <r>
          <rPr>
            <b/>
            <sz val="9"/>
            <color indexed="81"/>
            <rFont val="Segoe UI"/>
            <family val="2"/>
          </rPr>
          <t>INFORMAR O CONSUMO DE FLUIDO DE FREIO A CADA 1000KM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27" authorId="1" shapeId="0">
      <text>
        <r>
          <rPr>
            <b/>
            <sz val="9"/>
            <color indexed="81"/>
            <rFont val="Segoe UI"/>
            <family val="2"/>
          </rPr>
          <t xml:space="preserve">INFORMAR VALOR UNITARIO DO LITRO DE FLUIDO DE FREIO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34" authorId="0" shapeId="0">
      <text>
        <r>
          <rPr>
            <b/>
            <sz val="9"/>
            <color indexed="81"/>
            <rFont val="Tahoma"/>
            <family val="2"/>
          </rPr>
          <t>Informar o custo de manutenção em R$/km rodado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Informar a quantidade de pneus novos de 1 veículo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Informar o preço unitário de cada pneu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Informar o número de recapagens por pneu de acordo com Resolução Contran 445/2013.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Informar o preço unitário de cada recapagem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Informar a durabilidade média dos pneus considerando as recapagens, em km</t>
        </r>
      </text>
    </comment>
  </commentList>
</comments>
</file>

<file path=xl/comments5.xml><?xml version="1.0" encoding="utf-8"?>
<comments xmlns="http://schemas.openxmlformats.org/spreadsheetml/2006/main">
  <authors>
    <author>Mara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Não devem incluir IRPJ ou CSLL conforme jurisprudência do TCU</t>
        </r>
      </text>
    </comment>
    <comment ref="C3" authorId="0" shapeId="0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</text>
    </comment>
    <comment ref="C4" authorId="0" shapeId="0">
      <text>
        <r>
          <rPr>
            <b/>
            <sz val="9"/>
            <color indexed="81"/>
            <rFont val="Tahoma"/>
            <family val="2"/>
          </rPr>
          <t xml:space="preserve">Informar o % de Seguros, Riscos e Garantia estimado
</t>
        </r>
      </text>
    </comment>
    <comment ref="C5" authorId="0" shapeId="0">
      <text>
        <r>
          <rPr>
            <b/>
            <sz val="9"/>
            <color indexed="81"/>
            <rFont val="Tahoma"/>
            <family val="2"/>
          </rPr>
          <t xml:space="preserve">Informar o % de Lucro estimado
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7" authorId="0" shapeId="0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</rPr>
          <t>Informar o valor estimado de PIS/COFINS. 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<sst xmlns="http://schemas.openxmlformats.org/spreadsheetml/2006/main" count="387" uniqueCount="235">
  <si>
    <t>unidade</t>
  </si>
  <si>
    <t>R$</t>
  </si>
  <si>
    <t>anos</t>
  </si>
  <si>
    <t>km/l</t>
  </si>
  <si>
    <t>km</t>
  </si>
  <si>
    <t>FGTS</t>
  </si>
  <si>
    <t xml:space="preserve">2. 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</si>
  <si>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</si>
  <si>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</si>
  <si>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</si>
  <si>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</si>
  <si>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</si>
  <si>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</si>
  <si>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</si>
  <si>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</si>
  <si>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</si>
  <si>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</si>
  <si>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</si>
  <si>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</si>
  <si>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</si>
  <si>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</si>
  <si>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</si>
  <si>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</si>
  <si>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</si>
  <si>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</si>
  <si>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</si>
  <si>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</si>
  <si>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</si>
  <si>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</si>
  <si>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</si>
  <si>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</si>
  <si>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</si>
  <si>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</si>
  <si>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</si>
  <si>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</si>
  <si>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</si>
  <si>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</si>
  <si>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</si>
  <si>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</si>
  <si>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</si>
  <si>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</si>
  <si>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</si>
  <si>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</si>
  <si>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</si>
  <si>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</si>
  <si>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</si>
  <si>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</si>
  <si>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</si>
  <si>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</si>
  <si>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</si>
  <si>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</si>
  <si>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</si>
  <si>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</si>
  <si>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</si>
  <si>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</si>
  <si>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</si>
  <si>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FGTS sobre aviso prévio indenizado</t>
  </si>
  <si>
    <t>D</t>
  </si>
  <si>
    <t>SOMA GRUPO D</t>
  </si>
  <si>
    <t>SOMA (A+B+C+D)</t>
  </si>
  <si>
    <t>1. Mão-de-obra</t>
  </si>
  <si>
    <t>Discriminação</t>
  </si>
  <si>
    <t>Unidade</t>
  </si>
  <si>
    <t>Quantidade</t>
  </si>
  <si>
    <t>Custo unitário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</si>
  <si>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</si>
  <si>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</si>
  <si>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mês</t>
  </si>
  <si>
    <t>Horas Extras (100%)</t>
  </si>
  <si>
    <t>hora</t>
  </si>
  <si>
    <t>Horas Extras (50%)</t>
  </si>
  <si>
    <t>Descanso Semanal Remunerado (DSR) - hora extra</t>
  </si>
  <si>
    <t>Adicional de Insalubridade</t>
  </si>
  <si>
    <t>%</t>
  </si>
  <si>
    <t>Soma</t>
  </si>
  <si>
    <t>Encargos Sociais</t>
  </si>
  <si>
    <t>Total do Efetivo</t>
  </si>
  <si>
    <t>homem</t>
  </si>
  <si>
    <t>Fator de utilização</t>
  </si>
  <si>
    <t>Adicional Noturno</t>
  </si>
  <si>
    <t>horas trabalhadas</t>
  </si>
  <si>
    <t>hora contabilizada</t>
  </si>
  <si>
    <t>Horas Extras Noturnas (100%)</t>
  </si>
  <si>
    <t>Horas Extras Noturnas (50%)</t>
  </si>
  <si>
    <t>Piso da categoria (2)</t>
  </si>
  <si>
    <t>Salário mínimo nacional (1)</t>
  </si>
  <si>
    <t>Base de cálculo da Insalubridade</t>
  </si>
  <si>
    <t>Total por Motorista</t>
  </si>
  <si>
    <t>Vale Transporte</t>
  </si>
  <si>
    <t>Dias Trabalhados por mês</t>
  </si>
  <si>
    <t>dia</t>
  </si>
  <si>
    <t>vale</t>
  </si>
  <si>
    <t>Motorista</t>
  </si>
  <si>
    <t>Fator de utilização (FU)</t>
  </si>
  <si>
    <t>Custo do chassis</t>
  </si>
  <si>
    <t>Taxa de juros anual nominal</t>
  </si>
  <si>
    <t>Remuneração mensal de capital do chassis</t>
  </si>
  <si>
    <t>Total por veículo</t>
  </si>
  <si>
    <t>Total da frota</t>
  </si>
  <si>
    <t>*valor do veículo proposto (para veículos usados) devem considerar o valor do bem depreciado até a data da proposta.</t>
  </si>
  <si>
    <t>Valor do veículo proposto (V0)*</t>
  </si>
  <si>
    <t>Vida útil estimada</t>
  </si>
  <si>
    <t>Valor residual</t>
  </si>
  <si>
    <t>% de depreciação</t>
  </si>
  <si>
    <t>Depreciação acumulada</t>
  </si>
  <si>
    <t>Vida útil utilizada (idade do veículo)</t>
  </si>
  <si>
    <t>Dados de Depreciação</t>
  </si>
  <si>
    <t>Investimento médio</t>
  </si>
  <si>
    <t>Licenciamento e Seguro obrigatório</t>
  </si>
  <si>
    <t>Seguro contra terceiros</t>
  </si>
  <si>
    <t>Impostos e seguros mensais</t>
  </si>
  <si>
    <t>Quilometragem mensal</t>
  </si>
  <si>
    <t>Consumo</t>
  </si>
  <si>
    <t>Custo de óleo diesel / km rodado</t>
  </si>
  <si>
    <t>Custo mensal com óleo diesel</t>
  </si>
  <si>
    <t>Custo de óleo do motor /1.000 km rodados</t>
  </si>
  <si>
    <t>l/1.000 km</t>
  </si>
  <si>
    <t>Custo mensal com óleo do motor</t>
  </si>
  <si>
    <t>Custo de óleo da transmissão /1.000 km</t>
  </si>
  <si>
    <t>Custo mensal com óleo da transmissão</t>
  </si>
  <si>
    <t>Custo de graxa /1.000 km rodados</t>
  </si>
  <si>
    <t>kg/1.000 km</t>
  </si>
  <si>
    <t>Custo mensal com graxa</t>
  </si>
  <si>
    <t>Custo com consumos/km rodado</t>
  </si>
  <si>
    <t>R$/km rodado</t>
  </si>
  <si>
    <t>Custo do jogo de pneus xxx/xx Rxx</t>
  </si>
  <si>
    <t>Número de recapagens por pneu</t>
  </si>
  <si>
    <t>Custo de recapagem</t>
  </si>
  <si>
    <r>
      <t xml:space="preserve">Custo jg. compl. + </t>
    </r>
    <r>
      <rPr>
        <sz val="10"/>
        <color indexed="10"/>
        <rFont val="Arial"/>
        <family val="2"/>
      </rPr>
      <t>X</t>
    </r>
    <r>
      <rPr>
        <sz val="10"/>
        <rFont val="Arial"/>
        <family val="2"/>
      </rPr>
      <t xml:space="preserve"> recap./ km rodado</t>
    </r>
  </si>
  <si>
    <t>km/jogo</t>
  </si>
  <si>
    <t>Custo mensal com pneus</t>
  </si>
  <si>
    <t>Custo de manutenção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</si>
  <si>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</si>
  <si>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</si>
  <si>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</si>
  <si>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</si>
  <si>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</si>
  <si>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</si>
  <si>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</si>
  <si>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</si>
  <si>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</si>
  <si>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</si>
  <si>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</si>
  <si>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</si>
  <si>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</si>
  <si>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</si>
  <si>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</si>
  <si>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</si>
  <si>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Custo (R$/mês)</t>
  </si>
  <si>
    <t>Idade do veículo</t>
  </si>
  <si>
    <t>Depreciação do chassis</t>
  </si>
  <si>
    <t>Vida útil</t>
  </si>
  <si>
    <t>Valor do inicial veículo</t>
  </si>
  <si>
    <t>Custo de aquisição (valor inicial)</t>
  </si>
  <si>
    <t>R$/mês</t>
  </si>
  <si>
    <t>CUSTO TOTAL MÃO-DE-OBRA</t>
  </si>
  <si>
    <t>CUSTO TOTAL DE IMPOSTOS E MANUTENÇÃO</t>
  </si>
  <si>
    <t>CUSTO TOTAL MENSAL COM DESPESAS OPERACIONAIS</t>
  </si>
  <si>
    <t>Benefícios e despesas indiretas</t>
  </si>
  <si>
    <t>CUSTO MENSAL COM BDI (R$/mês)</t>
  </si>
  <si>
    <t>Depreciação mensal veículos</t>
  </si>
  <si>
    <t>1.1. Motorista dia</t>
  </si>
  <si>
    <t>1.2. Motorista noite</t>
  </si>
  <si>
    <t>1.3. Vale transporte</t>
  </si>
  <si>
    <t>1.4. Vale Refeição (diário)</t>
  </si>
  <si>
    <t>1.5. Auxílio alimentção (mensal)</t>
  </si>
  <si>
    <t>2. Veículos</t>
  </si>
  <si>
    <t>2.1. Depreciação</t>
  </si>
  <si>
    <t>2.2. Remuneração de capital</t>
  </si>
  <si>
    <t>2.3. Impostos e seguros</t>
  </si>
  <si>
    <t>2.4. Consumos</t>
  </si>
  <si>
    <t>2.5. Manutenção</t>
  </si>
  <si>
    <t>2.6. Pneus</t>
  </si>
  <si>
    <t>3. BDI</t>
  </si>
  <si>
    <t>PREÇO TOTAL MENSAL (1+2+3)</t>
  </si>
  <si>
    <t>3. Composição da mão-de-obra</t>
  </si>
  <si>
    <t>3.1. Motorista Turno do Dia</t>
  </si>
  <si>
    <t>3.3. Vale Transporte</t>
  </si>
  <si>
    <t>3.4. Vale-refeição (diário)</t>
  </si>
  <si>
    <t>3.5. Auxílio Alimentação (mensal)</t>
  </si>
  <si>
    <t>5. Impostos e manutenção</t>
  </si>
  <si>
    <t>5.1. Impostos e Seguros</t>
  </si>
  <si>
    <t>5.2. Consumos</t>
  </si>
  <si>
    <t>5.3. Manutenção preventiva e corretiva</t>
  </si>
  <si>
    <t>5.4. Pneus</t>
  </si>
  <si>
    <t>6. Composição do BDI - Benefícios e Despesas Indiretas</t>
  </si>
  <si>
    <t>6.1. Benefícios e Despesas Indiretas - BDI</t>
  </si>
  <si>
    <t>7. Transporte Escolar - Planilha de composição de custos</t>
  </si>
  <si>
    <t>4. Depreciação e Remuneração de Capital</t>
  </si>
  <si>
    <t>4.1. Depreciação</t>
  </si>
  <si>
    <t>4.2. Remuneração do Capital</t>
  </si>
  <si>
    <t>PREÇO POR KM RODADO</t>
  </si>
  <si>
    <t xml:space="preserve">Quilometragem total </t>
  </si>
  <si>
    <t>*</t>
  </si>
  <si>
    <t>&gt; Distância percorrida da rota - determinado conforme arquivo em Anexo (Rotas no Processo de Licitação)</t>
  </si>
  <si>
    <t>&gt; Seguro veículo/RCO - Valor apurado conforme pesquisa de preços com fornecedores somatório seguro total + RCO</t>
  </si>
  <si>
    <t>&gt; Seguro DPVAT - Valor apurado conforme pesquisa junto ao Detran/RS.</t>
  </si>
  <si>
    <t>&gt; Custo do motorista -O valor foi determinado conforme convenção coletiva da categoria de trabalho.</t>
  </si>
  <si>
    <t>&gt; Custo Variavel- É o somatório do custo de variação de valores de combustivel, oleos lubrificantes e rodagem.</t>
  </si>
  <si>
    <t>&gt; Custo fixo total- É o somatório de todas despesas fixas diretas não somadas o BDI</t>
  </si>
  <si>
    <t>&gt;Custo total por km de despesas operacionais diretas- É o somatorios dos custos variaveis e fixos</t>
  </si>
  <si>
    <t>&gt; BDI - Benefícios e Despesas Indiretas - foram determinados conforme estudo do TCE/RS publicado no Manual de Coleta de Resíduos Sólidos (2019) e Acórdão 2622/2013 - TCU - Plenário (*Valores máximos recomendados)</t>
  </si>
  <si>
    <t>&gt; Valor total estimado por km com tributos- é o somatório das despesas operacionais e BDI.</t>
  </si>
  <si>
    <t>Custo de oleo diferencial / 1.000 km</t>
  </si>
  <si>
    <t>Custo mensal com óleo diferencial</t>
  </si>
  <si>
    <t>Custo de fluido de freio / 1.000 km</t>
  </si>
  <si>
    <t>Custo mensal com fluido de freio</t>
  </si>
  <si>
    <t>PREFEITURA MUNICIPAL DE SÃO JERÔNIMO</t>
  </si>
  <si>
    <t>PROPONENTE:</t>
  </si>
  <si>
    <t>LOTAÇÃO:</t>
  </si>
  <si>
    <t>ROTEIRO:</t>
  </si>
  <si>
    <t>VEICULO:</t>
  </si>
  <si>
    <t>ANO DO VEICULO:</t>
  </si>
  <si>
    <t>ESCOLA X PARTIDA</t>
  </si>
  <si>
    <t>DATA:</t>
  </si>
  <si>
    <t>SECRETARIA DE EDUCAÇÃO</t>
  </si>
  <si>
    <t>MICRO VOLARE ATTACK</t>
  </si>
  <si>
    <t>1.PLANILHA DE CALCULO TARIFÁRIO DO TRANSPORTE ESCOLAR</t>
  </si>
  <si>
    <t>3.6. Plano de Saúde (mensal)</t>
  </si>
  <si>
    <t>1.6. Plano de Saúde (mensal)</t>
  </si>
  <si>
    <t xml:space="preserve"> </t>
  </si>
  <si>
    <t>* A execução dos serviços se dará com a utilização dos tipos de
veículos, em consonância com as recomendações do Caderno de Informações
Técnicas de Ônibus Rural Escolar do Fundo Nacional de Desenvolvimento da
Educação (FNDE) e legislação de trânsito aplicável</t>
  </si>
  <si>
    <t>Quilometragem diaria</t>
  </si>
  <si>
    <t>&gt; Combustível - Òleo Díesel S10, conforme determinado no manual do fabricante e da definição do veículo a ser utilizado</t>
  </si>
  <si>
    <t>&gt; Preço por litro do combustível - conforme preço médio semanal determinado pela ANP (Agencia Nacional do Petróleo, Gás Natural e Biocombustiveis)</t>
  </si>
  <si>
    <t>IPVA*</t>
  </si>
  <si>
    <t>&gt; * IPVA ISENTO SE O VEICULO FOR EXCLUSIVO DE TRANSPORTE ESCOLAR</t>
  </si>
  <si>
    <t>3.2. Motorista Turno Noite (SOMENTE PARA ROTEIROS NOTURNOS)</t>
  </si>
  <si>
    <t>ZERO KM</t>
  </si>
  <si>
    <t>10</t>
  </si>
  <si>
    <t>CERRO NEGRO X MINUANO</t>
  </si>
  <si>
    <t>MINIMO 30 PASSAGEIROS</t>
  </si>
  <si>
    <t>&gt; Veículo - tipo MICRO-ONIBUS MINIMO de 30 lugares*</t>
  </si>
  <si>
    <t>&gt; Idade dos veículos - Veículo no máximo 15 anos de uso (fabricação acima de 2010) conforme decreto municipal</t>
  </si>
  <si>
    <t xml:space="preserve">&gt; Valor do veículo - Determinado pelo valor da FIPE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</si>
</sst>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00_-;\-* #,##0.0000_-;_-* &quot;-&quot;????_-;_-@_-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_-* #,##0_-;\-* #,##0_-;_-* &quot;-&quot;??_-;_-@_-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0"/>
      <color indexed="12"/>
      <name val="Arial"/>
      <family val="2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color indexed="81"/>
      <name val="Tahoma"/>
      <family val="2"/>
    </font>
    <font>
      <b/>
      <sz val="9"/>
      <color indexed="81"/>
      <name val="Tahoma"/>
      <charset val="1"/>
    </font>
    <font>
      <b/>
      <sz val="14"/>
      <color theme="1"/>
      <name val="Arial"/>
      <family val="2"/>
    </font>
    <font>
      <b/>
      <u/>
      <sz val="1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sz val="14"/>
      <color theme="1"/>
      <name val="Arial"/>
      <family val="2"/>
    </font>
    <font>
      <i/>
      <sz val="10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i/>
      <sz val="10"/>
      <color theme="1"/>
      <name val="Arial"/>
      <family val="2"/>
    </font>
    <font>
      <b/>
      <sz val="18"/>
      <color theme="1"/>
      <name val="Arial"/>
      <family val="2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3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</cellStyleXfs>
  <cellXfs count="203">
    <xf numFmtId="0" fontId="0" fillId="0" borderId="0" xfId="0"/>
    <xf numFmtId="4" fontId="0" fillId="0" borderId="0" xfId="0" applyNumberFormat="1"/>
    <xf numFmtId="43" fontId="0" fillId="0" borderId="0" xfId="1" applyFont="1"/>
    <xf numFmtId="164" fontId="0" fillId="0" borderId="0" xfId="1" applyNumberFormat="1" applyFont="1"/>
    <xf numFmtId="0" fontId="8" fillId="0" borderId="6" xfId="2" applyFont="1" applyBorder="1" applyAlignment="1">
      <alignment horizontal="left" vertical="center"/>
    </xf>
    <xf numFmtId="0" fontId="8" fillId="0" borderId="1" xfId="2" applyFont="1" applyBorder="1" applyAlignment="1">
      <alignment horizontal="left" vertical="center"/>
    </xf>
    <xf numFmtId="0" fontId="8" fillId="0" borderId="3" xfId="2" applyFont="1" applyBorder="1" applyAlignment="1">
      <alignment horizontal="left" vertical="center"/>
    </xf>
    <xf numFmtId="10" fontId="8" fillId="0" borderId="3" xfId="2" applyNumberFormat="1" applyFont="1" applyBorder="1" applyAlignment="1">
      <alignment horizontal="right" vertical="center"/>
    </xf>
    <xf numFmtId="10" fontId="9" fillId="0" borderId="3" xfId="2" applyNumberFormat="1" applyFont="1" applyBorder="1" applyAlignment="1">
      <alignment horizontal="right" vertical="center"/>
    </xf>
    <xf numFmtId="0" fontId="8" fillId="2" borderId="6" xfId="2" applyFont="1" applyFill="1" applyBorder="1" applyAlignment="1">
      <alignment horizontal="left" vertical="center"/>
    </xf>
    <xf numFmtId="0" fontId="9" fillId="2" borderId="1" xfId="2" applyFont="1" applyFill="1" applyBorder="1" applyAlignment="1">
      <alignment horizontal="left" vertical="center"/>
    </xf>
    <xf numFmtId="10" fontId="9" fillId="2" borderId="3" xfId="2" applyNumberFormat="1" applyFont="1" applyFill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0" fontId="8" fillId="0" borderId="1" xfId="2" applyFont="1" applyBorder="1" applyAlignment="1">
      <alignment horizontal="left" vertical="center" wrapText="1"/>
    </xf>
    <xf numFmtId="0" fontId="8" fillId="4" borderId="7" xfId="2" applyFont="1" applyFill="1" applyBorder="1" applyAlignment="1">
      <alignment horizontal="left" vertical="center"/>
    </xf>
    <xf numFmtId="0" fontId="9" fillId="4" borderId="9" xfId="2" applyFont="1" applyFill="1" applyBorder="1" applyAlignment="1">
      <alignment horizontal="left" vertical="center"/>
    </xf>
    <xf numFmtId="10" fontId="9" fillId="4" borderId="10" xfId="2" applyNumberFormat="1" applyFont="1" applyFill="1" applyBorder="1" applyAlignment="1">
      <alignment horizontal="right" vertical="center"/>
    </xf>
    <xf numFmtId="0" fontId="12" fillId="6" borderId="13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165" fontId="12" fillId="6" borderId="14" xfId="4" applyFont="1" applyFill="1" applyBorder="1" applyAlignment="1">
      <alignment horizontal="center" vertical="center"/>
    </xf>
    <xf numFmtId="165" fontId="12" fillId="6" borderId="15" xfId="4" applyFont="1" applyFill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165" fontId="4" fillId="0" borderId="16" xfId="4" applyFont="1" applyBorder="1" applyAlignment="1">
      <alignment horizontal="center" vertical="center"/>
    </xf>
    <xf numFmtId="165" fontId="4" fillId="0" borderId="0" xfId="4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5" fontId="4" fillId="0" borderId="1" xfId="4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165" fontId="4" fillId="0" borderId="1" xfId="4" applyFont="1" applyFill="1" applyBorder="1" applyAlignment="1">
      <alignment horizontal="center" vertical="center"/>
    </xf>
    <xf numFmtId="0" fontId="11" fillId="0" borderId="17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5" fontId="11" fillId="0" borderId="0" xfId="4" applyFont="1" applyAlignment="1">
      <alignment horizontal="center" vertical="center"/>
    </xf>
    <xf numFmtId="165" fontId="11" fillId="0" borderId="17" xfId="4" applyFont="1" applyBorder="1" applyAlignment="1">
      <alignment horizontal="center" vertical="center"/>
    </xf>
    <xf numFmtId="165" fontId="4" fillId="7" borderId="1" xfId="4" applyFont="1" applyFill="1" applyBorder="1" applyAlignment="1">
      <alignment horizontal="center" vertical="center"/>
    </xf>
    <xf numFmtId="165" fontId="4" fillId="0" borderId="0" xfId="4" applyFont="1" applyAlignment="1">
      <alignment horizontal="right" vertical="center"/>
    </xf>
    <xf numFmtId="165" fontId="4" fillId="0" borderId="1" xfId="4" applyFont="1" applyBorder="1" applyAlignment="1">
      <alignment vertical="center"/>
    </xf>
    <xf numFmtId="165" fontId="11" fillId="6" borderId="18" xfId="4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165" fontId="11" fillId="0" borderId="1" xfId="4" applyFont="1" applyBorder="1" applyAlignment="1">
      <alignment horizontal="center" vertical="center"/>
    </xf>
    <xf numFmtId="165" fontId="11" fillId="0" borderId="0" xfId="4" applyFont="1" applyAlignment="1">
      <alignment vertical="center"/>
    </xf>
    <xf numFmtId="0" fontId="11" fillId="0" borderId="19" xfId="0" applyFont="1" applyBorder="1" applyAlignment="1">
      <alignment horizontal="center" vertical="center"/>
    </xf>
    <xf numFmtId="165" fontId="11" fillId="0" borderId="19" xfId="4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166" fontId="4" fillId="0" borderId="1" xfId="4" applyNumberFormat="1" applyFont="1" applyBorder="1" applyAlignment="1">
      <alignment horizontal="center" vertical="center"/>
    </xf>
    <xf numFmtId="166" fontId="4" fillId="0" borderId="1" xfId="4" applyNumberFormat="1" applyFont="1" applyBorder="1" applyAlignment="1">
      <alignment vertical="center"/>
    </xf>
    <xf numFmtId="165" fontId="11" fillId="6" borderId="20" xfId="4" applyFont="1" applyFill="1" applyBorder="1" applyAlignment="1">
      <alignment vertical="center"/>
    </xf>
    <xf numFmtId="165" fontId="11" fillId="0" borderId="0" xfId="4" applyFont="1" applyFill="1" applyBorder="1" applyAlignment="1">
      <alignment vertical="center"/>
    </xf>
    <xf numFmtId="166" fontId="4" fillId="0" borderId="1" xfId="4" applyNumberFormat="1" applyFont="1" applyFill="1" applyBorder="1" applyAlignment="1">
      <alignment vertical="center"/>
    </xf>
    <xf numFmtId="0" fontId="12" fillId="6" borderId="22" xfId="0" applyFont="1" applyFill="1" applyBorder="1" applyAlignment="1">
      <alignment horizontal="center" vertical="center"/>
    </xf>
    <xf numFmtId="0" fontId="12" fillId="6" borderId="23" xfId="0" applyFont="1" applyFill="1" applyBorder="1" applyAlignment="1">
      <alignment horizontal="center" vertical="center"/>
    </xf>
    <xf numFmtId="165" fontId="12" fillId="6" borderId="23" xfId="4" applyFont="1" applyFill="1" applyBorder="1" applyAlignment="1">
      <alignment horizontal="center" vertical="center"/>
    </xf>
    <xf numFmtId="165" fontId="4" fillId="0" borderId="0" xfId="4" applyFont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11" fillId="0" borderId="24" xfId="0" applyFont="1" applyBorder="1" applyAlignment="1">
      <alignment vertical="center"/>
    </xf>
    <xf numFmtId="0" fontId="11" fillId="0" borderId="24" xfId="0" applyFont="1" applyBorder="1" applyAlignment="1">
      <alignment horizontal="center" vertical="center"/>
    </xf>
    <xf numFmtId="165" fontId="11" fillId="0" borderId="24" xfId="4" applyFont="1" applyFill="1" applyBorder="1" applyAlignment="1">
      <alignment horizontal="center" vertical="center"/>
    </xf>
    <xf numFmtId="165" fontId="11" fillId="0" borderId="24" xfId="4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11" fillId="6" borderId="20" xfId="4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9" fontId="0" fillId="0" borderId="0" xfId="0" applyNumberFormat="1"/>
    <xf numFmtId="165" fontId="11" fillId="0" borderId="0" xfId="4" applyFont="1" applyBorder="1" applyAlignment="1">
      <alignment horizontal="center" vertical="center"/>
    </xf>
    <xf numFmtId="3" fontId="4" fillId="0" borderId="0" xfId="0" applyNumberFormat="1" applyFont="1" applyAlignment="1">
      <alignment vertical="center"/>
    </xf>
    <xf numFmtId="167" fontId="4" fillId="0" borderId="16" xfId="4" applyNumberFormat="1" applyFont="1" applyBorder="1" applyAlignment="1">
      <alignment horizontal="center" vertical="center"/>
    </xf>
    <xf numFmtId="167" fontId="4" fillId="0" borderId="1" xfId="4" applyNumberFormat="1" applyFont="1" applyBorder="1" applyAlignment="1">
      <alignment horizontal="center" vertical="center"/>
    </xf>
    <xf numFmtId="166" fontId="11" fillId="0" borderId="1" xfId="4" applyNumberFormat="1" applyFont="1" applyBorder="1" applyAlignment="1">
      <alignment horizontal="center" vertical="center"/>
    </xf>
    <xf numFmtId="167" fontId="11" fillId="0" borderId="1" xfId="4" applyNumberFormat="1" applyFont="1" applyBorder="1" applyAlignment="1">
      <alignment horizontal="center" vertical="center"/>
    </xf>
    <xf numFmtId="165" fontId="4" fillId="0" borderId="16" xfId="4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10" fontId="5" fillId="0" borderId="6" xfId="3" applyNumberFormat="1" applyFont="1" applyBorder="1" applyAlignment="1">
      <alignment horizontal="right"/>
    </xf>
    <xf numFmtId="10" fontId="5" fillId="0" borderId="1" xfId="3" applyNumberFormat="1" applyFont="1" applyBorder="1" applyAlignment="1">
      <alignment horizontal="right"/>
    </xf>
    <xf numFmtId="10" fontId="5" fillId="0" borderId="3" xfId="3" applyNumberFormat="1" applyFont="1" applyBorder="1" applyAlignment="1">
      <alignment horizontal="right"/>
    </xf>
    <xf numFmtId="0" fontId="5" fillId="0" borderId="6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0" fontId="5" fillId="0" borderId="3" xfId="0" applyNumberFormat="1" applyFont="1" applyBorder="1" applyAlignment="1">
      <alignment horizontal="center" vertical="center"/>
    </xf>
    <xf numFmtId="10" fontId="5" fillId="0" borderId="3" xfId="3" applyNumberFormat="1" applyFont="1" applyBorder="1"/>
    <xf numFmtId="0" fontId="5" fillId="0" borderId="6" xfId="0" applyFont="1" applyBorder="1" applyAlignment="1">
      <alignment horizontal="right"/>
    </xf>
    <xf numFmtId="0" fontId="5" fillId="0" borderId="3" xfId="0" applyFont="1" applyBorder="1"/>
    <xf numFmtId="0" fontId="5" fillId="0" borderId="7" xfId="0" applyFont="1" applyBorder="1" applyAlignment="1">
      <alignment horizontal="left" vertical="center"/>
    </xf>
    <xf numFmtId="0" fontId="5" fillId="0" borderId="6" xfId="0" applyFont="1" applyBorder="1"/>
    <xf numFmtId="0" fontId="5" fillId="0" borderId="1" xfId="0" applyFont="1" applyBorder="1" applyAlignment="1">
      <alignment horizontal="center"/>
    </xf>
    <xf numFmtId="0" fontId="5" fillId="0" borderId="25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10" fontId="5" fillId="0" borderId="27" xfId="0" applyNumberFormat="1" applyFont="1" applyBorder="1" applyAlignment="1">
      <alignment vertical="center"/>
    </xf>
    <xf numFmtId="0" fontId="5" fillId="0" borderId="8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5" fillId="0" borderId="29" xfId="0" applyFont="1" applyBorder="1" applyAlignment="1">
      <alignment vertical="center"/>
    </xf>
    <xf numFmtId="0" fontId="6" fillId="2" borderId="21" xfId="0" applyFont="1" applyFill="1" applyBorder="1" applyAlignment="1">
      <alignment vertical="center" wrapText="1"/>
    </xf>
    <xf numFmtId="0" fontId="5" fillId="2" borderId="30" xfId="0" applyFont="1" applyFill="1" applyBorder="1" applyAlignment="1">
      <alignment vertical="center"/>
    </xf>
    <xf numFmtId="10" fontId="5" fillId="0" borderId="7" xfId="3" applyNumberFormat="1" applyFont="1" applyBorder="1" applyAlignment="1">
      <alignment horizontal="right"/>
    </xf>
    <xf numFmtId="10" fontId="5" fillId="0" borderId="9" xfId="3" applyNumberFormat="1" applyFont="1" applyBorder="1" applyAlignment="1">
      <alignment horizontal="right"/>
    </xf>
    <xf numFmtId="10" fontId="5" fillId="0" borderId="10" xfId="3" applyNumberFormat="1" applyFont="1" applyBorder="1" applyAlignment="1">
      <alignment horizontal="right"/>
    </xf>
    <xf numFmtId="0" fontId="18" fillId="0" borderId="0" xfId="0" applyFont="1" applyAlignment="1">
      <alignment horizontal="left" vertical="center" wrapText="1"/>
    </xf>
    <xf numFmtId="165" fontId="4" fillId="8" borderId="16" xfId="4" applyFont="1" applyFill="1" applyBorder="1" applyAlignment="1">
      <alignment horizontal="center" vertical="center"/>
    </xf>
    <xf numFmtId="3" fontId="0" fillId="9" borderId="0" xfId="0" applyNumberFormat="1" applyFill="1"/>
    <xf numFmtId="0" fontId="4" fillId="8" borderId="1" xfId="0" applyFont="1" applyFill="1" applyBorder="1" applyAlignment="1">
      <alignment horizontal="center" vertical="center"/>
    </xf>
    <xf numFmtId="3" fontId="4" fillId="8" borderId="1" xfId="0" applyNumberFormat="1" applyFont="1" applyFill="1" applyBorder="1" applyAlignment="1">
      <alignment horizontal="center" vertical="center"/>
    </xf>
    <xf numFmtId="0" fontId="0" fillId="9" borderId="0" xfId="0" applyFill="1"/>
    <xf numFmtId="165" fontId="4" fillId="8" borderId="1" xfId="4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4" fontId="0" fillId="9" borderId="0" xfId="0" applyNumberFormat="1" applyFill="1"/>
    <xf numFmtId="0" fontId="11" fillId="0" borderId="0" xfId="0" applyFont="1" applyAlignment="1">
      <alignment vertical="center"/>
    </xf>
    <xf numFmtId="0" fontId="11" fillId="0" borderId="21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165" fontId="4" fillId="0" borderId="30" xfId="4" applyFont="1" applyBorder="1" applyAlignment="1">
      <alignment vertical="center"/>
    </xf>
    <xf numFmtId="165" fontId="4" fillId="0" borderId="18" xfId="4" applyFont="1" applyBorder="1" applyAlignment="1">
      <alignment vertical="center"/>
    </xf>
    <xf numFmtId="43" fontId="0" fillId="0" borderId="0" xfId="1" applyFont="1" applyAlignment="1">
      <alignment horizontal="center"/>
    </xf>
    <xf numFmtId="9" fontId="11" fillId="9" borderId="18" xfId="3" applyFont="1" applyFill="1" applyBorder="1" applyAlignment="1">
      <alignment vertical="center"/>
    </xf>
    <xf numFmtId="165" fontId="4" fillId="9" borderId="16" xfId="4" applyFont="1" applyFill="1" applyBorder="1" applyAlignment="1">
      <alignment horizontal="center" vertical="center"/>
    </xf>
    <xf numFmtId="2" fontId="4" fillId="9" borderId="1" xfId="0" applyNumberFormat="1" applyFont="1" applyFill="1" applyBorder="1" applyAlignment="1">
      <alignment horizontal="center" vertical="center"/>
    </xf>
    <xf numFmtId="1" fontId="4" fillId="9" borderId="1" xfId="0" applyNumberFormat="1" applyFont="1" applyFill="1" applyBorder="1" applyAlignment="1">
      <alignment horizontal="center" vertical="center"/>
    </xf>
    <xf numFmtId="165" fontId="4" fillId="9" borderId="0" xfId="4" applyFont="1" applyFill="1" applyAlignment="1">
      <alignment vertical="center"/>
    </xf>
    <xf numFmtId="0" fontId="4" fillId="9" borderId="0" xfId="0" applyFont="1" applyFill="1" applyAlignment="1">
      <alignment vertical="center"/>
    </xf>
    <xf numFmtId="165" fontId="4" fillId="9" borderId="1" xfId="4" applyFont="1" applyFill="1" applyBorder="1" applyAlignment="1">
      <alignment horizontal="center" vertical="center"/>
    </xf>
    <xf numFmtId="4" fontId="4" fillId="9" borderId="16" xfId="0" applyNumberFormat="1" applyFont="1" applyFill="1" applyBorder="1" applyAlignment="1">
      <alignment horizontal="center" vertical="center"/>
    </xf>
    <xf numFmtId="4" fontId="4" fillId="9" borderId="1" xfId="0" applyNumberFormat="1" applyFont="1" applyFill="1" applyBorder="1" applyAlignment="1">
      <alignment horizontal="center" vertical="center"/>
    </xf>
    <xf numFmtId="0" fontId="4" fillId="9" borderId="16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center" vertical="center"/>
    </xf>
    <xf numFmtId="10" fontId="5" fillId="9" borderId="2" xfId="0" applyNumberFormat="1" applyFont="1" applyFill="1" applyBorder="1" applyAlignment="1">
      <alignment horizontal="center" vertical="center"/>
    </xf>
    <xf numFmtId="10" fontId="5" fillId="9" borderId="3" xfId="0" applyNumberFormat="1" applyFont="1" applyFill="1" applyBorder="1" applyAlignment="1">
      <alignment horizontal="center" vertical="center"/>
    </xf>
    <xf numFmtId="10" fontId="5" fillId="9" borderId="10" xfId="0" applyNumberFormat="1" applyFont="1" applyFill="1" applyBorder="1" applyAlignment="1">
      <alignment horizontal="center" vertical="center"/>
    </xf>
    <xf numFmtId="10" fontId="5" fillId="9" borderId="1" xfId="3" applyNumberFormat="1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10" fontId="8" fillId="4" borderId="3" xfId="2" applyNumberFormat="1" applyFont="1" applyFill="1" applyBorder="1" applyAlignment="1">
      <alignment horizontal="right" vertical="center"/>
    </xf>
    <xf numFmtId="0" fontId="9" fillId="4" borderId="1" xfId="2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/>
    </xf>
    <xf numFmtId="43" fontId="2" fillId="0" borderId="1" xfId="1" applyFont="1" applyBorder="1" applyAlignment="1"/>
    <xf numFmtId="43" fontId="0" fillId="0" borderId="1" xfId="1" applyFont="1" applyBorder="1" applyAlignment="1"/>
    <xf numFmtId="165" fontId="11" fillId="3" borderId="21" xfId="4" applyFont="1" applyFill="1" applyBorder="1" applyAlignment="1">
      <alignment vertical="center"/>
    </xf>
    <xf numFmtId="0" fontId="2" fillId="3" borderId="21" xfId="0" applyFont="1" applyFill="1" applyBorder="1"/>
    <xf numFmtId="0" fontId="2" fillId="3" borderId="30" xfId="0" applyFont="1" applyFill="1" applyBorder="1"/>
    <xf numFmtId="0" fontId="0" fillId="3" borderId="30" xfId="0" applyFill="1" applyBorder="1"/>
    <xf numFmtId="0" fontId="2" fillId="3" borderId="20" xfId="0" applyFont="1" applyFill="1" applyBorder="1"/>
    <xf numFmtId="165" fontId="2" fillId="3" borderId="20" xfId="0" applyNumberFormat="1" applyFont="1" applyFill="1" applyBorder="1"/>
    <xf numFmtId="0" fontId="22" fillId="0" borderId="0" xfId="0" applyFont="1" applyAlignment="1">
      <alignment horizontal="left"/>
    </xf>
    <xf numFmtId="165" fontId="11" fillId="0" borderId="20" xfId="4" applyFont="1" applyBorder="1" applyAlignment="1">
      <alignment vertical="center"/>
    </xf>
    <xf numFmtId="9" fontId="2" fillId="0" borderId="20" xfId="0" applyNumberFormat="1" applyFont="1" applyBorder="1"/>
    <xf numFmtId="165" fontId="11" fillId="0" borderId="0" xfId="4" applyFont="1" applyBorder="1" applyAlignment="1">
      <alignment vertical="center"/>
    </xf>
    <xf numFmtId="9" fontId="2" fillId="0" borderId="0" xfId="0" applyNumberFormat="1" applyFont="1"/>
    <xf numFmtId="0" fontId="11" fillId="3" borderId="20" xfId="0" applyFont="1" applyFill="1" applyBorder="1" applyAlignment="1">
      <alignment horizontal="center" vertical="center"/>
    </xf>
    <xf numFmtId="10" fontId="6" fillId="2" borderId="20" xfId="0" applyNumberFormat="1" applyFont="1" applyFill="1" applyBorder="1" applyAlignment="1">
      <alignment horizontal="center" vertical="center" wrapText="1"/>
    </xf>
    <xf numFmtId="43" fontId="2" fillId="3" borderId="20" xfId="1" applyFont="1" applyFill="1" applyBorder="1"/>
    <xf numFmtId="10" fontId="5" fillId="0" borderId="3" xfId="2" applyNumberFormat="1" applyFont="1" applyBorder="1" applyAlignment="1">
      <alignment horizontal="right" vertical="center"/>
    </xf>
    <xf numFmtId="43" fontId="11" fillId="0" borderId="31" xfId="1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165" fontId="11" fillId="0" borderId="12" xfId="4" applyFont="1" applyBorder="1" applyAlignment="1">
      <alignment horizontal="center" vertical="center"/>
    </xf>
    <xf numFmtId="0" fontId="2" fillId="0" borderId="6" xfId="0" applyFont="1" applyBorder="1"/>
    <xf numFmtId="10" fontId="11" fillId="0" borderId="3" xfId="3" applyNumberFormat="1" applyFont="1" applyBorder="1" applyAlignment="1">
      <alignment vertical="center"/>
    </xf>
    <xf numFmtId="0" fontId="0" fillId="0" borderId="6" xfId="0" applyBorder="1"/>
    <xf numFmtId="10" fontId="0" fillId="0" borderId="3" xfId="3" applyNumberFormat="1" applyFont="1" applyBorder="1" applyAlignment="1">
      <alignment vertical="center"/>
    </xf>
    <xf numFmtId="10" fontId="2" fillId="0" borderId="3" xfId="3" applyNumberFormat="1" applyFont="1" applyBorder="1" applyAlignment="1">
      <alignment vertical="center"/>
    </xf>
    <xf numFmtId="10" fontId="4" fillId="0" borderId="3" xfId="3" applyNumberFormat="1" applyFont="1" applyBorder="1" applyAlignment="1">
      <alignment vertical="center"/>
    </xf>
    <xf numFmtId="0" fontId="2" fillId="0" borderId="7" xfId="0" applyFont="1" applyBorder="1"/>
    <xf numFmtId="43" fontId="2" fillId="0" borderId="9" xfId="1" applyFont="1" applyBorder="1" applyAlignment="1"/>
    <xf numFmtId="10" fontId="11" fillId="0" borderId="10" xfId="3" applyNumberFormat="1" applyFont="1" applyBorder="1" applyAlignment="1">
      <alignment vertical="center"/>
    </xf>
    <xf numFmtId="165" fontId="11" fillId="0" borderId="25" xfId="4" applyFont="1" applyBorder="1" applyAlignment="1">
      <alignment vertical="center"/>
    </xf>
    <xf numFmtId="0" fontId="0" fillId="0" borderId="26" xfId="0" applyBorder="1"/>
    <xf numFmtId="9" fontId="2" fillId="0" borderId="27" xfId="0" applyNumberFormat="1" applyFont="1" applyBorder="1"/>
    <xf numFmtId="0" fontId="24" fillId="0" borderId="0" xfId="5" applyFont="1" applyAlignment="1" applyProtection="1">
      <alignment horizontal="left" vertical="center"/>
    </xf>
    <xf numFmtId="0" fontId="2" fillId="0" borderId="0" xfId="0" applyFont="1"/>
    <xf numFmtId="165" fontId="18" fillId="0" borderId="0" xfId="4" applyFont="1" applyAlignment="1">
      <alignment horizontal="left" vertical="center"/>
    </xf>
    <xf numFmtId="0" fontId="26" fillId="0" borderId="0" xfId="0" applyFont="1" applyAlignment="1">
      <alignment horizontal="left"/>
    </xf>
    <xf numFmtId="165" fontId="26" fillId="0" borderId="0" xfId="4" applyFont="1" applyAlignment="1">
      <alignment horizontal="left" vertical="center"/>
    </xf>
    <xf numFmtId="166" fontId="4" fillId="9" borderId="1" xfId="4" applyNumberFormat="1" applyFont="1" applyFill="1" applyBorder="1" applyAlignment="1">
      <alignment horizontal="center" vertical="center"/>
    </xf>
    <xf numFmtId="44" fontId="4" fillId="9" borderId="1" xfId="4" applyNumberFormat="1" applyFont="1" applyFill="1" applyBorder="1" applyAlignment="1">
      <alignment horizontal="center" vertical="center"/>
    </xf>
    <xf numFmtId="44" fontId="4" fillId="9" borderId="16" xfId="4" applyNumberFormat="1" applyFont="1" applyFill="1" applyBorder="1" applyAlignment="1">
      <alignment horizontal="center" vertical="center"/>
    </xf>
    <xf numFmtId="0" fontId="29" fillId="0" borderId="0" xfId="0" applyFont="1"/>
    <xf numFmtId="3" fontId="11" fillId="0" borderId="0" xfId="0" applyNumberFormat="1" applyFont="1" applyAlignment="1">
      <alignment vertical="center"/>
    </xf>
    <xf numFmtId="0" fontId="34" fillId="0" borderId="0" xfId="0" applyFont="1" applyAlignment="1">
      <alignment vertical="center"/>
    </xf>
    <xf numFmtId="1" fontId="11" fillId="9" borderId="0" xfId="0" applyNumberFormat="1" applyFont="1" applyFill="1" applyAlignment="1">
      <alignment vertical="center"/>
    </xf>
    <xf numFmtId="1" fontId="11" fillId="9" borderId="1" xfId="0" applyNumberFormat="1" applyFont="1" applyFill="1" applyBorder="1" applyAlignment="1">
      <alignment vertical="center"/>
    </xf>
    <xf numFmtId="168" fontId="33" fillId="10" borderId="0" xfId="1" applyNumberFormat="1" applyFont="1" applyFill="1" applyAlignment="1">
      <alignment horizontal="center"/>
    </xf>
    <xf numFmtId="44" fontId="32" fillId="10" borderId="0" xfId="1" applyNumberFormat="1" applyFont="1" applyFill="1"/>
    <xf numFmtId="0" fontId="30" fillId="3" borderId="1" xfId="0" applyFont="1" applyFill="1" applyBorder="1" applyAlignment="1">
      <alignment horizontal="center"/>
    </xf>
    <xf numFmtId="0" fontId="2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1" fillId="9" borderId="1" xfId="0" applyFont="1" applyFill="1" applyBorder="1" applyAlignment="1">
      <alignment horizontal="center"/>
    </xf>
    <xf numFmtId="14" fontId="31" fillId="9" borderId="1" xfId="0" applyNumberFormat="1" applyFont="1" applyFill="1" applyBorder="1" applyAlignment="1">
      <alignment horizontal="center"/>
    </xf>
    <xf numFmtId="49" fontId="31" fillId="9" borderId="1" xfId="0" applyNumberFormat="1" applyFont="1" applyFill="1" applyBorder="1" applyAlignment="1">
      <alignment horizontal="center"/>
    </xf>
    <xf numFmtId="0" fontId="7" fillId="3" borderId="4" xfId="2" applyFont="1" applyFill="1" applyBorder="1" applyAlignment="1">
      <alignment horizontal="center" vertical="center"/>
    </xf>
    <xf numFmtId="0" fontId="7" fillId="3" borderId="5" xfId="2" applyFont="1" applyFill="1" applyBorder="1" applyAlignment="1">
      <alignment horizontal="center" vertical="center"/>
    </xf>
    <xf numFmtId="0" fontId="7" fillId="3" borderId="2" xfId="2" applyFont="1" applyFill="1" applyBorder="1" applyAlignment="1">
      <alignment horizontal="center" vertical="center"/>
    </xf>
    <xf numFmtId="0" fontId="21" fillId="3" borderId="21" xfId="0" applyFont="1" applyFill="1" applyBorder="1" applyAlignment="1">
      <alignment horizontal="center"/>
    </xf>
    <xf numFmtId="0" fontId="21" fillId="3" borderId="30" xfId="0" applyFont="1" applyFill="1" applyBorder="1" applyAlignment="1">
      <alignment horizontal="center"/>
    </xf>
    <xf numFmtId="0" fontId="21" fillId="3" borderId="18" xfId="0" applyFont="1" applyFill="1" applyBorder="1" applyAlignment="1">
      <alignment horizontal="center"/>
    </xf>
    <xf numFmtId="165" fontId="7" fillId="3" borderId="21" xfId="4" applyFont="1" applyFill="1" applyBorder="1" applyAlignment="1">
      <alignment horizontal="center" vertical="center"/>
    </xf>
    <xf numFmtId="165" fontId="23" fillId="3" borderId="30" xfId="4" applyFont="1" applyFill="1" applyBorder="1" applyAlignment="1">
      <alignment horizontal="center" vertical="center"/>
    </xf>
    <xf numFmtId="165" fontId="23" fillId="3" borderId="18" xfId="4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7" fillId="5" borderId="30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5" fillId="3" borderId="30" xfId="0" applyFont="1" applyFill="1" applyBorder="1" applyAlignment="1">
      <alignment horizontal="center"/>
    </xf>
    <xf numFmtId="0" fontId="25" fillId="3" borderId="18" xfId="0" applyFont="1" applyFill="1" applyBorder="1" applyAlignment="1">
      <alignment horizontal="center"/>
    </xf>
    <xf numFmtId="165" fontId="6" fillId="0" borderId="0" xfId="4" applyFont="1" applyAlignment="1">
      <alignment horizontal="center" vertical="center"/>
    </xf>
    <xf numFmtId="0" fontId="26" fillId="0" borderId="0" xfId="0" applyFont="1" applyAlignment="1">
      <alignment horizontal="left" wrapText="1"/>
    </xf>
    <xf numFmtId="0" fontId="0" fillId="0" borderId="0" xfId="0" applyAlignment="1">
      <alignment horizontal="center" wrapText="1"/>
    </xf>
  </cellXfs>
  <cellStyles count="6">
    <cellStyle name="Hiperlink" xfId="5" builtinId="8"/>
    <cellStyle name="Normal" xfId="0" builtinId="0"/>
    <cellStyle name="Normal 2" xfId="2"/>
    <cellStyle name="Porcentagem 2" xfId="3"/>
    <cellStyle name="Vírgula" xfId="1" builtinId="3"/>
    <cellStyle name="Vírgula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zoomScaleNormal="100" workbookViewId="0">
      <selection activeCell="C21" sqref="C21"/>
    </sheetView>
  </sheetViews>
  <sheetFormatPr defaultRowHeight="15" x14ac:dyDescent="0.25"/>
  <cols>
    <col min="1" max="1" width="9.140625" customWidth="1"/>
    <col min="4" max="10" width="9.140625" customWidth="1"/>
  </cols>
  <sheetData>
    <row r="1" spans="1:10" x14ac:dyDescent="0.25">
      <c r="A1" s="176" t="s">
        <v>207</v>
      </c>
      <c r="B1" s="176"/>
      <c r="C1" s="176"/>
      <c r="D1" s="176"/>
      <c r="E1" s="176"/>
      <c r="F1" s="176"/>
      <c r="G1" s="176"/>
      <c r="H1" s="176"/>
      <c r="I1" s="176"/>
      <c r="J1" s="176"/>
    </row>
    <row r="2" spans="1:10" x14ac:dyDescent="0.25">
      <c r="A2" s="176"/>
      <c r="B2" s="176"/>
      <c r="C2" s="176"/>
      <c r="D2" s="176"/>
      <c r="E2" s="176"/>
      <c r="F2" s="176"/>
      <c r="G2" s="176"/>
      <c r="H2" s="176"/>
      <c r="I2" s="176"/>
      <c r="J2" s="176"/>
    </row>
    <row r="3" spans="1:10" x14ac:dyDescent="0.25">
      <c r="A3" s="180"/>
      <c r="B3" s="180"/>
      <c r="C3" s="180"/>
      <c r="D3" s="180"/>
      <c r="E3" s="180"/>
      <c r="F3" s="180"/>
      <c r="G3" s="180"/>
      <c r="H3" s="180"/>
      <c r="I3" s="180"/>
      <c r="J3" s="180"/>
    </row>
    <row r="4" spans="1:10" x14ac:dyDescent="0.25">
      <c r="A4" s="177" t="s">
        <v>217</v>
      </c>
      <c r="B4" s="177"/>
      <c r="C4" s="177"/>
      <c r="D4" s="177"/>
      <c r="E4" s="177"/>
      <c r="F4" s="177"/>
      <c r="G4" s="177"/>
      <c r="H4" s="177"/>
      <c r="I4" s="177"/>
      <c r="J4" s="177"/>
    </row>
    <row r="5" spans="1:10" x14ac:dyDescent="0.25">
      <c r="A5" s="177"/>
      <c r="B5" s="177"/>
      <c r="C5" s="177"/>
      <c r="D5" s="177"/>
      <c r="E5" s="177"/>
      <c r="F5" s="177"/>
      <c r="G5" s="177"/>
      <c r="H5" s="177"/>
      <c r="I5" s="177"/>
      <c r="J5" s="177"/>
    </row>
    <row r="6" spans="1:10" x14ac:dyDescent="0.25">
      <c r="A6" s="180"/>
      <c r="B6" s="180"/>
      <c r="C6" s="180"/>
      <c r="D6" s="180"/>
      <c r="E6" s="180"/>
      <c r="F6" s="180"/>
      <c r="G6" s="180"/>
      <c r="H6" s="180"/>
      <c r="I6" s="180"/>
      <c r="J6" s="180"/>
    </row>
    <row r="7" spans="1:10" x14ac:dyDescent="0.25">
      <c r="A7" s="180"/>
      <c r="B7" s="180"/>
      <c r="C7" s="180"/>
      <c r="D7" s="180"/>
      <c r="E7" s="180"/>
      <c r="F7" s="180"/>
      <c r="G7" s="180"/>
      <c r="H7" s="180"/>
      <c r="I7" s="180"/>
      <c r="J7" s="180"/>
    </row>
    <row r="8" spans="1:10" x14ac:dyDescent="0.25">
      <c r="A8" s="178" t="s">
        <v>208</v>
      </c>
      <c r="B8" s="178"/>
      <c r="C8" s="179" t="s">
        <v>215</v>
      </c>
      <c r="D8" s="179"/>
      <c r="E8" s="179"/>
      <c r="F8" s="179"/>
      <c r="G8" s="179"/>
      <c r="H8" s="179"/>
      <c r="I8" s="179"/>
      <c r="J8" s="179"/>
    </row>
    <row r="9" spans="1:10" x14ac:dyDescent="0.25">
      <c r="A9" s="180"/>
      <c r="B9" s="180"/>
      <c r="C9" s="180"/>
      <c r="D9" s="180"/>
      <c r="E9" s="180"/>
      <c r="F9" s="180"/>
      <c r="G9" s="180"/>
      <c r="H9" s="180"/>
      <c r="I9" s="180"/>
      <c r="J9" s="180"/>
    </row>
    <row r="10" spans="1:10" x14ac:dyDescent="0.25">
      <c r="A10" s="178" t="s">
        <v>210</v>
      </c>
      <c r="B10" s="178"/>
      <c r="C10" s="183" t="s">
        <v>229</v>
      </c>
      <c r="D10" s="183"/>
      <c r="E10" s="183"/>
      <c r="F10" s="183"/>
      <c r="G10" s="183"/>
      <c r="H10" s="183"/>
      <c r="I10" s="183"/>
      <c r="J10" s="183"/>
    </row>
    <row r="11" spans="1:10" x14ac:dyDescent="0.25">
      <c r="A11" s="180"/>
      <c r="B11" s="180"/>
      <c r="C11" s="180"/>
      <c r="D11" s="180"/>
      <c r="E11" s="180"/>
      <c r="F11" s="180"/>
      <c r="G11" s="180"/>
      <c r="H11" s="180"/>
      <c r="I11" s="180"/>
      <c r="J11" s="180"/>
    </row>
    <row r="12" spans="1:10" x14ac:dyDescent="0.25">
      <c r="A12" s="178" t="s">
        <v>213</v>
      </c>
      <c r="B12" s="178"/>
      <c r="C12" s="181" t="s">
        <v>230</v>
      </c>
      <c r="D12" s="181"/>
      <c r="E12" s="181"/>
      <c r="F12" s="181"/>
      <c r="G12" s="181"/>
      <c r="H12" s="181"/>
      <c r="I12" s="181"/>
      <c r="J12" s="181"/>
    </row>
    <row r="13" spans="1:10" x14ac:dyDescent="0.25">
      <c r="A13" s="180"/>
      <c r="B13" s="180"/>
      <c r="C13" s="180"/>
      <c r="D13" s="180"/>
      <c r="E13" s="180"/>
      <c r="F13" s="180"/>
      <c r="G13" s="180"/>
      <c r="H13" s="180"/>
      <c r="I13" s="180"/>
      <c r="J13" s="180"/>
    </row>
    <row r="14" spans="1:10" x14ac:dyDescent="0.25">
      <c r="A14" s="178" t="s">
        <v>211</v>
      </c>
      <c r="B14" s="178"/>
      <c r="C14" s="181" t="s">
        <v>216</v>
      </c>
      <c r="D14" s="181"/>
      <c r="E14" s="181"/>
      <c r="F14" s="181"/>
      <c r="G14" s="181"/>
      <c r="H14" s="181"/>
      <c r="I14" s="181"/>
      <c r="J14" s="181"/>
    </row>
    <row r="15" spans="1:10" x14ac:dyDescent="0.25">
      <c r="A15" s="180"/>
      <c r="B15" s="180"/>
      <c r="C15" s="180"/>
      <c r="D15" s="180"/>
      <c r="E15" s="180"/>
      <c r="F15" s="180"/>
      <c r="G15" s="180"/>
      <c r="H15" s="180"/>
      <c r="I15" s="180"/>
      <c r="J15" s="180"/>
    </row>
    <row r="16" spans="1:10" x14ac:dyDescent="0.25">
      <c r="A16" s="178" t="s">
        <v>212</v>
      </c>
      <c r="B16" s="178"/>
      <c r="C16" s="181" t="s">
        <v>228</v>
      </c>
      <c r="D16" s="181"/>
      <c r="E16" s="181"/>
      <c r="F16" s="181"/>
      <c r="G16" s="181"/>
      <c r="H16" s="181"/>
      <c r="I16" s="181"/>
      <c r="J16" s="181"/>
    </row>
    <row r="17" spans="1:10" x14ac:dyDescent="0.25">
      <c r="A17" s="180"/>
      <c r="B17" s="180"/>
      <c r="C17" s="180"/>
      <c r="D17" s="180"/>
      <c r="E17" s="180"/>
      <c r="F17" s="180"/>
      <c r="G17" s="180"/>
      <c r="H17" s="180"/>
      <c r="I17" s="180"/>
      <c r="J17" s="180"/>
    </row>
    <row r="18" spans="1:10" x14ac:dyDescent="0.25">
      <c r="A18" s="178" t="s">
        <v>209</v>
      </c>
      <c r="B18" s="178"/>
      <c r="C18" s="181" t="s">
        <v>231</v>
      </c>
      <c r="D18" s="181"/>
      <c r="E18" s="181"/>
      <c r="F18" s="181"/>
      <c r="G18" s="181"/>
      <c r="H18" s="181"/>
      <c r="I18" s="181"/>
      <c r="J18" s="181"/>
    </row>
    <row r="19" spans="1:10" x14ac:dyDescent="0.25">
      <c r="A19" s="180"/>
      <c r="B19" s="180"/>
      <c r="C19" s="180"/>
      <c r="D19" s="180"/>
      <c r="E19" s="180"/>
      <c r="F19" s="180"/>
      <c r="G19" s="180"/>
      <c r="H19" s="180"/>
      <c r="I19" s="180"/>
      <c r="J19" s="180"/>
    </row>
    <row r="20" spans="1:10" x14ac:dyDescent="0.25">
      <c r="A20" s="178" t="s">
        <v>214</v>
      </c>
      <c r="B20" s="178"/>
      <c r="C20" s="182">
        <v>45748</v>
      </c>
      <c r="D20" s="181"/>
      <c r="E20" s="181"/>
      <c r="F20" s="181"/>
      <c r="G20" s="181"/>
      <c r="H20" s="181"/>
      <c r="I20" s="181"/>
      <c r="J20" s="181"/>
    </row>
  </sheetData>
  <mergeCells count="24">
    <mergeCell ref="A15:J15"/>
    <mergeCell ref="C10:J10"/>
    <mergeCell ref="C12:J12"/>
    <mergeCell ref="C14:J14"/>
    <mergeCell ref="C16:J16"/>
    <mergeCell ref="A14:B14"/>
    <mergeCell ref="A16:B16"/>
    <mergeCell ref="A12:B12"/>
    <mergeCell ref="A11:J11"/>
    <mergeCell ref="A13:J13"/>
    <mergeCell ref="C18:J18"/>
    <mergeCell ref="A20:B20"/>
    <mergeCell ref="C20:J20"/>
    <mergeCell ref="A17:J17"/>
    <mergeCell ref="A19:J19"/>
    <mergeCell ref="A18:B18"/>
    <mergeCell ref="A1:J2"/>
    <mergeCell ref="A4:J5"/>
    <mergeCell ref="A8:B8"/>
    <mergeCell ref="A10:B10"/>
    <mergeCell ref="C8:J8"/>
    <mergeCell ref="A6:J7"/>
    <mergeCell ref="A3:J3"/>
    <mergeCell ref="A9:J9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workbookViewId="0">
      <selection sqref="A1:C1"/>
    </sheetView>
  </sheetViews>
  <sheetFormatPr defaultRowHeight="15" x14ac:dyDescent="0.25"/>
  <cols>
    <col min="1" max="1" width="7.5703125" bestFit="1" customWidth="1"/>
    <col min="2" max="2" width="39.5703125" bestFit="1" customWidth="1"/>
    <col min="3" max="3" width="13.7109375" customWidth="1"/>
  </cols>
  <sheetData>
    <row r="1" spans="1:3" ht="18" x14ac:dyDescent="0.25">
      <c r="A1" s="184" t="s">
        <v>6</v>
      </c>
      <c r="B1" s="185"/>
      <c r="C1" s="186"/>
    </row>
    <row r="2" spans="1:3" x14ac:dyDescent="0.25">
      <c r="A2" s="4" t="s">
        <v>7</v>
      </c>
      <c r="B2" s="5" t="s">
        <v>8</v>
      </c>
      <c r="C2" s="6" t="s">
        <v>9</v>
      </c>
    </row>
    <row r="3" spans="1:3" x14ac:dyDescent="0.25">
      <c r="A3" s="4" t="s">
        <v>10</v>
      </c>
      <c r="B3" s="5" t="s">
        <v>11</v>
      </c>
      <c r="C3" s="7">
        <v>0.2</v>
      </c>
    </row>
    <row r="4" spans="1:3" x14ac:dyDescent="0.25">
      <c r="A4" s="4" t="s">
        <v>12</v>
      </c>
      <c r="B4" s="5" t="s">
        <v>13</v>
      </c>
      <c r="C4" s="7">
        <v>1.4999999999999999E-2</v>
      </c>
    </row>
    <row r="5" spans="1:3" x14ac:dyDescent="0.25">
      <c r="A5" s="4" t="s">
        <v>14</v>
      </c>
      <c r="B5" s="5" t="s">
        <v>15</v>
      </c>
      <c r="C5" s="7">
        <v>0.01</v>
      </c>
    </row>
    <row r="6" spans="1:3" x14ac:dyDescent="0.25">
      <c r="A6" s="4" t="s">
        <v>16</v>
      </c>
      <c r="B6" s="5" t="s">
        <v>17</v>
      </c>
      <c r="C6" s="7">
        <v>2E-3</v>
      </c>
    </row>
    <row r="7" spans="1:3" x14ac:dyDescent="0.25">
      <c r="A7" s="4" t="s">
        <v>18</v>
      </c>
      <c r="B7" s="5" t="s">
        <v>19</v>
      </c>
      <c r="C7" s="7">
        <v>6.0000000000000001E-3</v>
      </c>
    </row>
    <row r="8" spans="1:3" x14ac:dyDescent="0.25">
      <c r="A8" s="4" t="s">
        <v>20</v>
      </c>
      <c r="B8" s="5" t="s">
        <v>21</v>
      </c>
      <c r="C8" s="7">
        <v>2.5000000000000001E-2</v>
      </c>
    </row>
    <row r="9" spans="1:3" x14ac:dyDescent="0.25">
      <c r="A9" s="4" t="s">
        <v>22</v>
      </c>
      <c r="B9" s="5" t="s">
        <v>23</v>
      </c>
      <c r="C9" s="7">
        <v>0.03</v>
      </c>
    </row>
    <row r="10" spans="1:3" x14ac:dyDescent="0.25">
      <c r="A10" s="4" t="s">
        <v>24</v>
      </c>
      <c r="B10" s="5" t="s">
        <v>5</v>
      </c>
      <c r="C10" s="7">
        <v>0.08</v>
      </c>
    </row>
    <row r="11" spans="1:3" x14ac:dyDescent="0.25">
      <c r="A11" s="4" t="s">
        <v>25</v>
      </c>
      <c r="B11" s="127" t="s">
        <v>26</v>
      </c>
      <c r="C11" s="8">
        <f>SUM(C3:C10)</f>
        <v>0.36800000000000005</v>
      </c>
    </row>
    <row r="12" spans="1:3" x14ac:dyDescent="0.25">
      <c r="A12" s="9"/>
      <c r="B12" s="10"/>
      <c r="C12" s="11"/>
    </row>
    <row r="13" spans="1:3" x14ac:dyDescent="0.25">
      <c r="A13" s="4" t="s">
        <v>27</v>
      </c>
      <c r="B13" s="12" t="s">
        <v>28</v>
      </c>
      <c r="C13" s="145">
        <v>6.5699999999999995E-2</v>
      </c>
    </row>
    <row r="14" spans="1:3" x14ac:dyDescent="0.25">
      <c r="A14" s="4" t="s">
        <v>29</v>
      </c>
      <c r="B14" s="12" t="s">
        <v>30</v>
      </c>
      <c r="C14" s="7">
        <v>8.3299999999999999E-2</v>
      </c>
    </row>
    <row r="15" spans="1:3" x14ac:dyDescent="0.25">
      <c r="A15" s="4" t="s">
        <v>31</v>
      </c>
      <c r="B15" s="12" t="s">
        <v>32</v>
      </c>
      <c r="C15" s="126">
        <v>5.9999999999999995E-4</v>
      </c>
    </row>
    <row r="16" spans="1:3" x14ac:dyDescent="0.25">
      <c r="A16" s="4" t="s">
        <v>33</v>
      </c>
      <c r="B16" s="12" t="s">
        <v>34</v>
      </c>
      <c r="C16" s="126">
        <v>8.2000000000000007E-3</v>
      </c>
    </row>
    <row r="17" spans="1:4" x14ac:dyDescent="0.25">
      <c r="A17" s="4" t="s">
        <v>35</v>
      </c>
      <c r="B17" s="12" t="s">
        <v>36</v>
      </c>
      <c r="C17" s="126">
        <v>3.0999999999999999E-3</v>
      </c>
    </row>
    <row r="18" spans="1:4" x14ac:dyDescent="0.25">
      <c r="A18" s="4" t="s">
        <v>37</v>
      </c>
      <c r="B18" s="12" t="s">
        <v>38</v>
      </c>
      <c r="C18" s="126">
        <v>1.66E-2</v>
      </c>
    </row>
    <row r="19" spans="1:4" x14ac:dyDescent="0.25">
      <c r="A19" s="4" t="s">
        <v>39</v>
      </c>
      <c r="B19" s="127" t="s">
        <v>40</v>
      </c>
      <c r="C19" s="8">
        <f>SUM(C13:C18)</f>
        <v>0.17749999999999999</v>
      </c>
    </row>
    <row r="20" spans="1:4" x14ac:dyDescent="0.25">
      <c r="A20" s="9"/>
      <c r="B20" s="10"/>
      <c r="C20" s="11"/>
    </row>
    <row r="21" spans="1:4" x14ac:dyDescent="0.25">
      <c r="A21" s="4" t="s">
        <v>41</v>
      </c>
      <c r="B21" s="5" t="s">
        <v>42</v>
      </c>
      <c r="C21" s="7">
        <v>2.9000000000000001E-2</v>
      </c>
    </row>
    <row r="22" spans="1:4" x14ac:dyDescent="0.25">
      <c r="A22" s="4" t="s">
        <v>43</v>
      </c>
      <c r="B22" s="5" t="s">
        <v>44</v>
      </c>
      <c r="C22" s="7">
        <v>4.5400000000000003E-2</v>
      </c>
    </row>
    <row r="23" spans="1:4" x14ac:dyDescent="0.25">
      <c r="A23" s="4" t="s">
        <v>45</v>
      </c>
      <c r="B23" s="5" t="s">
        <v>46</v>
      </c>
      <c r="C23" s="7">
        <f>C21*C22</f>
        <v>1.3166000000000002E-3</v>
      </c>
    </row>
    <row r="24" spans="1:4" x14ac:dyDescent="0.25">
      <c r="A24" s="4" t="s">
        <v>47</v>
      </c>
      <c r="B24" s="5" t="s">
        <v>48</v>
      </c>
      <c r="C24" s="7">
        <v>3.15E-2</v>
      </c>
      <c r="D24" t="s">
        <v>193</v>
      </c>
    </row>
    <row r="25" spans="1:4" x14ac:dyDescent="0.25">
      <c r="A25" s="4" t="s">
        <v>49</v>
      </c>
      <c r="B25" s="5" t="s">
        <v>50</v>
      </c>
      <c r="C25" s="7">
        <v>2E-3</v>
      </c>
      <c r="D25" t="s">
        <v>193</v>
      </c>
    </row>
    <row r="26" spans="1:4" x14ac:dyDescent="0.25">
      <c r="A26" s="4" t="s">
        <v>51</v>
      </c>
      <c r="B26" s="127" t="s">
        <v>52</v>
      </c>
      <c r="C26" s="8">
        <f>SUM(C21:C25)</f>
        <v>0.10921660000000001</v>
      </c>
    </row>
    <row r="27" spans="1:4" x14ac:dyDescent="0.25">
      <c r="A27" s="9"/>
      <c r="B27" s="10"/>
      <c r="C27" s="11"/>
    </row>
    <row r="28" spans="1:4" x14ac:dyDescent="0.25">
      <c r="A28" s="4" t="s">
        <v>53</v>
      </c>
      <c r="B28" s="5" t="s">
        <v>54</v>
      </c>
      <c r="C28" s="7">
        <f>ROUND(C11*C19,4)</f>
        <v>6.5299999999999997E-2</v>
      </c>
    </row>
    <row r="29" spans="1:4" ht="28.5" x14ac:dyDescent="0.25">
      <c r="A29" s="4" t="s">
        <v>55</v>
      </c>
      <c r="B29" s="13" t="s">
        <v>56</v>
      </c>
      <c r="C29" s="7">
        <f>ROUND((C21*C10),4)</f>
        <v>2.3E-3</v>
      </c>
    </row>
    <row r="30" spans="1:4" x14ac:dyDescent="0.25">
      <c r="A30" s="4" t="s">
        <v>57</v>
      </c>
      <c r="B30" s="127" t="s">
        <v>58</v>
      </c>
      <c r="C30" s="8">
        <f>SUM(C28:C29)</f>
        <v>6.7599999999999993E-2</v>
      </c>
    </row>
    <row r="31" spans="1:4" ht="15.75" thickBot="1" x14ac:dyDescent="0.3">
      <c r="A31" s="14"/>
      <c r="B31" s="15" t="s">
        <v>59</v>
      </c>
      <c r="C31" s="16">
        <f>C30+C26+C19+C11</f>
        <v>0.72231660000000009</v>
      </c>
    </row>
  </sheetData>
  <mergeCells count="1">
    <mergeCell ref="A1:C1"/>
  </mergeCell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63"/>
  <sheetViews>
    <sheetView workbookViewId="0">
      <selection activeCell="D7" sqref="D7"/>
    </sheetView>
  </sheetViews>
  <sheetFormatPr defaultRowHeight="15" x14ac:dyDescent="0.25"/>
  <cols>
    <col min="1" max="1" width="44.85546875" bestFit="1" customWidth="1"/>
    <col min="2" max="2" width="16.140625" bestFit="1" customWidth="1"/>
    <col min="3" max="3" width="10.28515625" bestFit="1" customWidth="1"/>
    <col min="4" max="4" width="17.7109375" bestFit="1" customWidth="1"/>
    <col min="5" max="5" width="9.28515625" bestFit="1" customWidth="1"/>
    <col min="6" max="6" width="9.85546875" bestFit="1" customWidth="1"/>
  </cols>
  <sheetData>
    <row r="1" spans="1:6" ht="15.75" thickBot="1" x14ac:dyDescent="0.3">
      <c r="A1" s="131" t="s">
        <v>93</v>
      </c>
      <c r="B1" s="110">
        <v>1</v>
      </c>
    </row>
    <row r="2" spans="1:6" ht="15.75" thickBot="1" x14ac:dyDescent="0.3"/>
    <row r="3" spans="1:6" ht="18.75" thickBot="1" x14ac:dyDescent="0.3">
      <c r="A3" s="187" t="s">
        <v>175</v>
      </c>
      <c r="B3" s="188"/>
      <c r="C3" s="188"/>
      <c r="D3" s="188"/>
      <c r="E3" s="188"/>
      <c r="F3" s="189"/>
    </row>
    <row r="4" spans="1:6" ht="15.75" thickBot="1" x14ac:dyDescent="0.3">
      <c r="A4" s="28" t="s">
        <v>176</v>
      </c>
      <c r="B4" s="28"/>
      <c r="C4" s="28"/>
      <c r="D4" s="24"/>
      <c r="E4" s="24"/>
      <c r="F4" s="24"/>
    </row>
    <row r="5" spans="1:6" ht="15.75" thickBot="1" x14ac:dyDescent="0.3">
      <c r="A5" s="17" t="s">
        <v>61</v>
      </c>
      <c r="B5" s="18" t="s">
        <v>62</v>
      </c>
      <c r="C5" s="18" t="s">
        <v>63</v>
      </c>
      <c r="D5" s="19" t="s">
        <v>64</v>
      </c>
      <c r="E5" s="19" t="s">
        <v>65</v>
      </c>
      <c r="F5" s="20" t="s">
        <v>66</v>
      </c>
    </row>
    <row r="6" spans="1:6" x14ac:dyDescent="0.25">
      <c r="A6" s="21" t="s">
        <v>84</v>
      </c>
      <c r="B6" s="22" t="s">
        <v>67</v>
      </c>
      <c r="C6" s="119">
        <v>1</v>
      </c>
      <c r="D6" s="111">
        <v>3042.11</v>
      </c>
      <c r="E6" s="23">
        <f>C6*D6</f>
        <v>3042.11</v>
      </c>
      <c r="F6" s="24"/>
    </row>
    <row r="7" spans="1:6" x14ac:dyDescent="0.25">
      <c r="A7" s="21" t="s">
        <v>85</v>
      </c>
      <c r="B7" s="22" t="s">
        <v>67</v>
      </c>
      <c r="C7" s="119">
        <v>1</v>
      </c>
      <c r="D7" s="111">
        <v>1518</v>
      </c>
      <c r="E7" s="23"/>
      <c r="F7" s="24"/>
    </row>
    <row r="8" spans="1:6" x14ac:dyDescent="0.25">
      <c r="A8" s="25" t="s">
        <v>68</v>
      </c>
      <c r="B8" s="26" t="s">
        <v>69</v>
      </c>
      <c r="C8" s="112">
        <v>0</v>
      </c>
      <c r="D8" s="27">
        <f>D6/220*2</f>
        <v>27.655545454545457</v>
      </c>
      <c r="E8" s="27">
        <f>C8*D8</f>
        <v>0</v>
      </c>
      <c r="F8" s="24"/>
    </row>
    <row r="9" spans="1:6" x14ac:dyDescent="0.25">
      <c r="A9" s="25" t="s">
        <v>70</v>
      </c>
      <c r="B9" s="26" t="s">
        <v>69</v>
      </c>
      <c r="C9" s="112">
        <v>0</v>
      </c>
      <c r="D9" s="27">
        <f>D6/220*1.5</f>
        <v>20.741659090909092</v>
      </c>
      <c r="E9" s="27">
        <f>C9*D9</f>
        <v>0</v>
      </c>
      <c r="F9" s="24"/>
    </row>
    <row r="10" spans="1:6" x14ac:dyDescent="0.25">
      <c r="A10" s="25" t="s">
        <v>71</v>
      </c>
      <c r="B10" s="26" t="s">
        <v>1</v>
      </c>
      <c r="C10" s="28"/>
      <c r="D10" s="27">
        <f>63/302*(SUM(E8:E9))</f>
        <v>0</v>
      </c>
      <c r="E10" s="27">
        <f>D10</f>
        <v>0</v>
      </c>
      <c r="F10" s="24"/>
    </row>
    <row r="11" spans="1:6" x14ac:dyDescent="0.25">
      <c r="A11" s="25" t="s">
        <v>86</v>
      </c>
      <c r="B11" s="26"/>
      <c r="C11" s="113">
        <v>1</v>
      </c>
      <c r="D11" s="27"/>
      <c r="E11" s="27"/>
      <c r="F11" s="24"/>
    </row>
    <row r="12" spans="1:6" x14ac:dyDescent="0.25">
      <c r="A12" s="25" t="s">
        <v>72</v>
      </c>
      <c r="B12" s="26" t="s">
        <v>73</v>
      </c>
      <c r="C12" s="102">
        <v>20</v>
      </c>
      <c r="D12" s="29">
        <f>IF(C11=2,SUM(E6:E10),IF(C11=1,(SUM(E6:E10))*D7/D6,0))</f>
        <v>1518</v>
      </c>
      <c r="E12" s="27">
        <f>C12*D12/100</f>
        <v>303.60000000000002</v>
      </c>
      <c r="F12" s="24"/>
    </row>
    <row r="13" spans="1:6" x14ac:dyDescent="0.25">
      <c r="A13" s="38" t="s">
        <v>74</v>
      </c>
      <c r="B13" s="31"/>
      <c r="C13" s="31"/>
      <c r="D13" s="32"/>
      <c r="E13" s="39">
        <f>SUM(E6:E12)</f>
        <v>3345.71</v>
      </c>
      <c r="F13" s="40"/>
    </row>
    <row r="14" spans="1:6" x14ac:dyDescent="0.25">
      <c r="A14" s="25" t="s">
        <v>75</v>
      </c>
      <c r="B14" s="26" t="s">
        <v>73</v>
      </c>
      <c r="C14" s="34">
        <f>Encargos!$C$31*100</f>
        <v>72.231660000000005</v>
      </c>
      <c r="D14" s="27">
        <f>E13</f>
        <v>3345.71</v>
      </c>
      <c r="E14" s="27">
        <f>D14*C14/100</f>
        <v>2416.6618717860001</v>
      </c>
      <c r="F14" s="24"/>
    </row>
    <row r="15" spans="1:6" x14ac:dyDescent="0.25">
      <c r="A15" s="38" t="s">
        <v>87</v>
      </c>
      <c r="B15" s="41"/>
      <c r="C15" s="41"/>
      <c r="D15" s="42"/>
      <c r="E15" s="39">
        <f>E13+E14</f>
        <v>5762.3718717860002</v>
      </c>
      <c r="F15" s="40"/>
    </row>
    <row r="16" spans="1:6" ht="15.75" thickBot="1" x14ac:dyDescent="0.3">
      <c r="A16" s="25" t="s">
        <v>76</v>
      </c>
      <c r="B16" s="26" t="s">
        <v>77</v>
      </c>
      <c r="C16" s="102">
        <v>1</v>
      </c>
      <c r="D16" s="27">
        <f>E15</f>
        <v>5762.3718717860002</v>
      </c>
      <c r="E16" s="27">
        <f>C16*D16</f>
        <v>5762.3718717860002</v>
      </c>
      <c r="F16" s="24"/>
    </row>
    <row r="17" spans="1:6" ht="15.75" thickBot="1" x14ac:dyDescent="0.3">
      <c r="A17" s="28"/>
      <c r="B17" s="28"/>
      <c r="C17" s="28"/>
      <c r="D17" s="35" t="s">
        <v>78</v>
      </c>
      <c r="E17" s="36">
        <f>$B$1</f>
        <v>1</v>
      </c>
      <c r="F17" s="37">
        <f>E16*E17</f>
        <v>5762.3718717860002</v>
      </c>
    </row>
    <row r="18" spans="1:6" x14ac:dyDescent="0.25">
      <c r="A18" s="28"/>
      <c r="B18" s="28"/>
      <c r="C18" s="28"/>
      <c r="D18" s="24"/>
      <c r="E18" s="24"/>
      <c r="F18" s="24"/>
    </row>
    <row r="19" spans="1:6" ht="15.75" thickBot="1" x14ac:dyDescent="0.3">
      <c r="A19" s="171" t="s">
        <v>227</v>
      </c>
      <c r="B19" s="28"/>
      <c r="C19" s="28"/>
      <c r="D19" s="24"/>
      <c r="E19" s="24"/>
      <c r="F19" s="24"/>
    </row>
    <row r="20" spans="1:6" ht="15.75" thickBot="1" x14ac:dyDescent="0.3">
      <c r="A20" s="17" t="s">
        <v>61</v>
      </c>
      <c r="B20" s="18" t="s">
        <v>62</v>
      </c>
      <c r="C20" s="18" t="s">
        <v>63</v>
      </c>
      <c r="D20" s="19" t="s">
        <v>64</v>
      </c>
      <c r="E20" s="19" t="s">
        <v>65</v>
      </c>
      <c r="F20" s="20" t="s">
        <v>66</v>
      </c>
    </row>
    <row r="21" spans="1:6" x14ac:dyDescent="0.25">
      <c r="A21" s="21" t="s">
        <v>84</v>
      </c>
      <c r="B21" s="22" t="s">
        <v>67</v>
      </c>
      <c r="C21" s="119">
        <v>0</v>
      </c>
      <c r="D21" s="23">
        <f>D6</f>
        <v>3042.11</v>
      </c>
      <c r="E21" s="23">
        <f>C21*D21</f>
        <v>0</v>
      </c>
      <c r="F21" s="24"/>
    </row>
    <row r="22" spans="1:6" x14ac:dyDescent="0.25">
      <c r="A22" s="21" t="s">
        <v>85</v>
      </c>
      <c r="B22" s="22" t="s">
        <v>67</v>
      </c>
      <c r="C22" s="119">
        <v>0</v>
      </c>
      <c r="D22" s="27">
        <f>D7</f>
        <v>1518</v>
      </c>
      <c r="E22" s="27"/>
      <c r="F22" s="24"/>
    </row>
    <row r="23" spans="1:6" x14ac:dyDescent="0.25">
      <c r="A23" s="25" t="s">
        <v>79</v>
      </c>
      <c r="B23" s="26" t="s">
        <v>80</v>
      </c>
      <c r="C23" s="112">
        <v>0</v>
      </c>
      <c r="D23" s="25"/>
      <c r="E23" s="25"/>
      <c r="F23" s="24"/>
    </row>
    <row r="24" spans="1:6" x14ac:dyDescent="0.25">
      <c r="A24" s="25"/>
      <c r="B24" s="26" t="s">
        <v>81</v>
      </c>
      <c r="C24" s="27">
        <f>C23*8/7</f>
        <v>0</v>
      </c>
      <c r="D24" s="27">
        <f>D21/220*0.2</f>
        <v>2.7655545454545458</v>
      </c>
      <c r="E24" s="27">
        <f>C23*D24</f>
        <v>0</v>
      </c>
      <c r="F24" s="24"/>
    </row>
    <row r="25" spans="1:6" x14ac:dyDescent="0.25">
      <c r="A25" s="25" t="s">
        <v>68</v>
      </c>
      <c r="B25" s="26" t="s">
        <v>69</v>
      </c>
      <c r="C25" s="112">
        <v>0</v>
      </c>
      <c r="D25" s="27">
        <f>D21/220*2</f>
        <v>27.655545454545457</v>
      </c>
      <c r="E25" s="27">
        <f>C25*D25</f>
        <v>0</v>
      </c>
      <c r="F25" s="24"/>
    </row>
    <row r="26" spans="1:6" x14ac:dyDescent="0.25">
      <c r="A26" s="25" t="s">
        <v>82</v>
      </c>
      <c r="B26" s="26" t="s">
        <v>80</v>
      </c>
      <c r="C26" s="112">
        <v>0</v>
      </c>
      <c r="D26" s="27"/>
      <c r="E26" s="27"/>
      <c r="F26" s="24"/>
    </row>
    <row r="27" spans="1:6" x14ac:dyDescent="0.25">
      <c r="A27" s="25"/>
      <c r="B27" s="26" t="s">
        <v>81</v>
      </c>
      <c r="C27" s="27">
        <f>C26*8/7</f>
        <v>0</v>
      </c>
      <c r="D27" s="27">
        <f>D21/220*2*1.2</f>
        <v>33.186654545454545</v>
      </c>
      <c r="E27" s="27">
        <f>C27*D27</f>
        <v>0</v>
      </c>
      <c r="F27" s="24"/>
    </row>
    <row r="28" spans="1:6" x14ac:dyDescent="0.25">
      <c r="A28" s="25" t="s">
        <v>70</v>
      </c>
      <c r="B28" s="26" t="s">
        <v>69</v>
      </c>
      <c r="C28" s="112">
        <v>0</v>
      </c>
      <c r="D28" s="27">
        <f>D21/220*1.5</f>
        <v>20.741659090909092</v>
      </c>
      <c r="E28" s="27">
        <f>C28*D28</f>
        <v>0</v>
      </c>
      <c r="F28" s="24"/>
    </row>
    <row r="29" spans="1:6" x14ac:dyDescent="0.25">
      <c r="A29" s="25" t="s">
        <v>83</v>
      </c>
      <c r="B29" s="26" t="s">
        <v>80</v>
      </c>
      <c r="C29" s="112">
        <v>0</v>
      </c>
      <c r="D29" s="27"/>
      <c r="E29" s="27"/>
      <c r="F29" s="24"/>
    </row>
    <row r="30" spans="1:6" x14ac:dyDescent="0.25">
      <c r="A30" s="25"/>
      <c r="B30" s="26" t="s">
        <v>81</v>
      </c>
      <c r="C30" s="27">
        <f>C29*8/7</f>
        <v>0</v>
      </c>
      <c r="D30" s="27">
        <f>D21/220*1.5*1.2</f>
        <v>24.889990909090908</v>
      </c>
      <c r="E30" s="27">
        <f>C30*D30</f>
        <v>0</v>
      </c>
      <c r="F30" s="24"/>
    </row>
    <row r="31" spans="1:6" x14ac:dyDescent="0.25">
      <c r="A31" s="25" t="s">
        <v>71</v>
      </c>
      <c r="B31" s="26" t="s">
        <v>1</v>
      </c>
      <c r="C31" s="28"/>
      <c r="D31" s="27">
        <f>63/302*(SUM(E25:E30))</f>
        <v>0</v>
      </c>
      <c r="E31" s="27">
        <f>D31</f>
        <v>0</v>
      </c>
      <c r="F31" s="24"/>
    </row>
    <row r="32" spans="1:6" x14ac:dyDescent="0.25">
      <c r="A32" s="25" t="s">
        <v>86</v>
      </c>
      <c r="B32" s="26"/>
      <c r="C32" s="113">
        <v>0</v>
      </c>
      <c r="D32" s="27"/>
      <c r="E32" s="27"/>
      <c r="F32" s="24"/>
    </row>
    <row r="33" spans="1:6" x14ac:dyDescent="0.25">
      <c r="A33" s="25" t="s">
        <v>72</v>
      </c>
      <c r="B33" s="26" t="s">
        <v>73</v>
      </c>
      <c r="C33" s="29">
        <f>+C12</f>
        <v>20</v>
      </c>
      <c r="D33" s="29">
        <f>IF(C32=2,SUM(E21:E31),IF(C32=1,SUM(E21:E31)*D22/D21,0))</f>
        <v>0</v>
      </c>
      <c r="E33" s="27">
        <f>C33*D33/100</f>
        <v>0</v>
      </c>
      <c r="F33" s="24"/>
    </row>
    <row r="34" spans="1:6" x14ac:dyDescent="0.25">
      <c r="A34" s="30" t="s">
        <v>74</v>
      </c>
      <c r="B34" s="31"/>
      <c r="C34" s="31"/>
      <c r="D34" s="32"/>
      <c r="E34" s="33">
        <f>SUM(E21:E33)</f>
        <v>0</v>
      </c>
      <c r="F34" s="40"/>
    </row>
    <row r="35" spans="1:6" x14ac:dyDescent="0.25">
      <c r="A35" s="25" t="s">
        <v>75</v>
      </c>
      <c r="B35" s="26" t="s">
        <v>73</v>
      </c>
      <c r="C35" s="34">
        <f>Encargos!$C$31*100</f>
        <v>72.231660000000005</v>
      </c>
      <c r="D35" s="27">
        <f>E34</f>
        <v>0</v>
      </c>
      <c r="E35" s="27">
        <f>D35*C35/100</f>
        <v>0</v>
      </c>
      <c r="F35" s="24"/>
    </row>
    <row r="36" spans="1:6" x14ac:dyDescent="0.25">
      <c r="A36" s="30" t="s">
        <v>87</v>
      </c>
      <c r="B36" s="31"/>
      <c r="C36" s="31"/>
      <c r="D36" s="32"/>
      <c r="E36" s="33">
        <f>E34+E35</f>
        <v>0</v>
      </c>
      <c r="F36" s="40"/>
    </row>
    <row r="37" spans="1:6" ht="15.75" thickBot="1" x14ac:dyDescent="0.3">
      <c r="A37" s="25" t="s">
        <v>76</v>
      </c>
      <c r="B37" s="26" t="s">
        <v>77</v>
      </c>
      <c r="C37" s="102">
        <v>1</v>
      </c>
      <c r="D37" s="27">
        <f>E36</f>
        <v>0</v>
      </c>
      <c r="E37" s="27">
        <f>C37*D37</f>
        <v>0</v>
      </c>
      <c r="F37" s="24"/>
    </row>
    <row r="38" spans="1:6" ht="15.75" thickBot="1" x14ac:dyDescent="0.3">
      <c r="A38" s="28"/>
      <c r="B38" s="28"/>
      <c r="C38" s="28"/>
      <c r="D38" s="35" t="s">
        <v>78</v>
      </c>
      <c r="E38" s="36">
        <f>$B$1</f>
        <v>1</v>
      </c>
      <c r="F38" s="37">
        <f>E37*E38</f>
        <v>0</v>
      </c>
    </row>
    <row r="41" spans="1:6" ht="15.75" thickBot="1" x14ac:dyDescent="0.3">
      <c r="A41" s="28" t="s">
        <v>177</v>
      </c>
      <c r="B41" s="43"/>
      <c r="C41" s="28"/>
      <c r="D41" s="28"/>
      <c r="E41" s="28"/>
      <c r="F41" s="24"/>
    </row>
    <row r="42" spans="1:6" ht="15.75" thickBot="1" x14ac:dyDescent="0.3">
      <c r="A42" s="17" t="s">
        <v>61</v>
      </c>
      <c r="B42" s="18" t="s">
        <v>62</v>
      </c>
      <c r="C42" s="18" t="s">
        <v>63</v>
      </c>
      <c r="D42" s="19" t="s">
        <v>64</v>
      </c>
      <c r="E42" s="19" t="s">
        <v>65</v>
      </c>
      <c r="F42" s="20" t="s">
        <v>66</v>
      </c>
    </row>
    <row r="43" spans="1:6" x14ac:dyDescent="0.25">
      <c r="A43" s="25" t="s">
        <v>88</v>
      </c>
      <c r="B43" s="26" t="s">
        <v>1</v>
      </c>
      <c r="C43" s="44">
        <v>1</v>
      </c>
      <c r="D43" s="114">
        <v>3.65</v>
      </c>
      <c r="E43" s="27"/>
      <c r="F43" s="24"/>
    </row>
    <row r="44" spans="1:6" x14ac:dyDescent="0.25">
      <c r="A44" s="25" t="s">
        <v>89</v>
      </c>
      <c r="B44" s="26" t="s">
        <v>90</v>
      </c>
      <c r="C44" s="115">
        <v>22</v>
      </c>
      <c r="D44" s="27"/>
      <c r="E44" s="27"/>
      <c r="F44" s="24"/>
    </row>
    <row r="45" spans="1:6" ht="15.75" thickBot="1" x14ac:dyDescent="0.3">
      <c r="A45" s="21" t="s">
        <v>92</v>
      </c>
      <c r="B45" s="22" t="s">
        <v>91</v>
      </c>
      <c r="C45" s="45">
        <v>44</v>
      </c>
      <c r="D45" s="23">
        <f>IFERROR((($C$44*2*$D$43)-(E6*0.06*C44/26))/($C$44*2),"-")</f>
        <v>0.13987307692307704</v>
      </c>
      <c r="E45" s="23">
        <f>IFERROR(C45*D45,"-")</f>
        <v>6.1544153846153904</v>
      </c>
      <c r="F45" s="24"/>
    </row>
    <row r="46" spans="1:6" ht="15.75" thickBot="1" x14ac:dyDescent="0.3">
      <c r="A46" s="28"/>
      <c r="B46" s="28"/>
      <c r="C46" s="28"/>
      <c r="D46" s="24"/>
      <c r="E46" s="24"/>
      <c r="F46" s="46">
        <f>SUM(E45:E45)</f>
        <v>6.1544153846153904</v>
      </c>
    </row>
    <row r="47" spans="1:6" x14ac:dyDescent="0.25">
      <c r="A47" s="28"/>
      <c r="B47" s="28"/>
      <c r="C47" s="28"/>
      <c r="D47" s="24"/>
      <c r="E47" s="24"/>
      <c r="F47" s="24"/>
    </row>
    <row r="48" spans="1:6" ht="15.75" thickBot="1" x14ac:dyDescent="0.3">
      <c r="A48" s="28" t="s">
        <v>178</v>
      </c>
      <c r="B48" s="28"/>
      <c r="C48" s="28"/>
      <c r="D48" s="24"/>
      <c r="E48" s="24"/>
      <c r="F48" s="47"/>
    </row>
    <row r="49" spans="1:6" ht="15.75" thickBot="1" x14ac:dyDescent="0.3">
      <c r="A49" s="17" t="s">
        <v>61</v>
      </c>
      <c r="B49" s="18" t="s">
        <v>62</v>
      </c>
      <c r="C49" s="18" t="s">
        <v>63</v>
      </c>
      <c r="D49" s="19" t="s">
        <v>64</v>
      </c>
      <c r="E49" s="19" t="s">
        <v>65</v>
      </c>
      <c r="F49" s="20" t="s">
        <v>66</v>
      </c>
    </row>
    <row r="50" spans="1:6" ht="15.75" thickBot="1" x14ac:dyDescent="0.3">
      <c r="A50" s="25" t="str">
        <f>+A45</f>
        <v>Motorista</v>
      </c>
      <c r="B50" s="26" t="s">
        <v>0</v>
      </c>
      <c r="C50" s="48">
        <v>22</v>
      </c>
      <c r="D50" s="116">
        <v>23.69</v>
      </c>
      <c r="E50" s="36">
        <f>C50*D50</f>
        <v>521.18000000000006</v>
      </c>
      <c r="F50" s="47"/>
    </row>
    <row r="51" spans="1:6" ht="15.75" thickBot="1" x14ac:dyDescent="0.3">
      <c r="A51" s="28"/>
      <c r="B51" s="28"/>
      <c r="C51" s="28"/>
      <c r="D51" s="24"/>
      <c r="E51" s="24"/>
      <c r="F51" s="46">
        <f>SUM(E50:E50)</f>
        <v>521.18000000000006</v>
      </c>
    </row>
    <row r="52" spans="1:6" x14ac:dyDescent="0.25">
      <c r="A52" s="28"/>
      <c r="B52" s="28"/>
      <c r="C52" s="28"/>
      <c r="D52" s="24"/>
      <c r="E52" s="24"/>
      <c r="F52" s="24"/>
    </row>
    <row r="53" spans="1:6" ht="15.75" thickBot="1" x14ac:dyDescent="0.3">
      <c r="A53" s="28" t="s">
        <v>179</v>
      </c>
      <c r="B53" s="28"/>
      <c r="C53" s="28"/>
      <c r="D53" s="24"/>
      <c r="E53" s="24"/>
      <c r="F53" s="47"/>
    </row>
    <row r="54" spans="1:6" ht="15.75" thickBot="1" x14ac:dyDescent="0.3">
      <c r="A54" s="17" t="s">
        <v>61</v>
      </c>
      <c r="B54" s="18" t="s">
        <v>62</v>
      </c>
      <c r="C54" s="18" t="s">
        <v>63</v>
      </c>
      <c r="D54" s="19" t="s">
        <v>64</v>
      </c>
      <c r="E54" s="19" t="s">
        <v>65</v>
      </c>
      <c r="F54" s="20" t="s">
        <v>66</v>
      </c>
    </row>
    <row r="55" spans="1:6" ht="15.75" thickBot="1" x14ac:dyDescent="0.3">
      <c r="A55" s="25" t="str">
        <f>+A50</f>
        <v>Motorista</v>
      </c>
      <c r="B55" s="26" t="s">
        <v>0</v>
      </c>
      <c r="C55" s="48">
        <v>1</v>
      </c>
      <c r="D55" s="116">
        <v>191</v>
      </c>
      <c r="E55" s="36">
        <f>C55*D55</f>
        <v>191</v>
      </c>
      <c r="F55" s="47"/>
    </row>
    <row r="56" spans="1:6" ht="15.75" thickBot="1" x14ac:dyDescent="0.3">
      <c r="A56" s="28"/>
      <c r="B56" s="28"/>
      <c r="C56" s="28"/>
      <c r="D56" s="35" t="s">
        <v>78</v>
      </c>
      <c r="E56" s="36">
        <f>$B$1</f>
        <v>1</v>
      </c>
      <c r="F56" s="46">
        <f>SUM(E55:E55)*E56</f>
        <v>191</v>
      </c>
    </row>
    <row r="58" spans="1:6" ht="15.75" thickBot="1" x14ac:dyDescent="0.3">
      <c r="A58" s="28" t="s">
        <v>218</v>
      </c>
      <c r="B58" s="28"/>
      <c r="C58" s="28"/>
      <c r="D58" s="24"/>
      <c r="E58" s="24"/>
      <c r="F58" s="47"/>
    </row>
    <row r="59" spans="1:6" ht="15.75" thickBot="1" x14ac:dyDescent="0.3">
      <c r="A59" s="17" t="s">
        <v>61</v>
      </c>
      <c r="B59" s="18" t="s">
        <v>62</v>
      </c>
      <c r="C59" s="18" t="s">
        <v>63</v>
      </c>
      <c r="D59" s="19" t="s">
        <v>64</v>
      </c>
      <c r="E59" s="19" t="s">
        <v>65</v>
      </c>
      <c r="F59" s="20" t="s">
        <v>66</v>
      </c>
    </row>
    <row r="60" spans="1:6" ht="15.75" thickBot="1" x14ac:dyDescent="0.3">
      <c r="A60" s="25" t="str">
        <f>+A55</f>
        <v>Motorista</v>
      </c>
      <c r="B60" s="26" t="s">
        <v>0</v>
      </c>
      <c r="C60" s="48">
        <v>1</v>
      </c>
      <c r="D60" s="116">
        <v>342.7</v>
      </c>
      <c r="E60" s="36">
        <f>D60*20%</f>
        <v>68.540000000000006</v>
      </c>
      <c r="F60" s="47"/>
    </row>
    <row r="61" spans="1:6" ht="15.75" thickBot="1" x14ac:dyDescent="0.3">
      <c r="A61" s="28"/>
      <c r="B61" s="28"/>
      <c r="C61" s="28"/>
      <c r="D61" s="35" t="s">
        <v>78</v>
      </c>
      <c r="E61" s="36">
        <f>$B$1</f>
        <v>1</v>
      </c>
      <c r="F61" s="46">
        <f>D60-E60</f>
        <v>274.15999999999997</v>
      </c>
    </row>
    <row r="62" spans="1:6" ht="15.75" thickBot="1" x14ac:dyDescent="0.3"/>
    <row r="63" spans="1:6" ht="15.75" thickBot="1" x14ac:dyDescent="0.3">
      <c r="A63" s="135" t="s">
        <v>155</v>
      </c>
      <c r="B63" s="135" t="s">
        <v>154</v>
      </c>
      <c r="C63" s="134"/>
      <c r="D63" s="134"/>
      <c r="E63" s="134"/>
      <c r="F63" s="136">
        <f>F56+F51+F46+F38+F17+F61</f>
        <v>6754.8662871706156</v>
      </c>
    </row>
  </sheetData>
  <mergeCells count="1">
    <mergeCell ref="A3:F3"/>
  </mergeCells>
  <pageMargins left="0.511811024" right="0.511811024" top="0.78740157499999996" bottom="0.78740157499999996" header="0.31496062000000002" footer="0.31496062000000002"/>
  <pageSetup paperSize="9" scale="77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topLeftCell="A4" workbookViewId="0">
      <selection activeCell="J15" sqref="J15"/>
    </sheetView>
  </sheetViews>
  <sheetFormatPr defaultRowHeight="15" x14ac:dyDescent="0.25"/>
  <cols>
    <col min="1" max="1" width="47" bestFit="1" customWidth="1"/>
    <col min="2" max="2" width="8.42578125" bestFit="1" customWidth="1"/>
    <col min="3" max="3" width="12.85546875" bestFit="1" customWidth="1"/>
    <col min="4" max="4" width="17.7109375" bestFit="1" customWidth="1"/>
    <col min="5" max="5" width="11.28515625" bestFit="1" customWidth="1"/>
    <col min="6" max="6" width="9.85546875" bestFit="1" customWidth="1"/>
  </cols>
  <sheetData>
    <row r="1" spans="1:6" x14ac:dyDescent="0.25">
      <c r="A1" s="137" t="s">
        <v>106</v>
      </c>
    </row>
    <row r="2" spans="1:6" x14ac:dyDescent="0.25">
      <c r="A2" t="s">
        <v>152</v>
      </c>
      <c r="B2" s="61" t="s">
        <v>1</v>
      </c>
      <c r="C2" s="103">
        <v>571613</v>
      </c>
    </row>
    <row r="3" spans="1:6" x14ac:dyDescent="0.25">
      <c r="A3" t="s">
        <v>101</v>
      </c>
      <c r="B3" s="61" t="s">
        <v>2</v>
      </c>
      <c r="C3" s="97">
        <v>15</v>
      </c>
    </row>
    <row r="4" spans="1:6" x14ac:dyDescent="0.25">
      <c r="A4" t="s">
        <v>103</v>
      </c>
      <c r="B4" s="61" t="s">
        <v>73</v>
      </c>
      <c r="C4" s="1">
        <f>100/C3</f>
        <v>6.666666666666667</v>
      </c>
    </row>
    <row r="5" spans="1:6" x14ac:dyDescent="0.25">
      <c r="A5" t="s">
        <v>102</v>
      </c>
      <c r="B5" s="61" t="s">
        <v>1</v>
      </c>
      <c r="C5" s="103">
        <f>C2*15%</f>
        <v>85741.95</v>
      </c>
    </row>
    <row r="6" spans="1:6" x14ac:dyDescent="0.25">
      <c r="A6" t="s">
        <v>105</v>
      </c>
      <c r="B6" s="61" t="s">
        <v>2</v>
      </c>
      <c r="C6" s="100">
        <v>0</v>
      </c>
    </row>
    <row r="7" spans="1:6" ht="15.75" thickBot="1" x14ac:dyDescent="0.3">
      <c r="A7" t="s">
        <v>104</v>
      </c>
      <c r="B7" s="61" t="s">
        <v>1</v>
      </c>
      <c r="C7" s="2">
        <f>((C2-C5)*(C4%*C6))</f>
        <v>0</v>
      </c>
    </row>
    <row r="8" spans="1:6" ht="15.75" thickBot="1" x14ac:dyDescent="0.3">
      <c r="A8" s="158" t="s">
        <v>93</v>
      </c>
      <c r="B8" s="159"/>
      <c r="C8" s="160">
        <f>'Mão de obra'!B1</f>
        <v>1</v>
      </c>
    </row>
    <row r="9" spans="1:6" ht="18.75" thickBot="1" x14ac:dyDescent="0.3">
      <c r="A9" s="187" t="s">
        <v>188</v>
      </c>
      <c r="B9" s="188"/>
      <c r="C9" s="188"/>
      <c r="D9" s="188"/>
      <c r="E9" s="188"/>
      <c r="F9" s="189"/>
    </row>
    <row r="10" spans="1:6" ht="15.75" thickBot="1" x14ac:dyDescent="0.3">
      <c r="A10" s="161" t="s">
        <v>189</v>
      </c>
      <c r="B10" s="28"/>
      <c r="C10" s="28"/>
      <c r="D10" s="24"/>
      <c r="E10" s="24"/>
      <c r="F10" s="24"/>
    </row>
    <row r="11" spans="1:6" ht="15.75" thickBot="1" x14ac:dyDescent="0.3">
      <c r="A11" s="17" t="s">
        <v>61</v>
      </c>
      <c r="B11" s="18" t="s">
        <v>62</v>
      </c>
      <c r="C11" s="18" t="s">
        <v>63</v>
      </c>
      <c r="D11" s="19" t="s">
        <v>64</v>
      </c>
      <c r="E11" s="19" t="s">
        <v>65</v>
      </c>
      <c r="F11" s="20" t="s">
        <v>66</v>
      </c>
    </row>
    <row r="12" spans="1:6" x14ac:dyDescent="0.25">
      <c r="A12" s="21" t="s">
        <v>153</v>
      </c>
      <c r="B12" s="22" t="s">
        <v>0</v>
      </c>
      <c r="C12" s="22">
        <v>1</v>
      </c>
      <c r="D12" s="96">
        <f>C2</f>
        <v>571613</v>
      </c>
      <c r="E12" s="23">
        <f>C12*D12</f>
        <v>571613</v>
      </c>
      <c r="F12" s="24"/>
    </row>
    <row r="13" spans="1:6" x14ac:dyDescent="0.25">
      <c r="A13" s="25" t="s">
        <v>151</v>
      </c>
      <c r="B13" s="26" t="s">
        <v>2</v>
      </c>
      <c r="C13" s="99">
        <v>15</v>
      </c>
      <c r="D13" s="29"/>
      <c r="E13" s="27"/>
      <c r="F13" s="24"/>
    </row>
    <row r="14" spans="1:6" x14ac:dyDescent="0.25">
      <c r="A14" s="25" t="s">
        <v>149</v>
      </c>
      <c r="B14" s="26" t="s">
        <v>2</v>
      </c>
      <c r="C14" s="98">
        <f>C6</f>
        <v>0</v>
      </c>
      <c r="D14" s="27"/>
      <c r="E14" s="27"/>
      <c r="F14" s="52"/>
    </row>
    <row r="15" spans="1:6" x14ac:dyDescent="0.25">
      <c r="A15" s="25" t="s">
        <v>150</v>
      </c>
      <c r="B15" s="26" t="s">
        <v>73</v>
      </c>
      <c r="C15" s="101">
        <v>100</v>
      </c>
      <c r="D15" s="27">
        <f>E12</f>
        <v>571613</v>
      </c>
      <c r="E15" s="27">
        <f>C15*(D15-C5)/100</f>
        <v>485871.05</v>
      </c>
      <c r="F15" s="24"/>
    </row>
    <row r="16" spans="1:6" ht="15.75" thickBot="1" x14ac:dyDescent="0.3">
      <c r="A16" s="54" t="s">
        <v>160</v>
      </c>
      <c r="B16" s="55" t="s">
        <v>67</v>
      </c>
      <c r="C16" s="55">
        <f>C13*12</f>
        <v>180</v>
      </c>
      <c r="D16" s="57">
        <f>IF(C14&lt;=C13,E15,0)</f>
        <v>485871.05</v>
      </c>
      <c r="E16" s="57">
        <f>IFERROR(D16/C16,0)</f>
        <v>2699.283611111111</v>
      </c>
      <c r="F16" s="24"/>
    </row>
    <row r="17" spans="1:6" ht="15.75" thickTop="1" x14ac:dyDescent="0.25">
      <c r="A17" s="30" t="s">
        <v>97</v>
      </c>
      <c r="B17" s="31"/>
      <c r="C17" s="31"/>
      <c r="D17" s="32"/>
      <c r="E17" s="33">
        <f>E16</f>
        <v>2699.283611111111</v>
      </c>
      <c r="F17" s="24"/>
    </row>
    <row r="18" spans="1:6" ht="15.75" thickBot="1" x14ac:dyDescent="0.3">
      <c r="A18" s="38" t="s">
        <v>98</v>
      </c>
      <c r="B18" s="58" t="s">
        <v>0</v>
      </c>
      <c r="C18" s="102">
        <v>1</v>
      </c>
      <c r="D18" s="39">
        <f>E17</f>
        <v>2699.283611111111</v>
      </c>
      <c r="E18" s="33">
        <f>C18*D18</f>
        <v>2699.283611111111</v>
      </c>
      <c r="F18" s="24"/>
    </row>
    <row r="19" spans="1:6" ht="15.75" thickBot="1" x14ac:dyDescent="0.3">
      <c r="A19" s="95"/>
      <c r="B19" s="95"/>
      <c r="C19" s="95"/>
      <c r="D19" s="35" t="s">
        <v>78</v>
      </c>
      <c r="E19" s="36">
        <f>C8</f>
        <v>1</v>
      </c>
      <c r="F19" s="60">
        <f>E18*E19</f>
        <v>2699.283611111111</v>
      </c>
    </row>
    <row r="20" spans="1:6" x14ac:dyDescent="0.25">
      <c r="C20" s="62"/>
      <c r="F20" s="24"/>
    </row>
    <row r="21" spans="1:6" x14ac:dyDescent="0.25">
      <c r="C21" s="62"/>
      <c r="F21" s="24"/>
    </row>
    <row r="22" spans="1:6" x14ac:dyDescent="0.25">
      <c r="F22" s="24"/>
    </row>
    <row r="23" spans="1:6" ht="15.75" thickBot="1" x14ac:dyDescent="0.3">
      <c r="A23" s="161" t="s">
        <v>190</v>
      </c>
      <c r="B23" s="28"/>
      <c r="C23" s="28"/>
      <c r="D23" s="24"/>
      <c r="E23" s="24"/>
      <c r="F23" s="24"/>
    </row>
    <row r="24" spans="1:6" ht="15.75" thickBot="1" x14ac:dyDescent="0.3">
      <c r="A24" s="49" t="s">
        <v>61</v>
      </c>
      <c r="B24" s="50" t="s">
        <v>62</v>
      </c>
      <c r="C24" s="50" t="s">
        <v>63</v>
      </c>
      <c r="D24" s="19" t="s">
        <v>64</v>
      </c>
      <c r="E24" s="51" t="s">
        <v>65</v>
      </c>
      <c r="F24" s="20" t="s">
        <v>66</v>
      </c>
    </row>
    <row r="25" spans="1:6" x14ac:dyDescent="0.25">
      <c r="A25" s="25" t="s">
        <v>94</v>
      </c>
      <c r="B25" s="26" t="s">
        <v>0</v>
      </c>
      <c r="C25" s="22">
        <v>1</v>
      </c>
      <c r="D25" s="27">
        <f>C2</f>
        <v>571613</v>
      </c>
      <c r="E25" s="27">
        <f>C25*D25</f>
        <v>571613</v>
      </c>
    </row>
    <row r="26" spans="1:6" x14ac:dyDescent="0.25">
      <c r="A26" s="25" t="s">
        <v>95</v>
      </c>
      <c r="B26" s="26" t="s">
        <v>73</v>
      </c>
      <c r="C26" s="102">
        <v>14.25</v>
      </c>
      <c r="D26" s="27"/>
      <c r="E26" s="27"/>
    </row>
    <row r="27" spans="1:6" x14ac:dyDescent="0.25">
      <c r="A27" s="25" t="s">
        <v>100</v>
      </c>
      <c r="B27" s="26" t="s">
        <v>1</v>
      </c>
      <c r="C27" s="53">
        <f>C2-C5-C7</f>
        <v>485871.05</v>
      </c>
      <c r="D27" s="27"/>
      <c r="E27" s="27"/>
    </row>
    <row r="28" spans="1:6" x14ac:dyDescent="0.25">
      <c r="A28" s="25" t="s">
        <v>107</v>
      </c>
      <c r="B28" s="26" t="s">
        <v>1</v>
      </c>
      <c r="C28" s="29">
        <f>((C2-C7)-(C5))*((C3+1)/(2*C3))+(C5)</f>
        <v>344873.17666666664</v>
      </c>
      <c r="D28" s="27"/>
      <c r="E28" s="27"/>
      <c r="F28" s="24"/>
    </row>
    <row r="29" spans="1:6" ht="15.75" thickBot="1" x14ac:dyDescent="0.3">
      <c r="A29" s="54" t="s">
        <v>96</v>
      </c>
      <c r="B29" s="55" t="s">
        <v>1</v>
      </c>
      <c r="C29" s="55"/>
      <c r="D29" s="56">
        <f>C26*C28/12/100</f>
        <v>4095.3689729166658</v>
      </c>
      <c r="E29" s="57">
        <f>D29</f>
        <v>4095.3689729166658</v>
      </c>
    </row>
    <row r="30" spans="1:6" ht="15.75" thickTop="1" x14ac:dyDescent="0.25">
      <c r="A30" s="30" t="s">
        <v>97</v>
      </c>
      <c r="B30" s="31"/>
      <c r="C30" s="31"/>
      <c r="D30" s="32"/>
      <c r="E30" s="33">
        <f>E29</f>
        <v>4095.3689729166658</v>
      </c>
      <c r="F30" s="52"/>
    </row>
    <row r="31" spans="1:6" ht="15.75" thickBot="1" x14ac:dyDescent="0.3">
      <c r="A31" s="38" t="s">
        <v>98</v>
      </c>
      <c r="B31" s="58" t="s">
        <v>0</v>
      </c>
      <c r="C31" s="26">
        <v>1</v>
      </c>
      <c r="D31" s="39">
        <f>E30</f>
        <v>4095.3689729166658</v>
      </c>
      <c r="E31" s="33">
        <f>C31*D31</f>
        <v>4095.3689729166658</v>
      </c>
      <c r="F31" s="52"/>
    </row>
    <row r="32" spans="1:6" ht="15.75" thickBot="1" x14ac:dyDescent="0.3">
      <c r="A32" s="28"/>
      <c r="B32" s="28"/>
      <c r="C32" s="59"/>
      <c r="D32" s="35" t="s">
        <v>78</v>
      </c>
      <c r="E32" s="36">
        <f>C8</f>
        <v>1</v>
      </c>
      <c r="F32" s="60">
        <f>E31*E32</f>
        <v>4095.3689729166658</v>
      </c>
    </row>
    <row r="33" spans="1:6" x14ac:dyDescent="0.25">
      <c r="F33" s="52"/>
    </row>
    <row r="34" spans="1:6" x14ac:dyDescent="0.25">
      <c r="F34" s="52"/>
    </row>
    <row r="35" spans="1:6" x14ac:dyDescent="0.25">
      <c r="A35" t="s">
        <v>99</v>
      </c>
      <c r="F35" s="52"/>
    </row>
    <row r="36" spans="1:6" x14ac:dyDescent="0.25">
      <c r="F36" s="52"/>
    </row>
  </sheetData>
  <mergeCells count="1">
    <mergeCell ref="A9:F9"/>
  </mergeCells>
  <hyperlinks>
    <hyperlink ref="A23" location="AbaRemun" display="3.1.2. Remuneração do Capital"/>
    <hyperlink ref="A10" location="AbaDeprec" display="3.1.1. Depreciação"/>
  </hyperlinks>
  <pageMargins left="0.511811024" right="0.511811024" top="0.78740157499999996" bottom="0.78740157499999996" header="0.31496062000000002" footer="0.31496062000000002"/>
  <pageSetup paperSize="9" scale="86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46"/>
  <sheetViews>
    <sheetView workbookViewId="0">
      <selection activeCell="B14" sqref="B14"/>
    </sheetView>
  </sheetViews>
  <sheetFormatPr defaultRowHeight="15" x14ac:dyDescent="0.25"/>
  <cols>
    <col min="1" max="1" width="41.7109375" bestFit="1" customWidth="1"/>
    <col min="2" max="2" width="13.7109375" bestFit="1" customWidth="1"/>
    <col min="3" max="3" width="10.28515625" bestFit="1" customWidth="1"/>
    <col min="4" max="4" width="17.7109375" bestFit="1" customWidth="1"/>
    <col min="5" max="5" width="9.28515625" bestFit="1" customWidth="1"/>
    <col min="6" max="6" width="9.85546875" bestFit="1" customWidth="1"/>
  </cols>
  <sheetData>
    <row r="1" spans="1:6" ht="15.75" thickBot="1" x14ac:dyDescent="0.3">
      <c r="A1" s="138" t="s">
        <v>93</v>
      </c>
      <c r="B1" s="139">
        <f>'Mão de obra'!B1</f>
        <v>1</v>
      </c>
    </row>
    <row r="2" spans="1:6" ht="15.75" thickBot="1" x14ac:dyDescent="0.3">
      <c r="A2" s="140"/>
      <c r="B2" s="141"/>
    </row>
    <row r="3" spans="1:6" ht="18.75" thickBot="1" x14ac:dyDescent="0.3">
      <c r="A3" s="190" t="s">
        <v>180</v>
      </c>
      <c r="B3" s="191"/>
      <c r="C3" s="191"/>
      <c r="D3" s="191"/>
      <c r="E3" s="191"/>
      <c r="F3" s="192"/>
    </row>
    <row r="4" spans="1:6" ht="15.75" thickBot="1" x14ac:dyDescent="0.3">
      <c r="A4" s="28" t="s">
        <v>181</v>
      </c>
      <c r="B4" s="28"/>
      <c r="C4" s="28"/>
      <c r="D4" s="24"/>
      <c r="E4" s="24"/>
      <c r="F4" s="24"/>
    </row>
    <row r="5" spans="1:6" ht="15.75" thickBot="1" x14ac:dyDescent="0.3">
      <c r="A5" s="17" t="s">
        <v>61</v>
      </c>
      <c r="B5" s="18" t="s">
        <v>62</v>
      </c>
      <c r="C5" s="18" t="s">
        <v>63</v>
      </c>
      <c r="D5" s="19" t="s">
        <v>64</v>
      </c>
      <c r="E5" s="19" t="s">
        <v>65</v>
      </c>
      <c r="F5" s="20" t="s">
        <v>66</v>
      </c>
    </row>
    <row r="6" spans="1:6" x14ac:dyDescent="0.25">
      <c r="A6" s="21" t="s">
        <v>225</v>
      </c>
      <c r="B6" s="22" t="s">
        <v>0</v>
      </c>
      <c r="C6" s="23">
        <f>'Remuneração de capital'!C31</f>
        <v>1</v>
      </c>
      <c r="D6" s="23">
        <f>'Remuneração de capital'!C2*1%</f>
        <v>5716.13</v>
      </c>
      <c r="E6" s="23">
        <f>C6*D6</f>
        <v>5716.13</v>
      </c>
      <c r="F6" s="24">
        <f>E6*E10</f>
        <v>5716.13</v>
      </c>
    </row>
    <row r="7" spans="1:6" x14ac:dyDescent="0.25">
      <c r="A7" s="25" t="s">
        <v>108</v>
      </c>
      <c r="B7" s="26" t="s">
        <v>0</v>
      </c>
      <c r="C7" s="23">
        <f>'Remuneração de capital'!C31</f>
        <v>1</v>
      </c>
      <c r="D7" s="116">
        <v>94.1</v>
      </c>
      <c r="E7" s="27">
        <f>C7*D7</f>
        <v>94.1</v>
      </c>
      <c r="F7" s="24">
        <f>E7*E10</f>
        <v>94.1</v>
      </c>
    </row>
    <row r="8" spans="1:6" x14ac:dyDescent="0.25">
      <c r="A8" s="128" t="s">
        <v>109</v>
      </c>
      <c r="B8" s="26" t="s">
        <v>0</v>
      </c>
      <c r="C8" s="23">
        <f>'Remuneração de capital'!C31</f>
        <v>1</v>
      </c>
      <c r="D8" s="116">
        <v>5000</v>
      </c>
      <c r="E8" s="27">
        <f>C8*D8</f>
        <v>5000</v>
      </c>
      <c r="F8" s="63">
        <f>E8*E10</f>
        <v>5000</v>
      </c>
    </row>
    <row r="9" spans="1:6" ht="15.75" thickBot="1" x14ac:dyDescent="0.3">
      <c r="A9" s="38" t="s">
        <v>110</v>
      </c>
      <c r="B9" s="58" t="s">
        <v>67</v>
      </c>
      <c r="C9" s="58">
        <v>12</v>
      </c>
      <c r="D9" s="39">
        <f>SUM(E6:E8)</f>
        <v>10810.23</v>
      </c>
      <c r="E9" s="39">
        <f>D9/C9</f>
        <v>900.85249999999996</v>
      </c>
      <c r="F9" s="24"/>
    </row>
    <row r="10" spans="1:6" ht="15.75" thickBot="1" x14ac:dyDescent="0.3">
      <c r="A10" s="28"/>
      <c r="B10" s="28"/>
      <c r="C10" s="28"/>
      <c r="D10" s="35" t="s">
        <v>78</v>
      </c>
      <c r="E10" s="36">
        <f>B1</f>
        <v>1</v>
      </c>
      <c r="F10" s="37">
        <f>E9*E10</f>
        <v>900.85249999999996</v>
      </c>
    </row>
    <row r="11" spans="1:6" x14ac:dyDescent="0.25">
      <c r="A11" s="28"/>
      <c r="B11" s="28"/>
      <c r="C11" s="28"/>
      <c r="D11" s="24"/>
      <c r="E11" s="24"/>
      <c r="F11" s="24"/>
    </row>
    <row r="12" spans="1:6" x14ac:dyDescent="0.25">
      <c r="A12" s="28" t="s">
        <v>182</v>
      </c>
      <c r="B12" s="64"/>
      <c r="C12" s="28"/>
      <c r="D12" s="24"/>
      <c r="E12" s="24"/>
      <c r="F12" s="24"/>
    </row>
    <row r="13" spans="1:6" x14ac:dyDescent="0.25">
      <c r="A13" s="104" t="s">
        <v>222</v>
      </c>
      <c r="B13" s="172">
        <v>64</v>
      </c>
      <c r="C13" s="28" t="s">
        <v>4</v>
      </c>
      <c r="D13" s="24"/>
      <c r="E13" s="24"/>
      <c r="F13" s="24"/>
    </row>
    <row r="14" spans="1:6" x14ac:dyDescent="0.25">
      <c r="A14" s="38" t="s">
        <v>111</v>
      </c>
      <c r="B14" s="173">
        <f>B13*22</f>
        <v>1408</v>
      </c>
      <c r="C14" s="28" t="s">
        <v>4</v>
      </c>
      <c r="D14" s="24"/>
      <c r="E14" s="24"/>
      <c r="F14" s="24"/>
    </row>
    <row r="15" spans="1:6" ht="15.75" thickBot="1" x14ac:dyDescent="0.3">
      <c r="A15" s="28"/>
      <c r="B15" s="170"/>
      <c r="C15" s="28"/>
      <c r="D15" s="24"/>
      <c r="E15" s="24"/>
      <c r="F15" s="24"/>
    </row>
    <row r="16" spans="1:6" ht="15.75" thickBot="1" x14ac:dyDescent="0.3">
      <c r="A16" s="17" t="s">
        <v>61</v>
      </c>
      <c r="B16" s="18" t="s">
        <v>62</v>
      </c>
      <c r="C16" s="18" t="s">
        <v>112</v>
      </c>
      <c r="D16" s="19" t="s">
        <v>64</v>
      </c>
      <c r="E16" s="19" t="s">
        <v>65</v>
      </c>
      <c r="F16" s="20" t="s">
        <v>66</v>
      </c>
    </row>
    <row r="17" spans="1:6" x14ac:dyDescent="0.25">
      <c r="A17" s="21" t="s">
        <v>113</v>
      </c>
      <c r="B17" s="22" t="s">
        <v>3</v>
      </c>
      <c r="C17" s="117">
        <v>3.3</v>
      </c>
      <c r="D17" s="168">
        <v>6.49</v>
      </c>
      <c r="E17" s="23"/>
      <c r="F17" s="24"/>
    </row>
    <row r="18" spans="1:6" x14ac:dyDescent="0.25">
      <c r="A18" s="25" t="s">
        <v>114</v>
      </c>
      <c r="B18" s="26" t="s">
        <v>4</v>
      </c>
      <c r="C18" s="44">
        <f>B14</f>
        <v>1408</v>
      </c>
      <c r="D18" s="65">
        <f>IFERROR(+D17/C17,"-")</f>
        <v>1.9666666666666668</v>
      </c>
      <c r="E18" s="27">
        <f>IFERROR(C18*D18,"-")</f>
        <v>2769.0666666666666</v>
      </c>
      <c r="F18" s="24"/>
    </row>
    <row r="19" spans="1:6" x14ac:dyDescent="0.25">
      <c r="A19" s="25" t="s">
        <v>115</v>
      </c>
      <c r="B19" s="26" t="s">
        <v>116</v>
      </c>
      <c r="C19" s="118">
        <v>1</v>
      </c>
      <c r="D19" s="167">
        <v>24.99</v>
      </c>
      <c r="E19" s="27"/>
      <c r="F19" s="24"/>
    </row>
    <row r="20" spans="1:6" x14ac:dyDescent="0.25">
      <c r="A20" s="25" t="s">
        <v>117</v>
      </c>
      <c r="B20" s="26" t="s">
        <v>4</v>
      </c>
      <c r="C20" s="44">
        <f>C18</f>
        <v>1408</v>
      </c>
      <c r="D20" s="66">
        <f>+C19*D19/1000</f>
        <v>2.4989999999999998E-2</v>
      </c>
      <c r="E20" s="27">
        <f>C20*D20</f>
        <v>35.185919999999996</v>
      </c>
      <c r="F20" s="24"/>
    </row>
    <row r="21" spans="1:6" x14ac:dyDescent="0.25">
      <c r="A21" s="25" t="s">
        <v>118</v>
      </c>
      <c r="B21" s="26" t="s">
        <v>116</v>
      </c>
      <c r="C21" s="118">
        <v>0.2</v>
      </c>
      <c r="D21" s="167">
        <v>68.66</v>
      </c>
      <c r="E21" s="27"/>
      <c r="F21" s="24"/>
    </row>
    <row r="22" spans="1:6" x14ac:dyDescent="0.25">
      <c r="A22" s="25" t="s">
        <v>119</v>
      </c>
      <c r="B22" s="26" t="s">
        <v>4</v>
      </c>
      <c r="C22" s="44">
        <f>C18</f>
        <v>1408</v>
      </c>
      <c r="D22" s="66">
        <f>+C21*D21/1000</f>
        <v>1.3731999999999999E-2</v>
      </c>
      <c r="E22" s="27">
        <f>C22*D22</f>
        <v>19.334655999999999</v>
      </c>
      <c r="F22" s="24"/>
    </row>
    <row r="23" spans="1:6" x14ac:dyDescent="0.25">
      <c r="A23" s="25" t="s">
        <v>203</v>
      </c>
      <c r="B23" s="26" t="s">
        <v>116</v>
      </c>
      <c r="C23" s="118">
        <v>0.4</v>
      </c>
      <c r="D23" s="167">
        <v>95.3</v>
      </c>
      <c r="E23" s="27"/>
      <c r="F23" s="24"/>
    </row>
    <row r="24" spans="1:6" x14ac:dyDescent="0.25">
      <c r="A24" s="25" t="s">
        <v>204</v>
      </c>
      <c r="B24" s="26" t="s">
        <v>4</v>
      </c>
      <c r="C24" s="44">
        <f>C18</f>
        <v>1408</v>
      </c>
      <c r="D24" s="66">
        <f>+C23*D23/1000</f>
        <v>3.8119999999999994E-2</v>
      </c>
      <c r="E24" s="27">
        <f>C24*D24</f>
        <v>53.672959999999989</v>
      </c>
      <c r="F24" s="24"/>
    </row>
    <row r="25" spans="1:6" x14ac:dyDescent="0.25">
      <c r="A25" s="25" t="s">
        <v>120</v>
      </c>
      <c r="B25" s="26" t="s">
        <v>121</v>
      </c>
      <c r="C25" s="118">
        <v>1</v>
      </c>
      <c r="D25" s="167">
        <v>48.44</v>
      </c>
      <c r="E25" s="27"/>
      <c r="F25" s="24"/>
    </row>
    <row r="26" spans="1:6" x14ac:dyDescent="0.25">
      <c r="A26" s="25" t="s">
        <v>122</v>
      </c>
      <c r="B26" s="26" t="s">
        <v>4</v>
      </c>
      <c r="C26" s="44">
        <f>C18</f>
        <v>1408</v>
      </c>
      <c r="D26" s="66">
        <f>+C25*D25/1000</f>
        <v>4.8439999999999997E-2</v>
      </c>
      <c r="E26" s="27">
        <f>C26*D26</f>
        <v>68.203519999999997</v>
      </c>
      <c r="F26" s="24"/>
    </row>
    <row r="27" spans="1:6" x14ac:dyDescent="0.25">
      <c r="A27" s="25" t="s">
        <v>205</v>
      </c>
      <c r="B27" s="26" t="s">
        <v>116</v>
      </c>
      <c r="C27" s="166">
        <v>1</v>
      </c>
      <c r="D27" s="167">
        <v>39.270000000000003</v>
      </c>
      <c r="E27" s="27"/>
      <c r="F27" s="24"/>
    </row>
    <row r="28" spans="1:6" x14ac:dyDescent="0.25">
      <c r="A28" s="25" t="s">
        <v>206</v>
      </c>
      <c r="B28" s="26" t="s">
        <v>4</v>
      </c>
      <c r="C28" s="44">
        <f>C18</f>
        <v>1408</v>
      </c>
      <c r="D28" s="66">
        <f>+C27*D27/1000</f>
        <v>3.9270000000000006E-2</v>
      </c>
      <c r="E28" s="27">
        <f>C28*D28</f>
        <v>55.29216000000001</v>
      </c>
      <c r="F28" s="24"/>
    </row>
    <row r="29" spans="1:6" ht="15.75" thickBot="1" x14ac:dyDescent="0.3">
      <c r="A29" s="38" t="s">
        <v>123</v>
      </c>
      <c r="B29" s="58" t="s">
        <v>124</v>
      </c>
      <c r="C29" s="67"/>
      <c r="D29" s="68">
        <f>IFERROR(D18+D20+D22+D24+D26+D28,0)</f>
        <v>2.1312186666666668</v>
      </c>
      <c r="E29" s="27"/>
      <c r="F29" s="24"/>
    </row>
    <row r="30" spans="1:6" ht="15.75" thickBot="1" x14ac:dyDescent="0.3">
      <c r="A30" s="28"/>
      <c r="B30" s="28"/>
      <c r="C30" s="28"/>
      <c r="D30" s="24"/>
      <c r="E30" s="24"/>
      <c r="F30" s="60">
        <f>SUM(E17:E28)</f>
        <v>3000.7558826666664</v>
      </c>
    </row>
    <row r="31" spans="1:6" x14ac:dyDescent="0.25">
      <c r="A31" s="28"/>
      <c r="B31" s="28"/>
      <c r="C31" s="28"/>
      <c r="D31" s="24"/>
      <c r="E31" s="24"/>
      <c r="F31" s="24"/>
    </row>
    <row r="32" spans="1:6" ht="15.75" thickBot="1" x14ac:dyDescent="0.3">
      <c r="A32" s="28" t="s">
        <v>183</v>
      </c>
      <c r="B32" s="28"/>
      <c r="C32" s="28"/>
      <c r="D32" s="24"/>
      <c r="E32" s="24"/>
      <c r="F32" s="24"/>
    </row>
    <row r="33" spans="1:6" ht="15.75" thickBot="1" x14ac:dyDescent="0.3">
      <c r="A33" s="17" t="s">
        <v>61</v>
      </c>
      <c r="B33" s="18" t="s">
        <v>62</v>
      </c>
      <c r="C33" s="18" t="s">
        <v>63</v>
      </c>
      <c r="D33" s="19" t="s">
        <v>64</v>
      </c>
      <c r="E33" s="19" t="s">
        <v>65</v>
      </c>
      <c r="F33" s="20" t="s">
        <v>66</v>
      </c>
    </row>
    <row r="34" spans="1:6" ht="15.75" thickBot="1" x14ac:dyDescent="0.3">
      <c r="A34" s="21" t="s">
        <v>131</v>
      </c>
      <c r="B34" s="22" t="s">
        <v>124</v>
      </c>
      <c r="C34" s="44">
        <f>B14</f>
        <v>1408</v>
      </c>
      <c r="D34" s="111">
        <v>0.74</v>
      </c>
      <c r="E34" s="23">
        <f>C34*D34</f>
        <v>1041.92</v>
      </c>
      <c r="F34" s="24"/>
    </row>
    <row r="35" spans="1:6" ht="15.75" thickBot="1" x14ac:dyDescent="0.3">
      <c r="A35" s="28"/>
      <c r="B35" s="28"/>
      <c r="C35" s="28"/>
      <c r="D35" s="24"/>
      <c r="E35" s="24"/>
      <c r="F35" s="60">
        <f>E34</f>
        <v>1041.92</v>
      </c>
    </row>
    <row r="36" spans="1:6" x14ac:dyDescent="0.25">
      <c r="A36" s="28"/>
      <c r="B36" s="28"/>
      <c r="C36" s="28"/>
      <c r="D36" s="24"/>
      <c r="E36" s="24"/>
      <c r="F36" s="24"/>
    </row>
    <row r="37" spans="1:6" ht="15.75" thickBot="1" x14ac:dyDescent="0.3">
      <c r="A37" s="28" t="s">
        <v>184</v>
      </c>
      <c r="B37" s="28"/>
      <c r="C37" s="28"/>
      <c r="D37" s="24"/>
      <c r="E37" s="24"/>
      <c r="F37" s="24"/>
    </row>
    <row r="38" spans="1:6" ht="15.75" thickBot="1" x14ac:dyDescent="0.3">
      <c r="A38" s="17" t="s">
        <v>61</v>
      </c>
      <c r="B38" s="18" t="s">
        <v>62</v>
      </c>
      <c r="C38" s="18" t="s">
        <v>63</v>
      </c>
      <c r="D38" s="19" t="s">
        <v>64</v>
      </c>
      <c r="E38" s="19" t="s">
        <v>65</v>
      </c>
      <c r="F38" s="20" t="s">
        <v>66</v>
      </c>
    </row>
    <row r="39" spans="1:6" x14ac:dyDescent="0.25">
      <c r="A39" s="21" t="s">
        <v>125</v>
      </c>
      <c r="B39" s="22" t="s">
        <v>0</v>
      </c>
      <c r="C39" s="119">
        <v>6</v>
      </c>
      <c r="D39" s="111">
        <v>505</v>
      </c>
      <c r="E39" s="23">
        <f>C39*D39</f>
        <v>3030</v>
      </c>
      <c r="F39" s="24"/>
    </row>
    <row r="40" spans="1:6" x14ac:dyDescent="0.25">
      <c r="A40" s="21" t="s">
        <v>126</v>
      </c>
      <c r="B40" s="22" t="s">
        <v>0</v>
      </c>
      <c r="C40" s="119">
        <v>1</v>
      </c>
      <c r="D40" s="69"/>
      <c r="E40" s="23"/>
      <c r="F40" s="24"/>
    </row>
    <row r="41" spans="1:6" x14ac:dyDescent="0.25">
      <c r="A41" s="21" t="s">
        <v>127</v>
      </c>
      <c r="B41" s="22" t="s">
        <v>0</v>
      </c>
      <c r="C41" s="23">
        <f>C39*C40</f>
        <v>6</v>
      </c>
      <c r="D41" s="111">
        <v>250</v>
      </c>
      <c r="E41" s="23">
        <f>C41*D41</f>
        <v>1500</v>
      </c>
      <c r="F41" s="24"/>
    </row>
    <row r="42" spans="1:6" x14ac:dyDescent="0.25">
      <c r="A42" s="25" t="s">
        <v>128</v>
      </c>
      <c r="B42" s="26" t="s">
        <v>129</v>
      </c>
      <c r="C42" s="120">
        <v>25000</v>
      </c>
      <c r="D42" s="27">
        <f>E39+E41</f>
        <v>4530</v>
      </c>
      <c r="E42" s="27">
        <f>IFERROR(D42/C42,"-")</f>
        <v>0.1812</v>
      </c>
      <c r="F42" s="24"/>
    </row>
    <row r="43" spans="1:6" ht="15.75" thickBot="1" x14ac:dyDescent="0.3">
      <c r="A43" s="25" t="s">
        <v>130</v>
      </c>
      <c r="B43" s="26" t="s">
        <v>4</v>
      </c>
      <c r="C43" s="44">
        <f>B14</f>
        <v>1408</v>
      </c>
      <c r="D43" s="27">
        <f>E42</f>
        <v>0.1812</v>
      </c>
      <c r="E43" s="27">
        <f>IFERROR(C43*D43,0)</f>
        <v>255.12960000000001</v>
      </c>
      <c r="F43" s="24"/>
    </row>
    <row r="44" spans="1:6" ht="15.75" thickBot="1" x14ac:dyDescent="0.3">
      <c r="A44" s="28"/>
      <c r="B44" s="28"/>
      <c r="C44" s="28"/>
      <c r="D44" s="24"/>
      <c r="E44" s="24"/>
      <c r="F44" s="60">
        <f>E43</f>
        <v>255.12960000000001</v>
      </c>
    </row>
    <row r="45" spans="1:6" ht="15.75" thickBot="1" x14ac:dyDescent="0.3">
      <c r="A45" s="28"/>
      <c r="B45" s="28"/>
      <c r="C45" s="28"/>
      <c r="D45" s="24"/>
      <c r="E45" s="24"/>
      <c r="F45" s="24"/>
    </row>
    <row r="46" spans="1:6" ht="15.75" thickBot="1" x14ac:dyDescent="0.3">
      <c r="A46" s="135" t="s">
        <v>156</v>
      </c>
      <c r="B46" s="142" t="s">
        <v>154</v>
      </c>
      <c r="C46" s="134"/>
      <c r="D46" s="134"/>
      <c r="E46" s="134"/>
      <c r="F46" s="136">
        <f>F10+F30+F35+F44</f>
        <v>5198.6579826666666</v>
      </c>
    </row>
  </sheetData>
  <mergeCells count="1">
    <mergeCell ref="A3:F3"/>
  </mergeCells>
  <pageMargins left="0.511811024" right="0.511811024" top="0.78740157499999996" bottom="0.78740157499999996" header="0.31496062000000002" footer="0.31496062000000002"/>
  <pageSetup paperSize="9" scale="90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workbookViewId="0">
      <selection activeCell="D10" sqref="D10"/>
    </sheetView>
  </sheetViews>
  <sheetFormatPr defaultRowHeight="15" x14ac:dyDescent="0.25"/>
  <cols>
    <col min="1" max="1" width="49.28515625" customWidth="1"/>
    <col min="2" max="2" width="8.42578125" customWidth="1"/>
    <col min="3" max="3" width="10.28515625" bestFit="1" customWidth="1"/>
    <col min="4" max="4" width="13.5703125" bestFit="1" customWidth="1"/>
    <col min="5" max="5" width="15" customWidth="1"/>
    <col min="6" max="6" width="16" customWidth="1"/>
  </cols>
  <sheetData>
    <row r="1" spans="1:6" ht="15.75" thickBot="1" x14ac:dyDescent="0.3"/>
    <row r="2" spans="1:6" ht="18.75" thickBot="1" x14ac:dyDescent="0.3">
      <c r="A2" s="193" t="s">
        <v>185</v>
      </c>
      <c r="B2" s="194"/>
      <c r="C2" s="194"/>
      <c r="D2" s="194"/>
      <c r="E2" s="194"/>
      <c r="F2" s="195"/>
    </row>
    <row r="3" spans="1:6" x14ac:dyDescent="0.25">
      <c r="A3" s="70" t="s">
        <v>132</v>
      </c>
      <c r="B3" s="71" t="s">
        <v>133</v>
      </c>
      <c r="C3" s="121">
        <v>5.0799999999999998E-2</v>
      </c>
      <c r="D3" s="72"/>
      <c r="E3" s="73"/>
      <c r="F3" s="74"/>
    </row>
    <row r="4" spans="1:6" x14ac:dyDescent="0.25">
      <c r="A4" s="75" t="s">
        <v>134</v>
      </c>
      <c r="B4" s="76" t="s">
        <v>135</v>
      </c>
      <c r="C4" s="122">
        <v>1.3299999999999999E-2</v>
      </c>
      <c r="D4" s="72"/>
      <c r="E4" s="73"/>
      <c r="F4" s="74"/>
    </row>
    <row r="5" spans="1:6" x14ac:dyDescent="0.25">
      <c r="A5" s="75" t="s">
        <v>136</v>
      </c>
      <c r="B5" s="76" t="s">
        <v>137</v>
      </c>
      <c r="C5" s="122">
        <v>0.1085</v>
      </c>
      <c r="D5" s="72"/>
      <c r="E5" s="73"/>
      <c r="F5" s="74"/>
    </row>
    <row r="6" spans="1:6" x14ac:dyDescent="0.25">
      <c r="A6" s="75" t="s">
        <v>138</v>
      </c>
      <c r="B6" s="76" t="s">
        <v>139</v>
      </c>
      <c r="C6" s="77">
        <v>0</v>
      </c>
      <c r="D6" s="72" t="s">
        <v>140</v>
      </c>
      <c r="E6" s="124">
        <v>0.11749999999999999</v>
      </c>
      <c r="F6" s="78"/>
    </row>
    <row r="7" spans="1:6" x14ac:dyDescent="0.25">
      <c r="A7" s="75" t="s">
        <v>141</v>
      </c>
      <c r="B7" s="196" t="s">
        <v>142</v>
      </c>
      <c r="C7" s="122">
        <v>0.03</v>
      </c>
      <c r="D7" s="79" t="s">
        <v>143</v>
      </c>
      <c r="E7" s="125">
        <v>30</v>
      </c>
      <c r="F7" s="80"/>
    </row>
    <row r="8" spans="1:6" ht="15.75" thickBot="1" x14ac:dyDescent="0.3">
      <c r="A8" s="81" t="s">
        <v>144</v>
      </c>
      <c r="B8" s="197"/>
      <c r="C8" s="123">
        <v>3.6499999999999998E-2</v>
      </c>
      <c r="D8" s="82"/>
      <c r="E8" s="83"/>
      <c r="F8" s="80"/>
    </row>
    <row r="9" spans="1:6" x14ac:dyDescent="0.25">
      <c r="A9" s="84" t="s">
        <v>145</v>
      </c>
      <c r="B9" s="85"/>
      <c r="C9" s="86"/>
      <c r="D9" s="82"/>
      <c r="E9" s="83"/>
      <c r="F9" s="80"/>
    </row>
    <row r="10" spans="1:6" ht="15.75" thickBot="1" x14ac:dyDescent="0.3">
      <c r="A10" s="87" t="s">
        <v>146</v>
      </c>
      <c r="B10" s="88"/>
      <c r="C10" s="89"/>
      <c r="D10" s="82"/>
      <c r="E10" s="83"/>
      <c r="F10" s="80"/>
    </row>
    <row r="11" spans="1:6" ht="15.75" thickBot="1" x14ac:dyDescent="0.3">
      <c r="A11" s="90" t="s">
        <v>147</v>
      </c>
      <c r="B11" s="91"/>
      <c r="C11" s="143">
        <f>ROUND((((1+C3+C4)*(1+C5)*(1+C6))/(1-(C7+C8))-1),4)</f>
        <v>0.2636</v>
      </c>
      <c r="D11" s="92"/>
      <c r="E11" s="93"/>
      <c r="F11" s="94"/>
    </row>
    <row r="14" spans="1:6" ht="15.75" thickBot="1" x14ac:dyDescent="0.3"/>
    <row r="15" spans="1:6" ht="15.75" thickBot="1" x14ac:dyDescent="0.3">
      <c r="A15" s="132" t="s">
        <v>157</v>
      </c>
      <c r="B15" s="142" t="s">
        <v>154</v>
      </c>
      <c r="C15" s="133"/>
      <c r="D15" s="133"/>
      <c r="E15" s="133"/>
      <c r="F15" s="144">
        <f>'Mão de obra'!F63+'Impostos e manutenção'!F46</f>
        <v>11953.524269837282</v>
      </c>
    </row>
    <row r="17" spans="1:6" ht="15.75" thickBot="1" x14ac:dyDescent="0.3">
      <c r="A17" s="104" t="s">
        <v>186</v>
      </c>
    </row>
    <row r="18" spans="1:6" ht="15.75" thickBot="1" x14ac:dyDescent="0.3">
      <c r="A18" s="17" t="s">
        <v>61</v>
      </c>
      <c r="B18" s="18" t="s">
        <v>62</v>
      </c>
      <c r="C18" s="18" t="s">
        <v>63</v>
      </c>
      <c r="D18" s="19" t="s">
        <v>64</v>
      </c>
      <c r="E18" s="19" t="s">
        <v>65</v>
      </c>
      <c r="F18" s="20" t="s">
        <v>66</v>
      </c>
    </row>
    <row r="19" spans="1:6" ht="15.75" thickBot="1" x14ac:dyDescent="0.3">
      <c r="A19" s="21" t="s">
        <v>158</v>
      </c>
      <c r="B19" s="22" t="s">
        <v>73</v>
      </c>
      <c r="C19" s="101">
        <f>C11*100</f>
        <v>26.36</v>
      </c>
      <c r="D19" s="23">
        <f>+F15</f>
        <v>11953.524269837282</v>
      </c>
      <c r="E19" s="23">
        <f>C19*D19/100</f>
        <v>3150.9489975291076</v>
      </c>
      <c r="F19" s="24"/>
    </row>
    <row r="20" spans="1:6" ht="15.75" thickBot="1" x14ac:dyDescent="0.3">
      <c r="A20" s="28"/>
      <c r="B20" s="28"/>
      <c r="C20" s="28"/>
      <c r="D20" s="24"/>
      <c r="E20" s="24"/>
      <c r="F20" s="60">
        <f>+E19</f>
        <v>3150.9489975291076</v>
      </c>
    </row>
    <row r="21" spans="1:6" ht="15.75" thickBot="1" x14ac:dyDescent="0.3">
      <c r="A21" s="28"/>
      <c r="B21" s="28"/>
      <c r="C21" s="28"/>
      <c r="D21" s="24"/>
      <c r="E21" s="24"/>
      <c r="F21" s="24"/>
    </row>
    <row r="22" spans="1:6" ht="15.75" thickBot="1" x14ac:dyDescent="0.3">
      <c r="A22" s="105" t="s">
        <v>159</v>
      </c>
      <c r="B22" s="106"/>
      <c r="C22" s="106"/>
      <c r="D22" s="107"/>
      <c r="E22" s="108"/>
      <c r="F22" s="46">
        <f>F20</f>
        <v>3150.9489975291076</v>
      </c>
    </row>
  </sheetData>
  <mergeCells count="2">
    <mergeCell ref="A2:F2"/>
    <mergeCell ref="B7:B8"/>
  </mergeCells>
  <pageMargins left="0.511811024" right="0.511811024" top="0.78740157499999996" bottom="0.78740157499999996" header="0.31496062000000002" footer="0.31496062000000002"/>
  <pageSetup paperSize="9" scale="82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2"/>
  <sheetViews>
    <sheetView tabSelected="1" topLeftCell="A19" workbookViewId="0">
      <selection activeCell="A28" sqref="A28"/>
    </sheetView>
  </sheetViews>
  <sheetFormatPr defaultRowHeight="15" x14ac:dyDescent="0.25"/>
  <cols>
    <col min="1" max="1" width="39.42578125" bestFit="1" customWidth="1"/>
    <col min="2" max="2" width="21.28515625" style="109" customWidth="1"/>
    <col min="3" max="3" width="17.7109375" style="3" customWidth="1"/>
  </cols>
  <sheetData>
    <row r="1" spans="1:3" ht="18.75" thickBot="1" x14ac:dyDescent="0.3">
      <c r="A1" s="187" t="s">
        <v>187</v>
      </c>
      <c r="B1" s="198"/>
      <c r="C1" s="199"/>
    </row>
    <row r="2" spans="1:3" x14ac:dyDescent="0.25">
      <c r="A2" s="147" t="s">
        <v>8</v>
      </c>
      <c r="B2" s="146" t="s">
        <v>148</v>
      </c>
      <c r="C2" s="148" t="s">
        <v>73</v>
      </c>
    </row>
    <row r="3" spans="1:3" x14ac:dyDescent="0.25">
      <c r="A3" s="149" t="s">
        <v>60</v>
      </c>
      <c r="B3" s="129">
        <f>SUM(B4:B9)</f>
        <v>6754.8662871706156</v>
      </c>
      <c r="C3" s="150">
        <f t="shared" ref="C3:C17" si="0">IFERROR(B3/$B$18,0)</f>
        <v>0.30845369504740205</v>
      </c>
    </row>
    <row r="4" spans="1:3" x14ac:dyDescent="0.25">
      <c r="A4" s="151" t="s">
        <v>161</v>
      </c>
      <c r="B4" s="130">
        <f>'Mão de obra'!F17</f>
        <v>5762.3718717860002</v>
      </c>
      <c r="C4" s="152">
        <f t="shared" si="0"/>
        <v>0.26313250633331325</v>
      </c>
    </row>
    <row r="5" spans="1:3" x14ac:dyDescent="0.25">
      <c r="A5" s="151" t="s">
        <v>162</v>
      </c>
      <c r="B5" s="130">
        <f>'Mão de obra'!F38</f>
        <v>0</v>
      </c>
      <c r="C5" s="152">
        <f t="shared" si="0"/>
        <v>0</v>
      </c>
    </row>
    <row r="6" spans="1:3" x14ac:dyDescent="0.25">
      <c r="A6" s="151" t="s">
        <v>163</v>
      </c>
      <c r="B6" s="130">
        <f>'Mão de obra'!F46</f>
        <v>6.1544153846153904</v>
      </c>
      <c r="C6" s="152">
        <f t="shared" si="0"/>
        <v>2.8103475117585941E-4</v>
      </c>
    </row>
    <row r="7" spans="1:3" x14ac:dyDescent="0.25">
      <c r="A7" s="151" t="s">
        <v>164</v>
      </c>
      <c r="B7" s="130">
        <f>'Mão de obra'!F51</f>
        <v>521.18000000000006</v>
      </c>
      <c r="C7" s="152">
        <f t="shared" si="0"/>
        <v>2.3799123468977192E-2</v>
      </c>
    </row>
    <row r="8" spans="1:3" x14ac:dyDescent="0.25">
      <c r="A8" s="151" t="s">
        <v>165</v>
      </c>
      <c r="B8" s="130">
        <f>'Mão de obra'!F56</f>
        <v>191</v>
      </c>
      <c r="C8" s="152">
        <f t="shared" si="0"/>
        <v>8.7218093222584184E-3</v>
      </c>
    </row>
    <row r="9" spans="1:3" x14ac:dyDescent="0.25">
      <c r="A9" s="151" t="s">
        <v>219</v>
      </c>
      <c r="B9" s="130">
        <f>'Mão de obra'!F61</f>
        <v>274.15999999999997</v>
      </c>
      <c r="C9" s="152">
        <f t="shared" si="0"/>
        <v>1.2519221171677319E-2</v>
      </c>
    </row>
    <row r="10" spans="1:3" x14ac:dyDescent="0.25">
      <c r="A10" s="149" t="s">
        <v>166</v>
      </c>
      <c r="B10" s="129">
        <f>SUM(B11:B16)</f>
        <v>11993.310566694445</v>
      </c>
      <c r="C10" s="153">
        <f t="shared" si="0"/>
        <v>0.54766161206982211</v>
      </c>
    </row>
    <row r="11" spans="1:3" x14ac:dyDescent="0.25">
      <c r="A11" s="151" t="s">
        <v>167</v>
      </c>
      <c r="B11" s="130">
        <f>'Remuneração de capital'!F19</f>
        <v>2699.283611111111</v>
      </c>
      <c r="C11" s="152">
        <f t="shared" si="0"/>
        <v>0.12325987938643067</v>
      </c>
    </row>
    <row r="12" spans="1:3" x14ac:dyDescent="0.25">
      <c r="A12" s="151" t="s">
        <v>168</v>
      </c>
      <c r="B12" s="130">
        <f>'Remuneração de capital'!F32</f>
        <v>4095.3689729166658</v>
      </c>
      <c r="C12" s="154">
        <f t="shared" si="0"/>
        <v>0.18701061406320663</v>
      </c>
    </row>
    <row r="13" spans="1:3" x14ac:dyDescent="0.25">
      <c r="A13" s="151" t="s">
        <v>169</v>
      </c>
      <c r="B13" s="130">
        <f>'Impostos e manutenção'!F10</f>
        <v>900.85249999999996</v>
      </c>
      <c r="C13" s="154">
        <f t="shared" si="0"/>
        <v>4.1136459332354984E-2</v>
      </c>
    </row>
    <row r="14" spans="1:3" x14ac:dyDescent="0.25">
      <c r="A14" s="151" t="s">
        <v>170</v>
      </c>
      <c r="B14" s="130">
        <f>'Impostos e manutenção'!F30</f>
        <v>3000.7558826666664</v>
      </c>
      <c r="C14" s="154">
        <f t="shared" si="0"/>
        <v>0.13702628602755981</v>
      </c>
    </row>
    <row r="15" spans="1:3" x14ac:dyDescent="0.25">
      <c r="A15" s="151" t="s">
        <v>171</v>
      </c>
      <c r="B15" s="130">
        <f>'Impostos e manutenção'!F35</f>
        <v>1041.92</v>
      </c>
      <c r="C15" s="154">
        <f t="shared" si="0"/>
        <v>4.7578154811766978E-2</v>
      </c>
    </row>
    <row r="16" spans="1:3" x14ac:dyDescent="0.25">
      <c r="A16" s="151" t="s">
        <v>172</v>
      </c>
      <c r="B16" s="130">
        <f>'Impostos e manutenção'!F44</f>
        <v>255.12960000000001</v>
      </c>
      <c r="C16" s="154">
        <f t="shared" si="0"/>
        <v>1.165021844850294E-2</v>
      </c>
    </row>
    <row r="17" spans="1:7" x14ac:dyDescent="0.25">
      <c r="A17" s="149" t="s">
        <v>173</v>
      </c>
      <c r="B17" s="129">
        <f>BDI!F22</f>
        <v>3150.9489975291076</v>
      </c>
      <c r="C17" s="150">
        <f t="shared" si="0"/>
        <v>0.14388469288277586</v>
      </c>
    </row>
    <row r="18" spans="1:7" ht="15.75" thickBot="1" x14ac:dyDescent="0.3">
      <c r="A18" s="155" t="s">
        <v>174</v>
      </c>
      <c r="B18" s="156">
        <f>SUM(B3+B10+B17)</f>
        <v>21899.125851394168</v>
      </c>
      <c r="C18" s="157">
        <f>C3+C10+C17</f>
        <v>1</v>
      </c>
    </row>
    <row r="21" spans="1:7" ht="15.75" x14ac:dyDescent="0.25">
      <c r="A21" s="162" t="s">
        <v>192</v>
      </c>
      <c r="B21" s="174">
        <f>'Impostos e manutenção'!B14</f>
        <v>1408</v>
      </c>
    </row>
    <row r="22" spans="1:7" ht="21" x14ac:dyDescent="0.35">
      <c r="A22" s="162" t="s">
        <v>191</v>
      </c>
      <c r="C22" s="175">
        <f>B18/B21</f>
        <v>15.553356428546994</v>
      </c>
    </row>
    <row r="24" spans="1:7" x14ac:dyDescent="0.25">
      <c r="A24" s="200" t="s">
        <v>220</v>
      </c>
      <c r="B24" s="200"/>
      <c r="C24" s="200"/>
      <c r="D24" s="200"/>
      <c r="E24" s="200"/>
      <c r="F24" s="200"/>
      <c r="G24" s="163"/>
    </row>
    <row r="25" spans="1:7" x14ac:dyDescent="0.25">
      <c r="A25" s="164" t="s">
        <v>194</v>
      </c>
      <c r="B25" s="165"/>
      <c r="C25" s="165"/>
      <c r="D25" s="165"/>
      <c r="E25" s="165"/>
      <c r="F25" s="165"/>
      <c r="G25" s="165"/>
    </row>
    <row r="26" spans="1:7" x14ac:dyDescent="0.25">
      <c r="A26" s="164" t="s">
        <v>232</v>
      </c>
      <c r="B26" s="165"/>
      <c r="C26" s="165"/>
      <c r="D26" s="165"/>
      <c r="E26" s="165"/>
      <c r="F26" s="165"/>
      <c r="G26" s="165"/>
    </row>
    <row r="27" spans="1:7" x14ac:dyDescent="0.25">
      <c r="A27" s="164" t="s">
        <v>234</v>
      </c>
      <c r="B27" s="165"/>
      <c r="C27" s="165"/>
      <c r="D27" s="165"/>
      <c r="E27" s="165"/>
      <c r="F27" s="165"/>
      <c r="G27" s="165"/>
    </row>
    <row r="28" spans="1:7" x14ac:dyDescent="0.25">
      <c r="A28" s="164" t="s">
        <v>233</v>
      </c>
      <c r="B28" s="165"/>
      <c r="C28" s="165"/>
      <c r="D28" s="165"/>
      <c r="E28" s="165"/>
      <c r="F28" s="165"/>
      <c r="G28" s="165"/>
    </row>
    <row r="29" spans="1:7" x14ac:dyDescent="0.25">
      <c r="A29" s="164" t="s">
        <v>223</v>
      </c>
      <c r="B29" s="165"/>
      <c r="C29" s="165"/>
      <c r="D29" s="165"/>
      <c r="E29" s="165"/>
      <c r="F29" s="165"/>
      <c r="G29" s="165"/>
    </row>
    <row r="30" spans="1:7" x14ac:dyDescent="0.25">
      <c r="A30" s="164" t="s">
        <v>224</v>
      </c>
      <c r="B30" s="165"/>
      <c r="C30" s="165"/>
      <c r="D30" s="165"/>
      <c r="E30" s="165"/>
      <c r="F30" s="165"/>
      <c r="G30" s="165"/>
    </row>
    <row r="31" spans="1:7" x14ac:dyDescent="0.25">
      <c r="A31" s="164" t="s">
        <v>195</v>
      </c>
      <c r="B31" s="165"/>
      <c r="C31" s="165"/>
      <c r="D31" s="165"/>
      <c r="E31" s="165"/>
      <c r="F31" s="165"/>
      <c r="G31" s="165"/>
    </row>
    <row r="32" spans="1:7" x14ac:dyDescent="0.25">
      <c r="A32" s="164" t="s">
        <v>226</v>
      </c>
      <c r="B32" s="165"/>
      <c r="C32" s="165"/>
      <c r="D32" s="165"/>
      <c r="E32" s="165"/>
      <c r="F32" s="165"/>
      <c r="G32" s="165"/>
    </row>
    <row r="33" spans="1:7" x14ac:dyDescent="0.25">
      <c r="A33" s="164" t="s">
        <v>196</v>
      </c>
      <c r="B33" s="165"/>
      <c r="C33" s="165"/>
      <c r="D33" s="165"/>
      <c r="E33" s="165"/>
      <c r="F33" s="165"/>
      <c r="G33" s="165"/>
    </row>
    <row r="34" spans="1:7" x14ac:dyDescent="0.25">
      <c r="A34" s="164" t="s">
        <v>197</v>
      </c>
      <c r="B34" s="165"/>
      <c r="C34" s="165"/>
      <c r="D34" s="165"/>
      <c r="E34" s="165"/>
      <c r="F34" s="165"/>
      <c r="G34" s="165"/>
    </row>
    <row r="35" spans="1:7" x14ac:dyDescent="0.25">
      <c r="A35" s="165" t="s">
        <v>198</v>
      </c>
      <c r="B35" s="165"/>
      <c r="C35" s="165"/>
      <c r="D35" s="165"/>
      <c r="E35" s="165"/>
      <c r="F35" s="165"/>
      <c r="G35" s="165"/>
    </row>
    <row r="36" spans="1:7" x14ac:dyDescent="0.25">
      <c r="A36" s="165" t="s">
        <v>199</v>
      </c>
      <c r="B36" s="165"/>
      <c r="C36" s="165"/>
      <c r="D36" s="165"/>
      <c r="E36" s="165"/>
      <c r="F36" s="165"/>
      <c r="G36" s="165"/>
    </row>
    <row r="37" spans="1:7" x14ac:dyDescent="0.25">
      <c r="A37" s="165" t="s">
        <v>200</v>
      </c>
      <c r="B37" s="165"/>
      <c r="C37" s="165"/>
      <c r="D37" s="165"/>
      <c r="E37" s="165"/>
      <c r="F37" s="165"/>
      <c r="G37" s="165"/>
    </row>
    <row r="38" spans="1:7" x14ac:dyDescent="0.25">
      <c r="A38" s="201" t="s">
        <v>201</v>
      </c>
      <c r="B38" s="201"/>
      <c r="C38" s="201"/>
      <c r="D38" s="201"/>
      <c r="E38" s="201"/>
      <c r="F38" s="201"/>
      <c r="G38" s="201"/>
    </row>
    <row r="39" spans="1:7" x14ac:dyDescent="0.25">
      <c r="A39" s="201"/>
      <c r="B39" s="201"/>
      <c r="C39" s="201"/>
      <c r="D39" s="201"/>
      <c r="E39" s="201"/>
      <c r="F39" s="201"/>
      <c r="G39" s="201"/>
    </row>
    <row r="40" spans="1:7" x14ac:dyDescent="0.25">
      <c r="A40" s="164" t="s">
        <v>202</v>
      </c>
      <c r="B40" s="165"/>
      <c r="C40" s="165"/>
      <c r="D40" s="165"/>
      <c r="E40" s="165"/>
      <c r="F40" s="165"/>
      <c r="G40" s="165"/>
    </row>
    <row r="41" spans="1:7" x14ac:dyDescent="0.25">
      <c r="A41" s="169"/>
    </row>
    <row r="42" spans="1:7" ht="63" customHeight="1" x14ac:dyDescent="0.25">
      <c r="A42" s="202" t="s">
        <v>221</v>
      </c>
      <c r="B42" s="202"/>
      <c r="C42" s="202"/>
      <c r="D42" s="202"/>
      <c r="E42" s="202"/>
      <c r="F42" s="202"/>
      <c r="G42" s="202"/>
    </row>
  </sheetData>
  <mergeCells count="4">
    <mergeCell ref="A1:C1"/>
    <mergeCell ref="A24:F24"/>
    <mergeCell ref="A38:G39"/>
    <mergeCell ref="A42:G42"/>
  </mergeCells>
  <pageMargins left="0.511811024" right="0.511811024" top="0.78740157499999996" bottom="0.78740157499999996" header="0.31496062000000002" footer="0.31496062000000002"/>
  <pageSetup paperSize="9" scale="7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Identificação</vt:lpstr>
      <vt:lpstr>Encargos</vt:lpstr>
      <vt:lpstr>Mão de obra</vt:lpstr>
      <vt:lpstr>Remuneração de capital</vt:lpstr>
      <vt:lpstr>Impostos e manutenção</vt:lpstr>
      <vt:lpstr>BDI</vt:lpstr>
      <vt:lpstr>Composição de custos</vt:lpstr>
      <vt:lpstr>Plan1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</dc:creator>
  <cp:lastModifiedBy>Rafael - Educ</cp:lastModifiedBy>
  <cp:lastPrinted>2025-03-12T12:45:31Z</cp:lastPrinted>
  <dcterms:created xsi:type="dcterms:W3CDTF">2020-01-13T18:06:35Z</dcterms:created>
  <dcterms:modified xsi:type="dcterms:W3CDTF">2025-06-25T16:08:47Z</dcterms:modified>
</cp:coreProperties>
</file>