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/>
  <mc:AlternateContent xmlns:mc="http://schemas.openxmlformats.org/markup-compatibility/2006">
    <mc:Choice Requires="x15">
      <x15ac:absPath xmlns:x15ac="http://schemas.microsoft.com/office/spreadsheetml/2010/11/ac" url="U:\Área de Trabalho\PREGÃO 2026\PE XX_2026 - Recanto Gaúcho\"/>
    </mc:Choice>
  </mc:AlternateContent>
  <xr:revisionPtr revIDLastSave="0" documentId="8_{4D2B67C5-F2E1-4B29-8295-863BD38A31C3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Orçamento de referência" sheetId="8" r:id="rId1"/>
    <sheet name="Projetos e fator K" sheetId="7" r:id="rId2"/>
    <sheet name="MC" sheetId="10" r:id="rId3"/>
    <sheet name="CFF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1" i="10" l="1"/>
  <c r="F21" i="8" s="1"/>
  <c r="F18" i="8"/>
  <c r="F19" i="8"/>
  <c r="F17" i="8"/>
  <c r="F14" i="8"/>
  <c r="F15" i="8"/>
  <c r="F11" i="8"/>
  <c r="F13" i="10"/>
  <c r="F13" i="8" s="1"/>
  <c r="F12" i="10"/>
  <c r="F12" i="8" s="1"/>
  <c r="F11" i="10"/>
  <c r="F10" i="10"/>
  <c r="F10" i="8" s="1"/>
  <c r="I10" i="8" s="1"/>
  <c r="H14" i="8"/>
  <c r="I14" i="8" s="1"/>
  <c r="H15" i="8"/>
  <c r="I15" i="8" s="1"/>
  <c r="H13" i="8"/>
  <c r="I13" i="8" s="1"/>
  <c r="H12" i="8"/>
  <c r="I12" i="8" s="1"/>
  <c r="H21" i="8"/>
  <c r="H11" i="8"/>
  <c r="H10" i="8"/>
  <c r="I11" i="8" l="1"/>
  <c r="I21" i="8"/>
  <c r="I9" i="8"/>
  <c r="I20" i="8" l="1"/>
  <c r="X18" i="7"/>
  <c r="X17" i="7"/>
  <c r="T21" i="7" l="1"/>
  <c r="T10" i="7"/>
  <c r="T9" i="7"/>
  <c r="AB6" i="7"/>
  <c r="AB5" i="7"/>
  <c r="AA5" i="7"/>
  <c r="Y18" i="7" l="1"/>
  <c r="F19" i="7" s="1"/>
  <c r="Y17" i="7"/>
  <c r="F18" i="7" s="1"/>
  <c r="F17" i="7"/>
  <c r="F28" i="7"/>
  <c r="F43" i="7"/>
  <c r="T7" i="7"/>
  <c r="T17" i="7"/>
  <c r="O6" i="7" s="1"/>
  <c r="F44" i="7"/>
  <c r="O10" i="7"/>
  <c r="E9" i="7"/>
  <c r="F40" i="7"/>
  <c r="F31" i="7"/>
  <c r="E7" i="7"/>
  <c r="F36" i="7"/>
  <c r="O5" i="7"/>
  <c r="F23" i="7"/>
  <c r="F32" i="7"/>
  <c r="F37" i="7"/>
  <c r="E6" i="7"/>
  <c r="F30" i="7"/>
  <c r="F45" i="7"/>
  <c r="O11" i="7"/>
  <c r="F46" i="7"/>
  <c r="O16" i="7"/>
  <c r="F6" i="7"/>
  <c r="F11" i="7"/>
  <c r="AA6" i="7"/>
  <c r="F16" i="7"/>
  <c r="E5" i="7"/>
  <c r="F26" i="7"/>
  <c r="O14" i="7"/>
  <c r="H44" i="7" l="1"/>
  <c r="O17" i="7"/>
  <c r="F24" i="7"/>
  <c r="H24" i="7" s="1"/>
  <c r="F7" i="7"/>
  <c r="F47" i="7" s="1"/>
  <c r="O15" i="7"/>
  <c r="Q15" i="7" s="1"/>
  <c r="F27" i="7"/>
  <c r="F5" i="7"/>
  <c r="F25" i="7"/>
  <c r="F29" i="7"/>
  <c r="O8" i="7"/>
  <c r="F15" i="7"/>
  <c r="H15" i="7" s="1"/>
  <c r="O12" i="7"/>
  <c r="N8" i="7"/>
  <c r="E19" i="7"/>
  <c r="G19" i="7" s="1"/>
  <c r="N9" i="7"/>
  <c r="E18" i="7"/>
  <c r="H37" i="7"/>
  <c r="G6" i="7"/>
  <c r="F10" i="7"/>
  <c r="F34" i="7"/>
  <c r="H34" i="7" s="1"/>
  <c r="F14" i="7"/>
  <c r="F35" i="7"/>
  <c r="F8" i="7"/>
  <c r="H8" i="7" s="1"/>
  <c r="O13" i="7"/>
  <c r="E8" i="7"/>
  <c r="G8" i="7" s="1"/>
  <c r="F12" i="7"/>
  <c r="H12" i="7" s="1"/>
  <c r="F13" i="7"/>
  <c r="F33" i="7"/>
  <c r="T13" i="7"/>
  <c r="T11" i="7"/>
  <c r="T12" i="7"/>
  <c r="H18" i="7" s="1"/>
  <c r="O9" i="7"/>
  <c r="Q9" i="7" s="1"/>
  <c r="E46" i="7"/>
  <c r="F21" i="7"/>
  <c r="F41" i="7"/>
  <c r="H41" i="7" s="1"/>
  <c r="F22" i="7"/>
  <c r="E10" i="7"/>
  <c r="G10" i="7" s="1"/>
  <c r="F9" i="7"/>
  <c r="F42" i="7"/>
  <c r="O7" i="7"/>
  <c r="N5" i="7"/>
  <c r="F20" i="7"/>
  <c r="F38" i="7"/>
  <c r="H38" i="7" s="1"/>
  <c r="F39" i="7"/>
  <c r="H39" i="7" s="1"/>
  <c r="E20" i="7"/>
  <c r="G20" i="7" s="1"/>
  <c r="N11" i="7"/>
  <c r="P11" i="7" s="1"/>
  <c r="E40" i="7"/>
  <c r="G40" i="7" s="1"/>
  <c r="E13" i="7"/>
  <c r="G13" i="7" s="1"/>
  <c r="P8" i="7"/>
  <c r="E39" i="7"/>
  <c r="G39" i="7" s="1"/>
  <c r="E29" i="7"/>
  <c r="G29" i="7" s="1"/>
  <c r="N17" i="7"/>
  <c r="P17" i="7" s="1"/>
  <c r="E33" i="7"/>
  <c r="G33" i="7" s="1"/>
  <c r="N12" i="7"/>
  <c r="P12" i="7" s="1"/>
  <c r="E17" i="7"/>
  <c r="G17" i="7" s="1"/>
  <c r="N14" i="7"/>
  <c r="P14" i="7" s="1"/>
  <c r="N16" i="7"/>
  <c r="P16" i="7" s="1"/>
  <c r="E41" i="7"/>
  <c r="G41" i="7" s="1"/>
  <c r="N13" i="7"/>
  <c r="P13" i="7" s="1"/>
  <c r="E45" i="7"/>
  <c r="G45" i="7" s="1"/>
  <c r="E30" i="7"/>
  <c r="G30" i="7" s="1"/>
  <c r="E25" i="7"/>
  <c r="G25" i="7" s="1"/>
  <c r="E22" i="7"/>
  <c r="G22" i="7" s="1"/>
  <c r="G18" i="7"/>
  <c r="E11" i="7"/>
  <c r="G11" i="7" s="1"/>
  <c r="E34" i="7"/>
  <c r="G34" i="7" s="1"/>
  <c r="E24" i="7"/>
  <c r="G24" i="7" s="1"/>
  <c r="E43" i="7"/>
  <c r="G43" i="7" s="1"/>
  <c r="E28" i="7"/>
  <c r="G28" i="7" s="1"/>
  <c r="P9" i="7"/>
  <c r="E36" i="7"/>
  <c r="G36" i="7" s="1"/>
  <c r="E26" i="7"/>
  <c r="G26" i="7" s="1"/>
  <c r="N15" i="7"/>
  <c r="P15" i="7" s="1"/>
  <c r="N6" i="7"/>
  <c r="P6" i="7" s="1"/>
  <c r="E44" i="7"/>
  <c r="G44" i="7" s="1"/>
  <c r="E21" i="7"/>
  <c r="G21" i="7" s="1"/>
  <c r="E15" i="7"/>
  <c r="G15" i="7" s="1"/>
  <c r="E38" i="7"/>
  <c r="G38" i="7" s="1"/>
  <c r="E42" i="7"/>
  <c r="G42" i="7" s="1"/>
  <c r="E37" i="7"/>
  <c r="G37" i="7" s="1"/>
  <c r="E32" i="7"/>
  <c r="G32" i="7" s="1"/>
  <c r="E27" i="7"/>
  <c r="G27" i="7" s="1"/>
  <c r="E23" i="7"/>
  <c r="G23" i="7" s="1"/>
  <c r="E12" i="7"/>
  <c r="G12" i="7" s="1"/>
  <c r="N7" i="7"/>
  <c r="P7" i="7" s="1"/>
  <c r="E14" i="7"/>
  <c r="G14" i="7" s="1"/>
  <c r="E31" i="7"/>
  <c r="G31" i="7" s="1"/>
  <c r="E16" i="7"/>
  <c r="G16" i="7" s="1"/>
  <c r="E35" i="7"/>
  <c r="G35" i="7" s="1"/>
  <c r="N10" i="7"/>
  <c r="P10" i="7" s="1"/>
  <c r="Q5" i="7"/>
  <c r="Q16" i="7"/>
  <c r="H43" i="7"/>
  <c r="H46" i="7"/>
  <c r="Q11" i="7"/>
  <c r="H14" i="7"/>
  <c r="Q17" i="7"/>
  <c r="H40" i="7"/>
  <c r="Q10" i="7"/>
  <c r="H23" i="7"/>
  <c r="H21" i="7"/>
  <c r="Q8" i="7"/>
  <c r="H10" i="7"/>
  <c r="H7" i="7"/>
  <c r="Q14" i="7"/>
  <c r="H20" i="7"/>
  <c r="P5" i="7"/>
  <c r="H31" i="7"/>
  <c r="H30" i="7"/>
  <c r="H25" i="7"/>
  <c r="H29" i="7"/>
  <c r="Q7" i="7"/>
  <c r="H36" i="7"/>
  <c r="H5" i="7"/>
  <c r="G7" i="7"/>
  <c r="H33" i="7"/>
  <c r="H28" i="7"/>
  <c r="H19" i="7"/>
  <c r="Q13" i="7"/>
  <c r="H9" i="7"/>
  <c r="Q12" i="7"/>
  <c r="H45" i="7"/>
  <c r="H26" i="7"/>
  <c r="G5" i="7"/>
  <c r="G9" i="7"/>
  <c r="O18" i="7" l="1"/>
  <c r="H22" i="7"/>
  <c r="E47" i="7"/>
  <c r="G18" i="8" s="1"/>
  <c r="H18" i="8" s="1"/>
  <c r="I18" i="8" s="1"/>
  <c r="H16" i="7"/>
  <c r="Q6" i="7"/>
  <c r="N18" i="7"/>
  <c r="G17" i="8" s="1"/>
  <c r="H17" i="8" s="1"/>
  <c r="I17" i="8" s="1"/>
  <c r="H35" i="7"/>
  <c r="H6" i="7"/>
  <c r="H47" i="7" s="1"/>
  <c r="H17" i="7"/>
  <c r="H13" i="7"/>
  <c r="H42" i="7"/>
  <c r="G46" i="7"/>
  <c r="G47" i="7" s="1"/>
  <c r="H11" i="7"/>
  <c r="H27" i="7"/>
  <c r="H32" i="7"/>
  <c r="Q18" i="7"/>
  <c r="P18" i="7"/>
  <c r="O22" i="7"/>
  <c r="O23" i="7"/>
  <c r="Q22" i="7" l="1"/>
  <c r="Q23" i="7"/>
  <c r="N22" i="7"/>
  <c r="G19" i="8" s="1"/>
  <c r="H19" i="8" s="1"/>
  <c r="I19" i="8" s="1"/>
  <c r="I16" i="8" s="1"/>
  <c r="I23" i="8" s="1"/>
  <c r="C18" i="3" s="1"/>
  <c r="N23" i="7"/>
  <c r="P22" i="7"/>
  <c r="P23" i="7"/>
  <c r="C16" i="3" l="1"/>
  <c r="C14" i="3"/>
  <c r="F14" i="3" s="1"/>
  <c r="F18" i="3" s="1"/>
  <c r="F17" i="3" s="1"/>
  <c r="C12" i="3"/>
  <c r="E12" i="3" s="1"/>
  <c r="E18" i="3" s="1"/>
  <c r="E17" i="3" s="1"/>
  <c r="C10" i="3"/>
  <c r="D10" i="3" l="1"/>
  <c r="D18" i="3" s="1"/>
  <c r="C20" i="3"/>
  <c r="C19" i="3" s="1"/>
  <c r="M16" i="3"/>
  <c r="M18" i="3" s="1"/>
  <c r="M17" i="3" s="1"/>
  <c r="N16" i="3"/>
  <c r="N18" i="3" s="1"/>
  <c r="N17" i="3" s="1"/>
  <c r="I16" i="3"/>
  <c r="I18" i="3" s="1"/>
  <c r="I17" i="3" s="1"/>
  <c r="H16" i="3"/>
  <c r="H18" i="3" s="1"/>
  <c r="H17" i="3" s="1"/>
  <c r="J16" i="3"/>
  <c r="J18" i="3" s="1"/>
  <c r="J17" i="3" s="1"/>
  <c r="G16" i="3"/>
  <c r="G18" i="3" s="1"/>
  <c r="G17" i="3" s="1"/>
  <c r="K16" i="3"/>
  <c r="K18" i="3" s="1"/>
  <c r="K17" i="3" s="1"/>
  <c r="L16" i="3"/>
  <c r="L18" i="3" s="1"/>
  <c r="L17" i="3" s="1"/>
  <c r="D17" i="3" l="1"/>
  <c r="D20" i="3"/>
  <c r="D19" i="3" l="1"/>
  <c r="E20" i="3"/>
  <c r="E19" i="3" l="1"/>
  <c r="F20" i="3"/>
  <c r="F19" i="3" l="1"/>
  <c r="G20" i="3"/>
  <c r="H20" i="3" l="1"/>
  <c r="G19" i="3"/>
  <c r="I20" i="3" l="1"/>
  <c r="H19" i="3"/>
  <c r="J20" i="3" l="1"/>
  <c r="I19" i="3"/>
  <c r="K20" i="3" l="1"/>
  <c r="J19" i="3"/>
  <c r="L20" i="3" l="1"/>
  <c r="K19" i="3"/>
  <c r="M20" i="3" l="1"/>
  <c r="L19" i="3"/>
  <c r="N20" i="3" l="1"/>
  <c r="N19" i="3" s="1"/>
  <c r="M19" i="3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Patricia Pereira Szelest</author>
  </authors>
  <commentList>
    <comment ref="A1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Recomenda-se usar sempre MO s/ ES e fator K com ES</t>
        </r>
      </text>
    </comment>
    <comment ref="K8" authorId="0" shapeId="0" xr:uid="{00000000-0006-0000-0100-000002000000}">
      <text>
        <r>
          <rPr>
            <b/>
            <sz val="9"/>
            <color indexed="81"/>
            <rFont val="Segoe UI"/>
            <charset val="1"/>
          </rPr>
          <t>Ae % concreto</t>
        </r>
      </text>
    </comment>
    <comment ref="K9" authorId="0" shapeId="0" xr:uid="{00000000-0006-0000-0100-000003000000}">
      <text>
        <r>
          <rPr>
            <b/>
            <sz val="9"/>
            <color indexed="81"/>
            <rFont val="Segoe UI"/>
            <charset val="1"/>
          </rPr>
          <t xml:space="preserve">Ae % metálica
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B18" authorId="0" shapeId="0" xr:uid="{00000000-0006-0000-0100-000004000000}">
      <text>
        <r>
          <rPr>
            <b/>
            <sz val="9"/>
            <color indexed="81"/>
            <rFont val="Segoe UI"/>
            <charset val="1"/>
          </rPr>
          <t>Ae % estrutura concreto (pavimentos + deck)</t>
        </r>
      </text>
    </comment>
    <comment ref="N18" authorId="0" shapeId="0" xr:uid="{00000000-0006-0000-0100-000005000000}">
      <text>
        <r>
          <rPr>
            <b/>
            <sz val="9"/>
            <color indexed="81"/>
            <rFont val="Segoe UI"/>
            <family val="2"/>
          </rPr>
          <t>Somatório projetos utilizados</t>
        </r>
      </text>
    </comment>
    <comment ref="O18" authorId="0" shapeId="0" xr:uid="{00000000-0006-0000-0100-000006000000}">
      <text>
        <r>
          <rPr>
            <b/>
            <sz val="9"/>
            <color indexed="81"/>
            <rFont val="Segoe UI"/>
            <family val="2"/>
          </rPr>
          <t>Somatório projetos utilizados</t>
        </r>
      </text>
    </comment>
    <comment ref="P18" authorId="0" shapeId="0" xr:uid="{00000000-0006-0000-0100-000007000000}">
      <text>
        <r>
          <rPr>
            <b/>
            <sz val="9"/>
            <color indexed="81"/>
            <rFont val="Segoe UI"/>
            <family val="2"/>
          </rPr>
          <t>Somatório projetos utilizados</t>
        </r>
      </text>
    </comment>
    <comment ref="Q18" authorId="0" shapeId="0" xr:uid="{00000000-0006-0000-0100-000008000000}">
      <text>
        <r>
          <rPr>
            <b/>
            <sz val="9"/>
            <color indexed="81"/>
            <rFont val="Segoe UI"/>
            <family val="2"/>
          </rPr>
          <t>Somatório projetos utilizados</t>
        </r>
      </text>
    </comment>
    <comment ref="B19" authorId="0" shapeId="0" xr:uid="{00000000-0006-0000-0100-000009000000}">
      <text>
        <r>
          <rPr>
            <b/>
            <sz val="9"/>
            <color indexed="81"/>
            <rFont val="Segoe UI"/>
            <charset val="1"/>
          </rPr>
          <t>Ae % est. Metálica (passarela + elevador)</t>
        </r>
      </text>
    </comment>
    <comment ref="S21" authorId="0" shapeId="0" xr:uid="{00000000-0006-0000-0100-00000A000000}">
      <text>
        <r>
          <rPr>
            <b/>
            <sz val="9"/>
            <color indexed="81"/>
            <rFont val="Segoe UI"/>
            <family val="2"/>
          </rPr>
          <t>Para fins de estimativa de honorários, as exigências de Modelagem da Informação da Construção (BIM) serão tratadas como fator de complexidade adicional, incidente sobre a área equivalente do empreendimento, visando remunerar o esforço técnico adicional associado à produção, coordenação e gestão das informações</t>
        </r>
      </text>
    </comment>
    <comment ref="M23" authorId="0" shapeId="0" xr:uid="{00000000-0006-0000-0100-00000B000000}">
      <text>
        <r>
          <rPr>
            <b/>
            <sz val="9"/>
            <color indexed="81"/>
            <rFont val="Segoe UI"/>
            <family val="2"/>
          </rPr>
          <t>Atribuir 10 a 40%</t>
        </r>
      </text>
    </comment>
    <comment ref="E47" authorId="0" shapeId="0" xr:uid="{00000000-0006-0000-0100-00000C000000}">
      <text>
        <r>
          <rPr>
            <b/>
            <sz val="9"/>
            <color indexed="81"/>
            <rFont val="Segoe UI"/>
            <family val="2"/>
          </rPr>
          <t>Somatório projetos utilizados</t>
        </r>
      </text>
    </comment>
    <comment ref="F47" authorId="0" shapeId="0" xr:uid="{00000000-0006-0000-0100-00000D000000}">
      <text>
        <r>
          <rPr>
            <b/>
            <sz val="9"/>
            <color indexed="81"/>
            <rFont val="Segoe UI"/>
            <family val="2"/>
          </rPr>
          <t>Somatório projetos utilizados</t>
        </r>
      </text>
    </comment>
    <comment ref="G47" authorId="0" shapeId="0" xr:uid="{00000000-0006-0000-0100-00000E000000}">
      <text>
        <r>
          <rPr>
            <b/>
            <sz val="9"/>
            <color indexed="81"/>
            <rFont val="Segoe UI"/>
            <family val="2"/>
          </rPr>
          <t>Somatório projetos utilizados</t>
        </r>
      </text>
    </comment>
    <comment ref="H47" authorId="0" shapeId="0" xr:uid="{00000000-0006-0000-0100-00000F000000}">
      <text>
        <r>
          <rPr>
            <b/>
            <sz val="9"/>
            <color indexed="81"/>
            <rFont val="Segoe UI"/>
            <family val="2"/>
          </rPr>
          <t>Somatório projetos utilizados</t>
        </r>
      </text>
    </comment>
  </commentList>
</comments>
</file>

<file path=xl/sharedStrings.xml><?xml version="1.0" encoding="utf-8"?>
<sst xmlns="http://schemas.openxmlformats.org/spreadsheetml/2006/main" count="418" uniqueCount="272">
  <si>
    <t>ISS</t>
  </si>
  <si>
    <t>Alíquota conforme Código Tributário POA-RS (Decreto 15416/2006 - Anexo VI - Item 7.03.)</t>
  </si>
  <si>
    <t>PIS</t>
  </si>
  <si>
    <t>1,65% X 80% (ORIENTAÇÕES PARA ELABORAÇÃO DE PLANILHAS ORÇAMENTÁRIAS DE OBRAS PÚBLICAS - TCU)</t>
  </si>
  <si>
    <t>7,60% X 80% (ORIENTAÇÕES PARA ELABORAÇÃO DE PLANILHAS ORÇAMENTÁRIAS DE OBRAS PÚBLICAS - TCU)</t>
  </si>
  <si>
    <t>K = (1+k1+k2)*(1+k3)*(1+k4)</t>
  </si>
  <si>
    <t>TRDE</t>
  </si>
  <si>
    <t>TRDE = (1+k3)*(1+k4)</t>
  </si>
  <si>
    <t>Obra</t>
  </si>
  <si>
    <t>Item</t>
  </si>
  <si>
    <t>Descrição</t>
  </si>
  <si>
    <t>Porcentagem</t>
  </si>
  <si>
    <t>Custo</t>
  </si>
  <si>
    <t>Porcentagem Acumulado</t>
  </si>
  <si>
    <t>Custo Acumulado</t>
  </si>
  <si>
    <t/>
  </si>
  <si>
    <t>%</t>
  </si>
  <si>
    <t>2.1</t>
  </si>
  <si>
    <t>2.2</t>
  </si>
  <si>
    <t>3.</t>
  </si>
  <si>
    <t>3.1</t>
  </si>
  <si>
    <t>3.2</t>
  </si>
  <si>
    <t>Etapas</t>
  </si>
  <si>
    <t>1. Anteprojeto</t>
  </si>
  <si>
    <t xml:space="preserve">2. </t>
  </si>
  <si>
    <t>1.1 Projeto completo</t>
  </si>
  <si>
    <t xml:space="preserve">1.2 </t>
  </si>
  <si>
    <t>Especialidade</t>
  </si>
  <si>
    <t>Projeto</t>
  </si>
  <si>
    <t>Sigla</t>
  </si>
  <si>
    <t>IR</t>
  </si>
  <si>
    <t>Arquitetura</t>
  </si>
  <si>
    <t>Estudo Preliminar</t>
  </si>
  <si>
    <t>EPR</t>
  </si>
  <si>
    <t>Anteprojeto de Arquitetura (incluso luminotécnico)</t>
  </si>
  <si>
    <t>AAQ</t>
  </si>
  <si>
    <t>Executivo</t>
  </si>
  <si>
    <t>ARQ</t>
  </si>
  <si>
    <t>Civil</t>
  </si>
  <si>
    <t>Anteprojeto de Anti-Incêndio incluso chuveiros automáticos (sprinklers)</t>
  </si>
  <si>
    <t>ASP</t>
  </si>
  <si>
    <t>Ambiência</t>
  </si>
  <si>
    <t>AMB</t>
  </si>
  <si>
    <t>Anteprojeto de Hidrossanitário e/ou Águas Pluviais</t>
  </si>
  <si>
    <t>AHS</t>
  </si>
  <si>
    <t>Layout</t>
  </si>
  <si>
    <t>LAY</t>
  </si>
  <si>
    <t>Anteprojeto Estrutural e Fundações em Concreto Armado</t>
  </si>
  <si>
    <t>AFC</t>
  </si>
  <si>
    <t>Sinalização Interna</t>
  </si>
  <si>
    <t>SII</t>
  </si>
  <si>
    <t>Anteprojeto Estrutural e Fundações em Aço ou Madeira</t>
  </si>
  <si>
    <t>AFA</t>
  </si>
  <si>
    <t>Luminotécnico</t>
  </si>
  <si>
    <t>LMT</t>
  </si>
  <si>
    <t>Elétrica</t>
  </si>
  <si>
    <t>Anteprojeto de Entrada de Energia</t>
  </si>
  <si>
    <t>AEE</t>
  </si>
  <si>
    <t>Anti-Incêndio com Extintores</t>
  </si>
  <si>
    <t>EXT</t>
  </si>
  <si>
    <t>Anteprojeto de Instalações Elétricas (incluso comum, estabilizada e ininterrupta)</t>
  </si>
  <si>
    <t>AEIE</t>
  </si>
  <si>
    <t>K1</t>
  </si>
  <si>
    <t>Anti-Incêndio com Hidrantes e Extintores</t>
  </si>
  <si>
    <t>HEX</t>
  </si>
  <si>
    <t>Anteprojeto de Usiva Fotovoltaica</t>
  </si>
  <si>
    <t>AFV</t>
  </si>
  <si>
    <t>K2</t>
  </si>
  <si>
    <t>Anti-Incêndio com Sprinklers</t>
  </si>
  <si>
    <t>SPR</t>
  </si>
  <si>
    <t>Telecomunicações</t>
  </si>
  <si>
    <t>Anteprojeto de Cabeamento Estruturado</t>
  </si>
  <si>
    <t>ACE</t>
  </si>
  <si>
    <t>K3</t>
  </si>
  <si>
    <t>Hidrossanitário e/ou Águas Pluviais</t>
  </si>
  <si>
    <t>HIA</t>
  </si>
  <si>
    <t>Anteprojeto de Alarmes, Telecomunicações, Sonorização e CFTV</t>
  </si>
  <si>
    <t>ATE</t>
  </si>
  <si>
    <t>Aproveitamento de Águas Pluviais</t>
  </si>
  <si>
    <t>APL</t>
  </si>
  <si>
    <t>Controle e Automação</t>
  </si>
  <si>
    <t>Anteprojeto de Controle de Acesso, Inteligência Predial, Automação de Ar-Condicionado e Energia Elétrica</t>
  </si>
  <si>
    <t>ACA</t>
  </si>
  <si>
    <t>Fundações</t>
  </si>
  <si>
    <t>FUD</t>
  </si>
  <si>
    <t>Mecânica</t>
  </si>
  <si>
    <t>Anteprojeto de Ar-Condicionado – Expansão Direta</t>
  </si>
  <si>
    <t>AED</t>
  </si>
  <si>
    <t>Estrutural para Muro de Arrimo</t>
  </si>
  <si>
    <t>EMA</t>
  </si>
  <si>
    <t>Anteprojeto de Ar-Condicionado – Expansão Indireta</t>
  </si>
  <si>
    <t>Fator K (com ES)</t>
  </si>
  <si>
    <t>Estrutural em Concreto Armado</t>
  </si>
  <si>
    <t>ECA</t>
  </si>
  <si>
    <t>Fator K (sem ES)</t>
  </si>
  <si>
    <t>Estrutural em Aço ou Madeira</t>
  </si>
  <si>
    <t>EAM</t>
  </si>
  <si>
    <t>Impermeabilização</t>
  </si>
  <si>
    <t>IMP</t>
  </si>
  <si>
    <t>Entrada de Energia</t>
  </si>
  <si>
    <t>EEN</t>
  </si>
  <si>
    <t>SPDA</t>
  </si>
  <si>
    <t>SPD</t>
  </si>
  <si>
    <t>Energia de Rede Comum</t>
  </si>
  <si>
    <t>ERC</t>
  </si>
  <si>
    <t>Energia de Rede Estabilizada</t>
  </si>
  <si>
    <t>EEE</t>
  </si>
  <si>
    <t>Rede Ininterrupta</t>
  </si>
  <si>
    <t>GMG</t>
  </si>
  <si>
    <t>Usina Fotovoltaica</t>
  </si>
  <si>
    <t>EEF</t>
  </si>
  <si>
    <t>Telecom</t>
  </si>
  <si>
    <t>Cabeamento Estruturado</t>
  </si>
  <si>
    <t>CAE</t>
  </si>
  <si>
    <t>Alarmes</t>
  </si>
  <si>
    <t>ALM</t>
  </si>
  <si>
    <t>TLC</t>
  </si>
  <si>
    <t>Sonorização</t>
  </si>
  <si>
    <t>SOM</t>
  </si>
  <si>
    <t>CFTV</t>
  </si>
  <si>
    <t>CFT</t>
  </si>
  <si>
    <t>Controle de Acesso</t>
  </si>
  <si>
    <t>CTA</t>
  </si>
  <si>
    <t>Inteligência Predial</t>
  </si>
  <si>
    <t>AIP</t>
  </si>
  <si>
    <t>Automação de Ar-Condicionado</t>
  </si>
  <si>
    <t>AAC</t>
  </si>
  <si>
    <t>Automação de Energia Elétrica</t>
  </si>
  <si>
    <t>Ventilação – sem rede de dutos e acessórios</t>
  </si>
  <si>
    <t>VSD</t>
  </si>
  <si>
    <t>Ventilação – com rede de dutos e acessórios</t>
  </si>
  <si>
    <t>VCD</t>
  </si>
  <si>
    <t>Condicionador de Janela</t>
  </si>
  <si>
    <t>COJ</t>
  </si>
  <si>
    <t>Mini-split – unitário até 5 TR</t>
  </si>
  <si>
    <t>MNS</t>
  </si>
  <si>
    <t>Self-contained – condensação a ar integrado ou roof-tops</t>
  </si>
  <si>
    <t>SCA</t>
  </si>
  <si>
    <t>Self-contained com condensador remoto (splitão) – acima de 5 TR – Projeto com tecnologia VRF ou VRV para expansão direta</t>
  </si>
  <si>
    <t>SCR</t>
  </si>
  <si>
    <t>Central de Água Gelada com uso de chillers</t>
  </si>
  <si>
    <t>CAG</t>
  </si>
  <si>
    <t>Geral</t>
  </si>
  <si>
    <t>Orçamento detalhado por itens</t>
  </si>
  <si>
    <t>ODT</t>
  </si>
  <si>
    <t>Coordenação e compatibilização de projetos</t>
  </si>
  <si>
    <t>COO</t>
  </si>
  <si>
    <t>As Built</t>
  </si>
  <si>
    <t>Todos</t>
  </si>
  <si>
    <t>AB</t>
  </si>
  <si>
    <t>R</t>
  </si>
  <si>
    <t>Revisão</t>
  </si>
  <si>
    <t>K4</t>
  </si>
  <si>
    <t>CONFINS</t>
  </si>
  <si>
    <t>K = (1+k2)*(1+k3)*(1+k4)</t>
  </si>
  <si>
    <t>Arquiteto</t>
  </si>
  <si>
    <t>Ae</t>
  </si>
  <si>
    <t>Apd</t>
  </si>
  <si>
    <t>Apt</t>
  </si>
  <si>
    <t>Age</t>
  </si>
  <si>
    <t>Área Equivalente (m²)</t>
  </si>
  <si>
    <t>Somatório das áreas projetadas de pavimento diferenciado (m²)</t>
  </si>
  <si>
    <t>Somatório das áreas projetadas de pavimento tipo (m²)</t>
  </si>
  <si>
    <t>Somatório das áreas projetadas de garagem/estacionamento (m²)</t>
  </si>
  <si>
    <t>Área Equivalente</t>
  </si>
  <si>
    <r>
      <t>Fator K E TRDE</t>
    </r>
    <r>
      <rPr>
        <sz val="10"/>
        <color theme="1"/>
        <rFont val="Calibri"/>
        <family val="2"/>
        <scheme val="minor"/>
      </rPr>
      <t xml:space="preserve"> 
(ORIENTAÇÕES PARA ELABORAÇÃO DE PLANILHAS ORÇAMENTÁRIAS DE OBRAS PÚBLICAS - TCU)</t>
    </r>
  </si>
  <si>
    <r>
      <t xml:space="preserve">Horas técnicas
</t>
    </r>
    <r>
      <rPr>
        <sz val="10"/>
        <color theme="1"/>
        <rFont val="Calibri"/>
        <family val="2"/>
        <scheme val="minor"/>
      </rPr>
      <t>Mensalista SD / 200h</t>
    </r>
  </si>
  <si>
    <t>Profissional</t>
  </si>
  <si>
    <t>Banco</t>
  </si>
  <si>
    <t>Código</t>
  </si>
  <si>
    <t>SINAPI RS 04/2026</t>
  </si>
  <si>
    <t>Custo mensal</t>
  </si>
  <si>
    <t>ht (com ES)</t>
  </si>
  <si>
    <t>ht (sem ES)</t>
  </si>
  <si>
    <t>Engenheiro</t>
  </si>
  <si>
    <t>Custo (com ES)</t>
  </si>
  <si>
    <t>TOTAL</t>
  </si>
  <si>
    <t>Remuneração dos Anteprojetos</t>
  </si>
  <si>
    <t>Remuneração dos Projetos</t>
  </si>
  <si>
    <t>ORÇAMENTO DOS PROJETOS SEGUNDO METODOLOGIA CAIXA POR ÁREA EQUIVALENTE (ADAPTADO)</t>
  </si>
  <si>
    <t>Custo (sem ES)</t>
  </si>
  <si>
    <t>Preço (ES fator K)</t>
  </si>
  <si>
    <t>Preço (ES MO)</t>
  </si>
  <si>
    <t>PROJETOS SELECIONADOS</t>
  </si>
  <si>
    <t>Remuneração de Revisões e As Built</t>
  </si>
  <si>
    <t>Fbim</t>
  </si>
  <si>
    <t>Fator de multiplicação da Ae para projetos desenvolvidos em BIM
(Projeto tradicional: atribuir 1,00)</t>
  </si>
  <si>
    <r>
      <rPr>
        <b/>
        <sz val="10"/>
        <color theme="1"/>
        <rFont val="Calibri"/>
        <family val="2"/>
        <scheme val="minor"/>
      </rPr>
      <t>Fbim</t>
    </r>
    <r>
      <rPr>
        <sz val="10"/>
        <color theme="1"/>
        <rFont val="Calibri"/>
        <family val="2"/>
        <scheme val="minor"/>
      </rPr>
      <t xml:space="preserve">
(somatório dos fatores, conforme usos e entregas BIM)</t>
    </r>
  </si>
  <si>
    <t>Fator</t>
  </si>
  <si>
    <t>Entrega BIM</t>
  </si>
  <si>
    <t>Modelagem e documentação</t>
  </si>
  <si>
    <t>Quantitativos automatizados</t>
  </si>
  <si>
    <t>Compatibilização e clash detection</t>
  </si>
  <si>
    <t>Coordenação BIM e federação de modelos</t>
  </si>
  <si>
    <t>Planejamento 4D ou orçamento 5D</t>
  </si>
  <si>
    <t>Informações para operação/manutenção</t>
  </si>
  <si>
    <t>Elevador</t>
  </si>
  <si>
    <t>TVE</t>
  </si>
  <si>
    <t>Plataforma elevatória</t>
  </si>
  <si>
    <t>TVP</t>
  </si>
  <si>
    <t>Concreto</t>
  </si>
  <si>
    <t>Aço</t>
  </si>
  <si>
    <t>Encargos Sociais da MO
(mensalista SD)</t>
  </si>
  <si>
    <t>Lucro
(Média entre Dnit e Codevasf - ORIENTAÇÕES PARA ELABORAÇÃO DE PLANILHAS ORÇAMENTÁRIAS DE OBRAS PÚBLICAS - TCU)</t>
  </si>
  <si>
    <t>Impostos
K4 = (1/1-I)-1; I=ISS+PIS+COFINS</t>
  </si>
  <si>
    <t>Adm. Central - overhead
(Média entre Dnit e Codevasf - ORIENTAÇÕES PARA ELABORAÇÃO DE PLANILHAS ORÇAMENTÁRIAS DE OBRAS PÚBLICAS - TCU)</t>
  </si>
  <si>
    <t>Total Geral</t>
  </si>
  <si>
    <t>m²</t>
  </si>
  <si>
    <t>Cadastro com Laser Scan em BIM - Tour 360º, com instalações</t>
  </si>
  <si>
    <t>ORSE</t>
  </si>
  <si>
    <t>UN</t>
  </si>
  <si>
    <t>SONDAGEM - TAXA DE MOBILIZAǃO E DESMOBILIZAǃO DE EQUIPAMENTOS PARA EXECUǃO DE SONDAGEM</t>
  </si>
  <si>
    <t>SBC</t>
  </si>
  <si>
    <t>M</t>
  </si>
  <si>
    <t>SONDAGEM DE SIMPLES RECONHECIMENTO DE SUB-SOLO (PERCUSSAO)</t>
  </si>
  <si>
    <t>MES</t>
  </si>
  <si>
    <t>TOPOGRAFIA-ALUGUEL DE ESTACAO TOTAL E1 PROCEISAO ANGULAR 10""</t>
  </si>
  <si>
    <t>H</t>
  </si>
  <si>
    <t>AUXILIAR DE TOPÓGRAFO COM ENCARGOS COMPLEMENTARES</t>
  </si>
  <si>
    <t>SINAPI</t>
  </si>
  <si>
    <t>TOPOGRAFO COM ENCARGOS COMPLEMENTARES</t>
  </si>
  <si>
    <t>LEVANTAMENTOS INICIAS</t>
  </si>
  <si>
    <t>Quant.</t>
  </si>
  <si>
    <t>Und</t>
  </si>
  <si>
    <t>Projeto de reforma e amplicação do MTG e implantação de anexo de circulação vertical</t>
  </si>
  <si>
    <t>Encargos Sociais</t>
  </si>
  <si>
    <t>B.D.I.</t>
  </si>
  <si>
    <t>Planilha Orçamentária Referencial</t>
  </si>
  <si>
    <t>Data-base</t>
  </si>
  <si>
    <t>PROJETOS</t>
  </si>
  <si>
    <t>Custo Unit. (R$)</t>
  </si>
  <si>
    <t>Preço Unit. (R$)</t>
  </si>
  <si>
    <t>Total (R$)</t>
  </si>
  <si>
    <t>2.3</t>
  </si>
  <si>
    <t xml:space="preserve">1.1 </t>
  </si>
  <si>
    <t xml:space="preserve">1.3 </t>
  </si>
  <si>
    <t xml:space="preserve">1.4 </t>
  </si>
  <si>
    <t xml:space="preserve">1.5 </t>
  </si>
  <si>
    <t xml:space="preserve">1.6 </t>
  </si>
  <si>
    <t>Próprio</t>
  </si>
  <si>
    <t>AP MTG</t>
  </si>
  <si>
    <t>PRO MTG</t>
  </si>
  <si>
    <t>ASB MTG</t>
  </si>
  <si>
    <t>ANTEPROJETO EM BIM - MTG CFE PLANILHA (MÉT. CAIXA)</t>
  </si>
  <si>
    <t>PROJETO EM BIM - MTG CFE PLANILHA (MÉT. CAIXA)</t>
  </si>
  <si>
    <t>ASS BUILT EM BIM - MTG CFE PLANILHA (MÉT. CAIXA)</t>
  </si>
  <si>
    <t>ASSESSORAMENTO DURANTE A EXECUÇÃO DA OBRA</t>
  </si>
  <si>
    <t>ARQUITETO SENIOR COM ENCARGOS COMPLEMENTARES</t>
  </si>
  <si>
    <t xml:space="preserve">_______________________________________________________________
Patrícia Pereira Szelest
Analista Legislativa - Engenheira Civil </t>
  </si>
  <si>
    <t>Memória de cálculo</t>
  </si>
  <si>
    <t>Levantamento: 2 dias. Processamento: 1 dia</t>
  </si>
  <si>
    <t>Levantamento: 2 dias. Processamento: 2 dias</t>
  </si>
  <si>
    <t>Levantamento: 2 dias. FC diária</t>
  </si>
  <si>
    <t>Galpão: 3 furos. Elevador: 2 furos. Estimado 15m por furo</t>
  </si>
  <si>
    <t>Área edificação existente</t>
  </si>
  <si>
    <t>Conforme composição na aba "Projetos e fator K"</t>
  </si>
  <si>
    <t>Projeto executivo</t>
  </si>
  <si>
    <t>Anteprojeto</t>
  </si>
  <si>
    <t>Projetos</t>
  </si>
  <si>
    <t>Supervisão da obra e assessoramento técnico</t>
  </si>
  <si>
    <t>Projeto básico</t>
  </si>
  <si>
    <t>Cronograma Físico-Financeiro Referencial</t>
  </si>
  <si>
    <t>Planilha Orçamentária Referencial - Memória de Cálculo</t>
  </si>
  <si>
    <t>69,29% - Mensalista SD SINAPI RS</t>
  </si>
  <si>
    <t>1 turno/semana (visitas) + 1 dia/mês (relatório supervisão), durante 8 meses de obra
Ainda que haja acompanhamento por mais de um profissional ou carga horária diversa, este é o montante que a Administração se propõe a pagar, de forma global, para a supervisão da obra e assessoramento à fiscalização, incluidas todas as atividades in loco, bem como escritório (Relatório, detalhamentos adicionais, etc).
Ressalva-se o equilíbrio econômico-financeiro do contrato nos casos em que comprovado o aumento extraordinário dos encargos assumidos pelo contratado, salvo se os tenha dado causa.</t>
  </si>
  <si>
    <t>Desembolso por etapa</t>
  </si>
  <si>
    <t>30 dias</t>
  </si>
  <si>
    <t>60 dias</t>
  </si>
  <si>
    <t>90 dias</t>
  </si>
  <si>
    <t>OIS I</t>
  </si>
  <si>
    <t>OIS II</t>
  </si>
  <si>
    <r>
      <t xml:space="preserve">Assessoramento durante a execução da obra </t>
    </r>
    <r>
      <rPr>
        <sz val="11"/>
        <color theme="0"/>
        <rFont val="Arial"/>
        <family val="2"/>
      </rPr>
      <t>(meses)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</si>
</sst>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#,##0.000"/>
    <numFmt numFmtId="165" formatCode="0.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Arial"/>
      <family val="1"/>
    </font>
    <font>
      <b/>
      <sz val="10"/>
      <name val="Arial"/>
      <family val="1"/>
    </font>
    <font>
      <b/>
      <sz val="10"/>
      <color rgb="FF000000"/>
      <name val="Arial"/>
      <family val="1"/>
    </font>
    <font>
      <b/>
      <sz val="10"/>
      <color rgb="FF000000"/>
      <name val="Arial"/>
    </font>
    <font>
      <sz val="10"/>
      <name val="Arial"/>
      <family val="1"/>
    </font>
    <font>
      <b/>
      <sz val="10"/>
      <name val="Arial"/>
      <family val="2"/>
    </font>
    <font>
      <b/>
      <sz val="10"/>
      <color rgb="FF242424"/>
      <name val="Arial"/>
      <family val="2"/>
    </font>
    <font>
      <sz val="10"/>
      <color rgb="FF000000"/>
      <name val="Arial"/>
      <family val="2"/>
    </font>
    <font>
      <b/>
      <sz val="10"/>
      <color theme="1"/>
      <name val="Calibri"/>
      <family val="2"/>
      <scheme val="minor"/>
    </font>
    <font>
      <b/>
      <sz val="9"/>
      <color indexed="81"/>
      <name val="Segoe UI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1"/>
      <name val="Arial"/>
      <family val="1"/>
    </font>
    <font>
      <sz val="10"/>
      <color rgb="FF000000"/>
      <name val="Arial"/>
      <family val="1"/>
    </font>
    <font>
      <b/>
      <sz val="11"/>
      <color theme="0"/>
      <name val="Arial"/>
      <family val="2"/>
    </font>
    <font>
      <sz val="11"/>
      <color theme="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rgb="FFD8ECF6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EE2E6"/>
        <bgColor rgb="FFDEE2E6"/>
      </patternFill>
    </fill>
    <fill>
      <patternFill patternType="solid">
        <fgColor theme="4" tint="0.79998168889431442"/>
        <bgColor rgb="FFD8ECF6"/>
      </patternFill>
    </fill>
    <fill>
      <patternFill patternType="solid">
        <fgColor theme="4" tint="0.79998168889431442"/>
        <bgColor rgb="FFBAD4EF"/>
      </patternFill>
    </fill>
    <fill>
      <patternFill patternType="solid">
        <fgColor theme="1"/>
        <bgColor rgb="FFFFFFFF"/>
      </patternFill>
    </fill>
    <fill>
      <patternFill patternType="solid">
        <fgColor theme="2"/>
        <bgColor rgb="FFFFFFFF"/>
      </patternFill>
    </fill>
    <fill>
      <patternFill patternType="solid">
        <fgColor theme="2"/>
        <bgColor indexed="64"/>
      </patternFill>
    </fill>
  </fills>
  <borders count="5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2" tint="-0.249977111117893"/>
      </top>
      <bottom/>
      <diagonal/>
    </border>
    <border>
      <left style="thin">
        <color auto="1"/>
      </left>
      <right style="thin">
        <color auto="1"/>
      </right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/>
      <top style="thin">
        <color theme="2" tint="-0.249977111117893"/>
      </top>
      <bottom style="thin">
        <color theme="2" tint="-0.249977111117893"/>
      </bottom>
      <diagonal/>
    </border>
    <border>
      <left/>
      <right style="thin">
        <color auto="1"/>
      </right>
      <top style="thin">
        <color theme="2" tint="-0.249977111117893"/>
      </top>
      <bottom style="thin">
        <color theme="2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2" tint="-0.249977111117893"/>
      </bottom>
      <diagonal/>
    </border>
    <border>
      <left style="thin">
        <color auto="1"/>
      </left>
      <right/>
      <top style="thin">
        <color auto="1"/>
      </top>
      <bottom style="thin">
        <color theme="2" tint="-0.249977111117893"/>
      </bottom>
      <diagonal/>
    </border>
    <border>
      <left/>
      <right style="thin">
        <color indexed="64"/>
      </right>
      <top style="thin">
        <color auto="1"/>
      </top>
      <bottom style="thin">
        <color theme="2" tint="-0.249977111117893"/>
      </bottom>
      <diagonal/>
    </border>
    <border>
      <left style="thin">
        <color auto="1"/>
      </left>
      <right/>
      <top style="thin">
        <color theme="2" tint="-0.249977111117893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2" tint="-0.249977111117893"/>
      </top>
      <bottom style="thin">
        <color theme="2" tint="-0.249977111117893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auto="1"/>
      </bottom>
      <diagonal/>
    </border>
    <border>
      <left style="thin">
        <color theme="0"/>
      </left>
      <right/>
      <top style="thin">
        <color theme="0"/>
      </top>
      <bottom style="thin">
        <color auto="1"/>
      </bottom>
      <diagonal/>
    </border>
    <border>
      <left style="thin">
        <color indexed="64"/>
      </left>
      <right style="thin">
        <color theme="0"/>
      </right>
      <top style="thin">
        <color indexed="64"/>
      </top>
      <bottom style="thin">
        <color auto="1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theme="0"/>
      </bottom>
      <diagonal/>
    </border>
    <border>
      <left/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indexed="64"/>
      </left>
      <right/>
      <top style="medium">
        <color indexed="64"/>
      </top>
      <bottom style="thin">
        <color auto="1"/>
      </bottom>
      <diagonal/>
    </border>
    <border>
      <left/>
      <right style="thin">
        <color theme="0"/>
      </right>
      <top style="thin">
        <color theme="0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auto="1"/>
      </bottom>
      <diagonal/>
    </border>
    <border>
      <left style="thin">
        <color theme="0"/>
      </left>
      <right/>
      <top style="thin">
        <color indexed="64"/>
      </top>
      <bottom style="thin">
        <color theme="0"/>
      </bottom>
      <diagonal/>
    </border>
    <border>
      <left/>
      <right style="thin">
        <color indexed="64"/>
      </right>
      <top style="thin">
        <color indexed="64"/>
      </top>
      <bottom style="thin">
        <color theme="0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16" fillId="0" borderId="0"/>
  </cellStyleXfs>
  <cellXfs count="170">
    <xf numFmtId="0" fontId="0" fillId="0" borderId="0" xfId="0"/>
    <xf numFmtId="0" fontId="8" fillId="2" borderId="0" xfId="0" applyFont="1" applyFill="1" applyAlignment="1">
      <alignment horizontal="center" vertical="top" wrapText="1"/>
    </xf>
    <xf numFmtId="0" fontId="5" fillId="2" borderId="0" xfId="0" applyFont="1" applyFill="1" applyAlignment="1">
      <alignment horizontal="center" vertical="top" wrapText="1"/>
    </xf>
    <xf numFmtId="0" fontId="4" fillId="2" borderId="5" xfId="0" applyFont="1" applyFill="1" applyBorder="1" applyAlignment="1">
      <alignment horizontal="center" vertical="center" wrapText="1"/>
    </xf>
    <xf numFmtId="0" fontId="6" fillId="3" borderId="13" xfId="0" applyFont="1" applyFill="1" applyBorder="1" applyAlignment="1">
      <alignment horizontal="center" vertical="center" wrapText="1"/>
    </xf>
    <xf numFmtId="0" fontId="11" fillId="3" borderId="10" xfId="0" applyFont="1" applyFill="1" applyBorder="1" applyAlignment="1">
      <alignment vertical="center" wrapText="1"/>
    </xf>
    <xf numFmtId="0" fontId="11" fillId="3" borderId="14" xfId="0" applyFont="1" applyFill="1" applyBorder="1" applyAlignment="1">
      <alignment vertical="center" wrapText="1"/>
    </xf>
    <xf numFmtId="0" fontId="11" fillId="3" borderId="15" xfId="0" applyFont="1" applyFill="1" applyBorder="1" applyAlignment="1">
      <alignment vertical="center" wrapText="1"/>
    </xf>
    <xf numFmtId="0" fontId="11" fillId="3" borderId="16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6" fillId="3" borderId="18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 wrapText="1"/>
    </xf>
    <xf numFmtId="0" fontId="11" fillId="3" borderId="23" xfId="0" applyFont="1" applyFill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12" fillId="0" borderId="28" xfId="0" applyFont="1" applyBorder="1" applyAlignment="1">
      <alignment horizontal="center" vertical="center"/>
    </xf>
    <xf numFmtId="0" fontId="12" fillId="0" borderId="28" xfId="0" applyFont="1" applyBorder="1" applyAlignment="1">
      <alignment horizontal="center" vertical="center" wrapText="1"/>
    </xf>
    <xf numFmtId="0" fontId="12" fillId="0" borderId="28" xfId="0" applyFont="1" applyBorder="1" applyAlignment="1">
      <alignment vertical="center"/>
    </xf>
    <xf numFmtId="44" fontId="3" fillId="4" borderId="28" xfId="0" applyNumberFormat="1" applyFont="1" applyFill="1" applyBorder="1" applyAlignment="1">
      <alignment vertical="center"/>
    </xf>
    <xf numFmtId="0" fontId="3" fillId="0" borderId="28" xfId="0" applyFont="1" applyBorder="1" applyAlignment="1">
      <alignment vertical="center"/>
    </xf>
    <xf numFmtId="0" fontId="3" fillId="0" borderId="28" xfId="0" applyFont="1" applyBorder="1" applyAlignment="1">
      <alignment vertical="center" wrapText="1"/>
    </xf>
    <xf numFmtId="164" fontId="3" fillId="4" borderId="28" xfId="0" applyNumberFormat="1" applyFont="1" applyFill="1" applyBorder="1" applyAlignment="1">
      <alignment vertical="center"/>
    </xf>
    <xf numFmtId="44" fontId="3" fillId="0" borderId="28" xfId="2" applyFont="1" applyBorder="1" applyAlignment="1">
      <alignment vertical="center"/>
    </xf>
    <xf numFmtId="0" fontId="3" fillId="0" borderId="28" xfId="0" applyFont="1" applyBorder="1" applyAlignment="1">
      <alignment horizontal="center" vertical="center"/>
    </xf>
    <xf numFmtId="10" fontId="3" fillId="4" borderId="28" xfId="1" applyNumberFormat="1" applyFont="1" applyFill="1" applyBorder="1" applyAlignment="1">
      <alignment horizontal="center" vertical="center"/>
    </xf>
    <xf numFmtId="0" fontId="12" fillId="0" borderId="28" xfId="0" applyFont="1" applyBorder="1" applyAlignment="1">
      <alignment horizontal="right" vertical="center"/>
    </xf>
    <xf numFmtId="0" fontId="3" fillId="0" borderId="0" xfId="0" applyFont="1" applyAlignment="1">
      <alignment vertical="center" wrapText="1"/>
    </xf>
    <xf numFmtId="164" fontId="3" fillId="0" borderId="28" xfId="0" applyNumberFormat="1" applyFont="1" applyBorder="1" applyAlignment="1">
      <alignment vertical="center"/>
    </xf>
    <xf numFmtId="9" fontId="3" fillId="4" borderId="28" xfId="1" applyFont="1" applyFill="1" applyBorder="1" applyAlignment="1">
      <alignment vertical="center"/>
    </xf>
    <xf numFmtId="165" fontId="12" fillId="0" borderId="25" xfId="1" applyNumberFormat="1" applyFont="1" applyBorder="1" applyAlignment="1">
      <alignment vertical="center"/>
    </xf>
    <xf numFmtId="164" fontId="12" fillId="0" borderId="28" xfId="0" applyNumberFormat="1" applyFont="1" applyBorder="1" applyAlignment="1">
      <alignment vertical="center"/>
    </xf>
    <xf numFmtId="0" fontId="3" fillId="0" borderId="28" xfId="0" applyFont="1" applyBorder="1" applyAlignment="1">
      <alignment horizontal="right" vertical="center"/>
    </xf>
    <xf numFmtId="10" fontId="3" fillId="4" borderId="28" xfId="1" applyNumberFormat="1" applyFont="1" applyFill="1" applyBorder="1" applyAlignment="1">
      <alignment horizontal="right" vertical="center"/>
    </xf>
    <xf numFmtId="0" fontId="3" fillId="0" borderId="25" xfId="0" applyFont="1" applyBorder="1" applyAlignment="1">
      <alignment vertical="center"/>
    </xf>
    <xf numFmtId="0" fontId="3" fillId="0" borderId="27" xfId="0" applyFont="1" applyBorder="1" applyAlignment="1">
      <alignment vertical="center"/>
    </xf>
    <xf numFmtId="44" fontId="12" fillId="0" borderId="28" xfId="0" applyNumberFormat="1" applyFont="1" applyBorder="1" applyAlignment="1">
      <alignment vertical="center"/>
    </xf>
    <xf numFmtId="0" fontId="3" fillId="4" borderId="28" xfId="0" applyFont="1" applyFill="1" applyBorder="1" applyAlignment="1">
      <alignment vertical="center"/>
    </xf>
    <xf numFmtId="0" fontId="3" fillId="4" borderId="28" xfId="0" applyFont="1" applyFill="1" applyBorder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44" fontId="3" fillId="0" borderId="0" xfId="0" applyNumberFormat="1" applyFont="1" applyAlignment="1">
      <alignment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vertical="center" wrapText="1"/>
    </xf>
    <xf numFmtId="2" fontId="3" fillId="0" borderId="0" xfId="0" applyNumberFormat="1" applyFont="1" applyAlignment="1">
      <alignment vertical="center"/>
    </xf>
    <xf numFmtId="0" fontId="3" fillId="6" borderId="28" xfId="0" applyFont="1" applyFill="1" applyBorder="1" applyAlignment="1">
      <alignment vertical="center" wrapText="1"/>
    </xf>
    <xf numFmtId="0" fontId="3" fillId="6" borderId="28" xfId="0" applyFont="1" applyFill="1" applyBorder="1" applyAlignment="1">
      <alignment vertical="center"/>
    </xf>
    <xf numFmtId="164" fontId="3" fillId="6" borderId="28" xfId="0" applyNumberFormat="1" applyFont="1" applyFill="1" applyBorder="1" applyAlignment="1">
      <alignment vertical="center"/>
    </xf>
    <xf numFmtId="44" fontId="3" fillId="6" borderId="28" xfId="2" applyFont="1" applyFill="1" applyBorder="1" applyAlignment="1">
      <alignment vertical="center"/>
    </xf>
    <xf numFmtId="44" fontId="3" fillId="0" borderId="28" xfId="2" applyFont="1" applyFill="1" applyBorder="1" applyAlignment="1">
      <alignment vertical="center"/>
    </xf>
    <xf numFmtId="3" fontId="3" fillId="6" borderId="28" xfId="0" applyNumberFormat="1" applyFont="1" applyFill="1" applyBorder="1" applyAlignment="1">
      <alignment vertical="center"/>
    </xf>
    <xf numFmtId="3" fontId="3" fillId="0" borderId="28" xfId="0" applyNumberFormat="1" applyFont="1" applyBorder="1" applyAlignment="1">
      <alignment vertical="center"/>
    </xf>
    <xf numFmtId="0" fontId="3" fillId="6" borderId="28" xfId="0" applyFont="1" applyFill="1" applyBorder="1" applyAlignment="1">
      <alignment horizontal="center" vertical="center"/>
    </xf>
    <xf numFmtId="9" fontId="3" fillId="6" borderId="28" xfId="1" applyFont="1" applyFill="1" applyBorder="1" applyAlignment="1">
      <alignment vertical="center"/>
    </xf>
    <xf numFmtId="0" fontId="16" fillId="0" borderId="0" xfId="3"/>
    <xf numFmtId="0" fontId="5" fillId="2" borderId="0" xfId="3" applyFont="1" applyFill="1" applyAlignment="1">
      <alignment horizontal="center" vertical="top" wrapText="1"/>
    </xf>
    <xf numFmtId="0" fontId="8" fillId="2" borderId="0" xfId="3" applyFont="1" applyFill="1" applyAlignment="1">
      <alignment horizontal="left" vertical="top" wrapText="1"/>
    </xf>
    <xf numFmtId="0" fontId="8" fillId="2" borderId="0" xfId="3" applyFont="1" applyFill="1" applyAlignment="1">
      <alignment horizontal="center" vertical="top" wrapText="1"/>
    </xf>
    <xf numFmtId="4" fontId="17" fillId="2" borderId="35" xfId="3" applyNumberFormat="1" applyFont="1" applyFill="1" applyBorder="1" applyAlignment="1">
      <alignment horizontal="right" vertical="top" wrapText="1"/>
    </xf>
    <xf numFmtId="0" fontId="17" fillId="2" borderId="35" xfId="3" applyFont="1" applyFill="1" applyBorder="1" applyAlignment="1">
      <alignment horizontal="center" vertical="top" wrapText="1"/>
    </xf>
    <xf numFmtId="0" fontId="17" fillId="2" borderId="35" xfId="3" applyFont="1" applyFill="1" applyBorder="1" applyAlignment="1">
      <alignment horizontal="left" vertical="top" wrapText="1"/>
    </xf>
    <xf numFmtId="4" fontId="17" fillId="7" borderId="35" xfId="3" applyNumberFormat="1" applyFont="1" applyFill="1" applyBorder="1" applyAlignment="1">
      <alignment horizontal="right" vertical="top" wrapText="1"/>
    </xf>
    <xf numFmtId="0" fontId="17" fillId="7" borderId="35" xfId="3" applyFont="1" applyFill="1" applyBorder="1" applyAlignment="1">
      <alignment horizontal="center" vertical="top" wrapText="1"/>
    </xf>
    <xf numFmtId="0" fontId="17" fillId="7" borderId="35" xfId="3" applyFont="1" applyFill="1" applyBorder="1" applyAlignment="1">
      <alignment horizontal="left" vertical="top" wrapText="1"/>
    </xf>
    <xf numFmtId="0" fontId="5" fillId="2" borderId="0" xfId="3" applyFont="1" applyFill="1" applyAlignment="1">
      <alignment horizontal="left" vertical="top" wrapText="1"/>
    </xf>
    <xf numFmtId="0" fontId="4" fillId="2" borderId="0" xfId="3" applyFont="1" applyFill="1" applyAlignment="1">
      <alignment horizontal="left" vertical="top" wrapText="1"/>
    </xf>
    <xf numFmtId="17" fontId="5" fillId="2" borderId="0" xfId="3" applyNumberFormat="1" applyFont="1" applyFill="1" applyAlignment="1">
      <alignment horizontal="left" vertical="top" wrapText="1"/>
    </xf>
    <xf numFmtId="0" fontId="5" fillId="2" borderId="0" xfId="3" applyFont="1" applyFill="1" applyAlignment="1">
      <alignment vertical="top" wrapText="1"/>
    </xf>
    <xf numFmtId="2" fontId="17" fillId="7" borderId="35" xfId="3" applyNumberFormat="1" applyFont="1" applyFill="1" applyBorder="1" applyAlignment="1">
      <alignment horizontal="right" vertical="top" wrapText="1"/>
    </xf>
    <xf numFmtId="2" fontId="17" fillId="2" borderId="35" xfId="3" applyNumberFormat="1" applyFont="1" applyFill="1" applyBorder="1" applyAlignment="1">
      <alignment horizontal="right" vertical="top" wrapText="1"/>
    </xf>
    <xf numFmtId="44" fontId="12" fillId="6" borderId="28" xfId="2" applyFont="1" applyFill="1" applyBorder="1" applyAlignment="1">
      <alignment vertical="center"/>
    </xf>
    <xf numFmtId="44" fontId="12" fillId="6" borderId="28" xfId="2" applyFont="1" applyFill="1" applyBorder="1" applyAlignment="1">
      <alignment horizontal="left" vertical="center" indent="2"/>
    </xf>
    <xf numFmtId="0" fontId="12" fillId="0" borderId="30" xfId="0" applyFont="1" applyBorder="1" applyAlignment="1">
      <alignment vertical="center" wrapText="1"/>
    </xf>
    <xf numFmtId="0" fontId="17" fillId="7" borderId="35" xfId="3" applyFont="1" applyFill="1" applyBorder="1" applyAlignment="1">
      <alignment horizontal="right" vertical="top" wrapText="1"/>
    </xf>
    <xf numFmtId="0" fontId="17" fillId="2" borderId="35" xfId="3" applyFont="1" applyFill="1" applyBorder="1" applyAlignment="1">
      <alignment horizontal="right" vertical="top" wrapText="1"/>
    </xf>
    <xf numFmtId="0" fontId="6" fillId="8" borderId="5" xfId="0" applyFont="1" applyFill="1" applyBorder="1" applyAlignment="1">
      <alignment vertical="center" wrapText="1"/>
    </xf>
    <xf numFmtId="0" fontId="6" fillId="8" borderId="20" xfId="0" applyFont="1" applyFill="1" applyBorder="1" applyAlignment="1">
      <alignment vertical="center" wrapText="1"/>
    </xf>
    <xf numFmtId="0" fontId="6" fillId="9" borderId="35" xfId="3" applyFont="1" applyFill="1" applyBorder="1" applyAlignment="1">
      <alignment horizontal="left" vertical="top" wrapText="1"/>
    </xf>
    <xf numFmtId="0" fontId="6" fillId="9" borderId="35" xfId="3" applyFont="1" applyFill="1" applyBorder="1" applyAlignment="1">
      <alignment horizontal="right" vertical="top" wrapText="1"/>
    </xf>
    <xf numFmtId="4" fontId="6" fillId="9" borderId="35" xfId="3" applyNumberFormat="1" applyFont="1" applyFill="1" applyBorder="1" applyAlignment="1">
      <alignment horizontal="right" vertical="top" wrapText="1"/>
    </xf>
    <xf numFmtId="0" fontId="18" fillId="10" borderId="37" xfId="0" applyFont="1" applyFill="1" applyBorder="1" applyAlignment="1">
      <alignment horizontal="center" vertical="center" wrapText="1"/>
    </xf>
    <xf numFmtId="0" fontId="18" fillId="10" borderId="38" xfId="0" applyFont="1" applyFill="1" applyBorder="1" applyAlignment="1">
      <alignment horizontal="center" vertical="center" wrapText="1"/>
    </xf>
    <xf numFmtId="0" fontId="18" fillId="10" borderId="36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9" xfId="0" applyFont="1" applyFill="1" applyBorder="1" applyAlignment="1">
      <alignment horizontal="center" vertical="center" wrapText="1"/>
    </xf>
    <xf numFmtId="9" fontId="11" fillId="8" borderId="1" xfId="0" applyNumberFormat="1" applyFont="1" applyFill="1" applyBorder="1" applyAlignment="1">
      <alignment horizontal="center" vertical="center" wrapText="1"/>
    </xf>
    <xf numFmtId="0" fontId="4" fillId="2" borderId="0" xfId="3" applyFont="1" applyFill="1" applyAlignment="1">
      <alignment vertical="top" wrapText="1"/>
    </xf>
    <xf numFmtId="4" fontId="4" fillId="2" borderId="0" xfId="3" applyNumberFormat="1" applyFont="1" applyFill="1" applyAlignment="1">
      <alignment vertical="top" wrapText="1"/>
    </xf>
    <xf numFmtId="4" fontId="6" fillId="9" borderId="35" xfId="3" applyNumberFormat="1" applyFont="1" applyFill="1" applyBorder="1" applyAlignment="1">
      <alignment horizontal="left" vertical="top" wrapText="1"/>
    </xf>
    <xf numFmtId="44" fontId="11" fillId="8" borderId="1" xfId="2" applyFont="1" applyFill="1" applyBorder="1" applyAlignment="1">
      <alignment horizontal="center" vertical="center" wrapText="1"/>
    </xf>
    <xf numFmtId="44" fontId="11" fillId="8" borderId="9" xfId="2" applyFont="1" applyFill="1" applyBorder="1" applyAlignment="1">
      <alignment horizontal="center" vertical="center" wrapText="1"/>
    </xf>
    <xf numFmtId="4" fontId="16" fillId="0" borderId="0" xfId="3" applyNumberFormat="1"/>
    <xf numFmtId="44" fontId="10" fillId="0" borderId="1" xfId="2" applyFont="1" applyBorder="1" applyAlignment="1">
      <alignment horizontal="center" vertical="center"/>
    </xf>
    <xf numFmtId="44" fontId="11" fillId="8" borderId="5" xfId="2" applyFont="1" applyFill="1" applyBorder="1" applyAlignment="1">
      <alignment horizontal="center" vertical="center" wrapText="1"/>
    </xf>
    <xf numFmtId="44" fontId="11" fillId="8" borderId="11" xfId="2" applyFont="1" applyFill="1" applyBorder="1" applyAlignment="1">
      <alignment horizontal="center" vertical="center" wrapText="1"/>
    </xf>
    <xf numFmtId="44" fontId="7" fillId="0" borderId="9" xfId="2" applyFont="1" applyFill="1" applyBorder="1" applyAlignment="1">
      <alignment horizontal="center" vertical="center" wrapText="1"/>
    </xf>
    <xf numFmtId="44" fontId="7" fillId="0" borderId="11" xfId="2" applyFont="1" applyFill="1" applyBorder="1" applyAlignment="1">
      <alignment horizontal="center" vertical="center" wrapText="1"/>
    </xf>
    <xf numFmtId="9" fontId="11" fillId="8" borderId="7" xfId="0" applyNumberFormat="1" applyFont="1" applyFill="1" applyBorder="1" applyAlignment="1">
      <alignment horizontal="center" vertical="center" wrapText="1"/>
    </xf>
    <xf numFmtId="44" fontId="11" fillId="8" borderId="7" xfId="2" applyFont="1" applyFill="1" applyBorder="1" applyAlignment="1">
      <alignment horizontal="center" vertical="center" wrapText="1"/>
    </xf>
    <xf numFmtId="0" fontId="11" fillId="8" borderId="7" xfId="0" applyFont="1" applyFill="1" applyBorder="1" applyAlignment="1">
      <alignment horizontal="center" vertical="center" wrapText="1"/>
    </xf>
    <xf numFmtId="44" fontId="11" fillId="8" borderId="4" xfId="2" applyFont="1" applyFill="1" applyBorder="1" applyAlignment="1">
      <alignment horizontal="center" vertical="center" wrapText="1"/>
    </xf>
    <xf numFmtId="44" fontId="10" fillId="0" borderId="7" xfId="2" applyFont="1" applyBorder="1" applyAlignment="1">
      <alignment horizontal="center" vertical="center"/>
    </xf>
    <xf numFmtId="44" fontId="5" fillId="2" borderId="9" xfId="0" applyNumberFormat="1" applyFont="1" applyFill="1" applyBorder="1" applyAlignment="1">
      <alignment vertical="top" wrapText="1"/>
    </xf>
    <xf numFmtId="9" fontId="7" fillId="12" borderId="14" xfId="0" applyNumberFormat="1" applyFont="1" applyFill="1" applyBorder="1" applyAlignment="1">
      <alignment horizontal="center" vertical="center" wrapText="1"/>
    </xf>
    <xf numFmtId="9" fontId="7" fillId="12" borderId="43" xfId="1" applyFont="1" applyFill="1" applyBorder="1" applyAlignment="1">
      <alignment horizontal="center" vertical="center" wrapText="1"/>
    </xf>
    <xf numFmtId="9" fontId="5" fillId="11" borderId="9" xfId="1" applyFont="1" applyFill="1" applyBorder="1" applyAlignment="1">
      <alignment horizontal="center" vertical="top" wrapText="1"/>
    </xf>
    <xf numFmtId="0" fontId="18" fillId="10" borderId="44" xfId="0" applyFont="1" applyFill="1" applyBorder="1" applyAlignment="1">
      <alignment horizontal="center" vertical="center" wrapText="1"/>
    </xf>
    <xf numFmtId="0" fontId="8" fillId="2" borderId="45" xfId="0" applyFont="1" applyFill="1" applyBorder="1" applyAlignment="1">
      <alignment horizontal="center" vertical="top" wrapText="1"/>
    </xf>
    <xf numFmtId="0" fontId="5" fillId="2" borderId="46" xfId="0" applyFont="1" applyFill="1" applyBorder="1" applyAlignment="1">
      <alignment horizontal="left" vertical="top" wrapText="1"/>
    </xf>
    <xf numFmtId="9" fontId="11" fillId="8" borderId="9" xfId="0" applyNumberFormat="1" applyFont="1" applyFill="1" applyBorder="1" applyAlignment="1">
      <alignment horizontal="center" vertical="center" wrapText="1"/>
    </xf>
    <xf numFmtId="9" fontId="0" fillId="0" borderId="0" xfId="0" applyNumberFormat="1"/>
    <xf numFmtId="44" fontId="0" fillId="0" borderId="0" xfId="2" applyFont="1"/>
    <xf numFmtId="10" fontId="9" fillId="11" borderId="2" xfId="0" applyNumberFormat="1" applyFont="1" applyFill="1" applyBorder="1" applyAlignment="1">
      <alignment horizontal="center" vertical="center" wrapText="1"/>
    </xf>
    <xf numFmtId="10" fontId="9" fillId="11" borderId="3" xfId="0" applyNumberFormat="1" applyFont="1" applyFill="1" applyBorder="1" applyAlignment="1">
      <alignment horizontal="center" vertical="center" wrapText="1"/>
    </xf>
    <xf numFmtId="10" fontId="9" fillId="11" borderId="6" xfId="0" applyNumberFormat="1" applyFont="1" applyFill="1" applyBorder="1" applyAlignment="1">
      <alignment horizontal="center" vertical="center" wrapText="1"/>
    </xf>
    <xf numFmtId="44" fontId="10" fillId="0" borderId="8" xfId="2" applyFont="1" applyBorder="1" applyAlignment="1">
      <alignment horizontal="center" vertical="center"/>
    </xf>
    <xf numFmtId="49" fontId="11" fillId="8" borderId="7" xfId="0" applyNumberFormat="1" applyFont="1" applyFill="1" applyBorder="1" applyAlignment="1">
      <alignment horizontal="center" vertical="center" wrapText="1"/>
    </xf>
    <xf numFmtId="49" fontId="11" fillId="8" borderId="1" xfId="0" applyNumberFormat="1" applyFont="1" applyFill="1" applyBorder="1" applyAlignment="1">
      <alignment horizontal="center" vertical="center" wrapText="1"/>
    </xf>
    <xf numFmtId="9" fontId="11" fillId="8" borderId="7" xfId="1" applyFont="1" applyFill="1" applyBorder="1" applyAlignment="1">
      <alignment horizontal="center" vertical="center" wrapText="1"/>
    </xf>
    <xf numFmtId="9" fontId="11" fillId="8" borderId="1" xfId="1" applyFont="1" applyFill="1" applyBorder="1" applyAlignment="1">
      <alignment horizontal="center" vertical="center" wrapText="1"/>
    </xf>
    <xf numFmtId="44" fontId="10" fillId="0" borderId="4" xfId="2" applyFont="1" applyBorder="1" applyAlignment="1">
      <alignment horizontal="center" vertical="center"/>
    </xf>
    <xf numFmtId="44" fontId="10" fillId="0" borderId="5" xfId="2" applyFont="1" applyBorder="1" applyAlignment="1">
      <alignment horizontal="center" vertical="center"/>
    </xf>
    <xf numFmtId="44" fontId="10" fillId="0" borderId="51" xfId="2" applyFont="1" applyBorder="1" applyAlignment="1">
      <alignment horizontal="center" vertical="center"/>
    </xf>
    <xf numFmtId="10" fontId="9" fillId="11" borderId="7" xfId="0" applyNumberFormat="1" applyFont="1" applyFill="1" applyBorder="1" applyAlignment="1">
      <alignment horizontal="center" vertical="center" wrapText="1"/>
    </xf>
    <xf numFmtId="10" fontId="9" fillId="11" borderId="1" xfId="0" applyNumberFormat="1" applyFont="1" applyFill="1" applyBorder="1" applyAlignment="1">
      <alignment horizontal="center" vertical="center" wrapText="1"/>
    </xf>
    <xf numFmtId="10" fontId="9" fillId="11" borderId="8" xfId="0" applyNumberFormat="1" applyFont="1" applyFill="1" applyBorder="1" applyAlignment="1">
      <alignment horizontal="center" vertical="center" wrapText="1"/>
    </xf>
    <xf numFmtId="0" fontId="4" fillId="2" borderId="0" xfId="3" applyFont="1" applyFill="1" applyAlignment="1">
      <alignment horizontal="left" vertical="top" wrapText="1"/>
    </xf>
    <xf numFmtId="0" fontId="4" fillId="2" borderId="0" xfId="3" applyFont="1" applyFill="1" applyAlignment="1">
      <alignment horizontal="center" wrapText="1"/>
    </xf>
    <xf numFmtId="0" fontId="16" fillId="0" borderId="0" xfId="3"/>
    <xf numFmtId="0" fontId="5" fillId="2" borderId="0" xfId="3" applyFont="1" applyFill="1" applyAlignment="1">
      <alignment horizontal="left" vertical="top" wrapText="1"/>
    </xf>
    <xf numFmtId="0" fontId="4" fillId="2" borderId="35" xfId="3" applyFont="1" applyFill="1" applyBorder="1" applyAlignment="1">
      <alignment horizontal="left" vertical="top" wrapText="1"/>
    </xf>
    <xf numFmtId="0" fontId="4" fillId="2" borderId="35" xfId="3" applyFont="1" applyFill="1" applyBorder="1" applyAlignment="1">
      <alignment horizontal="right" vertical="top" wrapText="1"/>
    </xf>
    <xf numFmtId="0" fontId="8" fillId="2" borderId="0" xfId="3" applyFont="1" applyFill="1" applyAlignment="1">
      <alignment horizontal="center" vertical="top" wrapText="1"/>
    </xf>
    <xf numFmtId="0" fontId="5" fillId="2" borderId="0" xfId="3" applyFont="1" applyFill="1" applyAlignment="1">
      <alignment horizontal="right" vertical="top" wrapText="1"/>
    </xf>
    <xf numFmtId="0" fontId="4" fillId="2" borderId="35" xfId="3" applyFont="1" applyFill="1" applyBorder="1" applyAlignment="1">
      <alignment horizontal="center" vertical="top" wrapText="1"/>
    </xf>
    <xf numFmtId="0" fontId="3" fillId="0" borderId="28" xfId="0" applyFont="1" applyBorder="1" applyAlignment="1">
      <alignment horizontal="center" vertical="center"/>
    </xf>
    <xf numFmtId="0" fontId="2" fillId="5" borderId="0" xfId="0" applyFont="1" applyFill="1" applyAlignment="1">
      <alignment horizontal="left" vertical="center"/>
    </xf>
    <xf numFmtId="0" fontId="12" fillId="0" borderId="29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12" fillId="0" borderId="25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 wrapText="1"/>
    </xf>
    <xf numFmtId="0" fontId="3" fillId="0" borderId="31" xfId="0" applyFont="1" applyBorder="1" applyAlignment="1">
      <alignment horizontal="center" vertical="center"/>
    </xf>
    <xf numFmtId="0" fontId="18" fillId="10" borderId="40" xfId="0" applyFont="1" applyFill="1" applyBorder="1" applyAlignment="1">
      <alignment horizontal="center" vertical="center" wrapText="1"/>
    </xf>
    <xf numFmtId="0" fontId="18" fillId="10" borderId="39" xfId="0" applyFont="1" applyFill="1" applyBorder="1" applyAlignment="1">
      <alignment horizontal="center" vertical="center" wrapText="1"/>
    </xf>
    <xf numFmtId="0" fontId="18" fillId="10" borderId="41" xfId="0" applyFont="1" applyFill="1" applyBorder="1" applyAlignment="1">
      <alignment horizontal="center" vertical="center" wrapText="1"/>
    </xf>
    <xf numFmtId="0" fontId="18" fillId="10" borderId="42" xfId="0" applyFont="1" applyFill="1" applyBorder="1" applyAlignment="1">
      <alignment horizontal="center" vertical="center" wrapText="1"/>
    </xf>
    <xf numFmtId="0" fontId="18" fillId="10" borderId="49" xfId="0" applyFont="1" applyFill="1" applyBorder="1" applyAlignment="1">
      <alignment horizontal="center" vertical="center" wrapText="1"/>
    </xf>
    <xf numFmtId="0" fontId="18" fillId="10" borderId="50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left" vertical="top" wrapText="1"/>
    </xf>
    <xf numFmtId="0" fontId="5" fillId="2" borderId="47" xfId="0" applyFont="1" applyFill="1" applyBorder="1" applyAlignment="1">
      <alignment horizontal="left" vertical="top" wrapText="1"/>
    </xf>
    <xf numFmtId="0" fontId="5" fillId="2" borderId="9" xfId="0" applyFont="1" applyFill="1" applyBorder="1" applyAlignment="1">
      <alignment vertical="top" wrapText="1"/>
    </xf>
    <xf numFmtId="0" fontId="5" fillId="2" borderId="47" xfId="0" applyFont="1" applyFill="1" applyBorder="1" applyAlignment="1">
      <alignment vertical="top" wrapText="1"/>
    </xf>
    <xf numFmtId="0" fontId="5" fillId="2" borderId="43" xfId="0" applyFont="1" applyFill="1" applyBorder="1" applyAlignment="1">
      <alignment horizontal="left" vertical="top" wrapText="1"/>
    </xf>
    <xf numFmtId="0" fontId="5" fillId="2" borderId="48" xfId="0" applyFont="1" applyFill="1" applyBorder="1" applyAlignment="1">
      <alignment horizontal="left" vertical="top" wrapText="1"/>
    </xf>
    <xf numFmtId="0" fontId="6" fillId="8" borderId="21" xfId="0" applyFont="1" applyFill="1" applyBorder="1" applyAlignment="1">
      <alignment horizontal="center" vertical="center" wrapText="1"/>
    </xf>
    <xf numFmtId="0" fontId="6" fillId="8" borderId="22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</cellXfs>
  <cellStyles count="4">
    <cellStyle name="Moeda" xfId="2" builtinId="4"/>
    <cellStyle name="Normal" xfId="0" builtinId="0"/>
    <cellStyle name="Normal 2" xfId="3" xr:uid="{00000000-0005-0000-0000-000002000000}"/>
    <cellStyle name="Porcentagem" xfId="1" builtinId="5"/>
  </cellStyles>
  <dxfs count="0"/>
  <tableStyles count="0" defaultTableStyle="TableStyleMedium2" defaultPivotStyle="PivotStyleLight16"/>
  <colors>
    <mruColors>
      <color rgb="FF9FC8E9"/>
      <color rgb="FFFFCC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25"/>
  <sheetViews>
    <sheetView tabSelected="1" showWhiteSpace="0" workbookViewId="0">
      <selection activeCell="L10" sqref="L10"/>
    </sheetView>
  </sheetViews>
  <sheetFormatPr defaultRowHeight="14.25" x14ac:dyDescent="0.2"/>
  <cols>
    <col min="1" max="1" width="6.7109375" style="54" customWidth="1"/>
    <col min="2" max="3" width="10.7109375" style="54" customWidth="1"/>
    <col min="4" max="4" width="71.140625" style="54" customWidth="1"/>
    <col min="5" max="5" width="5.7109375" style="54" bestFit="1" customWidth="1"/>
    <col min="6" max="6" width="11.42578125" style="54" bestFit="1" customWidth="1"/>
    <col min="7" max="9" width="12.7109375" style="54" customWidth="1"/>
    <col min="10" max="10" width="9.42578125" style="54" bestFit="1" customWidth="1"/>
    <col min="11" max="11" width="11.28515625" style="54" bestFit="1" customWidth="1"/>
    <col min="12" max="16384" width="9.140625" style="54"/>
  </cols>
  <sheetData>
    <row r="1" spans="1:9" ht="15" customHeight="1" x14ac:dyDescent="0.2">
      <c r="A1" s="126" t="s">
        <v>228</v>
      </c>
      <c r="B1" s="126"/>
      <c r="C1" s="65"/>
      <c r="D1" s="65" t="s">
        <v>8</v>
      </c>
      <c r="E1" s="126" t="s">
        <v>226</v>
      </c>
      <c r="F1" s="126"/>
      <c r="G1" s="126"/>
      <c r="H1" s="126" t="s">
        <v>225</v>
      </c>
      <c r="I1" s="126"/>
    </row>
    <row r="2" spans="1:9" ht="14.25" customHeight="1" x14ac:dyDescent="0.2">
      <c r="A2" s="66">
        <v>46113</v>
      </c>
      <c r="B2" s="64"/>
      <c r="C2" s="64"/>
      <c r="D2" s="129" t="s">
        <v>224</v>
      </c>
      <c r="E2" s="129" t="s">
        <v>91</v>
      </c>
      <c r="F2" s="129"/>
      <c r="G2" s="67">
        <v>2.4110033112582778</v>
      </c>
      <c r="H2" s="129" t="s">
        <v>263</v>
      </c>
      <c r="I2" s="129"/>
    </row>
    <row r="3" spans="1:9" x14ac:dyDescent="0.2">
      <c r="A3" s="66"/>
      <c r="B3" s="64"/>
      <c r="C3" s="64"/>
      <c r="D3" s="129"/>
      <c r="E3" s="129" t="s">
        <v>94</v>
      </c>
      <c r="F3" s="129"/>
      <c r="G3" s="67">
        <v>1.5620860927152318</v>
      </c>
      <c r="H3" s="129"/>
      <c r="I3" s="129"/>
    </row>
    <row r="4" spans="1:9" x14ac:dyDescent="0.2">
      <c r="A4" s="66"/>
      <c r="B4" s="64"/>
      <c r="C4" s="64"/>
      <c r="D4" s="129"/>
      <c r="E4" s="129" t="s">
        <v>6</v>
      </c>
      <c r="F4" s="129"/>
      <c r="G4" s="67">
        <v>1.2251655629139073</v>
      </c>
      <c r="H4" s="64"/>
      <c r="I4" s="67"/>
    </row>
    <row r="5" spans="1:9" x14ac:dyDescent="0.2">
      <c r="A5" s="66"/>
      <c r="B5" s="64"/>
      <c r="C5" s="64"/>
      <c r="D5" s="64"/>
      <c r="E5" s="64"/>
      <c r="F5" s="64"/>
      <c r="G5" s="67"/>
      <c r="H5" s="64"/>
      <c r="I5" s="67"/>
    </row>
    <row r="6" spans="1:9" ht="15" x14ac:dyDescent="0.25">
      <c r="A6" s="127" t="s">
        <v>227</v>
      </c>
      <c r="B6" s="128"/>
      <c r="C6" s="128"/>
      <c r="D6" s="128"/>
      <c r="E6" s="128"/>
      <c r="F6" s="128"/>
      <c r="G6" s="128"/>
      <c r="H6" s="128"/>
      <c r="I6" s="128"/>
    </row>
    <row r="7" spans="1:9" ht="15" customHeight="1" x14ac:dyDescent="0.2">
      <c r="A7" s="130" t="s">
        <v>9</v>
      </c>
      <c r="B7" s="131" t="s">
        <v>169</v>
      </c>
      <c r="C7" s="130" t="s">
        <v>168</v>
      </c>
      <c r="D7" s="130" t="s">
        <v>10</v>
      </c>
      <c r="E7" s="134" t="s">
        <v>223</v>
      </c>
      <c r="F7" s="131" t="s">
        <v>222</v>
      </c>
      <c r="G7" s="131" t="s">
        <v>230</v>
      </c>
      <c r="H7" s="131" t="s">
        <v>231</v>
      </c>
      <c r="I7" s="131" t="s">
        <v>232</v>
      </c>
    </row>
    <row r="8" spans="1:9" ht="15" customHeight="1" x14ac:dyDescent="0.2">
      <c r="A8" s="131"/>
      <c r="B8" s="131"/>
      <c r="C8" s="131"/>
      <c r="D8" s="131"/>
      <c r="E8" s="131"/>
      <c r="F8" s="131"/>
      <c r="G8" s="131"/>
      <c r="H8" s="131"/>
      <c r="I8" s="131"/>
    </row>
    <row r="9" spans="1:9" ht="24" customHeight="1" x14ac:dyDescent="0.2">
      <c r="A9" s="77">
        <v>1</v>
      </c>
      <c r="B9" s="77"/>
      <c r="C9" s="77"/>
      <c r="D9" s="77" t="s">
        <v>221</v>
      </c>
      <c r="E9" s="77"/>
      <c r="F9" s="78"/>
      <c r="G9" s="77"/>
      <c r="H9" s="77"/>
      <c r="I9" s="79">
        <f>SUM(I10:I15)</f>
        <v>21484.670000000002</v>
      </c>
    </row>
    <row r="10" spans="1:9" x14ac:dyDescent="0.2">
      <c r="A10" s="63" t="s">
        <v>234</v>
      </c>
      <c r="B10" s="73">
        <v>90781</v>
      </c>
      <c r="C10" s="63" t="s">
        <v>219</v>
      </c>
      <c r="D10" s="63" t="s">
        <v>220</v>
      </c>
      <c r="E10" s="62" t="s">
        <v>217</v>
      </c>
      <c r="F10" s="68">
        <f>MC!F10</f>
        <v>24</v>
      </c>
      <c r="G10" s="61">
        <v>47.82</v>
      </c>
      <c r="H10" s="61">
        <f>TRUNC(G10*$G$3,2)</f>
        <v>74.69</v>
      </c>
      <c r="I10" s="61">
        <f>TRUNC(H10*F10,2)</f>
        <v>1792.56</v>
      </c>
    </row>
    <row r="11" spans="1:9" x14ac:dyDescent="0.2">
      <c r="A11" s="63" t="s">
        <v>26</v>
      </c>
      <c r="B11" s="73">
        <v>88253</v>
      </c>
      <c r="C11" s="63" t="s">
        <v>219</v>
      </c>
      <c r="D11" s="63" t="s">
        <v>218</v>
      </c>
      <c r="E11" s="62" t="s">
        <v>217</v>
      </c>
      <c r="F11" s="68">
        <f>MC!F11</f>
        <v>32</v>
      </c>
      <c r="G11" s="61">
        <v>24.37</v>
      </c>
      <c r="H11" s="61">
        <f t="shared" ref="H11:H21" si="0">TRUNC(G11*$G$3,2)</f>
        <v>38.06</v>
      </c>
      <c r="I11" s="61">
        <f t="shared" ref="I11:I21" si="1">TRUNC(H11*F11,2)</f>
        <v>1217.92</v>
      </c>
    </row>
    <row r="12" spans="1:9" x14ac:dyDescent="0.2">
      <c r="A12" s="63" t="s">
        <v>235</v>
      </c>
      <c r="B12" s="73">
        <v>569</v>
      </c>
      <c r="C12" s="63" t="s">
        <v>212</v>
      </c>
      <c r="D12" s="63" t="s">
        <v>216</v>
      </c>
      <c r="E12" s="62" t="s">
        <v>215</v>
      </c>
      <c r="F12" s="68">
        <f>MC!F12</f>
        <v>0.1</v>
      </c>
      <c r="G12" s="61">
        <v>1660</v>
      </c>
      <c r="H12" s="61">
        <f>TRUNC(G12*$G$4,2)</f>
        <v>2033.77</v>
      </c>
      <c r="I12" s="61">
        <f t="shared" si="1"/>
        <v>203.37</v>
      </c>
    </row>
    <row r="13" spans="1:9" x14ac:dyDescent="0.2">
      <c r="A13" s="60" t="s">
        <v>236</v>
      </c>
      <c r="B13" s="74">
        <v>39902</v>
      </c>
      <c r="C13" s="60" t="s">
        <v>212</v>
      </c>
      <c r="D13" s="60" t="s">
        <v>214</v>
      </c>
      <c r="E13" s="59" t="s">
        <v>213</v>
      </c>
      <c r="F13" s="69">
        <f>MC!F13</f>
        <v>75</v>
      </c>
      <c r="G13" s="58">
        <v>90.12</v>
      </c>
      <c r="H13" s="58">
        <f>TRUNC(G13*$G$4,2)</f>
        <v>110.41</v>
      </c>
      <c r="I13" s="58">
        <f t="shared" si="1"/>
        <v>8280.75</v>
      </c>
    </row>
    <row r="14" spans="1:9" ht="25.5" x14ac:dyDescent="0.2">
      <c r="A14" s="60" t="s">
        <v>237</v>
      </c>
      <c r="B14" s="74">
        <v>42245</v>
      </c>
      <c r="C14" s="60" t="s">
        <v>212</v>
      </c>
      <c r="D14" s="60" t="s">
        <v>211</v>
      </c>
      <c r="E14" s="59" t="s">
        <v>210</v>
      </c>
      <c r="F14" s="69">
        <f>MC!F14</f>
        <v>1</v>
      </c>
      <c r="G14" s="58">
        <v>7200</v>
      </c>
      <c r="H14" s="58">
        <f t="shared" ref="H14:H15" si="2">TRUNC(G14*$G$4,2)</f>
        <v>8821.19</v>
      </c>
      <c r="I14" s="58">
        <f t="shared" si="1"/>
        <v>8821.19</v>
      </c>
    </row>
    <row r="15" spans="1:9" x14ac:dyDescent="0.2">
      <c r="A15" s="60" t="s">
        <v>238</v>
      </c>
      <c r="B15" s="74">
        <v>14810</v>
      </c>
      <c r="C15" s="60" t="s">
        <v>209</v>
      </c>
      <c r="D15" s="60" t="s">
        <v>208</v>
      </c>
      <c r="E15" s="59" t="s">
        <v>207</v>
      </c>
      <c r="F15" s="69">
        <f>MC!F15</f>
        <v>63.63</v>
      </c>
      <c r="G15" s="58">
        <v>15</v>
      </c>
      <c r="H15" s="58">
        <f t="shared" si="2"/>
        <v>18.37</v>
      </c>
      <c r="I15" s="58">
        <f t="shared" si="1"/>
        <v>1168.8800000000001</v>
      </c>
    </row>
    <row r="16" spans="1:9" ht="24" customHeight="1" x14ac:dyDescent="0.2">
      <c r="A16" s="77">
        <v>2</v>
      </c>
      <c r="B16" s="77"/>
      <c r="C16" s="77"/>
      <c r="D16" s="77" t="s">
        <v>229</v>
      </c>
      <c r="E16" s="77"/>
      <c r="F16" s="78"/>
      <c r="G16" s="88"/>
      <c r="H16" s="88"/>
      <c r="I16" s="79">
        <f>SUM(I17:I19)</f>
        <v>118398.79000000001</v>
      </c>
    </row>
    <row r="17" spans="1:11" x14ac:dyDescent="0.2">
      <c r="A17" s="63" t="s">
        <v>17</v>
      </c>
      <c r="B17" s="73" t="s">
        <v>240</v>
      </c>
      <c r="C17" s="63" t="s">
        <v>239</v>
      </c>
      <c r="D17" s="63" t="s">
        <v>243</v>
      </c>
      <c r="E17" s="62" t="s">
        <v>210</v>
      </c>
      <c r="F17" s="68">
        <f>MC!F17</f>
        <v>1</v>
      </c>
      <c r="G17" s="61">
        <f>'Projetos e fator K'!N18</f>
        <v>6888.01</v>
      </c>
      <c r="H17" s="61">
        <f>TRUNC(G17*$G$2,2)</f>
        <v>16607.009999999998</v>
      </c>
      <c r="I17" s="61">
        <f t="shared" si="1"/>
        <v>16607.009999999998</v>
      </c>
    </row>
    <row r="18" spans="1:11" x14ac:dyDescent="0.2">
      <c r="A18" s="63" t="s">
        <v>18</v>
      </c>
      <c r="B18" s="73" t="s">
        <v>241</v>
      </c>
      <c r="C18" s="63" t="s">
        <v>239</v>
      </c>
      <c r="D18" s="63" t="s">
        <v>244</v>
      </c>
      <c r="E18" s="62" t="s">
        <v>210</v>
      </c>
      <c r="F18" s="68">
        <f>MC!F18</f>
        <v>1</v>
      </c>
      <c r="G18" s="61">
        <f>'Projetos e fator K'!E47</f>
        <v>38381.530000000006</v>
      </c>
      <c r="H18" s="61">
        <f t="shared" ref="H18:H19" si="3">TRUNC(G18*$G$2,2)</f>
        <v>92537.99</v>
      </c>
      <c r="I18" s="61">
        <f t="shared" si="1"/>
        <v>92537.99</v>
      </c>
    </row>
    <row r="19" spans="1:11" x14ac:dyDescent="0.2">
      <c r="A19" s="63" t="s">
        <v>233</v>
      </c>
      <c r="B19" s="73" t="s">
        <v>242</v>
      </c>
      <c r="C19" s="63" t="s">
        <v>239</v>
      </c>
      <c r="D19" s="63" t="s">
        <v>245</v>
      </c>
      <c r="E19" s="62" t="s">
        <v>210</v>
      </c>
      <c r="F19" s="68">
        <f>MC!F19</f>
        <v>1</v>
      </c>
      <c r="G19" s="61">
        <f>'Projetos e fator K'!N22</f>
        <v>3838.15</v>
      </c>
      <c r="H19" s="61">
        <f t="shared" si="3"/>
        <v>9253.7900000000009</v>
      </c>
      <c r="I19" s="61">
        <f t="shared" si="1"/>
        <v>9253.7900000000009</v>
      </c>
    </row>
    <row r="20" spans="1:11" x14ac:dyDescent="0.2">
      <c r="A20" s="77">
        <v>3</v>
      </c>
      <c r="B20" s="77"/>
      <c r="C20" s="77"/>
      <c r="D20" s="77" t="s">
        <v>246</v>
      </c>
      <c r="E20" s="77"/>
      <c r="F20" s="78"/>
      <c r="G20" s="88"/>
      <c r="H20" s="88"/>
      <c r="I20" s="79">
        <f>SUM(I21:I21)</f>
        <v>39204.25</v>
      </c>
      <c r="K20" s="91"/>
    </row>
    <row r="21" spans="1:11" x14ac:dyDescent="0.2">
      <c r="A21" s="63" t="s">
        <v>20</v>
      </c>
      <c r="B21" s="73">
        <v>93571</v>
      </c>
      <c r="C21" s="63" t="s">
        <v>219</v>
      </c>
      <c r="D21" s="63" t="s">
        <v>247</v>
      </c>
      <c r="E21" s="62" t="s">
        <v>215</v>
      </c>
      <c r="F21" s="68">
        <f>MC!F21</f>
        <v>0.96</v>
      </c>
      <c r="G21" s="61">
        <v>26143.1</v>
      </c>
      <c r="H21" s="61">
        <f t="shared" si="0"/>
        <v>40837.769999999997</v>
      </c>
      <c r="I21" s="61">
        <f t="shared" si="1"/>
        <v>39204.25</v>
      </c>
    </row>
    <row r="22" spans="1:11" x14ac:dyDescent="0.2">
      <c r="A22" s="57"/>
      <c r="B22" s="57"/>
      <c r="C22" s="57"/>
      <c r="D22" s="57"/>
      <c r="E22" s="57"/>
      <c r="F22" s="57"/>
      <c r="G22" s="57"/>
      <c r="H22" s="57"/>
      <c r="I22" s="57"/>
    </row>
    <row r="23" spans="1:11" ht="15" x14ac:dyDescent="0.2">
      <c r="A23" s="133"/>
      <c r="B23" s="133"/>
      <c r="C23" s="133"/>
      <c r="D23" s="56"/>
      <c r="E23" s="57"/>
      <c r="F23" s="57"/>
      <c r="G23" s="129" t="s">
        <v>206</v>
      </c>
      <c r="H23" s="129"/>
      <c r="I23" s="87">
        <f>I9+I16+I20</f>
        <v>179087.71000000002</v>
      </c>
    </row>
    <row r="24" spans="1:11" ht="60" customHeight="1" x14ac:dyDescent="0.2">
      <c r="A24" s="55"/>
      <c r="B24" s="55"/>
      <c r="C24" s="55"/>
      <c r="D24" s="55"/>
      <c r="E24" s="55"/>
      <c r="F24" s="55"/>
      <c r="G24" s="55"/>
      <c r="H24" s="55"/>
      <c r="I24" s="55"/>
    </row>
    <row r="25" spans="1:11" ht="69.95" customHeight="1" x14ac:dyDescent="0.2">
      <c r="A25" s="132" t="s">
        <v>248</v>
      </c>
      <c r="B25" s="128"/>
      <c r="C25" s="128"/>
      <c r="D25" s="128"/>
      <c r="E25" s="128"/>
      <c r="F25" s="128"/>
      <c r="G25" s="128"/>
      <c r="H25" s="128"/>
      <c r="I25" s="128"/>
    </row>
  </sheetData>
  <mergeCells count="21">
    <mergeCell ref="A7:A8"/>
    <mergeCell ref="B7:B8"/>
    <mergeCell ref="C7:C8"/>
    <mergeCell ref="D7:D8"/>
    <mergeCell ref="A25:I25"/>
    <mergeCell ref="A23:C23"/>
    <mergeCell ref="G23:H23"/>
    <mergeCell ref="I7:I8"/>
    <mergeCell ref="E7:E8"/>
    <mergeCell ref="F7:F8"/>
    <mergeCell ref="G7:G8"/>
    <mergeCell ref="H7:H8"/>
    <mergeCell ref="E1:G1"/>
    <mergeCell ref="A1:B1"/>
    <mergeCell ref="A6:I6"/>
    <mergeCell ref="E2:F2"/>
    <mergeCell ref="E3:F3"/>
    <mergeCell ref="E4:F4"/>
    <mergeCell ref="D2:D4"/>
    <mergeCell ref="H1:I1"/>
    <mergeCell ref="H2:I3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  <ignoredErrors>
    <ignoredError sqref="I16 I20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49"/>
  <sheetViews>
    <sheetView zoomScale="85" zoomScaleNormal="85" workbookViewId="0">
      <selection activeCell="A3" sqref="A3:H3"/>
    </sheetView>
  </sheetViews>
  <sheetFormatPr defaultColWidth="23.85546875" defaultRowHeight="12.75" x14ac:dyDescent="0.25"/>
  <cols>
    <col min="1" max="1" width="20.42578125" style="14" bestFit="1" customWidth="1"/>
    <col min="2" max="2" width="39.85546875" style="26" bestFit="1" customWidth="1"/>
    <col min="3" max="3" width="5.42578125" style="14" bestFit="1" customWidth="1"/>
    <col min="4" max="4" width="6.7109375" style="14" bestFit="1" customWidth="1"/>
    <col min="5" max="5" width="17.85546875" style="14" customWidth="1"/>
    <col min="6" max="6" width="17.85546875" style="14" hidden="1" customWidth="1"/>
    <col min="7" max="7" width="17.85546875" style="14" customWidth="1"/>
    <col min="8" max="8" width="17.85546875" style="14" hidden="1" customWidth="1"/>
    <col min="9" max="9" width="3.7109375" style="14" customWidth="1"/>
    <col min="10" max="10" width="20.42578125" style="14" customWidth="1"/>
    <col min="11" max="11" width="39.85546875" style="14" customWidth="1"/>
    <col min="12" max="12" width="5.42578125" style="14" customWidth="1"/>
    <col min="13" max="13" width="6.85546875" style="14" customWidth="1"/>
    <col min="14" max="14" width="17.85546875" style="14" customWidth="1"/>
    <col min="15" max="15" width="17.85546875" style="14" hidden="1" customWidth="1"/>
    <col min="16" max="16" width="17.85546875" style="14" customWidth="1"/>
    <col min="17" max="17" width="17.85546875" style="14" hidden="1" customWidth="1"/>
    <col min="18" max="18" width="3.7109375" style="14" customWidth="1"/>
    <col min="19" max="19" width="16.85546875" style="14" customWidth="1"/>
    <col min="20" max="20" width="10.5703125" style="14" customWidth="1"/>
    <col min="21" max="21" width="100.42578125" style="14" customWidth="1"/>
    <col min="22" max="22" width="3.7109375" style="14" customWidth="1"/>
    <col min="23" max="23" width="12.5703125" style="14" customWidth="1"/>
    <col min="24" max="25" width="10.7109375" style="14" customWidth="1"/>
    <col min="26" max="26" width="15" style="14" customWidth="1"/>
    <col min="27" max="28" width="12.5703125" style="14" customWidth="1"/>
    <col min="29" max="29" width="8.5703125" style="14" customWidth="1"/>
    <col min="30" max="16384" width="23.85546875" style="14"/>
  </cols>
  <sheetData>
    <row r="1" spans="1:29" ht="15" x14ac:dyDescent="0.25">
      <c r="A1" s="136" t="s">
        <v>179</v>
      </c>
      <c r="B1" s="136"/>
      <c r="C1" s="136"/>
      <c r="D1" s="136"/>
      <c r="E1" s="136"/>
      <c r="F1" s="136"/>
      <c r="G1" s="41"/>
      <c r="H1" s="41"/>
    </row>
    <row r="3" spans="1:29" ht="25.5" customHeight="1" x14ac:dyDescent="0.25">
      <c r="A3" s="137" t="s">
        <v>178</v>
      </c>
      <c r="B3" s="138"/>
      <c r="C3" s="138"/>
      <c r="D3" s="138"/>
      <c r="E3" s="138"/>
      <c r="F3" s="138"/>
      <c r="G3" s="138"/>
      <c r="H3" s="138"/>
      <c r="J3" s="137" t="s">
        <v>177</v>
      </c>
      <c r="K3" s="138"/>
      <c r="L3" s="138"/>
      <c r="M3" s="138"/>
      <c r="N3" s="138"/>
      <c r="O3" s="138"/>
      <c r="P3" s="138"/>
      <c r="Q3" s="138"/>
      <c r="S3" s="139" t="s">
        <v>165</v>
      </c>
      <c r="T3" s="140"/>
      <c r="U3" s="140"/>
      <c r="W3" s="139" t="s">
        <v>166</v>
      </c>
      <c r="X3" s="140"/>
      <c r="Y3" s="140"/>
      <c r="Z3" s="140"/>
      <c r="AA3" s="140"/>
      <c r="AB3" s="140"/>
      <c r="AC3" s="72"/>
    </row>
    <row r="4" spans="1:29" ht="24.95" customHeight="1" x14ac:dyDescent="0.25">
      <c r="A4" s="15" t="s">
        <v>27</v>
      </c>
      <c r="B4" s="16" t="s">
        <v>28</v>
      </c>
      <c r="C4" s="15" t="s">
        <v>29</v>
      </c>
      <c r="D4" s="15" t="s">
        <v>30</v>
      </c>
      <c r="E4" s="15" t="s">
        <v>180</v>
      </c>
      <c r="F4" s="15" t="s">
        <v>175</v>
      </c>
      <c r="G4" s="15" t="s">
        <v>181</v>
      </c>
      <c r="H4" s="15" t="s">
        <v>182</v>
      </c>
      <c r="J4" s="15" t="s">
        <v>27</v>
      </c>
      <c r="K4" s="16" t="s">
        <v>28</v>
      </c>
      <c r="L4" s="15" t="s">
        <v>29</v>
      </c>
      <c r="M4" s="15" t="s">
        <v>30</v>
      </c>
      <c r="N4" s="15" t="s">
        <v>180</v>
      </c>
      <c r="O4" s="15" t="s">
        <v>175</v>
      </c>
      <c r="P4" s="15" t="s">
        <v>181</v>
      </c>
      <c r="Q4" s="15" t="s">
        <v>182</v>
      </c>
      <c r="S4" s="23" t="s">
        <v>62</v>
      </c>
      <c r="T4" s="24">
        <v>0.69289999999999996</v>
      </c>
      <c r="U4" s="20" t="s">
        <v>202</v>
      </c>
      <c r="W4" s="33" t="s">
        <v>167</v>
      </c>
      <c r="X4" s="34" t="s">
        <v>168</v>
      </c>
      <c r="Y4" s="34" t="s">
        <v>169</v>
      </c>
      <c r="Z4" s="34" t="s">
        <v>171</v>
      </c>
      <c r="AA4" s="15" t="s">
        <v>173</v>
      </c>
      <c r="AB4" s="15" t="s">
        <v>172</v>
      </c>
      <c r="AC4" s="72"/>
    </row>
    <row r="5" spans="1:29" ht="24.95" customHeight="1" x14ac:dyDescent="0.25">
      <c r="A5" s="135" t="s">
        <v>31</v>
      </c>
      <c r="B5" s="20" t="s">
        <v>32</v>
      </c>
      <c r="C5" s="19" t="s">
        <v>33</v>
      </c>
      <c r="D5" s="27">
        <v>0.1</v>
      </c>
      <c r="E5" s="22">
        <f t="shared" ref="E5:F10" si="0">TRUNC(($D5*AA$5)*((8/$T$17)^0.4)*$T$17,2)</f>
        <v>718.04</v>
      </c>
      <c r="F5" s="22">
        <f t="shared" si="0"/>
        <v>1215.58</v>
      </c>
      <c r="G5" s="22">
        <f>TRUNC(E5*$T$11,2)</f>
        <v>1731.19</v>
      </c>
      <c r="H5" s="22">
        <f>TRUNC(F5*$T$12,2)</f>
        <v>1898.84</v>
      </c>
      <c r="J5" s="23" t="s">
        <v>31</v>
      </c>
      <c r="K5" s="45" t="s">
        <v>34</v>
      </c>
      <c r="L5" s="46" t="s">
        <v>35</v>
      </c>
      <c r="M5" s="47">
        <v>0.24</v>
      </c>
      <c r="N5" s="48">
        <f>TRUNC(($M5*AA$5)*((8/$T$17)^0.4)*$T$17,2)</f>
        <v>1723.3</v>
      </c>
      <c r="O5" s="48">
        <f>TRUNC(($M5*AB$5)*((8/$T$17)^0.4)*$T$17,2)</f>
        <v>2917.4</v>
      </c>
      <c r="P5" s="48">
        <f>TRUNC(N5*$T$11,2)</f>
        <v>4154.88</v>
      </c>
      <c r="Q5" s="48">
        <f>TRUNC(O5*$T$12,2)</f>
        <v>4557.22</v>
      </c>
      <c r="S5" s="23" t="s">
        <v>67</v>
      </c>
      <c r="T5" s="24">
        <v>0.27500000000000002</v>
      </c>
      <c r="U5" s="20" t="s">
        <v>205</v>
      </c>
      <c r="W5" s="19" t="s">
        <v>155</v>
      </c>
      <c r="X5" s="37" t="s">
        <v>170</v>
      </c>
      <c r="Y5" s="36">
        <v>93571</v>
      </c>
      <c r="Z5" s="18">
        <v>26143.1</v>
      </c>
      <c r="AA5" s="35">
        <f>TRUNC($AB5/(1+$T$4),2)</f>
        <v>77.209999999999994</v>
      </c>
      <c r="AB5" s="35">
        <f>TRUNC(Z5/200,2)</f>
        <v>130.71</v>
      </c>
      <c r="AC5" s="72"/>
    </row>
    <row r="6" spans="1:29" ht="24.95" customHeight="1" x14ac:dyDescent="0.25">
      <c r="A6" s="135"/>
      <c r="B6" s="45" t="s">
        <v>36</v>
      </c>
      <c r="C6" s="46" t="s">
        <v>37</v>
      </c>
      <c r="D6" s="47">
        <v>0.8</v>
      </c>
      <c r="E6" s="48">
        <f t="shared" si="0"/>
        <v>5744.34</v>
      </c>
      <c r="F6" s="48">
        <f t="shared" si="0"/>
        <v>9724.68</v>
      </c>
      <c r="G6" s="48">
        <f t="shared" ref="G6:G46" si="1">TRUNC(E6*$T$11,2)</f>
        <v>13849.62</v>
      </c>
      <c r="H6" s="48">
        <f t="shared" ref="H6:H46" si="2">TRUNC(F6*$T$12,2)</f>
        <v>15190.78</v>
      </c>
      <c r="J6" s="135" t="s">
        <v>38</v>
      </c>
      <c r="K6" s="20" t="s">
        <v>39</v>
      </c>
      <c r="L6" s="19" t="s">
        <v>40</v>
      </c>
      <c r="M6" s="27">
        <v>9.9000000000000005E-2</v>
      </c>
      <c r="N6" s="22">
        <f>TRUNC(($M6*AA$6)*((8/$T$17)^0.4)*$T$17,2)</f>
        <v>755.42</v>
      </c>
      <c r="O6" s="22">
        <f>TRUNC(($M6*AB$6)*((8/$T$17)^0.4)*$T$17,2)</f>
        <v>1278.92</v>
      </c>
      <c r="P6" s="22">
        <f t="shared" ref="P6:P17" si="3">TRUNC(N6*$T$11,2)</f>
        <v>1821.32</v>
      </c>
      <c r="Q6" s="22">
        <f t="shared" ref="Q6:Q17" si="4">TRUNC(O6*$T$12,2)</f>
        <v>1997.78</v>
      </c>
      <c r="S6" s="23" t="s">
        <v>73</v>
      </c>
      <c r="T6" s="24">
        <v>0.11</v>
      </c>
      <c r="U6" s="20" t="s">
        <v>203</v>
      </c>
      <c r="W6" s="19" t="s">
        <v>174</v>
      </c>
      <c r="X6" s="37" t="s">
        <v>170</v>
      </c>
      <c r="Y6" s="36">
        <v>93568</v>
      </c>
      <c r="Z6" s="18">
        <v>27783.03</v>
      </c>
      <c r="AA6" s="35">
        <f>TRUNC($AB6/(1+$T$4),2)</f>
        <v>82.05</v>
      </c>
      <c r="AB6" s="35">
        <f>TRUNC(Z6/200,2)</f>
        <v>138.91</v>
      </c>
      <c r="AC6" s="72"/>
    </row>
    <row r="7" spans="1:29" ht="24.95" customHeight="1" x14ac:dyDescent="0.25">
      <c r="A7" s="135"/>
      <c r="B7" s="45" t="s">
        <v>41</v>
      </c>
      <c r="C7" s="46" t="s">
        <v>42</v>
      </c>
      <c r="D7" s="47">
        <v>0.52</v>
      </c>
      <c r="E7" s="48">
        <f t="shared" si="0"/>
        <v>3733.82</v>
      </c>
      <c r="F7" s="48">
        <f t="shared" si="0"/>
        <v>6321.04</v>
      </c>
      <c r="G7" s="48">
        <f t="shared" si="1"/>
        <v>9002.25</v>
      </c>
      <c r="H7" s="48">
        <f t="shared" si="2"/>
        <v>9874</v>
      </c>
      <c r="J7" s="135"/>
      <c r="K7" s="45" t="s">
        <v>43</v>
      </c>
      <c r="L7" s="46" t="s">
        <v>44</v>
      </c>
      <c r="M7" s="47">
        <v>3.5999999999999997E-2</v>
      </c>
      <c r="N7" s="48">
        <f t="shared" ref="N7:O17" si="5">TRUNC(($M7*AA$6)*((8/$T$17)^0.4)*$T$17,2)</f>
        <v>274.69</v>
      </c>
      <c r="O7" s="48">
        <f t="shared" si="5"/>
        <v>465.06</v>
      </c>
      <c r="P7" s="48">
        <f t="shared" si="3"/>
        <v>662.27</v>
      </c>
      <c r="Q7" s="48">
        <f t="shared" si="4"/>
        <v>726.46</v>
      </c>
      <c r="S7" s="23" t="s">
        <v>152</v>
      </c>
      <c r="T7" s="24">
        <f>1/(1-SUM(T8:T10))-1</f>
        <v>0.10375275938189832</v>
      </c>
      <c r="U7" s="20" t="s">
        <v>204</v>
      </c>
      <c r="AC7" s="72"/>
    </row>
    <row r="8" spans="1:29" ht="24.95" customHeight="1" x14ac:dyDescent="0.25">
      <c r="A8" s="135"/>
      <c r="B8" s="45" t="s">
        <v>45</v>
      </c>
      <c r="C8" s="46" t="s">
        <v>46</v>
      </c>
      <c r="D8" s="47">
        <v>0.2</v>
      </c>
      <c r="E8" s="48">
        <f t="shared" si="0"/>
        <v>1436.08</v>
      </c>
      <c r="F8" s="48">
        <f t="shared" si="0"/>
        <v>2431.17</v>
      </c>
      <c r="G8" s="48">
        <f t="shared" si="1"/>
        <v>3462.39</v>
      </c>
      <c r="H8" s="48">
        <f t="shared" si="2"/>
        <v>3797.69</v>
      </c>
      <c r="J8" s="135"/>
      <c r="K8" s="45" t="s">
        <v>47</v>
      </c>
      <c r="L8" s="46" t="s">
        <v>48</v>
      </c>
      <c r="M8" s="47">
        <v>0.13500000000000001</v>
      </c>
      <c r="N8" s="48">
        <f>TRUNC(($M8*AA$6)*((8/$Y$17)^0.4)*$Y$17,2)</f>
        <v>957.98</v>
      </c>
      <c r="O8" s="48">
        <f>TRUNC(($M8*AB$6)*((8/$Y$17)^0.4)*$Y$17,2)</f>
        <v>1621.86</v>
      </c>
      <c r="P8" s="48">
        <f t="shared" si="3"/>
        <v>2309.69</v>
      </c>
      <c r="Q8" s="48">
        <f t="shared" si="4"/>
        <v>2533.48</v>
      </c>
      <c r="S8" s="31" t="s">
        <v>0</v>
      </c>
      <c r="T8" s="32">
        <v>0.02</v>
      </c>
      <c r="U8" s="19" t="s">
        <v>1</v>
      </c>
      <c r="W8" s="42"/>
      <c r="X8" s="42"/>
    </row>
    <row r="9" spans="1:29" ht="24.95" customHeight="1" x14ac:dyDescent="0.25">
      <c r="A9" s="135"/>
      <c r="B9" s="20" t="s">
        <v>49</v>
      </c>
      <c r="C9" s="19" t="s">
        <v>50</v>
      </c>
      <c r="D9" s="27">
        <v>0.13</v>
      </c>
      <c r="E9" s="49">
        <f t="shared" si="0"/>
        <v>933.45</v>
      </c>
      <c r="F9" s="49">
        <f t="shared" si="0"/>
        <v>1580.26</v>
      </c>
      <c r="G9" s="49">
        <f t="shared" si="1"/>
        <v>2250.5500000000002</v>
      </c>
      <c r="H9" s="49">
        <f t="shared" si="2"/>
        <v>2468.5</v>
      </c>
      <c r="J9" s="135"/>
      <c r="K9" s="45" t="s">
        <v>51</v>
      </c>
      <c r="L9" s="46" t="s">
        <v>52</v>
      </c>
      <c r="M9" s="47">
        <v>0.14099999999999999</v>
      </c>
      <c r="N9" s="48">
        <f>TRUNC(($M9*AA$6)*((8/$Y$18)^0.4)*$Y$18,2)</f>
        <v>292.3</v>
      </c>
      <c r="O9" s="48">
        <f>TRUNC(($M9*AB$6)*((8/$Y$18)^0.4)*$Y$18,2)</f>
        <v>494.86</v>
      </c>
      <c r="P9" s="48">
        <f t="shared" si="3"/>
        <v>704.73</v>
      </c>
      <c r="Q9" s="48">
        <f t="shared" si="4"/>
        <v>773.01</v>
      </c>
      <c r="S9" s="31" t="s">
        <v>2</v>
      </c>
      <c r="T9" s="32">
        <f>1.65%*0.8</f>
        <v>1.3200000000000002E-2</v>
      </c>
      <c r="U9" s="19" t="s">
        <v>3</v>
      </c>
      <c r="W9" s="43"/>
      <c r="X9" s="43"/>
    </row>
    <row r="10" spans="1:29" ht="24.95" customHeight="1" x14ac:dyDescent="0.25">
      <c r="A10" s="135"/>
      <c r="B10" s="45" t="s">
        <v>53</v>
      </c>
      <c r="C10" s="46" t="s">
        <v>54</v>
      </c>
      <c r="D10" s="47">
        <v>0.17</v>
      </c>
      <c r="E10" s="48">
        <f t="shared" si="0"/>
        <v>1220.67</v>
      </c>
      <c r="F10" s="48">
        <f t="shared" si="0"/>
        <v>2066.4899999999998</v>
      </c>
      <c r="G10" s="48">
        <f t="shared" si="1"/>
        <v>2943.03</v>
      </c>
      <c r="H10" s="48">
        <f t="shared" si="2"/>
        <v>3228.03</v>
      </c>
      <c r="J10" s="135" t="s">
        <v>55</v>
      </c>
      <c r="K10" s="45" t="s">
        <v>56</v>
      </c>
      <c r="L10" s="46" t="s">
        <v>57</v>
      </c>
      <c r="M10" s="47">
        <v>0.06</v>
      </c>
      <c r="N10" s="48">
        <f t="shared" si="5"/>
        <v>457.83</v>
      </c>
      <c r="O10" s="48">
        <f t="shared" si="5"/>
        <v>775.1</v>
      </c>
      <c r="P10" s="48">
        <f t="shared" si="3"/>
        <v>1103.82</v>
      </c>
      <c r="Q10" s="48">
        <f t="shared" si="4"/>
        <v>1210.77</v>
      </c>
      <c r="S10" s="31" t="s">
        <v>153</v>
      </c>
      <c r="T10" s="32">
        <f>7.6%*0.8</f>
        <v>6.08E-2</v>
      </c>
      <c r="U10" s="19" t="s">
        <v>4</v>
      </c>
      <c r="W10" s="43"/>
      <c r="X10" s="43"/>
    </row>
    <row r="11" spans="1:29" ht="24.95" customHeight="1" x14ac:dyDescent="0.25">
      <c r="A11" s="135" t="s">
        <v>38</v>
      </c>
      <c r="B11" s="45" t="s">
        <v>58</v>
      </c>
      <c r="C11" s="46" t="s">
        <v>59</v>
      </c>
      <c r="D11" s="47">
        <v>0.09</v>
      </c>
      <c r="E11" s="48">
        <f t="shared" ref="E11:E42" si="6">TRUNC(($D11*AA$6)*((8/$T$17)^0.4)*$T$17,2)</f>
        <v>686.74</v>
      </c>
      <c r="F11" s="48">
        <f t="shared" ref="F11:F42" si="7">TRUNC(($D11*AB$6)*((8/$T$17)^0.4)*$T$17,2)</f>
        <v>1162.6600000000001</v>
      </c>
      <c r="G11" s="48">
        <f t="shared" si="1"/>
        <v>1655.73</v>
      </c>
      <c r="H11" s="48">
        <f t="shared" si="2"/>
        <v>1816.17</v>
      </c>
      <c r="J11" s="135"/>
      <c r="K11" s="45" t="s">
        <v>60</v>
      </c>
      <c r="L11" s="46" t="s">
        <v>61</v>
      </c>
      <c r="M11" s="47">
        <v>0.20399999999999999</v>
      </c>
      <c r="N11" s="48">
        <f t="shared" si="5"/>
        <v>1556.63</v>
      </c>
      <c r="O11" s="48">
        <f t="shared" si="5"/>
        <v>2635.36</v>
      </c>
      <c r="P11" s="48">
        <f t="shared" si="3"/>
        <v>3753.04</v>
      </c>
      <c r="Q11" s="48">
        <f t="shared" si="4"/>
        <v>4116.6499999999996</v>
      </c>
      <c r="S11" s="25" t="s">
        <v>91</v>
      </c>
      <c r="T11" s="29">
        <f>(1+$T$4+$T$5)*(1+$T$6)*(1+$T$7)</f>
        <v>2.4110033112582778</v>
      </c>
      <c r="U11" s="19" t="s">
        <v>5</v>
      </c>
      <c r="W11" s="43"/>
      <c r="X11" s="43"/>
    </row>
    <row r="12" spans="1:29" ht="24.95" customHeight="1" x14ac:dyDescent="0.25">
      <c r="A12" s="135"/>
      <c r="B12" s="20" t="s">
        <v>63</v>
      </c>
      <c r="C12" s="19" t="s">
        <v>64</v>
      </c>
      <c r="D12" s="27">
        <v>0.17</v>
      </c>
      <c r="E12" s="22">
        <f t="shared" si="6"/>
        <v>1297.19</v>
      </c>
      <c r="F12" s="22">
        <f t="shared" si="7"/>
        <v>2196.13</v>
      </c>
      <c r="G12" s="22">
        <f t="shared" si="1"/>
        <v>3127.52</v>
      </c>
      <c r="H12" s="22">
        <f t="shared" si="2"/>
        <v>3430.54</v>
      </c>
      <c r="J12" s="135"/>
      <c r="K12" s="20" t="s">
        <v>65</v>
      </c>
      <c r="L12" s="19" t="s">
        <v>66</v>
      </c>
      <c r="M12" s="27">
        <v>0.09</v>
      </c>
      <c r="N12" s="22">
        <f t="shared" si="5"/>
        <v>686.74</v>
      </c>
      <c r="O12" s="22">
        <f t="shared" si="5"/>
        <v>1162.6600000000001</v>
      </c>
      <c r="P12" s="22">
        <f t="shared" si="3"/>
        <v>1655.73</v>
      </c>
      <c r="Q12" s="22">
        <f t="shared" si="4"/>
        <v>1816.17</v>
      </c>
      <c r="S12" s="25" t="s">
        <v>94</v>
      </c>
      <c r="T12" s="29">
        <f>(1+$T$5)*(1+$T$6)*(1+$T$7)</f>
        <v>1.5620860927152318</v>
      </c>
      <c r="U12" s="19" t="s">
        <v>154</v>
      </c>
    </row>
    <row r="13" spans="1:29" ht="24.95" customHeight="1" x14ac:dyDescent="0.25">
      <c r="A13" s="135"/>
      <c r="B13" s="20" t="s">
        <v>68</v>
      </c>
      <c r="C13" s="19" t="s">
        <v>69</v>
      </c>
      <c r="D13" s="27">
        <v>0.33</v>
      </c>
      <c r="E13" s="22">
        <f t="shared" si="6"/>
        <v>2518.0700000000002</v>
      </c>
      <c r="F13" s="22">
        <f t="shared" si="7"/>
        <v>4263.08</v>
      </c>
      <c r="G13" s="22">
        <f t="shared" si="1"/>
        <v>6071.07</v>
      </c>
      <c r="H13" s="22">
        <f t="shared" si="2"/>
        <v>6659.29</v>
      </c>
      <c r="J13" s="135" t="s">
        <v>70</v>
      </c>
      <c r="K13" s="45" t="s">
        <v>71</v>
      </c>
      <c r="L13" s="46" t="s">
        <v>72</v>
      </c>
      <c r="M13" s="47">
        <v>5.0999999999999997E-2</v>
      </c>
      <c r="N13" s="48">
        <f t="shared" si="5"/>
        <v>389.15</v>
      </c>
      <c r="O13" s="48">
        <f t="shared" si="5"/>
        <v>658.84</v>
      </c>
      <c r="P13" s="48">
        <f t="shared" si="3"/>
        <v>938.24</v>
      </c>
      <c r="Q13" s="48">
        <f t="shared" si="4"/>
        <v>1029.1600000000001</v>
      </c>
      <c r="S13" s="25" t="s">
        <v>6</v>
      </c>
      <c r="T13" s="29">
        <f>(1+$T$6)*(1+$T$7)</f>
        <v>1.2251655629139073</v>
      </c>
      <c r="U13" s="19" t="s">
        <v>7</v>
      </c>
    </row>
    <row r="14" spans="1:29" ht="24.95" customHeight="1" x14ac:dyDescent="0.25">
      <c r="A14" s="135"/>
      <c r="B14" s="45" t="s">
        <v>74</v>
      </c>
      <c r="C14" s="46" t="s">
        <v>75</v>
      </c>
      <c r="D14" s="47">
        <v>0.12</v>
      </c>
      <c r="E14" s="48">
        <f t="shared" si="6"/>
        <v>915.66</v>
      </c>
      <c r="F14" s="48">
        <f t="shared" si="7"/>
        <v>1550.21</v>
      </c>
      <c r="G14" s="48">
        <f t="shared" si="1"/>
        <v>2207.65</v>
      </c>
      <c r="H14" s="48">
        <f t="shared" si="2"/>
        <v>2421.56</v>
      </c>
      <c r="J14" s="135"/>
      <c r="K14" s="45" t="s">
        <v>76</v>
      </c>
      <c r="L14" s="46" t="s">
        <v>77</v>
      </c>
      <c r="M14" s="47">
        <v>5.3999999999999999E-2</v>
      </c>
      <c r="N14" s="48">
        <f t="shared" si="5"/>
        <v>412.04</v>
      </c>
      <c r="O14" s="48">
        <f t="shared" si="5"/>
        <v>697.59</v>
      </c>
      <c r="P14" s="48">
        <f t="shared" si="3"/>
        <v>993.42</v>
      </c>
      <c r="Q14" s="48">
        <f t="shared" si="4"/>
        <v>1089.69</v>
      </c>
    </row>
    <row r="15" spans="1:29" ht="24.95" customHeight="1" x14ac:dyDescent="0.25">
      <c r="A15" s="135"/>
      <c r="B15" s="20" t="s">
        <v>78</v>
      </c>
      <c r="C15" s="19" t="s">
        <v>79</v>
      </c>
      <c r="D15" s="27">
        <v>0.1</v>
      </c>
      <c r="E15" s="22">
        <f t="shared" si="6"/>
        <v>763.05</v>
      </c>
      <c r="F15" s="22">
        <f t="shared" si="7"/>
        <v>1291.8399999999999</v>
      </c>
      <c r="G15" s="22">
        <f t="shared" si="1"/>
        <v>1839.71</v>
      </c>
      <c r="H15" s="22">
        <f t="shared" si="2"/>
        <v>2017.96</v>
      </c>
      <c r="J15" s="19" t="s">
        <v>80</v>
      </c>
      <c r="K15" s="20" t="s">
        <v>81</v>
      </c>
      <c r="L15" s="19" t="s">
        <v>82</v>
      </c>
      <c r="M15" s="27">
        <v>5.3999999999999999E-2</v>
      </c>
      <c r="N15" s="22">
        <f t="shared" si="5"/>
        <v>412.04</v>
      </c>
      <c r="O15" s="22">
        <f t="shared" si="5"/>
        <v>697.59</v>
      </c>
      <c r="P15" s="22">
        <f t="shared" si="3"/>
        <v>993.42</v>
      </c>
      <c r="Q15" s="22">
        <f t="shared" si="4"/>
        <v>1089.69</v>
      </c>
    </row>
    <row r="16" spans="1:29" ht="24.95" customHeight="1" x14ac:dyDescent="0.25">
      <c r="A16" s="135"/>
      <c r="B16" s="45" t="s">
        <v>83</v>
      </c>
      <c r="C16" s="46" t="s">
        <v>84</v>
      </c>
      <c r="D16" s="47">
        <v>0.2</v>
      </c>
      <c r="E16" s="48">
        <f t="shared" si="6"/>
        <v>1526.1</v>
      </c>
      <c r="F16" s="48">
        <f t="shared" si="7"/>
        <v>2583.6799999999998</v>
      </c>
      <c r="G16" s="48">
        <f t="shared" si="1"/>
        <v>3679.43</v>
      </c>
      <c r="H16" s="48">
        <f t="shared" si="2"/>
        <v>4035.93</v>
      </c>
      <c r="J16" s="135" t="s">
        <v>85</v>
      </c>
      <c r="K16" s="45" t="s">
        <v>86</v>
      </c>
      <c r="L16" s="46" t="s">
        <v>87</v>
      </c>
      <c r="M16" s="47">
        <v>0.108</v>
      </c>
      <c r="N16" s="48">
        <f t="shared" si="5"/>
        <v>824.09</v>
      </c>
      <c r="O16" s="48">
        <f t="shared" si="5"/>
        <v>1395.19</v>
      </c>
      <c r="P16" s="48">
        <f t="shared" si="3"/>
        <v>1986.88</v>
      </c>
      <c r="Q16" s="48">
        <f t="shared" si="4"/>
        <v>2179.4</v>
      </c>
      <c r="S16" s="144" t="s">
        <v>164</v>
      </c>
      <c r="T16" s="145"/>
      <c r="U16" s="145"/>
      <c r="X16" s="14" t="s">
        <v>157</v>
      </c>
      <c r="Y16" s="14" t="s">
        <v>156</v>
      </c>
    </row>
    <row r="17" spans="1:25" ht="24.95" customHeight="1" x14ac:dyDescent="0.25">
      <c r="A17" s="135"/>
      <c r="B17" s="45" t="s">
        <v>88</v>
      </c>
      <c r="C17" s="46" t="s">
        <v>89</v>
      </c>
      <c r="D17" s="47">
        <v>0.15</v>
      </c>
      <c r="E17" s="48">
        <f t="shared" si="6"/>
        <v>1144.58</v>
      </c>
      <c r="F17" s="48">
        <f t="shared" si="7"/>
        <v>1937.76</v>
      </c>
      <c r="G17" s="48">
        <f t="shared" si="1"/>
        <v>2759.58</v>
      </c>
      <c r="H17" s="48">
        <f t="shared" si="2"/>
        <v>3026.94</v>
      </c>
      <c r="J17" s="135"/>
      <c r="K17" s="20" t="s">
        <v>90</v>
      </c>
      <c r="L17" s="19" t="s">
        <v>61</v>
      </c>
      <c r="M17" s="27">
        <v>0.192</v>
      </c>
      <c r="N17" s="22">
        <f t="shared" si="5"/>
        <v>1465.06</v>
      </c>
      <c r="O17" s="22">
        <f t="shared" si="5"/>
        <v>2480.34</v>
      </c>
      <c r="P17" s="22">
        <f t="shared" si="3"/>
        <v>3532.26</v>
      </c>
      <c r="Q17" s="22">
        <f t="shared" si="4"/>
        <v>3874.5</v>
      </c>
      <c r="S17" s="15" t="s">
        <v>156</v>
      </c>
      <c r="T17" s="30">
        <f>(T18+0.5*T19+0.25*T20)*T21</f>
        <v>477.23750000000013</v>
      </c>
      <c r="U17" s="17" t="s">
        <v>160</v>
      </c>
      <c r="W17" s="14" t="s">
        <v>200</v>
      </c>
      <c r="X17" s="14">
        <f>292.53+45.75</f>
        <v>338.28</v>
      </c>
      <c r="Y17" s="14">
        <f>X17*T21</f>
        <v>422.85</v>
      </c>
    </row>
    <row r="18" spans="1:25" ht="24.95" customHeight="1" x14ac:dyDescent="0.25">
      <c r="A18" s="135"/>
      <c r="B18" s="45" t="s">
        <v>92</v>
      </c>
      <c r="C18" s="46" t="s">
        <v>93</v>
      </c>
      <c r="D18" s="47">
        <v>0.45</v>
      </c>
      <c r="E18" s="48">
        <f>TRUNC(($D18*AA$6)*((8/$Y$17)^0.4)*$Y$17,2)</f>
        <v>3193.29</v>
      </c>
      <c r="F18" s="48">
        <f>TRUNC(($D18*AB$6)*((8/$Y$17)^0.4)*$Y$17,2)</f>
        <v>5406.22</v>
      </c>
      <c r="G18" s="48">
        <f t="shared" si="1"/>
        <v>7699.03</v>
      </c>
      <c r="H18" s="48">
        <f t="shared" si="2"/>
        <v>8444.98</v>
      </c>
      <c r="J18" s="40" t="s">
        <v>176</v>
      </c>
      <c r="K18" s="20" t="s">
        <v>183</v>
      </c>
      <c r="L18" s="19"/>
      <c r="M18" s="27"/>
      <c r="N18" s="71">
        <f>SUM(N5,N7:N11,N13:N14,N16)</f>
        <v>6888.01</v>
      </c>
      <c r="O18" s="71">
        <f t="shared" ref="O18:Q18" si="8">SUM(O5,O7:O11,O13:O14,O16)</f>
        <v>11661.26</v>
      </c>
      <c r="P18" s="71">
        <f t="shared" si="8"/>
        <v>16606.97</v>
      </c>
      <c r="Q18" s="71">
        <f t="shared" si="8"/>
        <v>18215.84</v>
      </c>
      <c r="S18" s="23" t="s">
        <v>157</v>
      </c>
      <c r="T18" s="21">
        <v>381.79</v>
      </c>
      <c r="U18" s="19" t="s">
        <v>161</v>
      </c>
      <c r="W18" s="14" t="s">
        <v>201</v>
      </c>
      <c r="X18" s="14">
        <f>43.51</f>
        <v>43.51</v>
      </c>
      <c r="Y18" s="14">
        <f>X18*T21</f>
        <v>54.38750000000001</v>
      </c>
    </row>
    <row r="19" spans="1:25" ht="24.95" customHeight="1" x14ac:dyDescent="0.25">
      <c r="A19" s="135"/>
      <c r="B19" s="45" t="s">
        <v>95</v>
      </c>
      <c r="C19" s="46" t="s">
        <v>96</v>
      </c>
      <c r="D19" s="47">
        <v>0.47</v>
      </c>
      <c r="E19" s="48">
        <f>TRUNC(($D19*AA$6)*((8/$Y$18)^0.4)*$Y$18,2)</f>
        <v>974.34</v>
      </c>
      <c r="F19" s="48">
        <f>TRUNC(($D19*AB$6)*((8/$Y$18)^0.4)*$Y$18,2)</f>
        <v>1649.55</v>
      </c>
      <c r="G19" s="48">
        <f t="shared" si="1"/>
        <v>2349.13</v>
      </c>
      <c r="H19" s="48">
        <f t="shared" si="2"/>
        <v>2576.73</v>
      </c>
      <c r="S19" s="23" t="s">
        <v>158</v>
      </c>
      <c r="T19" s="21">
        <v>0</v>
      </c>
      <c r="U19" s="19" t="s">
        <v>162</v>
      </c>
    </row>
    <row r="20" spans="1:25" ht="24.95" customHeight="1" x14ac:dyDescent="0.25">
      <c r="A20" s="135"/>
      <c r="B20" s="45" t="s">
        <v>97</v>
      </c>
      <c r="C20" s="46" t="s">
        <v>98</v>
      </c>
      <c r="D20" s="47">
        <v>0.14000000000000001</v>
      </c>
      <c r="E20" s="48">
        <f t="shared" si="6"/>
        <v>1068.27</v>
      </c>
      <c r="F20" s="48">
        <f t="shared" si="7"/>
        <v>1808.58</v>
      </c>
      <c r="G20" s="48">
        <f t="shared" si="1"/>
        <v>2575.6</v>
      </c>
      <c r="H20" s="48">
        <f t="shared" si="2"/>
        <v>2825.15</v>
      </c>
      <c r="J20" s="137" t="s">
        <v>184</v>
      </c>
      <c r="K20" s="138"/>
      <c r="L20" s="138"/>
      <c r="M20" s="138"/>
      <c r="N20" s="138"/>
      <c r="O20" s="138"/>
      <c r="P20" s="138"/>
      <c r="Q20" s="138"/>
      <c r="S20" s="23" t="s">
        <v>159</v>
      </c>
      <c r="T20" s="21">
        <v>0</v>
      </c>
      <c r="U20" s="19" t="s">
        <v>163</v>
      </c>
    </row>
    <row r="21" spans="1:25" ht="24.95" customHeight="1" x14ac:dyDescent="0.25">
      <c r="A21" s="135" t="s">
        <v>55</v>
      </c>
      <c r="B21" s="45" t="s">
        <v>99</v>
      </c>
      <c r="C21" s="46" t="s">
        <v>100</v>
      </c>
      <c r="D21" s="47">
        <v>0.2</v>
      </c>
      <c r="E21" s="48">
        <f t="shared" si="6"/>
        <v>1526.1</v>
      </c>
      <c r="F21" s="48">
        <f t="shared" si="7"/>
        <v>2583.6799999999998</v>
      </c>
      <c r="G21" s="48">
        <f t="shared" si="1"/>
        <v>3679.43</v>
      </c>
      <c r="H21" s="48">
        <f t="shared" si="2"/>
        <v>4035.93</v>
      </c>
      <c r="J21" s="15" t="s">
        <v>27</v>
      </c>
      <c r="K21" s="16" t="s">
        <v>28</v>
      </c>
      <c r="L21" s="15" t="s">
        <v>29</v>
      </c>
      <c r="M21" s="15" t="s">
        <v>16</v>
      </c>
      <c r="N21" s="15" t="s">
        <v>180</v>
      </c>
      <c r="O21" s="15" t="s">
        <v>175</v>
      </c>
      <c r="P21" s="15" t="s">
        <v>181</v>
      </c>
      <c r="Q21" s="15" t="s">
        <v>182</v>
      </c>
      <c r="S21" s="23" t="s">
        <v>185</v>
      </c>
      <c r="T21" s="21">
        <f>SUM(T24:T27)</f>
        <v>1.2500000000000002</v>
      </c>
      <c r="U21" s="20" t="s">
        <v>186</v>
      </c>
    </row>
    <row r="22" spans="1:25" ht="24.95" customHeight="1" x14ac:dyDescent="0.25">
      <c r="A22" s="135"/>
      <c r="B22" s="45" t="s">
        <v>101</v>
      </c>
      <c r="C22" s="46" t="s">
        <v>102</v>
      </c>
      <c r="D22" s="47">
        <v>0.09</v>
      </c>
      <c r="E22" s="48">
        <f t="shared" si="6"/>
        <v>686.74</v>
      </c>
      <c r="F22" s="48">
        <f t="shared" si="7"/>
        <v>1162.6600000000001</v>
      </c>
      <c r="G22" s="48">
        <f t="shared" si="1"/>
        <v>1655.73</v>
      </c>
      <c r="H22" s="48">
        <f t="shared" si="2"/>
        <v>1816.17</v>
      </c>
      <c r="J22" s="52" t="s">
        <v>147</v>
      </c>
      <c r="K22" s="45" t="s">
        <v>148</v>
      </c>
      <c r="L22" s="46" t="s">
        <v>149</v>
      </c>
      <c r="M22" s="53">
        <v>0.1</v>
      </c>
      <c r="N22" s="48">
        <f t="shared" ref="N22:Q23" si="9">TRUNC(E$47*$M22,2)</f>
        <v>3838.15</v>
      </c>
      <c r="O22" s="48">
        <f t="shared" si="9"/>
        <v>6497.87</v>
      </c>
      <c r="P22" s="48">
        <f t="shared" si="9"/>
        <v>9253.7800000000007</v>
      </c>
      <c r="Q22" s="48">
        <f t="shared" si="9"/>
        <v>10150.219999999999</v>
      </c>
    </row>
    <row r="23" spans="1:25" ht="24.95" customHeight="1" x14ac:dyDescent="0.25">
      <c r="A23" s="135"/>
      <c r="B23" s="45" t="s">
        <v>103</v>
      </c>
      <c r="C23" s="46" t="s">
        <v>104</v>
      </c>
      <c r="D23" s="47">
        <v>0.17</v>
      </c>
      <c r="E23" s="48">
        <f t="shared" si="6"/>
        <v>1297.19</v>
      </c>
      <c r="F23" s="48">
        <f t="shared" si="7"/>
        <v>2196.13</v>
      </c>
      <c r="G23" s="48">
        <f t="shared" si="1"/>
        <v>3127.52</v>
      </c>
      <c r="H23" s="48">
        <f t="shared" si="2"/>
        <v>3430.54</v>
      </c>
      <c r="J23" s="23" t="s">
        <v>151</v>
      </c>
      <c r="K23" s="20" t="s">
        <v>148</v>
      </c>
      <c r="L23" s="19" t="s">
        <v>150</v>
      </c>
      <c r="M23" s="28">
        <v>0.1</v>
      </c>
      <c r="N23" s="22">
        <f t="shared" si="9"/>
        <v>3838.15</v>
      </c>
      <c r="O23" s="22">
        <f t="shared" si="9"/>
        <v>6497.87</v>
      </c>
      <c r="P23" s="22">
        <f t="shared" si="9"/>
        <v>9253.7800000000007</v>
      </c>
      <c r="Q23" s="22">
        <f t="shared" si="9"/>
        <v>10150.219999999999</v>
      </c>
      <c r="S23" s="146" t="s">
        <v>187</v>
      </c>
      <c r="T23" s="30" t="s">
        <v>188</v>
      </c>
      <c r="U23" s="17" t="s">
        <v>189</v>
      </c>
    </row>
    <row r="24" spans="1:25" ht="24.95" customHeight="1" x14ac:dyDescent="0.25">
      <c r="A24" s="135"/>
      <c r="B24" s="45" t="s">
        <v>105</v>
      </c>
      <c r="C24" s="46" t="s">
        <v>106</v>
      </c>
      <c r="D24" s="47">
        <v>0.17</v>
      </c>
      <c r="E24" s="48">
        <f t="shared" si="6"/>
        <v>1297.19</v>
      </c>
      <c r="F24" s="48">
        <f t="shared" si="7"/>
        <v>2196.13</v>
      </c>
      <c r="G24" s="48">
        <f t="shared" si="1"/>
        <v>3127.52</v>
      </c>
      <c r="H24" s="48">
        <f t="shared" si="2"/>
        <v>3430.54</v>
      </c>
      <c r="S24" s="147"/>
      <c r="T24" s="27">
        <v>1.1000000000000001</v>
      </c>
      <c r="U24" s="19" t="s">
        <v>190</v>
      </c>
    </row>
    <row r="25" spans="1:25" ht="24.95" customHeight="1" x14ac:dyDescent="0.25">
      <c r="A25" s="135"/>
      <c r="B25" s="20" t="s">
        <v>107</v>
      </c>
      <c r="C25" s="19" t="s">
        <v>108</v>
      </c>
      <c r="D25" s="27">
        <v>0.17</v>
      </c>
      <c r="E25" s="22">
        <f t="shared" si="6"/>
        <v>1297.19</v>
      </c>
      <c r="F25" s="22">
        <f t="shared" si="7"/>
        <v>2196.13</v>
      </c>
      <c r="G25" s="22">
        <f t="shared" si="1"/>
        <v>3127.52</v>
      </c>
      <c r="H25" s="22">
        <f t="shared" si="2"/>
        <v>3430.54</v>
      </c>
      <c r="S25" s="147"/>
      <c r="T25" s="27">
        <v>0.05</v>
      </c>
      <c r="U25" s="19" t="s">
        <v>191</v>
      </c>
    </row>
    <row r="26" spans="1:25" ht="24.95" customHeight="1" x14ac:dyDescent="0.25">
      <c r="A26" s="135"/>
      <c r="B26" s="20" t="s">
        <v>109</v>
      </c>
      <c r="C26" s="19" t="s">
        <v>110</v>
      </c>
      <c r="D26" s="27">
        <v>0.3</v>
      </c>
      <c r="E26" s="22">
        <f t="shared" si="6"/>
        <v>2289.16</v>
      </c>
      <c r="F26" s="22">
        <f t="shared" si="7"/>
        <v>3875.53</v>
      </c>
      <c r="G26" s="22">
        <f t="shared" si="1"/>
        <v>5519.17</v>
      </c>
      <c r="H26" s="22">
        <f t="shared" si="2"/>
        <v>6053.91</v>
      </c>
      <c r="S26" s="147"/>
      <c r="T26" s="27">
        <v>0.05</v>
      </c>
      <c r="U26" s="19" t="s">
        <v>192</v>
      </c>
    </row>
    <row r="27" spans="1:25" ht="24.95" customHeight="1" x14ac:dyDescent="0.25">
      <c r="A27" s="135" t="s">
        <v>111</v>
      </c>
      <c r="B27" s="45" t="s">
        <v>112</v>
      </c>
      <c r="C27" s="46" t="s">
        <v>113</v>
      </c>
      <c r="D27" s="47">
        <v>0.17</v>
      </c>
      <c r="E27" s="48">
        <f t="shared" si="6"/>
        <v>1297.19</v>
      </c>
      <c r="F27" s="48">
        <f t="shared" si="7"/>
        <v>2196.13</v>
      </c>
      <c r="G27" s="48">
        <f t="shared" si="1"/>
        <v>3127.52</v>
      </c>
      <c r="H27" s="48">
        <f t="shared" si="2"/>
        <v>3430.54</v>
      </c>
      <c r="S27" s="147"/>
      <c r="T27" s="27">
        <v>0.05</v>
      </c>
      <c r="U27" s="19" t="s">
        <v>193</v>
      </c>
    </row>
    <row r="28" spans="1:25" ht="24.95" customHeight="1" x14ac:dyDescent="0.25">
      <c r="A28" s="135"/>
      <c r="B28" s="20" t="s">
        <v>114</v>
      </c>
      <c r="C28" s="19" t="s">
        <v>115</v>
      </c>
      <c r="D28" s="27">
        <v>0.06</v>
      </c>
      <c r="E28" s="22">
        <f t="shared" si="6"/>
        <v>457.83</v>
      </c>
      <c r="F28" s="22">
        <f t="shared" si="7"/>
        <v>775.1</v>
      </c>
      <c r="G28" s="22">
        <f t="shared" si="1"/>
        <v>1103.82</v>
      </c>
      <c r="H28" s="22">
        <f t="shared" si="2"/>
        <v>1210.77</v>
      </c>
      <c r="S28" s="147"/>
      <c r="T28" s="27">
        <v>0.05</v>
      </c>
      <c r="U28" s="19" t="s">
        <v>194</v>
      </c>
    </row>
    <row r="29" spans="1:25" ht="24.95" customHeight="1" x14ac:dyDescent="0.25">
      <c r="A29" s="135"/>
      <c r="B29" s="45" t="s">
        <v>70</v>
      </c>
      <c r="C29" s="46" t="s">
        <v>116</v>
      </c>
      <c r="D29" s="47">
        <v>0.06</v>
      </c>
      <c r="E29" s="48">
        <f t="shared" si="6"/>
        <v>457.83</v>
      </c>
      <c r="F29" s="48">
        <f t="shared" si="7"/>
        <v>775.1</v>
      </c>
      <c r="G29" s="48">
        <f t="shared" si="1"/>
        <v>1103.82</v>
      </c>
      <c r="H29" s="48">
        <f t="shared" si="2"/>
        <v>1210.77</v>
      </c>
      <c r="S29" s="147"/>
      <c r="T29" s="27">
        <v>0.05</v>
      </c>
      <c r="U29" s="19" t="s">
        <v>195</v>
      </c>
    </row>
    <row r="30" spans="1:25" ht="24.95" customHeight="1" x14ac:dyDescent="0.25">
      <c r="A30" s="135"/>
      <c r="B30" s="45" t="s">
        <v>117</v>
      </c>
      <c r="C30" s="46" t="s">
        <v>118</v>
      </c>
      <c r="D30" s="47">
        <v>0.05</v>
      </c>
      <c r="E30" s="48">
        <f t="shared" si="6"/>
        <v>381.52</v>
      </c>
      <c r="F30" s="48">
        <f t="shared" si="7"/>
        <v>645.91999999999996</v>
      </c>
      <c r="G30" s="48">
        <f t="shared" si="1"/>
        <v>919.84</v>
      </c>
      <c r="H30" s="48">
        <f t="shared" si="2"/>
        <v>1008.98</v>
      </c>
      <c r="T30" s="44"/>
    </row>
    <row r="31" spans="1:25" ht="24.95" customHeight="1" x14ac:dyDescent="0.25">
      <c r="A31" s="135"/>
      <c r="B31" s="45" t="s">
        <v>119</v>
      </c>
      <c r="C31" s="46" t="s">
        <v>120</v>
      </c>
      <c r="D31" s="47">
        <v>0.06</v>
      </c>
      <c r="E31" s="48">
        <f t="shared" si="6"/>
        <v>457.83</v>
      </c>
      <c r="F31" s="48">
        <f t="shared" si="7"/>
        <v>775.1</v>
      </c>
      <c r="G31" s="48">
        <f t="shared" si="1"/>
        <v>1103.82</v>
      </c>
      <c r="H31" s="48">
        <f t="shared" si="2"/>
        <v>1210.77</v>
      </c>
    </row>
    <row r="32" spans="1:25" ht="24.95" customHeight="1" x14ac:dyDescent="0.25">
      <c r="A32" s="135" t="s">
        <v>80</v>
      </c>
      <c r="B32" s="45" t="s">
        <v>121</v>
      </c>
      <c r="C32" s="46" t="s">
        <v>122</v>
      </c>
      <c r="D32" s="47">
        <v>0.06</v>
      </c>
      <c r="E32" s="48">
        <f t="shared" si="6"/>
        <v>457.83</v>
      </c>
      <c r="F32" s="48">
        <f t="shared" si="7"/>
        <v>775.1</v>
      </c>
      <c r="G32" s="48">
        <f t="shared" si="1"/>
        <v>1103.82</v>
      </c>
      <c r="H32" s="48">
        <f t="shared" si="2"/>
        <v>1210.77</v>
      </c>
      <c r="O32"/>
    </row>
    <row r="33" spans="1:15" ht="24.95" customHeight="1" x14ac:dyDescent="0.25">
      <c r="A33" s="135"/>
      <c r="B33" s="20" t="s">
        <v>123</v>
      </c>
      <c r="C33" s="19" t="s">
        <v>124</v>
      </c>
      <c r="D33" s="27">
        <v>0.39</v>
      </c>
      <c r="E33" s="49">
        <f t="shared" si="6"/>
        <v>2975.91</v>
      </c>
      <c r="F33" s="49">
        <f t="shared" si="7"/>
        <v>5038.1899999999996</v>
      </c>
      <c r="G33" s="49">
        <f t="shared" si="1"/>
        <v>7174.92</v>
      </c>
      <c r="H33" s="49">
        <f t="shared" si="2"/>
        <v>7870.08</v>
      </c>
      <c r="O33"/>
    </row>
    <row r="34" spans="1:15" ht="24.95" customHeight="1" x14ac:dyDescent="0.25">
      <c r="A34" s="135"/>
      <c r="B34" s="20" t="s">
        <v>125</v>
      </c>
      <c r="C34" s="19" t="s">
        <v>126</v>
      </c>
      <c r="D34" s="27">
        <v>0.16</v>
      </c>
      <c r="E34" s="22">
        <f t="shared" si="6"/>
        <v>1220.8800000000001</v>
      </c>
      <c r="F34" s="22">
        <f t="shared" si="7"/>
        <v>2066.9499999999998</v>
      </c>
      <c r="G34" s="22">
        <f t="shared" si="1"/>
        <v>2943.54</v>
      </c>
      <c r="H34" s="22">
        <f t="shared" si="2"/>
        <v>3228.75</v>
      </c>
      <c r="O34"/>
    </row>
    <row r="35" spans="1:15" ht="24.95" customHeight="1" x14ac:dyDescent="0.25">
      <c r="A35" s="135"/>
      <c r="B35" s="20" t="s">
        <v>127</v>
      </c>
      <c r="C35" s="19" t="s">
        <v>57</v>
      </c>
      <c r="D35" s="27">
        <v>0.16</v>
      </c>
      <c r="E35" s="22">
        <f t="shared" si="6"/>
        <v>1220.8800000000001</v>
      </c>
      <c r="F35" s="22">
        <f t="shared" si="7"/>
        <v>2066.9499999999998</v>
      </c>
      <c r="G35" s="22">
        <f t="shared" si="1"/>
        <v>2943.54</v>
      </c>
      <c r="H35" s="22">
        <f t="shared" si="2"/>
        <v>3228.75</v>
      </c>
      <c r="O35"/>
    </row>
    <row r="36" spans="1:15" ht="24.95" customHeight="1" x14ac:dyDescent="0.25">
      <c r="A36" s="141" t="s">
        <v>85</v>
      </c>
      <c r="B36" s="20" t="s">
        <v>128</v>
      </c>
      <c r="C36" s="19" t="s">
        <v>129</v>
      </c>
      <c r="D36" s="27">
        <v>0.08</v>
      </c>
      <c r="E36" s="22">
        <f t="shared" si="6"/>
        <v>610.44000000000005</v>
      </c>
      <c r="F36" s="22">
        <f t="shared" si="7"/>
        <v>1033.47</v>
      </c>
      <c r="G36" s="22">
        <f t="shared" si="1"/>
        <v>1471.77</v>
      </c>
      <c r="H36" s="22">
        <f t="shared" si="2"/>
        <v>1614.36</v>
      </c>
      <c r="O36"/>
    </row>
    <row r="37" spans="1:15" ht="24.95" customHeight="1" x14ac:dyDescent="0.25">
      <c r="A37" s="142"/>
      <c r="B37" s="20" t="s">
        <v>130</v>
      </c>
      <c r="C37" s="19" t="s">
        <v>131</v>
      </c>
      <c r="D37" s="51">
        <v>0.12</v>
      </c>
      <c r="E37" s="49">
        <f t="shared" si="6"/>
        <v>915.66</v>
      </c>
      <c r="F37" s="49">
        <f t="shared" si="7"/>
        <v>1550.21</v>
      </c>
      <c r="G37" s="49">
        <f t="shared" si="1"/>
        <v>2207.65</v>
      </c>
      <c r="H37" s="49">
        <f t="shared" si="2"/>
        <v>2421.56</v>
      </c>
      <c r="O37"/>
    </row>
    <row r="38" spans="1:15" ht="24.95" customHeight="1" x14ac:dyDescent="0.25">
      <c r="A38" s="142"/>
      <c r="B38" s="20" t="s">
        <v>132</v>
      </c>
      <c r="C38" s="19" t="s">
        <v>133</v>
      </c>
      <c r="D38" s="27">
        <v>0.2</v>
      </c>
      <c r="E38" s="22">
        <f t="shared" si="6"/>
        <v>1526.1</v>
      </c>
      <c r="F38" s="22">
        <f t="shared" si="7"/>
        <v>2583.6799999999998</v>
      </c>
      <c r="G38" s="22">
        <f t="shared" si="1"/>
        <v>3679.43</v>
      </c>
      <c r="H38" s="22">
        <f t="shared" si="2"/>
        <v>4035.93</v>
      </c>
      <c r="O38"/>
    </row>
    <row r="39" spans="1:15" ht="24.95" customHeight="1" x14ac:dyDescent="0.25">
      <c r="A39" s="142"/>
      <c r="B39" s="45" t="s">
        <v>134</v>
      </c>
      <c r="C39" s="46" t="s">
        <v>135</v>
      </c>
      <c r="D39" s="50">
        <v>0.28000000000000003</v>
      </c>
      <c r="E39" s="48">
        <f t="shared" si="6"/>
        <v>2136.5500000000002</v>
      </c>
      <c r="F39" s="48">
        <f t="shared" si="7"/>
        <v>3617.16</v>
      </c>
      <c r="G39" s="48">
        <f t="shared" si="1"/>
        <v>5151.22</v>
      </c>
      <c r="H39" s="48">
        <f t="shared" si="2"/>
        <v>5650.31</v>
      </c>
      <c r="O39"/>
    </row>
    <row r="40" spans="1:15" ht="24.95" customHeight="1" x14ac:dyDescent="0.25">
      <c r="A40" s="142"/>
      <c r="B40" s="20" t="s">
        <v>136</v>
      </c>
      <c r="C40" s="19" t="s">
        <v>137</v>
      </c>
      <c r="D40" s="27">
        <v>0.36</v>
      </c>
      <c r="E40" s="22">
        <f t="shared" si="6"/>
        <v>2746.99</v>
      </c>
      <c r="F40" s="22">
        <f t="shared" si="7"/>
        <v>4650.6400000000003</v>
      </c>
      <c r="G40" s="22">
        <f t="shared" si="1"/>
        <v>6623</v>
      </c>
      <c r="H40" s="22">
        <f t="shared" si="2"/>
        <v>7264.7</v>
      </c>
      <c r="O40"/>
    </row>
    <row r="41" spans="1:15" ht="24.95" customHeight="1" x14ac:dyDescent="0.25">
      <c r="A41" s="142"/>
      <c r="B41" s="20" t="s">
        <v>138</v>
      </c>
      <c r="C41" s="19" t="s">
        <v>139</v>
      </c>
      <c r="D41" s="27">
        <v>0.4</v>
      </c>
      <c r="E41" s="22">
        <f t="shared" si="6"/>
        <v>3052.21</v>
      </c>
      <c r="F41" s="22">
        <f t="shared" si="7"/>
        <v>5167.37</v>
      </c>
      <c r="G41" s="22">
        <f t="shared" si="1"/>
        <v>7358.88</v>
      </c>
      <c r="H41" s="22">
        <f t="shared" si="2"/>
        <v>8071.87</v>
      </c>
      <c r="O41"/>
    </row>
    <row r="42" spans="1:15" ht="24.95" customHeight="1" x14ac:dyDescent="0.25">
      <c r="A42" s="142"/>
      <c r="B42" s="20" t="s">
        <v>140</v>
      </c>
      <c r="C42" s="19" t="s">
        <v>141</v>
      </c>
      <c r="D42" s="27">
        <v>0.64</v>
      </c>
      <c r="E42" s="22">
        <f t="shared" si="6"/>
        <v>4883.54</v>
      </c>
      <c r="F42" s="22">
        <f t="shared" si="7"/>
        <v>8267.7999999999993</v>
      </c>
      <c r="G42" s="22">
        <f t="shared" si="1"/>
        <v>11774.23</v>
      </c>
      <c r="H42" s="22">
        <f t="shared" si="2"/>
        <v>12915.01</v>
      </c>
      <c r="O42"/>
    </row>
    <row r="43" spans="1:15" ht="24.95" customHeight="1" x14ac:dyDescent="0.25">
      <c r="A43" s="142"/>
      <c r="B43" s="45" t="s">
        <v>196</v>
      </c>
      <c r="C43" s="46" t="s">
        <v>197</v>
      </c>
      <c r="D43" s="50">
        <v>50</v>
      </c>
      <c r="E43" s="48">
        <f>$D43*AA$6</f>
        <v>4102.5</v>
      </c>
      <c r="F43" s="48">
        <f>$D43*AB$6</f>
        <v>6945.5</v>
      </c>
      <c r="G43" s="48">
        <f t="shared" si="1"/>
        <v>9891.14</v>
      </c>
      <c r="H43" s="48">
        <f t="shared" si="2"/>
        <v>10849.46</v>
      </c>
      <c r="O43"/>
    </row>
    <row r="44" spans="1:15" ht="24.95" customHeight="1" x14ac:dyDescent="0.25">
      <c r="A44" s="143"/>
      <c r="B44" s="20" t="s">
        <v>198</v>
      </c>
      <c r="C44" s="19" t="s">
        <v>199</v>
      </c>
      <c r="D44" s="51">
        <v>30</v>
      </c>
      <c r="E44" s="49">
        <f>$D44*AA$6</f>
        <v>2461.5</v>
      </c>
      <c r="F44" s="49">
        <f>$D44*AB$6</f>
        <v>4167.3</v>
      </c>
      <c r="G44" s="49">
        <f t="shared" si="1"/>
        <v>5934.68</v>
      </c>
      <c r="H44" s="49">
        <f t="shared" si="2"/>
        <v>6509.68</v>
      </c>
      <c r="O44"/>
    </row>
    <row r="45" spans="1:15" ht="24.95" customHeight="1" x14ac:dyDescent="0.25">
      <c r="A45" s="141" t="s">
        <v>142</v>
      </c>
      <c r="B45" s="45" t="s">
        <v>143</v>
      </c>
      <c r="C45" s="46" t="s">
        <v>144</v>
      </c>
      <c r="D45" s="47">
        <v>0.28000000000000003</v>
      </c>
      <c r="E45" s="48">
        <f>TRUNC(($D45*AA$6)*((8/$T$17)^0.4)*$T$17,2)</f>
        <v>2136.5500000000002</v>
      </c>
      <c r="F45" s="48">
        <f>TRUNC(($D45*AB$6)*((8/$T$17)^0.4)*$T$17,2)</f>
        <v>3617.16</v>
      </c>
      <c r="G45" s="48">
        <f t="shared" si="1"/>
        <v>5151.22</v>
      </c>
      <c r="H45" s="48">
        <f t="shared" si="2"/>
        <v>5650.31</v>
      </c>
      <c r="O45"/>
    </row>
    <row r="46" spans="1:15" ht="24.95" customHeight="1" x14ac:dyDescent="0.25">
      <c r="A46" s="143"/>
      <c r="B46" s="45" t="s">
        <v>145</v>
      </c>
      <c r="C46" s="46" t="s">
        <v>146</v>
      </c>
      <c r="D46" s="47">
        <v>7.0000000000000007E-2</v>
      </c>
      <c r="E46" s="48">
        <f>TRUNC(($D46*AA$5)*((8/$T$17)^0.4)*$T$17,2)</f>
        <v>502.62</v>
      </c>
      <c r="F46" s="48">
        <f>TRUNC(($D46*AB$5)*((8/$T$17)^0.4)*$T$17,2)</f>
        <v>850.9</v>
      </c>
      <c r="G46" s="48">
        <f t="shared" si="1"/>
        <v>1211.81</v>
      </c>
      <c r="H46" s="48">
        <f t="shared" si="2"/>
        <v>1329.17</v>
      </c>
      <c r="O46"/>
    </row>
    <row r="47" spans="1:15" ht="24.95" customHeight="1" x14ac:dyDescent="0.25">
      <c r="A47" s="40" t="s">
        <v>176</v>
      </c>
      <c r="B47" s="20" t="s">
        <v>183</v>
      </c>
      <c r="C47" s="19"/>
      <c r="D47" s="27"/>
      <c r="E47" s="70">
        <f>SUM(E6:E8,E10:E11,E14,E16:E24,E27,E29:E32,E39,E43,E45:E46)</f>
        <v>38381.530000000006</v>
      </c>
      <c r="F47" s="70">
        <f t="shared" ref="F47:H47" si="10">SUM(F6:F8,F10:F11,F14,F16:F24,F27,F29:F32,F39,F43,F45:F46)</f>
        <v>64978.71</v>
      </c>
      <c r="G47" s="70">
        <f t="shared" si="10"/>
        <v>92537.85</v>
      </c>
      <c r="H47" s="70">
        <f t="shared" si="10"/>
        <v>101502.21999999999</v>
      </c>
      <c r="O47"/>
    </row>
    <row r="48" spans="1:15" x14ac:dyDescent="0.25">
      <c r="B48" s="38"/>
      <c r="E48" s="39"/>
      <c r="F48" s="39"/>
      <c r="G48" s="39"/>
      <c r="H48" s="39"/>
    </row>
    <row r="49" spans="5:8" x14ac:dyDescent="0.25">
      <c r="E49" s="39"/>
      <c r="F49" s="39"/>
      <c r="G49" s="39"/>
      <c r="H49" s="39"/>
    </row>
  </sheetData>
  <mergeCells count="19">
    <mergeCell ref="A32:A35"/>
    <mergeCell ref="A36:A44"/>
    <mergeCell ref="A45:A46"/>
    <mergeCell ref="J16:J17"/>
    <mergeCell ref="S16:U16"/>
    <mergeCell ref="J20:Q20"/>
    <mergeCell ref="A21:A26"/>
    <mergeCell ref="S23:S29"/>
    <mergeCell ref="A27:A31"/>
    <mergeCell ref="A1:F1"/>
    <mergeCell ref="A3:H3"/>
    <mergeCell ref="J3:Q3"/>
    <mergeCell ref="S3:U3"/>
    <mergeCell ref="W3:AB3"/>
    <mergeCell ref="A5:A10"/>
    <mergeCell ref="J6:J9"/>
    <mergeCell ref="J10:J12"/>
    <mergeCell ref="A11:A20"/>
    <mergeCell ref="J13:J14"/>
  </mergeCells>
  <pageMargins left="0.511811024" right="0.511811024" top="0.78740157499999996" bottom="0.78740157499999996" header="0.31496062000000002" footer="0.31496062000000002"/>
  <pageSetup paperSize="9"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25"/>
  <sheetViews>
    <sheetView showWhiteSpace="0" workbookViewId="0">
      <selection activeCell="G21" sqref="G21"/>
    </sheetView>
  </sheetViews>
  <sheetFormatPr defaultRowHeight="14.25" x14ac:dyDescent="0.2"/>
  <cols>
    <col min="1" max="1" width="6.7109375" style="54" customWidth="1"/>
    <col min="2" max="3" width="10.7109375" style="54" customWidth="1"/>
    <col min="4" max="4" width="71.140625" style="54" customWidth="1"/>
    <col min="5" max="5" width="5.7109375" style="54" bestFit="1" customWidth="1"/>
    <col min="6" max="6" width="11.42578125" style="54" bestFit="1" customWidth="1"/>
    <col min="7" max="7" width="71.5703125" style="54" customWidth="1"/>
    <col min="8" max="16384" width="9.140625" style="54"/>
  </cols>
  <sheetData>
    <row r="1" spans="1:7" ht="15" customHeight="1" x14ac:dyDescent="0.2">
      <c r="A1" s="126" t="s">
        <v>228</v>
      </c>
      <c r="B1" s="126"/>
      <c r="C1" s="65"/>
      <c r="D1" s="65" t="s">
        <v>8</v>
      </c>
      <c r="E1" s="126"/>
      <c r="F1" s="126"/>
      <c r="G1" s="126"/>
    </row>
    <row r="2" spans="1:7" ht="14.25" customHeight="1" x14ac:dyDescent="0.2">
      <c r="A2" s="66">
        <v>46113</v>
      </c>
      <c r="B2" s="64"/>
      <c r="C2" s="64"/>
      <c r="D2" s="129" t="s">
        <v>224</v>
      </c>
      <c r="E2" s="129"/>
      <c r="F2" s="129"/>
      <c r="G2" s="129"/>
    </row>
    <row r="3" spans="1:7" x14ac:dyDescent="0.2">
      <c r="A3" s="66"/>
      <c r="B3" s="64"/>
      <c r="C3" s="64"/>
      <c r="D3" s="129"/>
      <c r="E3" s="129"/>
      <c r="F3" s="129"/>
      <c r="G3" s="129"/>
    </row>
    <row r="4" spans="1:7" x14ac:dyDescent="0.2">
      <c r="A4" s="66"/>
      <c r="B4" s="64"/>
      <c r="C4" s="64"/>
      <c r="D4" s="129"/>
      <c r="E4" s="129"/>
      <c r="F4" s="129"/>
      <c r="G4" s="129"/>
    </row>
    <row r="5" spans="1:7" x14ac:dyDescent="0.2">
      <c r="A5" s="66"/>
      <c r="B5" s="64"/>
      <c r="C5" s="64"/>
      <c r="D5" s="64"/>
      <c r="E5" s="64"/>
      <c r="F5" s="64"/>
      <c r="G5" s="64"/>
    </row>
    <row r="6" spans="1:7" ht="15" x14ac:dyDescent="0.25">
      <c r="A6" s="127" t="s">
        <v>262</v>
      </c>
      <c r="B6" s="128"/>
      <c r="C6" s="128"/>
      <c r="D6" s="128"/>
      <c r="E6" s="128"/>
      <c r="F6" s="128"/>
      <c r="G6" s="128"/>
    </row>
    <row r="7" spans="1:7" ht="15" customHeight="1" x14ac:dyDescent="0.2">
      <c r="A7" s="130" t="s">
        <v>9</v>
      </c>
      <c r="B7" s="131" t="s">
        <v>169</v>
      </c>
      <c r="C7" s="130" t="s">
        <v>168</v>
      </c>
      <c r="D7" s="130" t="s">
        <v>10</v>
      </c>
      <c r="E7" s="134" t="s">
        <v>223</v>
      </c>
      <c r="F7" s="131" t="s">
        <v>222</v>
      </c>
      <c r="G7" s="130" t="s">
        <v>249</v>
      </c>
    </row>
    <row r="8" spans="1:7" ht="15" customHeight="1" x14ac:dyDescent="0.2">
      <c r="A8" s="131"/>
      <c r="B8" s="131"/>
      <c r="C8" s="131"/>
      <c r="D8" s="131"/>
      <c r="E8" s="131"/>
      <c r="F8" s="131"/>
      <c r="G8" s="131"/>
    </row>
    <row r="9" spans="1:7" ht="24" customHeight="1" x14ac:dyDescent="0.2">
      <c r="A9" s="77">
        <v>1</v>
      </c>
      <c r="B9" s="77"/>
      <c r="C9" s="77"/>
      <c r="D9" s="77" t="s">
        <v>221</v>
      </c>
      <c r="E9" s="77"/>
      <c r="F9" s="78"/>
      <c r="G9" s="77" t="s">
        <v>221</v>
      </c>
    </row>
    <row r="10" spans="1:7" x14ac:dyDescent="0.2">
      <c r="A10" s="63" t="s">
        <v>234</v>
      </c>
      <c r="B10" s="73">
        <v>90781</v>
      </c>
      <c r="C10" s="63" t="s">
        <v>219</v>
      </c>
      <c r="D10" s="63" t="s">
        <v>220</v>
      </c>
      <c r="E10" s="62" t="s">
        <v>217</v>
      </c>
      <c r="F10" s="68">
        <f>3*8</f>
        <v>24</v>
      </c>
      <c r="G10" s="63" t="s">
        <v>250</v>
      </c>
    </row>
    <row r="11" spans="1:7" x14ac:dyDescent="0.2">
      <c r="A11" s="63" t="s">
        <v>26</v>
      </c>
      <c r="B11" s="73">
        <v>88253</v>
      </c>
      <c r="C11" s="63" t="s">
        <v>219</v>
      </c>
      <c r="D11" s="63" t="s">
        <v>218</v>
      </c>
      <c r="E11" s="62" t="s">
        <v>217</v>
      </c>
      <c r="F11" s="68">
        <f>8*4</f>
        <v>32</v>
      </c>
      <c r="G11" s="63" t="s">
        <v>251</v>
      </c>
    </row>
    <row r="12" spans="1:7" x14ac:dyDescent="0.2">
      <c r="A12" s="63" t="s">
        <v>235</v>
      </c>
      <c r="B12" s="73">
        <v>569</v>
      </c>
      <c r="C12" s="63" t="s">
        <v>212</v>
      </c>
      <c r="D12" s="63" t="s">
        <v>216</v>
      </c>
      <c r="E12" s="62" t="s">
        <v>215</v>
      </c>
      <c r="F12" s="68">
        <f>(2/30)*1.5</f>
        <v>0.1</v>
      </c>
      <c r="G12" s="63" t="s">
        <v>252</v>
      </c>
    </row>
    <row r="13" spans="1:7" x14ac:dyDescent="0.2">
      <c r="A13" s="60" t="s">
        <v>236</v>
      </c>
      <c r="B13" s="74">
        <v>39902</v>
      </c>
      <c r="C13" s="60" t="s">
        <v>212</v>
      </c>
      <c r="D13" s="60" t="s">
        <v>214</v>
      </c>
      <c r="E13" s="59" t="s">
        <v>213</v>
      </c>
      <c r="F13" s="69">
        <f>5*15</f>
        <v>75</v>
      </c>
      <c r="G13" s="60" t="s">
        <v>253</v>
      </c>
    </row>
    <row r="14" spans="1:7" ht="25.5" x14ac:dyDescent="0.2">
      <c r="A14" s="60" t="s">
        <v>237</v>
      </c>
      <c r="B14" s="74">
        <v>42245</v>
      </c>
      <c r="C14" s="60" t="s">
        <v>212</v>
      </c>
      <c r="D14" s="60" t="s">
        <v>211</v>
      </c>
      <c r="E14" s="59" t="s">
        <v>210</v>
      </c>
      <c r="F14" s="69">
        <v>1</v>
      </c>
      <c r="G14" s="60"/>
    </row>
    <row r="15" spans="1:7" x14ac:dyDescent="0.2">
      <c r="A15" s="60" t="s">
        <v>238</v>
      </c>
      <c r="B15" s="74">
        <v>14810</v>
      </c>
      <c r="C15" s="60" t="s">
        <v>209</v>
      </c>
      <c r="D15" s="60" t="s">
        <v>208</v>
      </c>
      <c r="E15" s="59" t="s">
        <v>207</v>
      </c>
      <c r="F15" s="69">
        <v>63.63</v>
      </c>
      <c r="G15" s="60" t="s">
        <v>254</v>
      </c>
    </row>
    <row r="16" spans="1:7" ht="24" customHeight="1" x14ac:dyDescent="0.2">
      <c r="A16" s="77">
        <v>2</v>
      </c>
      <c r="B16" s="77"/>
      <c r="C16" s="77"/>
      <c r="D16" s="77" t="s">
        <v>229</v>
      </c>
      <c r="E16" s="77"/>
      <c r="F16" s="78"/>
      <c r="G16" s="77" t="s">
        <v>229</v>
      </c>
    </row>
    <row r="17" spans="1:7" x14ac:dyDescent="0.2">
      <c r="A17" s="63" t="s">
        <v>17</v>
      </c>
      <c r="B17" s="73" t="s">
        <v>240</v>
      </c>
      <c r="C17" s="63" t="s">
        <v>239</v>
      </c>
      <c r="D17" s="63" t="s">
        <v>243</v>
      </c>
      <c r="E17" s="62" t="s">
        <v>210</v>
      </c>
      <c r="F17" s="68">
        <v>1</v>
      </c>
      <c r="G17" s="63" t="s">
        <v>255</v>
      </c>
    </row>
    <row r="18" spans="1:7" x14ac:dyDescent="0.2">
      <c r="A18" s="63" t="s">
        <v>18</v>
      </c>
      <c r="B18" s="73" t="s">
        <v>241</v>
      </c>
      <c r="C18" s="63" t="s">
        <v>239</v>
      </c>
      <c r="D18" s="63" t="s">
        <v>244</v>
      </c>
      <c r="E18" s="62" t="s">
        <v>210</v>
      </c>
      <c r="F18" s="68">
        <v>1</v>
      </c>
      <c r="G18" s="63" t="s">
        <v>255</v>
      </c>
    </row>
    <row r="19" spans="1:7" x14ac:dyDescent="0.2">
      <c r="A19" s="63" t="s">
        <v>233</v>
      </c>
      <c r="B19" s="73" t="s">
        <v>242</v>
      </c>
      <c r="C19" s="63" t="s">
        <v>239</v>
      </c>
      <c r="D19" s="63" t="s">
        <v>245</v>
      </c>
      <c r="E19" s="62" t="s">
        <v>210</v>
      </c>
      <c r="F19" s="68">
        <v>1</v>
      </c>
      <c r="G19" s="63" t="s">
        <v>255</v>
      </c>
    </row>
    <row r="20" spans="1:7" x14ac:dyDescent="0.2">
      <c r="A20" s="77">
        <v>3</v>
      </c>
      <c r="B20" s="77"/>
      <c r="C20" s="77"/>
      <c r="D20" s="77" t="s">
        <v>246</v>
      </c>
      <c r="E20" s="77"/>
      <c r="F20" s="78"/>
      <c r="G20" s="77" t="s">
        <v>246</v>
      </c>
    </row>
    <row r="21" spans="1:7" ht="109.5" customHeight="1" x14ac:dyDescent="0.2">
      <c r="A21" s="63" t="s">
        <v>20</v>
      </c>
      <c r="B21" s="73">
        <v>93571</v>
      </c>
      <c r="C21" s="63" t="s">
        <v>219</v>
      </c>
      <c r="D21" s="63" t="s">
        <v>247</v>
      </c>
      <c r="E21" s="62" t="s">
        <v>215</v>
      </c>
      <c r="F21" s="68">
        <f>(((4*4)+8)/200)*8</f>
        <v>0.96</v>
      </c>
      <c r="G21" s="63" t="s">
        <v>264</v>
      </c>
    </row>
    <row r="22" spans="1:7" x14ac:dyDescent="0.2">
      <c r="A22" s="57"/>
      <c r="B22" s="57"/>
      <c r="C22" s="57"/>
      <c r="D22" s="57"/>
      <c r="E22" s="57"/>
      <c r="F22" s="57"/>
      <c r="G22" s="57"/>
    </row>
    <row r="23" spans="1:7" x14ac:dyDescent="0.2">
      <c r="A23" s="133"/>
      <c r="B23" s="133"/>
      <c r="C23" s="133"/>
      <c r="D23" s="56"/>
      <c r="E23" s="57"/>
      <c r="F23" s="57"/>
      <c r="G23" s="56"/>
    </row>
    <row r="24" spans="1:7" ht="60" customHeight="1" x14ac:dyDescent="0.2">
      <c r="A24" s="55"/>
      <c r="B24" s="55"/>
      <c r="C24" s="55"/>
      <c r="D24" s="55"/>
      <c r="E24" s="55"/>
      <c r="F24" s="55"/>
      <c r="G24" s="55"/>
    </row>
    <row r="25" spans="1:7" ht="69.95" customHeight="1" x14ac:dyDescent="0.2">
      <c r="A25" s="132"/>
      <c r="B25" s="128"/>
      <c r="C25" s="128"/>
      <c r="D25" s="128"/>
      <c r="E25" s="128"/>
      <c r="F25" s="128"/>
      <c r="G25" s="128"/>
    </row>
  </sheetData>
  <mergeCells count="17">
    <mergeCell ref="A1:B1"/>
    <mergeCell ref="E1:G1"/>
    <mergeCell ref="D2:D4"/>
    <mergeCell ref="E2:F2"/>
    <mergeCell ref="E3:F3"/>
    <mergeCell ref="E4:F4"/>
    <mergeCell ref="A23:C23"/>
    <mergeCell ref="A25:G25"/>
    <mergeCell ref="G2:G4"/>
    <mergeCell ref="A6:G6"/>
    <mergeCell ref="A7:A8"/>
    <mergeCell ref="B7:B8"/>
    <mergeCell ref="C7:C8"/>
    <mergeCell ref="D7:D8"/>
    <mergeCell ref="E7:E8"/>
    <mergeCell ref="F7:F8"/>
    <mergeCell ref="G7:G8"/>
  </mergeCells>
  <pageMargins left="0.5" right="0.5" top="1" bottom="1" header="0.5" footer="0.5"/>
  <pageSetup paperSize="9" fitToHeight="0" orientation="landscape"/>
  <headerFooter>
    <oddHeader>&amp;L &amp;C &amp;R</oddHeader>
    <oddFooter>&amp;L &amp;C 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35"/>
  <sheetViews>
    <sheetView workbookViewId="0">
      <selection activeCell="F44" sqref="F44"/>
    </sheetView>
  </sheetViews>
  <sheetFormatPr defaultRowHeight="15" x14ac:dyDescent="0.25"/>
  <cols>
    <col min="1" max="1" width="24.42578125" bestFit="1" customWidth="1"/>
    <col min="2" max="2" width="24.7109375" customWidth="1"/>
    <col min="3" max="3" width="16" customWidth="1"/>
    <col min="4" max="14" width="16.7109375" customWidth="1"/>
    <col min="15" max="15" width="13.28515625" bestFit="1" customWidth="1"/>
  </cols>
  <sheetData>
    <row r="1" spans="1:15" s="54" customFormat="1" ht="15" customHeight="1" x14ac:dyDescent="0.2">
      <c r="A1" s="86" t="s">
        <v>228</v>
      </c>
      <c r="B1" s="126" t="s">
        <v>8</v>
      </c>
      <c r="C1" s="126"/>
      <c r="D1" s="126"/>
      <c r="E1" s="126"/>
      <c r="F1" s="126"/>
      <c r="G1" s="126"/>
      <c r="H1" s="126"/>
      <c r="I1" s="126"/>
      <c r="J1" s="126"/>
      <c r="K1" s="126"/>
      <c r="L1" s="86"/>
      <c r="M1" s="86"/>
      <c r="N1" s="86"/>
    </row>
    <row r="2" spans="1:15" s="54" customFormat="1" ht="14.25" customHeight="1" x14ac:dyDescent="0.2">
      <c r="A2" s="66">
        <v>46113</v>
      </c>
      <c r="B2" s="129" t="s">
        <v>224</v>
      </c>
      <c r="C2" s="129"/>
      <c r="D2" s="129"/>
      <c r="E2" s="129"/>
      <c r="F2" s="129"/>
      <c r="G2" s="129"/>
      <c r="H2" s="64"/>
      <c r="I2" s="64"/>
      <c r="J2" s="64"/>
      <c r="K2" s="64"/>
      <c r="L2" s="67"/>
      <c r="M2" s="86"/>
      <c r="N2" s="86"/>
    </row>
    <row r="3" spans="1:15" s="54" customFormat="1" x14ac:dyDescent="0.2">
      <c r="A3" s="66"/>
      <c r="B3" s="126"/>
      <c r="C3" s="126"/>
      <c r="D3" s="126"/>
      <c r="E3" s="126"/>
      <c r="F3" s="126"/>
      <c r="G3" s="126"/>
      <c r="H3" s="126"/>
      <c r="I3" s="126"/>
      <c r="J3" s="126"/>
      <c r="K3" s="126"/>
      <c r="M3" s="86"/>
      <c r="N3" s="86"/>
    </row>
    <row r="4" spans="1:15" s="54" customFormat="1" x14ac:dyDescent="0.2">
      <c r="A4" s="66"/>
      <c r="B4" s="86"/>
      <c r="C4" s="86"/>
      <c r="D4" s="86"/>
      <c r="E4" s="86"/>
      <c r="F4" s="86"/>
      <c r="G4" s="86"/>
      <c r="H4" s="86"/>
      <c r="I4" s="86"/>
      <c r="J4" s="86"/>
      <c r="K4" s="86"/>
      <c r="L4" s="86"/>
      <c r="M4" s="86"/>
      <c r="N4" s="86"/>
    </row>
    <row r="5" spans="1:15" s="54" customFormat="1" x14ac:dyDescent="0.2">
      <c r="A5" s="66"/>
      <c r="B5" s="64"/>
      <c r="C5" s="64"/>
      <c r="D5" s="64"/>
      <c r="E5" s="64"/>
      <c r="F5" s="64"/>
      <c r="G5" s="67"/>
      <c r="H5" s="64"/>
      <c r="I5" s="67"/>
      <c r="J5" s="86"/>
      <c r="K5" s="86"/>
      <c r="L5" s="67"/>
      <c r="M5" s="86"/>
      <c r="N5" s="86"/>
    </row>
    <row r="6" spans="1:15" s="54" customFormat="1" x14ac:dyDescent="0.25">
      <c r="A6" s="127" t="s">
        <v>261</v>
      </c>
      <c r="B6" s="128"/>
      <c r="C6" s="128"/>
      <c r="D6" s="128"/>
      <c r="E6" s="128"/>
      <c r="F6" s="128"/>
      <c r="G6" s="128"/>
      <c r="H6" s="128"/>
      <c r="I6" s="128"/>
      <c r="J6" s="86"/>
      <c r="K6" s="86"/>
      <c r="M6" s="86"/>
      <c r="N6" s="86"/>
    </row>
    <row r="7" spans="1:15" ht="15" customHeight="1" x14ac:dyDescent="0.25">
      <c r="A7" s="149" t="s">
        <v>9</v>
      </c>
      <c r="B7" s="148" t="s">
        <v>10</v>
      </c>
      <c r="C7" s="148" t="s">
        <v>265</v>
      </c>
      <c r="D7" s="150" t="s">
        <v>258</v>
      </c>
      <c r="E7" s="150"/>
      <c r="F7" s="151"/>
      <c r="G7" s="152" t="s">
        <v>271</v>
      </c>
      <c r="H7" s="150"/>
      <c r="I7" s="150"/>
      <c r="J7" s="150"/>
      <c r="K7" s="150"/>
      <c r="L7" s="150"/>
      <c r="M7" s="150"/>
      <c r="N7" s="153"/>
    </row>
    <row r="8" spans="1:15" ht="15" customHeight="1" x14ac:dyDescent="0.25">
      <c r="A8" s="149"/>
      <c r="B8" s="148"/>
      <c r="C8" s="148"/>
      <c r="D8" s="106" t="s">
        <v>266</v>
      </c>
      <c r="E8" s="81" t="s">
        <v>267</v>
      </c>
      <c r="F8" s="80" t="s">
        <v>268</v>
      </c>
      <c r="G8" s="80">
        <v>1</v>
      </c>
      <c r="H8" s="80">
        <v>2</v>
      </c>
      <c r="I8" s="80">
        <v>3</v>
      </c>
      <c r="J8" s="80">
        <v>4</v>
      </c>
      <c r="K8" s="82">
        <v>5</v>
      </c>
      <c r="L8" s="80">
        <v>6</v>
      </c>
      <c r="M8" s="80">
        <v>7</v>
      </c>
      <c r="N8" s="82">
        <v>8</v>
      </c>
    </row>
    <row r="9" spans="1:15" ht="15" customHeight="1" x14ac:dyDescent="0.25">
      <c r="A9" s="156">
        <v>1</v>
      </c>
      <c r="B9" s="154" t="s">
        <v>257</v>
      </c>
      <c r="C9" s="103">
        <v>0.2</v>
      </c>
      <c r="D9" s="97">
        <v>1</v>
      </c>
      <c r="E9" s="83"/>
      <c r="F9" s="84"/>
      <c r="G9" s="116"/>
      <c r="H9" s="117"/>
      <c r="I9" s="117"/>
      <c r="J9" s="117"/>
      <c r="K9" s="117"/>
      <c r="L9" s="117"/>
      <c r="M9" s="117"/>
      <c r="N9" s="117"/>
      <c r="O9" s="110"/>
    </row>
    <row r="10" spans="1:15" ht="15" customHeight="1" x14ac:dyDescent="0.25">
      <c r="A10" s="157"/>
      <c r="B10" s="155"/>
      <c r="C10" s="95">
        <f>C9*$C$18</f>
        <v>35817.542000000009</v>
      </c>
      <c r="D10" s="98">
        <f>D9*$C10</f>
        <v>35817.542000000009</v>
      </c>
      <c r="E10" s="89"/>
      <c r="F10" s="90"/>
      <c r="G10" s="98"/>
      <c r="H10" s="89"/>
      <c r="I10" s="89"/>
      <c r="J10" s="89"/>
      <c r="K10" s="89"/>
      <c r="L10" s="89"/>
      <c r="M10" s="89"/>
      <c r="N10" s="89"/>
      <c r="O10" s="111"/>
    </row>
    <row r="11" spans="1:15" ht="15" customHeight="1" x14ac:dyDescent="0.25">
      <c r="A11" s="159">
        <v>2</v>
      </c>
      <c r="B11" s="158" t="s">
        <v>260</v>
      </c>
      <c r="C11" s="103">
        <v>0.4</v>
      </c>
      <c r="D11" s="99"/>
      <c r="E11" s="85">
        <v>1</v>
      </c>
      <c r="F11" s="84"/>
      <c r="G11" s="116"/>
      <c r="H11" s="117"/>
      <c r="I11" s="117"/>
      <c r="J11" s="117"/>
      <c r="K11" s="117"/>
      <c r="L11" s="117"/>
      <c r="M11" s="117"/>
      <c r="N11" s="117"/>
      <c r="O11" s="110"/>
    </row>
    <row r="12" spans="1:15" ht="15" customHeight="1" x14ac:dyDescent="0.25">
      <c r="A12" s="159"/>
      <c r="B12" s="158"/>
      <c r="C12" s="95">
        <f>C11*$C$18</f>
        <v>71635.084000000017</v>
      </c>
      <c r="D12" s="98"/>
      <c r="E12" s="89">
        <f>E11*$C12</f>
        <v>71635.084000000017</v>
      </c>
      <c r="F12" s="90"/>
      <c r="G12" s="98"/>
      <c r="H12" s="89"/>
      <c r="I12" s="89"/>
      <c r="J12" s="89"/>
      <c r="K12" s="89"/>
      <c r="L12" s="89"/>
      <c r="M12" s="89"/>
      <c r="N12" s="89"/>
      <c r="O12" s="111"/>
    </row>
    <row r="13" spans="1:15" ht="15" customHeight="1" x14ac:dyDescent="0.25">
      <c r="A13" s="159">
        <v>3</v>
      </c>
      <c r="B13" s="158" t="s">
        <v>256</v>
      </c>
      <c r="C13" s="103">
        <v>0.15</v>
      </c>
      <c r="D13" s="99"/>
      <c r="E13" s="83"/>
      <c r="F13" s="109">
        <v>1</v>
      </c>
      <c r="G13" s="116"/>
      <c r="H13" s="117"/>
      <c r="I13" s="117"/>
      <c r="J13" s="117"/>
      <c r="K13" s="117"/>
      <c r="L13" s="117"/>
      <c r="M13" s="117"/>
      <c r="N13" s="117"/>
      <c r="O13" s="110"/>
    </row>
    <row r="14" spans="1:15" ht="15" customHeight="1" x14ac:dyDescent="0.25">
      <c r="A14" s="159"/>
      <c r="B14" s="158"/>
      <c r="C14" s="95">
        <f>C13*$C$18</f>
        <v>26863.156500000001</v>
      </c>
      <c r="D14" s="98"/>
      <c r="E14" s="89"/>
      <c r="F14" s="90">
        <f>F13*$C14</f>
        <v>26863.156500000001</v>
      </c>
      <c r="G14" s="98"/>
      <c r="H14" s="89"/>
      <c r="I14" s="89"/>
      <c r="J14" s="89"/>
      <c r="K14" s="89"/>
      <c r="L14" s="89"/>
      <c r="M14" s="89"/>
      <c r="N14" s="89"/>
      <c r="O14" s="111"/>
    </row>
    <row r="15" spans="1:15" ht="15" customHeight="1" x14ac:dyDescent="0.25">
      <c r="A15" s="159">
        <v>4</v>
      </c>
      <c r="B15" s="158" t="s">
        <v>259</v>
      </c>
      <c r="C15" s="103">
        <v>0.25</v>
      </c>
      <c r="D15" s="99"/>
      <c r="E15" s="83"/>
      <c r="F15" s="84"/>
      <c r="G15" s="118">
        <v>0.1</v>
      </c>
      <c r="H15" s="119">
        <v>0.1</v>
      </c>
      <c r="I15" s="119">
        <v>0.1</v>
      </c>
      <c r="J15" s="119">
        <v>0.1</v>
      </c>
      <c r="K15" s="119">
        <v>0.1</v>
      </c>
      <c r="L15" s="119">
        <v>0.1</v>
      </c>
      <c r="M15" s="119">
        <v>0.1</v>
      </c>
      <c r="N15" s="119">
        <v>0.3</v>
      </c>
      <c r="O15" s="110"/>
    </row>
    <row r="16" spans="1:15" ht="15" customHeight="1" thickBot="1" x14ac:dyDescent="0.3">
      <c r="A16" s="156"/>
      <c r="B16" s="154"/>
      <c r="C16" s="96">
        <f>C15*$C$18</f>
        <v>44771.927500000005</v>
      </c>
      <c r="D16" s="100"/>
      <c r="E16" s="93"/>
      <c r="F16" s="94"/>
      <c r="G16" s="100">
        <f>G15*$C$16</f>
        <v>4477.1927500000011</v>
      </c>
      <c r="H16" s="93">
        <f>H15*$C$16</f>
        <v>4477.1927500000011</v>
      </c>
      <c r="I16" s="93">
        <f t="shared" ref="I16:N16" si="0">I15*$C$16</f>
        <v>4477.1927500000011</v>
      </c>
      <c r="J16" s="93">
        <f t="shared" si="0"/>
        <v>4477.1927500000011</v>
      </c>
      <c r="K16" s="93">
        <f t="shared" si="0"/>
        <v>4477.1927500000011</v>
      </c>
      <c r="L16" s="93">
        <f t="shared" si="0"/>
        <v>4477.1927500000011</v>
      </c>
      <c r="M16" s="93">
        <f t="shared" si="0"/>
        <v>4477.1927500000011</v>
      </c>
      <c r="N16" s="93">
        <f t="shared" si="0"/>
        <v>13431.57825</v>
      </c>
      <c r="O16" s="111"/>
    </row>
    <row r="17" spans="1:14" ht="15" customHeight="1" x14ac:dyDescent="0.25">
      <c r="A17" s="164" t="s">
        <v>11</v>
      </c>
      <c r="B17" s="165"/>
      <c r="C17" s="104">
        <v>1</v>
      </c>
      <c r="D17" s="112">
        <f>D18/$C$18</f>
        <v>0.2</v>
      </c>
      <c r="E17" s="113">
        <f t="shared" ref="E17:N17" si="1">E18/$C$18</f>
        <v>0.4</v>
      </c>
      <c r="F17" s="114">
        <f t="shared" si="1"/>
        <v>0.15</v>
      </c>
      <c r="G17" s="112">
        <f t="shared" si="1"/>
        <v>2.5000000000000001E-2</v>
      </c>
      <c r="H17" s="113">
        <f t="shared" si="1"/>
        <v>2.5000000000000001E-2</v>
      </c>
      <c r="I17" s="113">
        <f t="shared" si="1"/>
        <v>2.5000000000000001E-2</v>
      </c>
      <c r="J17" s="113">
        <f t="shared" si="1"/>
        <v>2.5000000000000001E-2</v>
      </c>
      <c r="K17" s="113">
        <f t="shared" si="1"/>
        <v>2.5000000000000001E-2</v>
      </c>
      <c r="L17" s="113">
        <f t="shared" si="1"/>
        <v>2.5000000000000001E-2</v>
      </c>
      <c r="M17" s="113">
        <f t="shared" si="1"/>
        <v>2.5000000000000001E-2</v>
      </c>
      <c r="N17" s="113">
        <f t="shared" si="1"/>
        <v>7.4999999999999997E-2</v>
      </c>
    </row>
    <row r="18" spans="1:14" ht="15" customHeight="1" x14ac:dyDescent="0.25">
      <c r="A18" s="162" t="s">
        <v>12</v>
      </c>
      <c r="B18" s="163"/>
      <c r="C18" s="95">
        <f>'Orçamento de referência'!I23</f>
        <v>179087.71000000002</v>
      </c>
      <c r="D18" s="120">
        <f>SUM(D10,D12,D14,D16)</f>
        <v>35817.542000000009</v>
      </c>
      <c r="E18" s="121">
        <f t="shared" ref="E18:N18" si="2">SUM(E10,E12,E14,E16)</f>
        <v>71635.084000000017</v>
      </c>
      <c r="F18" s="122">
        <f t="shared" si="2"/>
        <v>26863.156500000001</v>
      </c>
      <c r="G18" s="120">
        <f t="shared" si="2"/>
        <v>4477.1927500000011</v>
      </c>
      <c r="H18" s="121">
        <f t="shared" si="2"/>
        <v>4477.1927500000011</v>
      </c>
      <c r="I18" s="121">
        <f t="shared" si="2"/>
        <v>4477.1927500000011</v>
      </c>
      <c r="J18" s="121">
        <f t="shared" si="2"/>
        <v>4477.1927500000011</v>
      </c>
      <c r="K18" s="121">
        <f t="shared" si="2"/>
        <v>4477.1927500000011</v>
      </c>
      <c r="L18" s="121">
        <f t="shared" si="2"/>
        <v>4477.1927500000011</v>
      </c>
      <c r="M18" s="121">
        <f t="shared" si="2"/>
        <v>4477.1927500000011</v>
      </c>
      <c r="N18" s="121">
        <f t="shared" si="2"/>
        <v>13431.57825</v>
      </c>
    </row>
    <row r="19" spans="1:14" ht="15" customHeight="1" x14ac:dyDescent="0.25">
      <c r="A19" s="160" t="s">
        <v>13</v>
      </c>
      <c r="B19" s="161"/>
      <c r="C19" s="105">
        <f>C20/C18</f>
        <v>1</v>
      </c>
      <c r="D19" s="123">
        <f>D20/$C$20</f>
        <v>0.2</v>
      </c>
      <c r="E19" s="124">
        <f t="shared" ref="E19:N19" si="3">E20/$C$20</f>
        <v>0.6</v>
      </c>
      <c r="F19" s="125">
        <f t="shared" si="3"/>
        <v>0.75000000000000011</v>
      </c>
      <c r="G19" s="123">
        <f t="shared" si="3"/>
        <v>0.77500000000000002</v>
      </c>
      <c r="H19" s="124">
        <f t="shared" si="3"/>
        <v>0.79999999999999993</v>
      </c>
      <c r="I19" s="124">
        <f t="shared" si="3"/>
        <v>0.82499999999999984</v>
      </c>
      <c r="J19" s="124">
        <f t="shared" si="3"/>
        <v>0.84999999999999976</v>
      </c>
      <c r="K19" s="124">
        <f t="shared" si="3"/>
        <v>0.87499999999999967</v>
      </c>
      <c r="L19" s="124">
        <f t="shared" si="3"/>
        <v>0.89999999999999969</v>
      </c>
      <c r="M19" s="124">
        <f t="shared" si="3"/>
        <v>0.9249999999999996</v>
      </c>
      <c r="N19" s="124">
        <f t="shared" si="3"/>
        <v>0.99999999999999956</v>
      </c>
    </row>
    <row r="20" spans="1:14" ht="15" customHeight="1" x14ac:dyDescent="0.25">
      <c r="A20" s="160" t="s">
        <v>14</v>
      </c>
      <c r="B20" s="161"/>
      <c r="C20" s="102">
        <f>SUM(C10,C12,C14,C16)</f>
        <v>179087.71000000002</v>
      </c>
      <c r="D20" s="101">
        <f>D18</f>
        <v>35817.542000000009</v>
      </c>
      <c r="E20" s="92">
        <f>D20+E18</f>
        <v>107452.62600000002</v>
      </c>
      <c r="F20" s="115">
        <f t="shared" ref="F20:N20" si="4">E20+F18</f>
        <v>134315.78250000003</v>
      </c>
      <c r="G20" s="101">
        <f t="shared" si="4"/>
        <v>138792.97525000002</v>
      </c>
      <c r="H20" s="92">
        <f t="shared" si="4"/>
        <v>143270.16800000001</v>
      </c>
      <c r="I20" s="92">
        <f t="shared" si="4"/>
        <v>147747.36074999999</v>
      </c>
      <c r="J20" s="92">
        <f t="shared" si="4"/>
        <v>152224.55349999998</v>
      </c>
      <c r="K20" s="92">
        <f t="shared" si="4"/>
        <v>156701.74624999997</v>
      </c>
      <c r="L20" s="92">
        <f t="shared" si="4"/>
        <v>161178.93899999995</v>
      </c>
      <c r="M20" s="92">
        <f t="shared" si="4"/>
        <v>165656.13174999994</v>
      </c>
      <c r="N20" s="92">
        <f t="shared" si="4"/>
        <v>179087.70999999993</v>
      </c>
    </row>
    <row r="21" spans="1:14" x14ac:dyDescent="0.25">
      <c r="A21" s="1"/>
      <c r="B21" s="1"/>
      <c r="C21" s="1"/>
      <c r="D21" s="107"/>
      <c r="E21" s="1"/>
      <c r="F21" s="1"/>
      <c r="G21" s="107"/>
      <c r="H21" s="2"/>
      <c r="I21" s="2" t="s">
        <v>15</v>
      </c>
      <c r="J21" s="2"/>
      <c r="K21" s="2"/>
      <c r="L21" s="2" t="s">
        <v>15</v>
      </c>
      <c r="M21" s="2"/>
      <c r="N21" s="2"/>
    </row>
    <row r="22" spans="1:14" x14ac:dyDescent="0.25">
      <c r="A22" s="2"/>
      <c r="B22" s="2"/>
      <c r="C22" s="2"/>
      <c r="D22" s="108" t="s">
        <v>269</v>
      </c>
      <c r="E22" s="2"/>
      <c r="F22" s="2"/>
      <c r="G22" s="108" t="s">
        <v>270</v>
      </c>
      <c r="H22" s="2"/>
      <c r="I22" s="2" t="s">
        <v>15</v>
      </c>
      <c r="J22" s="2"/>
      <c r="K22" s="2"/>
      <c r="L22" s="2" t="s">
        <v>15</v>
      </c>
      <c r="M22" s="2"/>
      <c r="N22" s="2"/>
    </row>
    <row r="23" spans="1:14" ht="30" hidden="1" customHeight="1" x14ac:dyDescent="0.25">
      <c r="A23" s="3" t="s">
        <v>22</v>
      </c>
      <c r="B23" s="168" t="s">
        <v>10</v>
      </c>
      <c r="C23" s="169"/>
      <c r="H23" s="2"/>
      <c r="I23" s="2" t="s">
        <v>15</v>
      </c>
      <c r="J23" s="2"/>
      <c r="K23" s="2"/>
      <c r="L23" s="2" t="s">
        <v>15</v>
      </c>
      <c r="M23" s="2"/>
      <c r="N23" s="2"/>
    </row>
    <row r="24" spans="1:14" hidden="1" x14ac:dyDescent="0.25">
      <c r="A24" s="75" t="s">
        <v>23</v>
      </c>
      <c r="B24" s="166"/>
      <c r="C24" s="167"/>
      <c r="H24" s="2"/>
      <c r="I24" s="2" t="s">
        <v>15</v>
      </c>
      <c r="J24" s="2"/>
      <c r="K24" s="2"/>
      <c r="L24" s="2" t="s">
        <v>15</v>
      </c>
      <c r="M24" s="2"/>
      <c r="N24" s="2"/>
    </row>
    <row r="25" spans="1:14" hidden="1" x14ac:dyDescent="0.25">
      <c r="A25" s="8" t="s">
        <v>25</v>
      </c>
      <c r="B25" s="10"/>
      <c r="C25" s="11"/>
      <c r="H25" s="2"/>
      <c r="I25" s="2" t="s">
        <v>15</v>
      </c>
      <c r="J25" s="2"/>
      <c r="K25" s="2"/>
      <c r="L25" s="2" t="s">
        <v>15</v>
      </c>
      <c r="M25" s="2"/>
      <c r="N25" s="2"/>
    </row>
    <row r="26" spans="1:14" hidden="1" x14ac:dyDescent="0.25">
      <c r="A26" s="9" t="s">
        <v>26</v>
      </c>
      <c r="B26" s="6"/>
      <c r="C26" s="7"/>
      <c r="H26" s="2"/>
      <c r="I26" s="2" t="s">
        <v>15</v>
      </c>
      <c r="J26" s="2"/>
      <c r="K26" s="2"/>
      <c r="L26" s="2" t="s">
        <v>15</v>
      </c>
      <c r="M26" s="2"/>
      <c r="N26" s="2"/>
    </row>
    <row r="27" spans="1:14" hidden="1" x14ac:dyDescent="0.25">
      <c r="A27" s="76" t="s">
        <v>24</v>
      </c>
      <c r="B27" s="166"/>
      <c r="C27" s="167"/>
      <c r="H27" s="2"/>
      <c r="I27" s="2" t="s">
        <v>15</v>
      </c>
      <c r="J27" s="2"/>
      <c r="K27" s="2"/>
      <c r="L27" s="2" t="s">
        <v>15</v>
      </c>
      <c r="M27" s="2"/>
      <c r="N27" s="2"/>
    </row>
    <row r="28" spans="1:14" hidden="1" x14ac:dyDescent="0.25">
      <c r="A28" s="13" t="s">
        <v>17</v>
      </c>
      <c r="B28" s="10"/>
      <c r="C28" s="11"/>
      <c r="H28" s="2"/>
      <c r="I28" s="2" t="s">
        <v>15</v>
      </c>
      <c r="J28" s="2"/>
      <c r="K28" s="2"/>
      <c r="L28" s="2" t="s">
        <v>15</v>
      </c>
      <c r="M28" s="2"/>
      <c r="N28" s="2"/>
    </row>
    <row r="29" spans="1:14" hidden="1" x14ac:dyDescent="0.25">
      <c r="A29" s="5" t="s">
        <v>18</v>
      </c>
      <c r="B29" s="6"/>
      <c r="C29" s="7"/>
      <c r="H29" s="2"/>
      <c r="I29" s="2" t="s">
        <v>15</v>
      </c>
      <c r="J29" s="2"/>
      <c r="K29" s="2"/>
      <c r="L29" s="2" t="s">
        <v>15</v>
      </c>
      <c r="M29" s="2"/>
      <c r="N29" s="2"/>
    </row>
    <row r="30" spans="1:14" hidden="1" x14ac:dyDescent="0.25">
      <c r="A30" s="75" t="s">
        <v>19</v>
      </c>
      <c r="B30" s="166"/>
      <c r="C30" s="167"/>
      <c r="H30" s="2"/>
      <c r="I30" s="2" t="s">
        <v>15</v>
      </c>
      <c r="J30" s="2"/>
      <c r="K30" s="2"/>
      <c r="L30" s="2" t="s">
        <v>15</v>
      </c>
      <c r="M30" s="2"/>
      <c r="N30" s="2"/>
    </row>
    <row r="31" spans="1:14" hidden="1" x14ac:dyDescent="0.25">
      <c r="A31" s="13" t="s">
        <v>20</v>
      </c>
      <c r="B31" s="4"/>
      <c r="C31" s="11"/>
      <c r="H31" s="2"/>
      <c r="I31" s="2" t="s">
        <v>15</v>
      </c>
      <c r="J31" s="2"/>
      <c r="K31" s="2"/>
      <c r="L31" s="2" t="s">
        <v>15</v>
      </c>
      <c r="M31" s="2"/>
      <c r="N31" s="2"/>
    </row>
    <row r="32" spans="1:14" hidden="1" x14ac:dyDescent="0.25">
      <c r="A32" s="9" t="s">
        <v>21</v>
      </c>
      <c r="B32" s="12"/>
      <c r="C32" s="7"/>
      <c r="H32" s="2"/>
      <c r="I32" s="2" t="s">
        <v>15</v>
      </c>
      <c r="J32" s="2"/>
      <c r="K32" s="2"/>
      <c r="L32" s="2" t="s">
        <v>15</v>
      </c>
      <c r="M32" s="2"/>
      <c r="N32" s="2"/>
    </row>
    <row r="33" spans="1:14" hidden="1" x14ac:dyDescent="0.25">
      <c r="H33" s="2"/>
      <c r="I33" s="2" t="s">
        <v>15</v>
      </c>
      <c r="J33" s="2"/>
      <c r="K33" s="2"/>
      <c r="L33" s="2" t="s">
        <v>15</v>
      </c>
      <c r="M33" s="2"/>
      <c r="N33" s="2"/>
    </row>
    <row r="34" spans="1:14" hidden="1" x14ac:dyDescent="0.25">
      <c r="H34" s="2"/>
      <c r="I34" s="2" t="s">
        <v>15</v>
      </c>
      <c r="J34" s="2"/>
      <c r="K34" s="2"/>
      <c r="L34" s="2" t="s">
        <v>15</v>
      </c>
      <c r="M34" s="2"/>
      <c r="N34" s="2"/>
    </row>
    <row r="35" spans="1:14" x14ac:dyDescent="0.25">
      <c r="A35" s="2"/>
      <c r="B35" s="2" t="s">
        <v>15</v>
      </c>
      <c r="C35" s="2"/>
      <c r="D35" s="2"/>
      <c r="E35" s="2" t="s">
        <v>15</v>
      </c>
      <c r="F35" s="2"/>
      <c r="G35" s="2"/>
      <c r="H35" s="2"/>
      <c r="I35" s="2" t="s">
        <v>15</v>
      </c>
      <c r="J35" s="2"/>
      <c r="K35" s="2"/>
      <c r="L35" s="2" t="s">
        <v>15</v>
      </c>
      <c r="M35" s="2"/>
      <c r="N35" s="2"/>
    </row>
  </sheetData>
  <mergeCells count="25">
    <mergeCell ref="A19:B19"/>
    <mergeCell ref="A18:B18"/>
    <mergeCell ref="A17:B17"/>
    <mergeCell ref="B30:C30"/>
    <mergeCell ref="B23:C23"/>
    <mergeCell ref="B24:C24"/>
    <mergeCell ref="B27:C27"/>
    <mergeCell ref="A20:B20"/>
    <mergeCell ref="B9:B10"/>
    <mergeCell ref="A9:A10"/>
    <mergeCell ref="B11:B12"/>
    <mergeCell ref="B13:B14"/>
    <mergeCell ref="A15:A16"/>
    <mergeCell ref="B15:B16"/>
    <mergeCell ref="A13:A14"/>
    <mergeCell ref="A11:A12"/>
    <mergeCell ref="A6:I6"/>
    <mergeCell ref="B1:K1"/>
    <mergeCell ref="B3:K3"/>
    <mergeCell ref="B2:G2"/>
    <mergeCell ref="C7:C8"/>
    <mergeCell ref="B7:B8"/>
    <mergeCell ref="A7:A8"/>
    <mergeCell ref="D7:F7"/>
    <mergeCell ref="G7:N7"/>
  </mergeCells>
  <printOptions horizontalCentered="1"/>
  <pageMargins left="0.51181102362204722" right="0.51181102362204722" top="0.78740157480314965" bottom="0.78740157480314965" header="0.31496062992125984" footer="0.31496062992125984"/>
  <pageSetup paperSize="9" scale="5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d2c8de4-9447-4d42-bb73-c924e99a854e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9BE982DE7997614C8EBF0B0ABA119CE3" ma:contentTypeVersion="11" ma:contentTypeDescription="Crie um novo documento." ma:contentTypeScope="" ma:versionID="4001ab6bef6e4d9e3a7f5e6f4e5506b9">
  <xsd:schema xmlns:xsd="http://www.w3.org/2001/XMLSchema" xmlns:xs="http://www.w3.org/2001/XMLSchema" xmlns:p="http://schemas.microsoft.com/office/2006/metadata/properties" xmlns:ns2="9d2c8de4-9447-4d42-bb73-c924e99a854e" targetNamespace="http://schemas.microsoft.com/office/2006/metadata/properties" ma:root="true" ma:fieldsID="a4a0c87e4687625281b9d76cebd100d1" ns2:_="">
    <xsd:import namespace="9d2c8de4-9447-4d42-bb73-c924e99a854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2c8de4-9447-4d42-bb73-c924e99a854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Marcações de imagem" ma:readOnly="false" ma:fieldId="{5cf76f15-5ced-4ddc-b409-7134ff3c332f}" ma:taxonomyMulti="true" ma:sspId="5d3ef64a-58ba-480e-84dd-f493bfc743d6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ú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499F659-7099-4CB2-B1E7-C398FAF1062F}">
  <ds:schemaRefs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9d2c8de4-9447-4d42-bb73-c924e99a854e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53A01D98-58A7-4AA3-8DDA-986C768204C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2c8de4-9447-4d42-bb73-c924e99a854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66D1B90-6B45-49BE-8D0B-BF5828A40D6C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4</vt:i4>
      </vt:variant>
    </vt:vector>
  </HeadingPairs>
  <TitlesOfParts>
    <vt:vector size="4" baseType="lpstr">
      <vt:lpstr>Orçamento de referência</vt:lpstr>
      <vt:lpstr>Projetos e fator K</vt:lpstr>
      <vt:lpstr>MC</vt:lpstr>
      <vt:lpstr>CFF</vt:lpstr>
    </vt:vector>
  </TitlesOfParts>
  <Manager/>
  <Company>ALERGS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Samuel de Oliveira Carvalho</dc:creator>
  <cp:keywords/>
  <dc:description/>
  <cp:lastModifiedBy>Rita Helena Sefton Oliveira de Paris</cp:lastModifiedBy>
  <cp:revision/>
  <cp:lastPrinted>2026-06-25T13:41:26Z</cp:lastPrinted>
  <dcterms:created xsi:type="dcterms:W3CDTF">2025-09-22T13:33:37Z</dcterms:created>
  <dcterms:modified xsi:type="dcterms:W3CDTF">2026-06-26T14:32:17Z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0x0101009BE982DE7997614C8EBF0B0ABA119CE3</vt:lpwstr>
  </property>
  <property fmtid="{D5CDD505-2E9C-101B-9397-08002B2CF9AE}" pid="3" name="MediaServiceImageTags">
    <vt:lpwstr/>
  </property>
</Properties>
</file>