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Meus documentos\ploter\Dep. de Engenharia CAD\Ano 2024\Projeto de Contenção dos 16 pontos na beira do Paranhana\.Projetos Versão 02.2025\Meta 07 - Passarela Moinho\Atualizados\"/>
    </mc:Choice>
  </mc:AlternateContent>
  <bookViews>
    <workbookView xWindow="-21720" yWindow="-120" windowWidth="21840" windowHeight="13020"/>
  </bookViews>
  <sheets>
    <sheet name="Orçamento - Nathaniel" sheetId="8" r:id="rId1"/>
    <sheet name="Orçamento" sheetId="1" r:id="rId2"/>
    <sheet name="Cronograma" sheetId="2" r:id="rId3"/>
    <sheet name="BDI SERVIÇOS" sheetId="7" r:id="rId4"/>
    <sheet name="Composições" sheetId="6" r:id="rId5"/>
  </sheets>
  <definedNames>
    <definedName name="_xlnm.Print_Area" localSheetId="3">'BDI SERVIÇOS'!$A$1:$H$37</definedName>
    <definedName name="_xlnm.Print_Area" localSheetId="2">Cronograma!$A$1:$I$42</definedName>
    <definedName name="EMPRESAS">OFFSET(#REF!,1,0):OFFSET(#REF!,-1,0)</definedName>
    <definedName name="TipoOrçamento">"BASE"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2" l="1"/>
  <c r="G26" i="2"/>
  <c r="H18" i="2"/>
  <c r="G18" i="2"/>
  <c r="C34" i="2"/>
  <c r="C32" i="2"/>
  <c r="C30" i="2"/>
  <c r="C28" i="2"/>
  <c r="C26" i="2"/>
  <c r="C24" i="2"/>
  <c r="C22" i="2"/>
  <c r="C20" i="2"/>
  <c r="C18" i="2"/>
  <c r="C16" i="2"/>
  <c r="C14" i="2"/>
  <c r="C12" i="2"/>
  <c r="B33" i="2"/>
  <c r="B31" i="2"/>
  <c r="B29" i="2"/>
  <c r="B27" i="2"/>
  <c r="B25" i="2"/>
  <c r="B23" i="2"/>
  <c r="B21" i="2"/>
  <c r="B19" i="2"/>
  <c r="B17" i="2"/>
  <c r="B15" i="2"/>
  <c r="B13" i="2"/>
  <c r="B11" i="2"/>
  <c r="A33" i="2"/>
  <c r="A31" i="2"/>
  <c r="A29" i="2"/>
  <c r="A27" i="2"/>
  <c r="A25" i="2"/>
  <c r="A23" i="2"/>
  <c r="A21" i="2"/>
  <c r="A19" i="2"/>
  <c r="A17" i="2"/>
  <c r="A15" i="2"/>
  <c r="A13" i="2"/>
  <c r="A11" i="2"/>
  <c r="N63" i="8"/>
  <c r="K63" i="8"/>
  <c r="L63" i="8"/>
  <c r="M63" i="8"/>
  <c r="J54" i="8"/>
  <c r="J55" i="8"/>
  <c r="J53" i="8"/>
  <c r="J50" i="8"/>
  <c r="J51" i="8"/>
  <c r="J49" i="8"/>
  <c r="J46" i="8"/>
  <c r="J47" i="8"/>
  <c r="J45" i="8"/>
  <c r="J41" i="8"/>
  <c r="J42" i="8"/>
  <c r="J43" i="8"/>
  <c r="G31" i="8"/>
  <c r="F28" i="8"/>
  <c r="F24" i="8"/>
  <c r="F27" i="8"/>
  <c r="F20" i="8"/>
  <c r="F18" i="2" l="1"/>
  <c r="D18" i="2"/>
  <c r="E18" i="2"/>
  <c r="I18" i="2" s="1"/>
  <c r="C36" i="2"/>
  <c r="G62" i="8"/>
  <c r="G61" i="8"/>
  <c r="F59" i="8"/>
  <c r="F57" i="8"/>
  <c r="I55" i="8"/>
  <c r="L55" i="8" s="1"/>
  <c r="H55" i="8"/>
  <c r="K55" i="8" s="1"/>
  <c r="I54" i="8"/>
  <c r="L54" i="8" s="1"/>
  <c r="H54" i="8"/>
  <c r="K54" i="8" s="1"/>
  <c r="I53" i="8"/>
  <c r="F53" i="8"/>
  <c r="I51" i="8"/>
  <c r="L51" i="8" s="1"/>
  <c r="H50" i="8"/>
  <c r="K50" i="8" s="1"/>
  <c r="I49" i="8"/>
  <c r="F49" i="8"/>
  <c r="I47" i="8"/>
  <c r="F47" i="8"/>
  <c r="I46" i="8"/>
  <c r="F46" i="8"/>
  <c r="I45" i="8"/>
  <c r="H45" i="8"/>
  <c r="F43" i="8"/>
  <c r="F42" i="8"/>
  <c r="H41" i="8"/>
  <c r="F41" i="8"/>
  <c r="F40" i="8"/>
  <c r="F39" i="8"/>
  <c r="F38" i="8"/>
  <c r="F37" i="8"/>
  <c r="F36" i="8"/>
  <c r="G35" i="8"/>
  <c r="F35" i="8"/>
  <c r="F33" i="8"/>
  <c r="F32" i="8"/>
  <c r="F31" i="8"/>
  <c r="F25" i="8"/>
  <c r="F22" i="8"/>
  <c r="F19" i="8"/>
  <c r="F30" i="8" s="1"/>
  <c r="G15" i="8"/>
  <c r="G13" i="8"/>
  <c r="N8" i="8"/>
  <c r="I7" i="8" s="1"/>
  <c r="N8" i="1"/>
  <c r="M54" i="8" l="1"/>
  <c r="F61" i="8"/>
  <c r="J28" i="8"/>
  <c r="J24" i="8"/>
  <c r="J27" i="8"/>
  <c r="K41" i="8"/>
  <c r="I50" i="8"/>
  <c r="L50" i="8" s="1"/>
  <c r="M50" i="8" s="1"/>
  <c r="L46" i="8"/>
  <c r="I41" i="8"/>
  <c r="L41" i="8" s="1"/>
  <c r="L49" i="8"/>
  <c r="H46" i="8"/>
  <c r="K46" i="8" s="1"/>
  <c r="M55" i="8"/>
  <c r="F45" i="8"/>
  <c r="K45" i="8" s="1"/>
  <c r="J16" i="8"/>
  <c r="J17" i="8"/>
  <c r="H47" i="8"/>
  <c r="K47" i="8" s="1"/>
  <c r="H53" i="8"/>
  <c r="K53" i="8" s="1"/>
  <c r="K52" i="8" s="1"/>
  <c r="L53" i="8"/>
  <c r="L52" i="8" s="1"/>
  <c r="L47" i="8"/>
  <c r="J20" i="8"/>
  <c r="I20" i="8" s="1"/>
  <c r="L20" i="8" s="1"/>
  <c r="H49" i="8"/>
  <c r="K49" i="8" s="1"/>
  <c r="J15" i="8"/>
  <c r="I15" i="8" s="1"/>
  <c r="L15" i="8" s="1"/>
  <c r="J31" i="8"/>
  <c r="I31" i="8" s="1"/>
  <c r="L31" i="8" s="1"/>
  <c r="J22" i="8"/>
  <c r="J40" i="8"/>
  <c r="J37" i="8"/>
  <c r="J18" i="8"/>
  <c r="J25" i="8"/>
  <c r="J57" i="8"/>
  <c r="J38" i="8"/>
  <c r="J36" i="8"/>
  <c r="J13" i="8"/>
  <c r="J33" i="8"/>
  <c r="J32" i="8"/>
  <c r="J30" i="8"/>
  <c r="J59" i="8"/>
  <c r="J39" i="8"/>
  <c r="J35" i="8"/>
  <c r="J19" i="8"/>
  <c r="J23" i="8"/>
  <c r="J61" i="8"/>
  <c r="J62" i="8"/>
  <c r="H51" i="8"/>
  <c r="K51" i="8" s="1"/>
  <c r="M51" i="8" s="1"/>
  <c r="F44" i="1"/>
  <c r="F42" i="1"/>
  <c r="F41" i="1"/>
  <c r="F38" i="1"/>
  <c r="F37" i="1"/>
  <c r="F36" i="1"/>
  <c r="J36" i="1"/>
  <c r="I36" i="1" s="1"/>
  <c r="F35" i="1"/>
  <c r="F34" i="1"/>
  <c r="F33" i="1"/>
  <c r="F32" i="1"/>
  <c r="F31" i="1"/>
  <c r="F30" i="1"/>
  <c r="F28" i="1"/>
  <c r="F27" i="1"/>
  <c r="F26" i="1"/>
  <c r="I24" i="8" l="1"/>
  <c r="L24" i="8" s="1"/>
  <c r="H24" i="8"/>
  <c r="K24" i="8" s="1"/>
  <c r="M24" i="8" s="1"/>
  <c r="I28" i="8"/>
  <c r="L28" i="8" s="1"/>
  <c r="H28" i="8"/>
  <c r="K28" i="8" s="1"/>
  <c r="M28" i="8" s="1"/>
  <c r="L48" i="8"/>
  <c r="M41" i="8"/>
  <c r="I27" i="8"/>
  <c r="L27" i="8" s="1"/>
  <c r="H27" i="8"/>
  <c r="K27" i="8" s="1"/>
  <c r="M46" i="8"/>
  <c r="H15" i="8"/>
  <c r="K15" i="8" s="1"/>
  <c r="M15" i="8" s="1"/>
  <c r="L45" i="8"/>
  <c r="L44" i="8" s="1"/>
  <c r="M53" i="8"/>
  <c r="H20" i="8"/>
  <c r="K20" i="8" s="1"/>
  <c r="M20" i="8" s="1"/>
  <c r="M49" i="8"/>
  <c r="M48" i="8" s="1"/>
  <c r="M47" i="8"/>
  <c r="K44" i="8"/>
  <c r="I17" i="8"/>
  <c r="L17" i="8" s="1"/>
  <c r="H17" i="8"/>
  <c r="K17" i="8" s="1"/>
  <c r="I16" i="8"/>
  <c r="L16" i="8" s="1"/>
  <c r="H16" i="8"/>
  <c r="K16" i="8" s="1"/>
  <c r="K48" i="8"/>
  <c r="H31" i="8"/>
  <c r="K31" i="8" s="1"/>
  <c r="M31" i="8" s="1"/>
  <c r="M45" i="8"/>
  <c r="I23" i="8"/>
  <c r="L23" i="8" s="1"/>
  <c r="H23" i="8"/>
  <c r="K23" i="8" s="1"/>
  <c r="H19" i="8"/>
  <c r="K19" i="8" s="1"/>
  <c r="I19" i="8"/>
  <c r="L19" i="8" s="1"/>
  <c r="I39" i="8"/>
  <c r="L39" i="8" s="1"/>
  <c r="H39" i="8"/>
  <c r="K39" i="8" s="1"/>
  <c r="M39" i="8" s="1"/>
  <c r="I61" i="8"/>
  <c r="L61" i="8" s="1"/>
  <c r="H61" i="8"/>
  <c r="K61" i="8" s="1"/>
  <c r="I13" i="8"/>
  <c r="L13" i="8" s="1"/>
  <c r="L12" i="8" s="1"/>
  <c r="H13" i="8"/>
  <c r="K13" i="8" s="1"/>
  <c r="H33" i="8"/>
  <c r="K33" i="8" s="1"/>
  <c r="I33" i="8"/>
  <c r="L33" i="8" s="1"/>
  <c r="H40" i="8"/>
  <c r="K40" i="8" s="1"/>
  <c r="I40" i="8"/>
  <c r="L40" i="8" s="1"/>
  <c r="H35" i="8"/>
  <c r="K35" i="8" s="1"/>
  <c r="I35" i="8"/>
  <c r="L35" i="8" s="1"/>
  <c r="M52" i="8"/>
  <c r="I22" i="8"/>
  <c r="L22" i="8" s="1"/>
  <c r="H22" i="8"/>
  <c r="K22" i="8" s="1"/>
  <c r="I57" i="8"/>
  <c r="L57" i="8" s="1"/>
  <c r="L56" i="8" s="1"/>
  <c r="H57" i="8"/>
  <c r="K57" i="8" s="1"/>
  <c r="I62" i="8"/>
  <c r="L62" i="8" s="1"/>
  <c r="H62" i="8"/>
  <c r="K62" i="8" s="1"/>
  <c r="I30" i="8"/>
  <c r="L30" i="8" s="1"/>
  <c r="H30" i="8"/>
  <c r="K30" i="8" s="1"/>
  <c r="I25" i="8"/>
  <c r="L25" i="8" s="1"/>
  <c r="H25" i="8"/>
  <c r="K25" i="8" s="1"/>
  <c r="I37" i="8"/>
  <c r="L37" i="8" s="1"/>
  <c r="H37" i="8"/>
  <c r="K37" i="8" s="1"/>
  <c r="M37" i="8" s="1"/>
  <c r="I36" i="8"/>
  <c r="L36" i="8" s="1"/>
  <c r="H36" i="8"/>
  <c r="K36" i="8" s="1"/>
  <c r="M36" i="8" s="1"/>
  <c r="I43" i="8"/>
  <c r="L43" i="8" s="1"/>
  <c r="H43" i="8"/>
  <c r="K43" i="8" s="1"/>
  <c r="H38" i="8"/>
  <c r="K38" i="8" s="1"/>
  <c r="I38" i="8"/>
  <c r="L38" i="8" s="1"/>
  <c r="I42" i="8"/>
  <c r="L42" i="8" s="1"/>
  <c r="H42" i="8"/>
  <c r="K42" i="8" s="1"/>
  <c r="H59" i="8"/>
  <c r="K59" i="8" s="1"/>
  <c r="I59" i="8"/>
  <c r="L59" i="8" s="1"/>
  <c r="L58" i="8" s="1"/>
  <c r="I32" i="8"/>
  <c r="L32" i="8" s="1"/>
  <c r="H32" i="8"/>
  <c r="K32" i="8" s="1"/>
  <c r="I18" i="8"/>
  <c r="L18" i="8" s="1"/>
  <c r="H18" i="8"/>
  <c r="K18" i="8" s="1"/>
  <c r="L36" i="1"/>
  <c r="H36" i="1"/>
  <c r="K36" i="1" s="1"/>
  <c r="F54" i="1"/>
  <c r="F52" i="1"/>
  <c r="F48" i="1"/>
  <c r="M44" i="8" l="1"/>
  <c r="M27" i="8"/>
  <c r="K26" i="8"/>
  <c r="L26" i="8"/>
  <c r="M32" i="8"/>
  <c r="M17" i="8"/>
  <c r="M42" i="8"/>
  <c r="M62" i="8"/>
  <c r="M23" i="8"/>
  <c r="M16" i="8"/>
  <c r="L21" i="8"/>
  <c r="L14" i="8"/>
  <c r="L29" i="8"/>
  <c r="M18" i="8"/>
  <c r="M25" i="8"/>
  <c r="L60" i="8"/>
  <c r="M33" i="8"/>
  <c r="M59" i="8"/>
  <c r="K58" i="8"/>
  <c r="M40" i="8"/>
  <c r="L34" i="8"/>
  <c r="M19" i="8"/>
  <c r="K60" i="8"/>
  <c r="M61" i="8"/>
  <c r="K56" i="8"/>
  <c r="M57" i="8"/>
  <c r="M35" i="8"/>
  <c r="K34" i="8"/>
  <c r="M13" i="8"/>
  <c r="K12" i="8"/>
  <c r="K14" i="8"/>
  <c r="M38" i="8"/>
  <c r="M43" i="8"/>
  <c r="M30" i="8"/>
  <c r="K29" i="8"/>
  <c r="M22" i="8"/>
  <c r="K21" i="8"/>
  <c r="M36" i="1"/>
  <c r="J48" i="1"/>
  <c r="J50" i="1"/>
  <c r="I50" i="1" s="1"/>
  <c r="L50" i="1" s="1"/>
  <c r="J49" i="1"/>
  <c r="I49" i="1" s="1"/>
  <c r="L49" i="1" s="1"/>
  <c r="M26" i="8" l="1"/>
  <c r="M14" i="8"/>
  <c r="M12" i="8"/>
  <c r="M60" i="8"/>
  <c r="M34" i="8"/>
  <c r="M21" i="8"/>
  <c r="M56" i="8"/>
  <c r="M58" i="8"/>
  <c r="M29" i="8"/>
  <c r="H48" i="1"/>
  <c r="K48" i="1" s="1"/>
  <c r="I48" i="1"/>
  <c r="L48" i="1" s="1"/>
  <c r="L47" i="1" s="1"/>
  <c r="H50" i="1"/>
  <c r="K50" i="1" s="1"/>
  <c r="M50" i="1" s="1"/>
  <c r="H49" i="1"/>
  <c r="K49" i="1" s="1"/>
  <c r="M49" i="1" s="1"/>
  <c r="M48" i="1" l="1"/>
  <c r="K47" i="1"/>
  <c r="N24" i="8" l="1"/>
  <c r="N28" i="8"/>
  <c r="N27" i="8"/>
  <c r="N26" i="8"/>
  <c r="N60" i="8"/>
  <c r="N20" i="8"/>
  <c r="N16" i="8"/>
  <c r="N18" i="8"/>
  <c r="N19" i="8"/>
  <c r="N17" i="8"/>
  <c r="N58" i="8"/>
  <c r="N12" i="8"/>
  <c r="N47" i="8"/>
  <c r="N46" i="8"/>
  <c r="N41" i="8"/>
  <c r="N55" i="8"/>
  <c r="N54" i="8"/>
  <c r="N51" i="8"/>
  <c r="N45" i="8"/>
  <c r="N50" i="8"/>
  <c r="N31" i="8"/>
  <c r="N49" i="8"/>
  <c r="N53" i="8"/>
  <c r="N36" i="8"/>
  <c r="N15" i="8"/>
  <c r="N23" i="8"/>
  <c r="N32" i="8"/>
  <c r="N44" i="8"/>
  <c r="N37" i="8"/>
  <c r="N42" i="8"/>
  <c r="N39" i="8"/>
  <c r="N62" i="8"/>
  <c r="N25" i="8"/>
  <c r="N52" i="8"/>
  <c r="N48" i="8"/>
  <c r="N38" i="8"/>
  <c r="N14" i="8"/>
  <c r="N13" i="8"/>
  <c r="N40" i="8"/>
  <c r="N33" i="8"/>
  <c r="N30" i="8"/>
  <c r="N61" i="8"/>
  <c r="N22" i="8"/>
  <c r="N35" i="8"/>
  <c r="N43" i="8"/>
  <c r="N57" i="8"/>
  <c r="N59" i="8"/>
  <c r="N56" i="8"/>
  <c r="N29" i="8"/>
  <c r="N21" i="8"/>
  <c r="N34" i="8"/>
  <c r="M47" i="1"/>
  <c r="F21" i="1"/>
  <c r="F18" i="1"/>
  <c r="F56" i="1" l="1"/>
  <c r="F40" i="1" l="1"/>
  <c r="F23" i="1" l="1"/>
  <c r="F22" i="1" l="1"/>
  <c r="F19" i="1"/>
  <c r="J46" i="1"/>
  <c r="I46" i="1" s="1"/>
  <c r="L46" i="1" s="1"/>
  <c r="J45" i="1"/>
  <c r="I45" i="1" s="1"/>
  <c r="L45" i="1" s="1"/>
  <c r="J44" i="1"/>
  <c r="H44" i="1" s="1"/>
  <c r="J42" i="1"/>
  <c r="H42" i="1" s="1"/>
  <c r="J41" i="1"/>
  <c r="I41" i="1" s="1"/>
  <c r="J40" i="1"/>
  <c r="I40" i="1" s="1"/>
  <c r="H40" i="1" l="1"/>
  <c r="H41" i="1"/>
  <c r="K41" i="1" s="1"/>
  <c r="I42" i="1"/>
  <c r="L42" i="1" s="1"/>
  <c r="I44" i="1"/>
  <c r="L44" i="1" s="1"/>
  <c r="K40" i="1"/>
  <c r="K42" i="1"/>
  <c r="K44" i="1"/>
  <c r="L40" i="1"/>
  <c r="L41" i="1"/>
  <c r="H46" i="1"/>
  <c r="K46" i="1" s="1"/>
  <c r="M46" i="1" s="1"/>
  <c r="H45" i="1"/>
  <c r="K45" i="1" s="1"/>
  <c r="M45" i="1" s="1"/>
  <c r="M40" i="1" l="1"/>
  <c r="L43" i="1"/>
  <c r="M44" i="1"/>
  <c r="M43" i="1" s="1"/>
  <c r="M42" i="1"/>
  <c r="M41" i="1"/>
  <c r="K39" i="1"/>
  <c r="L39" i="1"/>
  <c r="K43" i="1"/>
  <c r="F26" i="2" l="1"/>
  <c r="E26" i="2"/>
  <c r="I26" i="2" s="1"/>
  <c r="D26" i="2"/>
  <c r="M39" i="1"/>
  <c r="F18" i="6"/>
  <c r="H24" i="2" l="1"/>
  <c r="G24" i="2"/>
  <c r="F45" i="6" l="1"/>
  <c r="H45" i="6" s="1"/>
  <c r="I7" i="1" l="1"/>
  <c r="J34" i="1" l="1"/>
  <c r="J32" i="1"/>
  <c r="J31" i="1"/>
  <c r="J35" i="1"/>
  <c r="J33" i="1"/>
  <c r="J52" i="1"/>
  <c r="J54" i="1"/>
  <c r="B6" i="6"/>
  <c r="A70" i="6"/>
  <c r="I35" i="1" l="1"/>
  <c r="L35" i="1" s="1"/>
  <c r="H35" i="1"/>
  <c r="K35" i="1" s="1"/>
  <c r="I31" i="1"/>
  <c r="L31" i="1" s="1"/>
  <c r="H31" i="1"/>
  <c r="K31" i="1" s="1"/>
  <c r="H32" i="1"/>
  <c r="K32" i="1" s="1"/>
  <c r="I32" i="1"/>
  <c r="L32" i="1" s="1"/>
  <c r="H33" i="1"/>
  <c r="K33" i="1" s="1"/>
  <c r="I33" i="1"/>
  <c r="L33" i="1" s="1"/>
  <c r="I34" i="1"/>
  <c r="L34" i="1" s="1"/>
  <c r="H34" i="1"/>
  <c r="K34" i="1" s="1"/>
  <c r="H54" i="1"/>
  <c r="K54" i="1" s="1"/>
  <c r="I54" i="1"/>
  <c r="L54" i="1" s="1"/>
  <c r="H52" i="1"/>
  <c r="K52" i="1" s="1"/>
  <c r="I52" i="1"/>
  <c r="L52" i="1" s="1"/>
  <c r="L51" i="1" s="1"/>
  <c r="M34" i="1" l="1"/>
  <c r="M31" i="1"/>
  <c r="M35" i="1"/>
  <c r="M32" i="1"/>
  <c r="M33" i="1"/>
  <c r="K51" i="1"/>
  <c r="M52" i="1"/>
  <c r="M54" i="1"/>
  <c r="L53" i="1"/>
  <c r="K53" i="1"/>
  <c r="M53" i="1" l="1"/>
  <c r="M51" i="1"/>
  <c r="F25" i="1"/>
  <c r="G32" i="2" l="1"/>
  <c r="I32" i="2"/>
  <c r="H32" i="2"/>
  <c r="G30" i="2"/>
  <c r="I30" i="2"/>
  <c r="G28" i="2"/>
  <c r="I28" i="2"/>
  <c r="H28" i="2"/>
  <c r="E28" i="2"/>
  <c r="F28" i="2"/>
  <c r="D28" i="2"/>
  <c r="D32" i="2"/>
  <c r="E32" i="2"/>
  <c r="F32" i="2"/>
  <c r="D30" i="2"/>
  <c r="H30" i="2" s="1"/>
  <c r="F30" i="2"/>
  <c r="E30" i="2"/>
  <c r="J37" i="1"/>
  <c r="H37" i="1" s="1"/>
  <c r="I37" i="1" l="1"/>
  <c r="L37" i="1" s="1"/>
  <c r="K37" i="1"/>
  <c r="M37" i="1" l="1"/>
  <c r="H49" i="6"/>
  <c r="H48" i="6"/>
  <c r="H47" i="6"/>
  <c r="H46" i="6"/>
  <c r="H50" i="6" l="1"/>
  <c r="H51" i="6" s="1"/>
  <c r="G30" i="1" s="1"/>
  <c r="J30" i="1" s="1"/>
  <c r="H30" i="1" l="1"/>
  <c r="K30" i="1" s="1"/>
  <c r="I30" i="1"/>
  <c r="L30" i="1" s="1"/>
  <c r="G26" i="1"/>
  <c r="J26" i="1" s="1"/>
  <c r="H26" i="1" s="1"/>
  <c r="K26" i="1" s="1"/>
  <c r="M30" i="1" l="1"/>
  <c r="I26" i="1"/>
  <c r="L26" i="1" s="1"/>
  <c r="M26" i="1" s="1"/>
  <c r="H58" i="6"/>
  <c r="H66" i="6"/>
  <c r="H65" i="6"/>
  <c r="H64" i="6"/>
  <c r="H63" i="6"/>
  <c r="H57" i="6"/>
  <c r="H56" i="6"/>
  <c r="H55" i="6"/>
  <c r="H54" i="6"/>
  <c r="H39" i="6"/>
  <c r="H40" i="6"/>
  <c r="F36" i="6"/>
  <c r="H36" i="6" s="1"/>
  <c r="H38" i="6"/>
  <c r="H37" i="6"/>
  <c r="H31" i="6"/>
  <c r="H30" i="6"/>
  <c r="H29" i="6"/>
  <c r="H24" i="6"/>
  <c r="H23" i="6"/>
  <c r="H22" i="6"/>
  <c r="H21" i="6"/>
  <c r="H16" i="6"/>
  <c r="H13" i="6"/>
  <c r="G15" i="6"/>
  <c r="H15" i="6" s="1"/>
  <c r="F14" i="6"/>
  <c r="H14" i="6" s="1"/>
  <c r="H67" i="6" l="1"/>
  <c r="H59" i="6"/>
  <c r="H41" i="6"/>
  <c r="H42" i="6" s="1"/>
  <c r="G22" i="1" s="1"/>
  <c r="H32" i="6"/>
  <c r="H17" i="6"/>
  <c r="H18" i="6" s="1"/>
  <c r="G13" i="1" s="1"/>
  <c r="H25" i="6"/>
  <c r="H26" i="6" s="1"/>
  <c r="G15" i="1" s="1"/>
  <c r="J27" i="1"/>
  <c r="I27" i="1" s="1"/>
  <c r="H33" i="6" l="1"/>
  <c r="G19" i="1"/>
  <c r="H60" i="6"/>
  <c r="G56" i="1"/>
  <c r="H68" i="6"/>
  <c r="G57" i="1" s="1"/>
  <c r="L27" i="1"/>
  <c r="H27" i="1"/>
  <c r="K27" i="1" s="1"/>
  <c r="B6" i="2"/>
  <c r="M27" i="1" l="1"/>
  <c r="J56" i="1" l="1"/>
  <c r="I56" i="1" s="1"/>
  <c r="L56" i="1" s="1"/>
  <c r="H56" i="1" l="1"/>
  <c r="K56" i="1" s="1"/>
  <c r="J15" i="1"/>
  <c r="I15" i="1" s="1"/>
  <c r="L15" i="1" s="1"/>
  <c r="J21" i="1"/>
  <c r="I21" i="1" s="1"/>
  <c r="L21" i="1" s="1"/>
  <c r="M56" i="1" l="1"/>
  <c r="H15" i="1"/>
  <c r="K15" i="1" s="1"/>
  <c r="M15" i="1" s="1"/>
  <c r="H21" i="1"/>
  <c r="K21" i="1" s="1"/>
  <c r="M21" i="1" s="1"/>
  <c r="J25" i="1"/>
  <c r="I25" i="1" s="1"/>
  <c r="J38" i="1"/>
  <c r="I38" i="1" s="1"/>
  <c r="H25" i="1" l="1"/>
  <c r="K25" i="1" s="1"/>
  <c r="L25" i="1"/>
  <c r="L38" i="1"/>
  <c r="L29" i="1" s="1"/>
  <c r="H38" i="1"/>
  <c r="K38" i="1" s="1"/>
  <c r="K29" i="1" s="1"/>
  <c r="M25" i="1" l="1"/>
  <c r="M38" i="1"/>
  <c r="M29" i="1" s="1"/>
  <c r="J16" i="1"/>
  <c r="H16" i="1" s="1"/>
  <c r="K16" i="1" s="1"/>
  <c r="J17" i="1"/>
  <c r="H17" i="1" s="1"/>
  <c r="K17" i="1" s="1"/>
  <c r="J18" i="1"/>
  <c r="I18" i="1" s="1"/>
  <c r="L18" i="1" s="1"/>
  <c r="J19" i="1"/>
  <c r="H19" i="1" s="1"/>
  <c r="K19" i="1" s="1"/>
  <c r="J22" i="1"/>
  <c r="H22" i="1" s="1"/>
  <c r="K22" i="1" s="1"/>
  <c r="J23" i="1"/>
  <c r="I23" i="1" s="1"/>
  <c r="L23" i="1" s="1"/>
  <c r="J28" i="1"/>
  <c r="I28" i="1" s="1"/>
  <c r="L28" i="1" s="1"/>
  <c r="J57" i="1"/>
  <c r="I57" i="1" s="1"/>
  <c r="L57" i="1" s="1"/>
  <c r="L55" i="1" s="1"/>
  <c r="J13" i="1"/>
  <c r="I13" i="1" s="1"/>
  <c r="L13" i="1" s="1"/>
  <c r="L12" i="1" s="1"/>
  <c r="G22" i="2" l="1"/>
  <c r="H22" i="2"/>
  <c r="H23" i="1"/>
  <c r="K23" i="1" s="1"/>
  <c r="I16" i="1"/>
  <c r="L16" i="1" s="1"/>
  <c r="I17" i="1"/>
  <c r="L17" i="1" s="1"/>
  <c r="M17" i="1" s="1"/>
  <c r="H18" i="1"/>
  <c r="K18" i="1" s="1"/>
  <c r="K14" i="1" s="1"/>
  <c r="I19" i="1"/>
  <c r="L19" i="1" s="1"/>
  <c r="M19" i="1" s="1"/>
  <c r="I22" i="1"/>
  <c r="L22" i="1" s="1"/>
  <c r="M22" i="1" s="1"/>
  <c r="H28" i="1"/>
  <c r="K28" i="1" s="1"/>
  <c r="M28" i="1" s="1"/>
  <c r="H57" i="1"/>
  <c r="K57" i="1" s="1"/>
  <c r="K55" i="1" s="1"/>
  <c r="H13" i="1"/>
  <c r="K13" i="1" s="1"/>
  <c r="K12" i="1" s="1"/>
  <c r="L14" i="1" l="1"/>
  <c r="D24" i="2"/>
  <c r="F24" i="2"/>
  <c r="E24" i="2"/>
  <c r="I24" i="2" s="1"/>
  <c r="L24" i="1"/>
  <c r="K24" i="1"/>
  <c r="L20" i="1"/>
  <c r="M23" i="1"/>
  <c r="M20" i="1" s="1"/>
  <c r="G16" i="2" s="1"/>
  <c r="K20" i="1"/>
  <c r="M18" i="1"/>
  <c r="M16" i="1"/>
  <c r="M57" i="1"/>
  <c r="M55" i="1" s="1"/>
  <c r="M24" i="1"/>
  <c r="M13" i="1"/>
  <c r="M12" i="1" s="1"/>
  <c r="K58" i="1" l="1"/>
  <c r="L58" i="1"/>
  <c r="M58" i="1"/>
  <c r="D34" i="2"/>
  <c r="H34" i="2" s="1"/>
  <c r="M14" i="1"/>
  <c r="G20" i="2"/>
  <c r="E16" i="2"/>
  <c r="I16" i="2" s="1"/>
  <c r="D16" i="2"/>
  <c r="H16" i="2" s="1"/>
  <c r="F16" i="2"/>
  <c r="N40" i="1" l="1"/>
  <c r="N36" i="1"/>
  <c r="N41" i="1"/>
  <c r="N42" i="1"/>
  <c r="N44" i="1"/>
  <c r="N45" i="1"/>
  <c r="N50" i="1"/>
  <c r="N54" i="1"/>
  <c r="N48" i="1"/>
  <c r="N49" i="1"/>
  <c r="N46" i="1"/>
  <c r="N52" i="1"/>
  <c r="G12" i="2"/>
  <c r="H12" i="2"/>
  <c r="I12" i="2"/>
  <c r="N51" i="1"/>
  <c r="G34" i="2"/>
  <c r="I34" i="2"/>
  <c r="F34" i="2"/>
  <c r="E34" i="2"/>
  <c r="E20" i="2"/>
  <c r="I20" i="2" s="1"/>
  <c r="F20" i="2"/>
  <c r="D20" i="2"/>
  <c r="H20" i="2" s="1"/>
  <c r="F22" i="2"/>
  <c r="G14" i="2"/>
  <c r="E12" i="2"/>
  <c r="D12" i="2"/>
  <c r="F12" i="2"/>
  <c r="N53" i="1" l="1"/>
  <c r="N43" i="1"/>
  <c r="N34" i="1"/>
  <c r="N47" i="1"/>
  <c r="N39" i="1"/>
  <c r="N30" i="1"/>
  <c r="N33" i="1"/>
  <c r="N35" i="1"/>
  <c r="N32" i="1"/>
  <c r="N26" i="1"/>
  <c r="N31" i="1"/>
  <c r="D14" i="2"/>
  <c r="H14" i="2" s="1"/>
  <c r="N37" i="1"/>
  <c r="D22" i="2"/>
  <c r="E22" i="2"/>
  <c r="I22" i="2" s="1"/>
  <c r="N27" i="1"/>
  <c r="N14" i="1"/>
  <c r="F14" i="2"/>
  <c r="E14" i="2"/>
  <c r="I14" i="2" s="1"/>
  <c r="N13" i="1"/>
  <c r="N38" i="1"/>
  <c r="N15" i="1"/>
  <c r="N57" i="1"/>
  <c r="N12" i="1"/>
  <c r="N18" i="1"/>
  <c r="N23" i="1"/>
  <c r="N25" i="1"/>
  <c r="N22" i="1"/>
  <c r="N56" i="1"/>
  <c r="N55" i="1"/>
  <c r="N24" i="1"/>
  <c r="N16" i="1"/>
  <c r="N21" i="1"/>
  <c r="N29" i="1"/>
  <c r="N20" i="1"/>
  <c r="N19" i="1"/>
  <c r="N28" i="1"/>
  <c r="N17" i="1"/>
  <c r="N58" i="1" l="1"/>
</calcChain>
</file>

<file path=xl/sharedStrings.xml><?xml version="1.0" encoding="utf-8"?>
<sst xmlns="http://schemas.openxmlformats.org/spreadsheetml/2006/main" count="608" uniqueCount="250">
  <si>
    <t>PLANILHA ORÇAMENTÁRIA</t>
  </si>
  <si>
    <t>Item</t>
  </si>
  <si>
    <t>Código</t>
  </si>
  <si>
    <t>Banco</t>
  </si>
  <si>
    <t>Descrição</t>
  </si>
  <si>
    <t>1.1</t>
  </si>
  <si>
    <t>SERVIÇOS TÉCNICOS</t>
  </si>
  <si>
    <t>1.1.1</t>
  </si>
  <si>
    <t>Próprio</t>
  </si>
  <si>
    <t>ADMINISTRAÇÃO DE OBRA/MÊS</t>
  </si>
  <si>
    <t>1.2</t>
  </si>
  <si>
    <t>SERVIÇOS INICIAIS</t>
  </si>
  <si>
    <t>1.2.1</t>
  </si>
  <si>
    <t>1.2.2</t>
  </si>
  <si>
    <t>1.2.3</t>
  </si>
  <si>
    <t>1.2.5</t>
  </si>
  <si>
    <t>SINAPI</t>
  </si>
  <si>
    <t>EXECUÇÃO DE DEPÓSITO EM CANTEIRO DE OBRA EM CHAPA DE MADEIRA COMPENSADA, NÃO INCLUSO MOBILIÁRIO. AF_04/2016</t>
  </si>
  <si>
    <t>LOCACAO CONVENCIONAL DE OBRA, UTILIZANDO GABARITO DE TÁBUAS CORRIDAS PONTALETADAS A CADA 2,00M - 2 UTILIZAÇÕES. AF_10/2018</t>
  </si>
  <si>
    <t>PLACA DE OBRA EM CHAPA DE AÇO GALVANIZADO</t>
  </si>
  <si>
    <t>2.1.1</t>
  </si>
  <si>
    <t>ENSECADEIRA</t>
  </si>
  <si>
    <t>2.2</t>
  </si>
  <si>
    <t>2.2.1</t>
  </si>
  <si>
    <t>2.2.2</t>
  </si>
  <si>
    <t>FABRICAÇÃO, MONTAGEM E DESMONTAGEM DE FÔRMA PARA SAPATA, EM MADEIRA SERRADA, E=25 MM, 1 UTILIZAÇÃO. AF_06/2017</t>
  </si>
  <si>
    <t>CONCRETAGEM DE SAPATAS, FCK 30 MPA, COM USO DE BOMBA  LANÇAMENTO, ADENSAMENTO E ACABAMENTO. AF_11/2016</t>
  </si>
  <si>
    <t>3.1</t>
  </si>
  <si>
    <t>3.2</t>
  </si>
  <si>
    <t>SERVIÇOS FINAIS</t>
  </si>
  <si>
    <t>LIMPEZA FINAL DA OBRA</t>
  </si>
  <si>
    <t>und</t>
  </si>
  <si>
    <t>m²</t>
  </si>
  <si>
    <t>H</t>
  </si>
  <si>
    <t>M²</t>
  </si>
  <si>
    <t>KG</t>
  </si>
  <si>
    <t>M2</t>
  </si>
  <si>
    <t>M3</t>
  </si>
  <si>
    <t>M</t>
  </si>
  <si>
    <t>Quant.</t>
  </si>
  <si>
    <t>Valor Unit</t>
  </si>
  <si>
    <t>M. O.</t>
  </si>
  <si>
    <t>MAT.</t>
  </si>
  <si>
    <t>Total</t>
  </si>
  <si>
    <t>Valor Unit com BDI</t>
  </si>
  <si>
    <t>Peso (%)</t>
  </si>
  <si>
    <t>BDI</t>
  </si>
  <si>
    <t>TOTAIS</t>
  </si>
  <si>
    <t>M2CR CONSTRUTORA E SERVIÇOS LTDA</t>
  </si>
  <si>
    <t xml:space="preserve">Rua Antonio Bonetto, 49, Desvio Rizzo, Caxias do Sul - RS </t>
  </si>
  <si>
    <t>CEP 95110-535 - Fone 54 3451 1132 - CNPJ 48.576.740/0001-05</t>
  </si>
  <si>
    <t>E-mail: financeiro.rmj@gmail.com</t>
  </si>
  <si>
    <t>Responsavel técnico</t>
  </si>
  <si>
    <t>Rafael Pompermayer</t>
  </si>
  <si>
    <t>CREA 109.125</t>
  </si>
  <si>
    <t>CRONOGRAMA FISICO FINANCEIRO</t>
  </si>
  <si>
    <t>Total Por Etapa</t>
  </si>
  <si>
    <t>60 DIAS</t>
  </si>
  <si>
    <t>GUINDASTE HIDRÁULICO AUTOPROPELIDO, COM LANÇA TELESCÓPICA 28,80 M, CAPACIDADE MÁXIMA 30 T, POTÊNCIA 97 KW, TRAÇÃO 4 X 4 - CHP DIURNO. AF_11/2014</t>
  </si>
  <si>
    <t>FABRICAÇÃO DE FÔRMA PARA PILARES E ESTRUTURAS SIMILARES, EM CHAPA DE MADEIRA COMPENSADA PLASTIFICADA, E = 18 MM. AF_09/2020</t>
  </si>
  <si>
    <t>CONCRETAGEM DE PILARES, FCK = 25 MPA, COM USO DE BOMBA - LANÇAMENTO, ADENSAMENTO E ACABAMENTO. AF_02/2022_PS</t>
  </si>
  <si>
    <t>CONCRETAGEM DE VIGAS E LAJES, FCK=25 MPA, PARA LAJES PREMOLDADAS COM USO DE BOMBA - LANÇAMENTO, ADENSAMENTO E ACABAMENTO. AF_02/2022_PS</t>
  </si>
  <si>
    <t>2.1</t>
  </si>
  <si>
    <t>2.3</t>
  </si>
  <si>
    <t>2.4</t>
  </si>
  <si>
    <t>2.5</t>
  </si>
  <si>
    <t>367 + composição própria</t>
  </si>
  <si>
    <t>SINAPI/Próprio</t>
  </si>
  <si>
    <t>FORNECIMENTO DE AREIA ENSACADA  EM SACO RESISTENTE E PERMEÁVEL PARA EXECUÇÃO DE BARREIRA HIDRÁULICA, INCLUIDO DISTRIBUIÇÃO E INSTALAÇÃO EM ÁGUA</t>
  </si>
  <si>
    <t>UNID</t>
  </si>
  <si>
    <t>ESGOTAMENTO DE VALA COM BOMBA SUBMERSÍVEL. AF_12/2022 (  3 BOMBAS)</t>
  </si>
  <si>
    <t>1.2.4</t>
  </si>
  <si>
    <t>MOBILIZAÇÃO CANTEIRO DE OBRAS</t>
  </si>
  <si>
    <t>VB</t>
  </si>
  <si>
    <t xml:space="preserve"> composição própria</t>
  </si>
  <si>
    <t>DESMOBILIZAÇÃO</t>
  </si>
  <si>
    <t>EXECUÇÃO DE CHUMBADOR   - PERFURAÇÃO EQUIPAMENTO MANUAL E ARAMADURA DIÂMETRO 16 + CHUMBADOR QUÍMICO</t>
  </si>
  <si>
    <t>2.1.2</t>
  </si>
  <si>
    <t>2.1.3</t>
  </si>
  <si>
    <t>2.3.1</t>
  </si>
  <si>
    <t>2.3.2</t>
  </si>
  <si>
    <t>2.4.1</t>
  </si>
  <si>
    <t>2.4.2</t>
  </si>
  <si>
    <t>2.4.3</t>
  </si>
  <si>
    <t>COMPOSIÇÕES</t>
  </si>
  <si>
    <t>Engenheiro Civil</t>
  </si>
  <si>
    <t>Secretária/Estragiário</t>
  </si>
  <si>
    <t>Material expediente ( material escritório + telefone)</t>
  </si>
  <si>
    <t>Mês</t>
  </si>
  <si>
    <t>Desolocamento ao local da obra ( veículo + combustível)</t>
  </si>
  <si>
    <t>Incidência período</t>
  </si>
  <si>
    <t>%</t>
  </si>
  <si>
    <t>diária</t>
  </si>
  <si>
    <t>Desolocamento caminhão toco - frete local</t>
  </si>
  <si>
    <t>Km</t>
  </si>
  <si>
    <t>Pedágios</t>
  </si>
  <si>
    <t>unid</t>
  </si>
  <si>
    <t>Chapa carregamento e descarregamento</t>
  </si>
  <si>
    <t>Diária motorista (alimentação, repouso, lanche)</t>
  </si>
  <si>
    <t>Seriviço gáfico</t>
  </si>
  <si>
    <t>Adesivo</t>
  </si>
  <si>
    <t>horas</t>
  </si>
  <si>
    <t>m³</t>
  </si>
  <si>
    <t xml:space="preserve">Areia grossa </t>
  </si>
  <si>
    <t>Saco rafia entenulho</t>
  </si>
  <si>
    <t>Servente</t>
  </si>
  <si>
    <t>hora</t>
  </si>
  <si>
    <t>Servente instalação</t>
  </si>
  <si>
    <t>Servente enchimento</t>
  </si>
  <si>
    <t>Encarregado</t>
  </si>
  <si>
    <t>cotação</t>
  </si>
  <si>
    <t>Placa em PVC</t>
  </si>
  <si>
    <t>Kg</t>
  </si>
  <si>
    <t>Pedreiro</t>
  </si>
  <si>
    <t xml:space="preserve">Incidência </t>
  </si>
  <si>
    <t>Ferramentas e equipamentos</t>
  </si>
  <si>
    <t>Vassoura</t>
  </si>
  <si>
    <t>ADESIVO ESTRUTURAL A BASE DE RESINA EPOXI PARA INJECAO EM TRINCAS,BICOMPONENTE, BAIXA VISCOSIDADE</t>
  </si>
  <si>
    <t>OPERADOR DE MARTELETE OU MARTELETEIRO (HORISTA)</t>
  </si>
  <si>
    <t>ENTRADA DE ENERGIA ELÉTRICA, AÉREA, TRIFÁSICA, COM CAIXA DE SOBREPOR,CABO DE 10 MM2 E DISJUNTOR DIN 50A (NÃO INCLUSO O POSTE DE CONCRETO).AF_07/2020_PS</t>
  </si>
  <si>
    <t>ESCAVAÇÃO MECANIZADA PARA BLOCO DE COROAMENTO OU SAPATA COM RETROESCAVADEIRA (SEM ESCAVAÇÃO PARA COLOCAÇÃO DE FÔRMAS). AF_01/2024</t>
  </si>
  <si>
    <t>M³</t>
  </si>
  <si>
    <t>BASE INFRAESTRUTURA</t>
  </si>
  <si>
    <t>2.5.1</t>
  </si>
  <si>
    <t>2.5.2</t>
  </si>
  <si>
    <t>2.5.3</t>
  </si>
  <si>
    <t>ARMAÇÃO PARA EXECUÇÃO DE RADIER, PISO DE CONCRETO OU LAJE SOBRE SOLO, COM USO DE TELA Q-159. AF_09/2021</t>
  </si>
  <si>
    <t>Igrejinha, 29 de junho de 2024</t>
  </si>
  <si>
    <t>30 DIAS</t>
  </si>
  <si>
    <t>90 DIAS</t>
  </si>
  <si>
    <t>120 DIAS</t>
  </si>
  <si>
    <t>OBRA:</t>
  </si>
  <si>
    <t>EXECUÇÃO DE CHUMBADOR   - PERFURAÇÃO EQUIPAMENTO MANUAL E ARAMADURA DIÂMETRO 12.5 + CHUMBADOR QUÍMICO</t>
  </si>
  <si>
    <t>Vergalhão CA50 12.5 mm</t>
  </si>
  <si>
    <t>2.2.3</t>
  </si>
  <si>
    <t>2.2.4</t>
  </si>
  <si>
    <t>IMPERMEABILIZAÇÃO</t>
  </si>
  <si>
    <t>IMPERMEABILIZAÇÃO DE SUPERFÍCIE COM EMULSÃO ASFÁLTICA, 2 DEMÃOS. AF_09/2023</t>
  </si>
  <si>
    <t>2.6.1</t>
  </si>
  <si>
    <t>TRANSPORTE COM CAMINHÃO BASCULANTE DE 6 M³, EM VIA URBANA EM LEITO NATURAL (UNIDADE: M3XKM). AF_07/2020</t>
  </si>
  <si>
    <t>M3XKM</t>
  </si>
  <si>
    <t>PEDRA DE MAO OU PEDRA RACHAO PARA ARRIMO/FUNDACAO (POSTO PEDREIRA/FORNECEDOR, SEM FRETE)</t>
  </si>
  <si>
    <t>DRENAGEM</t>
  </si>
  <si>
    <t>2.7.1</t>
  </si>
  <si>
    <t>GEOTÊXTIL NÃO TECIDO 100% POLIÉSTER, RESISTÊNCIA A TRAÇÃO DE 14 KN/M (RT - 14), INSTALADO EM DRENO - FORNECIMENTO E INSTALAÇÃO. AF_07/2021</t>
  </si>
  <si>
    <t>UND</t>
  </si>
  <si>
    <t>2.8.1</t>
  </si>
  <si>
    <t>MURO EM PEDRA</t>
  </si>
  <si>
    <t>LASTRO COM MATERIAL GRANULAR (PEDRA BRITADA N.3), APLICADO EM PISOS OU LAJES SOBRE SOLO, ESPESSURA DE *10 CM*. AF_01/2024</t>
  </si>
  <si>
    <t>BASE LIGAÇÃO</t>
  </si>
  <si>
    <t>2.3.3</t>
  </si>
  <si>
    <t>FABRICAÇÃO, MONTAGEM E DESMONTAGEM DE FORMA PARA RADIER, PISO DE CONCROU LAJE SOBRE SOLO, EM MADEIRA SERRADA, 4 UTILIZAÇÕES. AF_09/2021</t>
  </si>
  <si>
    <t>2.3.4</t>
  </si>
  <si>
    <t>92759</t>
  </si>
  <si>
    <t>ARMAÇÃO DE PILAR OU VIGA DE ESTRUTURA CONVENCIONAL DE CONCRETO ARMADO UTILIZANDO AÇO CA-60 DE 5,0 MM - MONTAGEM. AF_06/2022</t>
  </si>
  <si>
    <t>ARMAÇÃO DE PILAR OU VIGA DE ESTRUTURA CONVENCIONAL DE CONCRETO ARMADO UTILIZANDO AÇO CA-50 DE 6,3 MM - MONTAGEM. AF_06/2022</t>
  </si>
  <si>
    <t>ARMAÇÃO DE PILAR OU VIGA DE ESTRUTURA CONVENCIONAL DE CONCRETO ARMADO UTILIZANDO AÇO CA-50 DE 8,0 MM - MONTAGEM. AF_06/2022</t>
  </si>
  <si>
    <t>92760</t>
  </si>
  <si>
    <t>92761</t>
  </si>
  <si>
    <t>ARMAÇÃO DE PILAR OU VIGA DE ESTRUTURA CONVENCIONAL DE CONCRETO ARMADO UTILIZANDO AÇO CA-50 DE 10,0 MM - MONTAGEM. AF_06/2022</t>
  </si>
  <si>
    <t>92762</t>
  </si>
  <si>
    <t>92764</t>
  </si>
  <si>
    <t>ARMAÇÃO DE PILAR OU VIGA DE ESTRUTURA CONVENCIONAL DE CONCRETO ARMADO UTILIZANDO AÇO CA-50 DE 16,0 MM - MONTAGEM. AF_06/2022</t>
  </si>
  <si>
    <t>2.6.2</t>
  </si>
  <si>
    <t>2.6.3</t>
  </si>
  <si>
    <t>150 DIAS</t>
  </si>
  <si>
    <t>180 DIAS</t>
  </si>
  <si>
    <t>m</t>
  </si>
  <si>
    <t>REFORÇO DE FUNDAÇÃO ABAIXO DO GABIÃO</t>
  </si>
  <si>
    <t>CONTENÇÃO COM TIRANTES</t>
  </si>
  <si>
    <t>2.6</t>
  </si>
  <si>
    <t>2.3.5</t>
  </si>
  <si>
    <t>2.3.6</t>
  </si>
  <si>
    <t>2.3.7</t>
  </si>
  <si>
    <t>2.3.8</t>
  </si>
  <si>
    <t>2.3.9</t>
  </si>
  <si>
    <t>Rua Antonio Bonetto, 49, Desvio Rizzo, Caxias do Sul - RS</t>
  </si>
  <si>
    <t>COMPOSIÇÃO BDI - SERVIÇOS</t>
  </si>
  <si>
    <t>TIPO DE OBRA</t>
  </si>
  <si>
    <t>OBRAS PORTUÁRIAS, MARÍTMAS E FLUVIAIS</t>
  </si>
  <si>
    <t>REGIME DE CONTRIBUIÇÃO PREVIDENCIÁRIA</t>
  </si>
  <si>
    <t>NÃO DESONERADO</t>
  </si>
  <si>
    <t>ESTIMATIVA DE PERCENTUAL DA BASE DE CÁLCULO PARA O ISS</t>
  </si>
  <si>
    <t>ALÍQUOTA ISS</t>
  </si>
  <si>
    <t>ITENS</t>
  </si>
  <si>
    <t>SIGLAS</t>
  </si>
  <si>
    <t>% ADOTADO</t>
  </si>
  <si>
    <t>1º QUARTIL</t>
  </si>
  <si>
    <t>MÉDIO</t>
  </si>
  <si>
    <t>3º QUARTIL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</si>
  <si>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</si>
  <si>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</si>
  <si>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</si>
  <si>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</si>
  <si>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</si>
  <si>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</si>
  <si>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</si>
  <si>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</si>
  <si>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</si>
  <si>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</si>
  <si>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(COFINS = 3,00% E PIS = 0,65%)</t>
  </si>
  <si>
    <t>CP</t>
  </si>
  <si>
    <t>IMPOSTO SOBRE SERVIÇOS (ISS)</t>
  </si>
  <si>
    <t>ISS</t>
  </si>
  <si>
    <t>BDI SEM DESONERAÇÃO (FÓRMULA ACÓRDÃO TCU)</t>
  </si>
  <si>
    <t>BDI PAD</t>
  </si>
  <si>
    <t>O VALOR DO BDI FOI CALCULADO COM O EMPREGO DA SEGUINTE FÓRMULA:</t>
  </si>
  <si>
    <t>DECLARO, PARA OS DEVIDOS FINS, QUE, CONFORME LEGISLAÇÃO TRIBUTÁRIA MUNICIPAL, A BASE DE CÁLCULO PARA ESTA OBRA É DE 0,20%, COM A RESPECTIVA ALÍQUOTA DE 0,03%. A BASE DE CÁLCULO FOI OBTIDA ATRAVÉS DA MÉDIA PONDERADA DOS PERCENTUAIS DE MÃO DE OBRA E DE MATERIAL DE CADA SERVIÇO DA PLANILHA ORÇAMENTÁRIA.</t>
  </si>
  <si>
    <t>SINAPI MÊS BASE 02/2025</t>
  </si>
  <si>
    <t>mês</t>
  </si>
  <si>
    <t>LOCACAO DE CONTAINER 2,30 X 4,30 M, ALT. 2,50 M, P/ SANITARIO, C/ 5 BACIAS, 1 LAVATORIO E 4 MICTORIOS (NAO INCLUI MOBILIZACAO/DESMOBILIZACAO)</t>
  </si>
  <si>
    <t>LOCACAO DE CONTAINER 2,30 X 6,00 M, ALT. 2,50 M, PARA ESCRITORIO, SEM DIVISORIAS INTERNAS E SEM SANITARIO (NAO INCLUI MOBILIZACAO/DESMOBILIZACAO)</t>
  </si>
  <si>
    <t>m2</t>
  </si>
  <si>
    <t>ENSECADEIRA - INSTALAÇÃO</t>
  </si>
  <si>
    <t>FORNECIMENTO DE PEDRA DETONADA PARA EXECUÇÃO DA ENSECADEIRA</t>
  </si>
  <si>
    <t>m3</t>
  </si>
  <si>
    <t>ENSECADEIRA - REMOÇÃO</t>
  </si>
  <si>
    <t>Igrejinha, 20 de março de 2025</t>
  </si>
  <si>
    <t>3.3</t>
  </si>
  <si>
    <t>3.4</t>
  </si>
  <si>
    <t>4.1</t>
  </si>
  <si>
    <t>4.2</t>
  </si>
  <si>
    <t>5.1</t>
  </si>
  <si>
    <t>5.2</t>
  </si>
  <si>
    <t>5.3</t>
  </si>
  <si>
    <t>5.4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</si>
  <si>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</si>
  <si>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</si>
  <si>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</si>
  <si>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</si>
  <si>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</si>
  <si>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</si>
  <si>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</si>
  <si>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</si>
  <si>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</si>
  <si>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7.1</t>
  </si>
  <si>
    <t>7.2</t>
  </si>
  <si>
    <t>7.3</t>
  </si>
  <si>
    <t>8.1</t>
  </si>
  <si>
    <t>8.2</t>
  </si>
  <si>
    <t>8.3</t>
  </si>
  <si>
    <t>9.1</t>
  </si>
  <si>
    <t>9.2</t>
  </si>
  <si>
    <t>9.3</t>
  </si>
  <si>
    <t>10.1</t>
  </si>
  <si>
    <t>11.1</t>
  </si>
  <si>
    <t>12.1</t>
  </si>
  <si>
    <t>12.2</t>
  </si>
  <si>
    <t>Igrejinha, 15 de janeiro de 2025</t>
  </si>
  <si>
    <t>EXECUÇÃO DE REFORÇO SOBRE GABIÕES E BASE (META 07)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</si>
</sst>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-* #,##0.0000_-;\-* #,##0.0000_-;_-* &quot;-&quot;??_-;_-@_-"/>
    <numFmt numFmtId="166" formatCode="_-* #,##0.000_-;\-* #,##0.000_-;_-* &quot;-&quot;??_-;_-@_-"/>
    <numFmt numFmtId="167" formatCode="0.0"/>
    <numFmt numFmtId="168" formatCode="_-* #,##0.00_-;\-* #,##0.00_-;_-* \-??_-;_-@_-"/>
  </numFmts>
  <fonts count="2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sz val="11"/>
      <color rgb="FFFF0000"/>
      <name val="Calibri"/>
      <family val="2"/>
    </font>
    <font>
      <b/>
      <sz val="11"/>
      <name val="Calibri"/>
      <family val="2"/>
    </font>
    <font>
      <sz val="11"/>
      <color indexed="63"/>
      <name val="Arial"/>
      <family val="2"/>
      <charset val="1"/>
    </font>
    <font>
      <b/>
      <sz val="18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4"/>
      <color indexed="63"/>
      <name val="Arial"/>
      <family val="2"/>
    </font>
    <font>
      <b/>
      <sz val="12"/>
      <color indexed="63"/>
      <name val="Arial"/>
      <family val="2"/>
    </font>
    <font>
      <b/>
      <sz val="14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/>
    <xf numFmtId="9" fontId="9" fillId="0" borderId="0"/>
    <xf numFmtId="0" fontId="18" fillId="0" borderId="0"/>
    <xf numFmtId="168" fontId="18" fillId="0" borderId="0" applyBorder="0" applyAlignment="0" applyProtection="0"/>
  </cellStyleXfs>
  <cellXfs count="18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43" fontId="0" fillId="0" borderId="1" xfId="1" applyFont="1" applyBorder="1"/>
    <xf numFmtId="164" fontId="0" fillId="0" borderId="1" xfId="2" applyFont="1" applyBorder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right"/>
    </xf>
    <xf numFmtId="164" fontId="0" fillId="0" borderId="0" xfId="0" applyNumberFormat="1"/>
    <xf numFmtId="0" fontId="3" fillId="0" borderId="0" xfId="0" applyFont="1"/>
    <xf numFmtId="0" fontId="3" fillId="0" borderId="0" xfId="0" applyFont="1" applyAlignment="1">
      <alignment wrapText="1"/>
    </xf>
    <xf numFmtId="9" fontId="0" fillId="0" borderId="1" xfId="3" applyFont="1" applyBorder="1"/>
    <xf numFmtId="10" fontId="0" fillId="0" borderId="1" xfId="3" applyNumberFormat="1" applyFont="1" applyBorder="1"/>
    <xf numFmtId="164" fontId="2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3" fontId="0" fillId="0" borderId="0" xfId="1" applyFont="1" applyBorder="1"/>
    <xf numFmtId="165" fontId="0" fillId="0" borderId="1" xfId="1" applyNumberFormat="1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44" fontId="0" fillId="0" borderId="0" xfId="0" applyNumberFormat="1"/>
    <xf numFmtId="43" fontId="0" fillId="0" borderId="0" xfId="0" applyNumberFormat="1"/>
    <xf numFmtId="166" fontId="0" fillId="0" borderId="1" xfId="1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164" fontId="5" fillId="0" borderId="1" xfId="2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0" fillId="0" borderId="0" xfId="2" applyFont="1"/>
    <xf numFmtId="0" fontId="2" fillId="0" borderId="0" xfId="0" applyFont="1"/>
    <xf numFmtId="0" fontId="2" fillId="2" borderId="1" xfId="0" applyFont="1" applyFill="1" applyBorder="1"/>
    <xf numFmtId="10" fontId="2" fillId="2" borderId="1" xfId="3" applyNumberFormat="1" applyFont="1" applyFill="1" applyBorder="1" applyAlignment="1"/>
    <xf numFmtId="10" fontId="6" fillId="0" borderId="0" xfId="3" applyNumberFormat="1" applyFont="1"/>
    <xf numFmtId="43" fontId="0" fillId="0" borderId="1" xfId="1" applyFont="1" applyBorder="1" applyAlignment="1">
      <alignment horizontal="center" vertical="center"/>
    </xf>
    <xf numFmtId="164" fontId="0" fillId="0" borderId="1" xfId="2" applyFont="1" applyBorder="1" applyAlignment="1">
      <alignment horizontal="center" vertical="center"/>
    </xf>
    <xf numFmtId="164" fontId="0" fillId="0" borderId="3" xfId="2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2" applyFont="1" applyBorder="1" applyAlignment="1">
      <alignment horizontal="center" vertical="center"/>
    </xf>
    <xf numFmtId="164" fontId="5" fillId="0" borderId="3" xfId="2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10" fontId="2" fillId="2" borderId="1" xfId="3" applyNumberFormat="1" applyFont="1" applyFill="1" applyBorder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10" fontId="5" fillId="0" borderId="1" xfId="3" applyNumberFormat="1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9" fontId="2" fillId="2" borderId="1" xfId="3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2" applyFont="1" applyBorder="1" applyAlignment="1">
      <alignment horizontal="right"/>
    </xf>
    <xf numFmtId="0" fontId="2" fillId="0" borderId="0" xfId="0" applyFont="1" applyAlignment="1">
      <alignment horizont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3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4" xfId="0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3" fontId="2" fillId="0" borderId="1" xfId="1" applyFont="1" applyBorder="1"/>
    <xf numFmtId="164" fontId="2" fillId="0" borderId="1" xfId="2" applyFont="1" applyBorder="1"/>
    <xf numFmtId="0" fontId="2" fillId="0" borderId="1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164" fontId="8" fillId="2" borderId="4" xfId="0" applyNumberFormat="1" applyFont="1" applyFill="1" applyBorder="1" applyAlignment="1">
      <alignment horizontal="center" vertical="center"/>
    </xf>
    <xf numFmtId="10" fontId="8" fillId="2" borderId="1" xfId="3" applyNumberFormat="1" applyFont="1" applyFill="1" applyBorder="1" applyAlignment="1">
      <alignment horizontal="center" vertical="center"/>
    </xf>
    <xf numFmtId="167" fontId="2" fillId="2" borderId="1" xfId="0" applyNumberFormat="1" applyFont="1" applyFill="1" applyBorder="1" applyAlignment="1">
      <alignment horizontal="center" vertical="center"/>
    </xf>
    <xf numFmtId="0" fontId="11" fillId="0" borderId="5" xfId="5" applyFont="1" applyBorder="1" applyAlignment="1" applyProtection="1">
      <alignment horizontal="left" vertical="center" indent="10"/>
      <protection hidden="1"/>
    </xf>
    <xf numFmtId="0" fontId="11" fillId="0" borderId="0" xfId="5" applyFont="1" applyAlignment="1" applyProtection="1">
      <alignment horizontal="left" vertical="center" indent="10"/>
      <protection hidden="1"/>
    </xf>
    <xf numFmtId="0" fontId="13" fillId="0" borderId="5" xfId="5" applyFont="1" applyBorder="1" applyAlignment="1" applyProtection="1">
      <alignment horizontal="left" vertical="center" indent="10"/>
      <protection hidden="1"/>
    </xf>
    <xf numFmtId="0" fontId="13" fillId="0" borderId="0" xfId="5" applyFont="1" applyAlignment="1" applyProtection="1">
      <alignment horizontal="left" vertical="center" indent="10"/>
      <protection hidden="1"/>
    </xf>
    <xf numFmtId="0" fontId="11" fillId="0" borderId="5" xfId="5" applyFont="1" applyBorder="1" applyAlignment="1" applyProtection="1">
      <alignment horizontal="center" vertical="center"/>
      <protection hidden="1"/>
    </xf>
    <xf numFmtId="0" fontId="11" fillId="0" borderId="0" xfId="5" applyFont="1" applyAlignment="1" applyProtection="1">
      <alignment horizontal="center" vertical="center"/>
      <protection hidden="1"/>
    </xf>
    <xf numFmtId="0" fontId="11" fillId="0" borderId="0" xfId="5" applyFont="1" applyAlignment="1">
      <alignment horizontal="left" vertical="center"/>
    </xf>
    <xf numFmtId="0" fontId="15" fillId="0" borderId="0" xfId="5" applyFont="1" applyAlignment="1">
      <alignment horizontal="center" vertical="center"/>
    </xf>
    <xf numFmtId="0" fontId="16" fillId="0" borderId="5" xfId="5" applyFont="1" applyBorder="1" applyAlignment="1" applyProtection="1">
      <alignment horizontal="center" vertical="center"/>
      <protection hidden="1"/>
    </xf>
    <xf numFmtId="0" fontId="16" fillId="0" borderId="0" xfId="5" applyFont="1" applyAlignment="1" applyProtection="1">
      <alignment horizontal="center" vertical="center"/>
      <protection hidden="1"/>
    </xf>
    <xf numFmtId="0" fontId="11" fillId="0" borderId="3" xfId="5" applyFont="1" applyBorder="1" applyAlignment="1">
      <alignment horizontal="left" vertical="center" indent="1"/>
    </xf>
    <xf numFmtId="0" fontId="11" fillId="0" borderId="4" xfId="5" applyFont="1" applyBorder="1" applyAlignment="1">
      <alignment horizontal="center" vertical="center"/>
    </xf>
    <xf numFmtId="0" fontId="15" fillId="0" borderId="4" xfId="5" applyFont="1" applyBorder="1" applyAlignment="1">
      <alignment vertical="center"/>
    </xf>
    <xf numFmtId="0" fontId="11" fillId="0" borderId="0" xfId="5" applyFont="1" applyAlignment="1">
      <alignment horizontal="left" vertical="center" indent="1"/>
    </xf>
    <xf numFmtId="0" fontId="15" fillId="0" borderId="4" xfId="5" applyFont="1" applyBorder="1" applyAlignment="1">
      <alignment vertical="center" wrapText="1"/>
    </xf>
    <xf numFmtId="0" fontId="11" fillId="0" borderId="4" xfId="5" applyFont="1" applyBorder="1" applyAlignment="1">
      <alignment horizontal="left" vertical="center"/>
    </xf>
    <xf numFmtId="0" fontId="11" fillId="0" borderId="0" xfId="5" applyFont="1" applyAlignment="1">
      <alignment horizontal="center" vertical="center"/>
    </xf>
    <xf numFmtId="0" fontId="11" fillId="0" borderId="0" xfId="5" applyFont="1" applyAlignment="1">
      <alignment horizontal="center" vertical="center" wrapText="1"/>
    </xf>
    <xf numFmtId="0" fontId="17" fillId="0" borderId="1" xfId="7" applyFont="1" applyBorder="1" applyAlignment="1">
      <alignment horizontal="center" vertical="center"/>
    </xf>
    <xf numFmtId="4" fontId="17" fillId="0" borderId="1" xfId="7" applyNumberFormat="1" applyFont="1" applyBorder="1" applyAlignment="1">
      <alignment horizontal="center" vertical="center" wrapText="1"/>
    </xf>
    <xf numFmtId="4" fontId="17" fillId="0" borderId="0" xfId="7" applyNumberFormat="1" applyFont="1" applyAlignment="1">
      <alignment horizontal="center" vertical="center" wrapText="1"/>
    </xf>
    <xf numFmtId="0" fontId="19" fillId="0" borderId="1" xfId="7" applyFont="1" applyBorder="1" applyAlignment="1">
      <alignment horizontal="center" vertical="center"/>
    </xf>
    <xf numFmtId="10" fontId="19" fillId="4" borderId="1" xfId="7" applyNumberFormat="1" applyFont="1" applyFill="1" applyBorder="1" applyAlignment="1" applyProtection="1">
      <alignment horizontal="center" vertical="center"/>
      <protection locked="0"/>
    </xf>
    <xf numFmtId="10" fontId="19" fillId="0" borderId="0" xfId="7" applyNumberFormat="1" applyFont="1" applyAlignment="1" applyProtection="1">
      <alignment horizontal="center" vertical="center"/>
      <protection locked="0"/>
    </xf>
    <xf numFmtId="10" fontId="19" fillId="0" borderId="1" xfId="6" applyNumberFormat="1" applyFont="1" applyBorder="1" applyAlignment="1" applyProtection="1">
      <alignment horizontal="center" vertical="center"/>
      <protection hidden="1"/>
    </xf>
    <xf numFmtId="0" fontId="11" fillId="0" borderId="1" xfId="5" applyFont="1" applyBorder="1" applyAlignment="1">
      <alignment horizontal="center" vertical="center"/>
    </xf>
    <xf numFmtId="10" fontId="19" fillId="0" borderId="1" xfId="7" applyNumberFormat="1" applyFont="1" applyBorder="1" applyAlignment="1">
      <alignment horizontal="center" vertical="center"/>
    </xf>
    <xf numFmtId="0" fontId="15" fillId="5" borderId="1" xfId="5" applyFont="1" applyFill="1" applyBorder="1" applyAlignment="1">
      <alignment horizontal="center" vertical="center"/>
    </xf>
    <xf numFmtId="10" fontId="20" fillId="5" borderId="1" xfId="6" applyNumberFormat="1" applyFont="1" applyFill="1" applyBorder="1" applyAlignment="1">
      <alignment horizontal="center" vertical="center"/>
    </xf>
    <xf numFmtId="10" fontId="21" fillId="0" borderId="0" xfId="6" applyNumberFormat="1" applyFont="1" applyAlignment="1">
      <alignment horizontal="center" vertical="center"/>
    </xf>
    <xf numFmtId="10" fontId="17" fillId="0" borderId="1" xfId="6" applyNumberFormat="1" applyFont="1" applyBorder="1" applyAlignment="1" applyProtection="1">
      <alignment horizontal="center" vertical="center"/>
      <protection hidden="1"/>
    </xf>
    <xf numFmtId="0" fontId="11" fillId="0" borderId="13" xfId="5" applyFont="1" applyBorder="1" applyAlignment="1">
      <alignment horizontal="center" vertical="center"/>
    </xf>
    <xf numFmtId="10" fontId="19" fillId="0" borderId="13" xfId="6" applyNumberFormat="1" applyFont="1" applyBorder="1" applyAlignment="1">
      <alignment horizontal="center" vertical="center"/>
    </xf>
    <xf numFmtId="0" fontId="19" fillId="0" borderId="0" xfId="5" applyFont="1" applyAlignment="1">
      <alignment horizontal="center" vertical="center"/>
    </xf>
    <xf numFmtId="0" fontId="19" fillId="0" borderId="0" xfId="5" applyFont="1" applyAlignment="1">
      <alignment horizontal="center" vertical="center" wrapText="1"/>
    </xf>
    <xf numFmtId="168" fontId="19" fillId="0" borderId="0" xfId="8" applyFont="1" applyBorder="1" applyAlignment="1">
      <alignment horizontal="center" vertical="center"/>
    </xf>
    <xf numFmtId="0" fontId="19" fillId="0" borderId="0" xfId="5" applyFont="1" applyAlignment="1" applyProtection="1">
      <alignment horizontal="center" vertical="center"/>
      <protection hidden="1"/>
    </xf>
    <xf numFmtId="168" fontId="22" fillId="0" borderId="0" xfId="8" applyFont="1" applyBorder="1" applyAlignment="1">
      <alignment vertical="center"/>
    </xf>
    <xf numFmtId="0" fontId="17" fillId="0" borderId="0" xfId="5" applyFont="1" applyAlignment="1">
      <alignment horizontal="center" vertical="center"/>
    </xf>
    <xf numFmtId="0" fontId="17" fillId="0" borderId="0" xfId="5" applyFont="1" applyAlignment="1">
      <alignment vertical="center"/>
    </xf>
    <xf numFmtId="0" fontId="19" fillId="0" borderId="0" xfId="5" applyFont="1" applyAlignment="1">
      <alignment vertical="center"/>
    </xf>
    <xf numFmtId="168" fontId="11" fillId="0" borderId="0" xfId="8" applyFont="1" applyBorder="1" applyAlignment="1">
      <alignment vertical="center"/>
    </xf>
    <xf numFmtId="168" fontId="11" fillId="0" borderId="0" xfId="8" applyFont="1" applyBorder="1" applyAlignment="1">
      <alignment horizontal="center" vertical="center"/>
    </xf>
    <xf numFmtId="4" fontId="11" fillId="0" borderId="0" xfId="5" applyNumberFormat="1" applyFont="1" applyAlignment="1">
      <alignment horizontal="center" vertical="center"/>
    </xf>
    <xf numFmtId="4" fontId="11" fillId="0" borderId="0" xfId="5" applyNumberFormat="1" applyFont="1" applyAlignment="1" applyProtection="1">
      <alignment horizontal="center" vertical="center"/>
      <protection hidden="1"/>
    </xf>
    <xf numFmtId="164" fontId="0" fillId="6" borderId="1" xfId="2" applyFont="1" applyFill="1" applyBorder="1" applyAlignment="1">
      <alignment horizontal="center" vertical="center"/>
    </xf>
    <xf numFmtId="164" fontId="5" fillId="6" borderId="1" xfId="2" applyFont="1" applyFill="1" applyBorder="1" applyAlignment="1">
      <alignment horizontal="center" vertical="center"/>
    </xf>
    <xf numFmtId="164" fontId="1" fillId="0" borderId="1" xfId="2" applyBorder="1" applyAlignment="1" applyProtection="1">
      <alignment horizontal="center" vertical="center"/>
    </xf>
    <xf numFmtId="164" fontId="1" fillId="0" borderId="3" xfId="2" applyBorder="1" applyAlignment="1" applyProtection="1">
      <alignment horizontal="center" vertical="center"/>
    </xf>
    <xf numFmtId="0" fontId="8" fillId="0" borderId="0" xfId="0" applyFont="1" applyAlignment="1">
      <alignment horizontal="center"/>
    </xf>
    <xf numFmtId="10" fontId="5" fillId="0" borderId="0" xfId="3" applyNumberFormat="1" applyFont="1"/>
    <xf numFmtId="43" fontId="5" fillId="0" borderId="1" xfId="1" applyFont="1" applyFill="1" applyBorder="1" applyAlignment="1">
      <alignment horizontal="center" vertical="center"/>
    </xf>
    <xf numFmtId="164" fontId="5" fillId="0" borderId="1" xfId="2" applyFont="1" applyFill="1" applyBorder="1" applyAlignment="1">
      <alignment horizontal="center" vertical="center"/>
    </xf>
    <xf numFmtId="164" fontId="0" fillId="0" borderId="1" xfId="2" applyFont="1" applyFill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/>
    </xf>
    <xf numFmtId="164" fontId="24" fillId="0" borderId="1" xfId="2" applyFont="1" applyFill="1" applyBorder="1" applyAlignment="1" applyProtection="1">
      <alignment horizontal="center" vertical="center"/>
    </xf>
    <xf numFmtId="43" fontId="1" fillId="0" borderId="1" xfId="1" applyFill="1" applyBorder="1" applyAlignment="1" applyProtection="1">
      <alignment horizontal="center" vertical="center"/>
    </xf>
    <xf numFmtId="164" fontId="1" fillId="0" borderId="1" xfId="2" applyFill="1" applyBorder="1" applyAlignment="1" applyProtection="1">
      <alignment horizontal="center" vertical="center"/>
    </xf>
    <xf numFmtId="0" fontId="23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9" fillId="0" borderId="1" xfId="7" applyFont="1" applyBorder="1" applyAlignment="1">
      <alignment horizontal="left" vertical="center" indent="1"/>
    </xf>
    <xf numFmtId="0" fontId="10" fillId="0" borderId="8" xfId="5" applyFont="1" applyBorder="1" applyAlignment="1">
      <alignment horizontal="center" vertical="center"/>
    </xf>
    <xf numFmtId="0" fontId="10" fillId="0" borderId="13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0" borderId="5" xfId="5" applyFont="1" applyBorder="1" applyAlignment="1">
      <alignment horizontal="center" vertical="center"/>
    </xf>
    <xf numFmtId="0" fontId="12" fillId="0" borderId="0" xfId="5" applyFont="1" applyAlignment="1">
      <alignment horizontal="center" vertical="center"/>
    </xf>
    <xf numFmtId="0" fontId="12" fillId="0" borderId="12" xfId="5" applyFont="1" applyBorder="1" applyAlignment="1">
      <alignment horizontal="center" vertical="center"/>
    </xf>
    <xf numFmtId="0" fontId="14" fillId="0" borderId="5" xfId="5" applyFont="1" applyBorder="1" applyAlignment="1">
      <alignment horizontal="center" vertical="center"/>
    </xf>
    <xf numFmtId="0" fontId="14" fillId="0" borderId="0" xfId="5" applyFont="1" applyAlignment="1">
      <alignment horizontal="center" vertical="center"/>
    </xf>
    <xf numFmtId="0" fontId="14" fillId="0" borderId="12" xfId="5" applyFont="1" applyBorder="1" applyAlignment="1">
      <alignment horizontal="center" vertical="center"/>
    </xf>
    <xf numFmtId="0" fontId="12" fillId="0" borderId="1" xfId="5" applyFont="1" applyBorder="1" applyAlignment="1">
      <alignment horizontal="center" vertical="center"/>
    </xf>
    <xf numFmtId="17" fontId="17" fillId="3" borderId="4" xfId="5" applyNumberFormat="1" applyFont="1" applyFill="1" applyBorder="1" applyAlignment="1">
      <alignment horizontal="center" vertical="center" wrapText="1"/>
    </xf>
    <xf numFmtId="0" fontId="17" fillId="3" borderId="4" xfId="5" applyFont="1" applyFill="1" applyBorder="1" applyAlignment="1">
      <alignment horizontal="center" vertical="center" wrapText="1"/>
    </xf>
    <xf numFmtId="0" fontId="17" fillId="3" borderId="2" xfId="5" applyFont="1" applyFill="1" applyBorder="1" applyAlignment="1">
      <alignment horizontal="center" vertical="center" wrapText="1"/>
    </xf>
    <xf numFmtId="17" fontId="17" fillId="0" borderId="4" xfId="5" applyNumberFormat="1" applyFont="1" applyBorder="1" applyAlignment="1">
      <alignment horizontal="center" vertical="center" wrapText="1"/>
    </xf>
    <xf numFmtId="0" fontId="17" fillId="0" borderId="4" xfId="5" applyFont="1" applyBorder="1" applyAlignment="1">
      <alignment horizontal="center" vertical="center" wrapText="1"/>
    </xf>
    <xf numFmtId="0" fontId="17" fillId="0" borderId="2" xfId="5" applyFont="1" applyBorder="1" applyAlignment="1">
      <alignment horizontal="center" vertical="center" wrapText="1"/>
    </xf>
    <xf numFmtId="10" fontId="17" fillId="0" borderId="4" xfId="6" applyNumberFormat="1" applyFont="1" applyBorder="1" applyAlignment="1">
      <alignment horizontal="center" vertical="center"/>
    </xf>
    <xf numFmtId="10" fontId="17" fillId="0" borderId="2" xfId="6" applyNumberFormat="1" applyFont="1" applyBorder="1" applyAlignment="1">
      <alignment horizontal="center" vertical="center"/>
    </xf>
    <xf numFmtId="0" fontId="17" fillId="0" borderId="3" xfId="7" applyFont="1" applyBorder="1" applyAlignment="1">
      <alignment horizontal="center" vertical="center"/>
    </xf>
    <xf numFmtId="0" fontId="17" fillId="0" borderId="2" xfId="7" applyFont="1" applyBorder="1" applyAlignment="1">
      <alignment horizontal="center" vertical="center"/>
    </xf>
    <xf numFmtId="0" fontId="19" fillId="0" borderId="3" xfId="7" applyFont="1" applyBorder="1" applyAlignment="1">
      <alignment horizontal="left" vertical="center" indent="1"/>
    </xf>
    <xf numFmtId="0" fontId="19" fillId="0" borderId="2" xfId="7" applyFont="1" applyBorder="1" applyAlignment="1">
      <alignment horizontal="left" vertical="center" indent="1"/>
    </xf>
    <xf numFmtId="0" fontId="11" fillId="0" borderId="0" xfId="5" applyFont="1" applyAlignment="1">
      <alignment vertical="center"/>
    </xf>
    <xf numFmtId="0" fontId="11" fillId="0" borderId="0" xfId="5" applyFont="1" applyAlignment="1">
      <alignment horizontal="justify" vertical="justify" wrapText="1"/>
    </xf>
    <xf numFmtId="0" fontId="17" fillId="5" borderId="1" xfId="7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9">
    <cellStyle name="Moeda" xfId="2" builtinId="4"/>
    <cellStyle name="Normal" xfId="0" builtinId="0"/>
    <cellStyle name="Normal 2" xfId="5"/>
    <cellStyle name="Normal 2 2" xfId="7"/>
    <cellStyle name="Porcentagem" xfId="3" builtinId="5"/>
    <cellStyle name="Porcentagem 2" xfId="6"/>
    <cellStyle name="Vírgula" xfId="1" builtinId="3"/>
    <cellStyle name="Vírgula 2" xfId="4"/>
    <cellStyle name="Vírgula 2 2" xf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946679</xdr:colOff>
      <xdr:row>26</xdr:row>
      <xdr:rowOff>256064</xdr:rowOff>
    </xdr:from>
    <xdr:ext cx="5171853" cy="71884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SpPr txBox="1"/>
          </xdr:nvSpPr>
          <xdr:spPr>
            <a:xfrm>
              <a:off x="2651654" y="8476139"/>
              <a:ext cx="5171853" cy="7188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600" b="0" i="1">
                        <a:latin typeface="Cambria Math" panose="02040503050406030204" pitchFamily="18" charset="0"/>
                      </a:rPr>
                      <m:t>𝐵𝐷𝐼</m:t>
                    </m:r>
                    <m:r>
                      <a:rPr lang="pt-BR" sz="16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pt-BR" sz="1600" b="0" i="1">
                        <a:latin typeface="Cambria Math" panose="02040503050406030204" pitchFamily="18" charset="0"/>
                      </a:rPr>
                      <m:t>𝑃𝐴𝐷</m:t>
                    </m:r>
                    <m:r>
                      <a:rPr lang="pt-BR" sz="160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pt-BR" sz="16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pt-BR" sz="1600" b="0" i="1">
                            <a:latin typeface="Cambria Math" panose="02040503050406030204" pitchFamily="18" charset="0"/>
                          </a:rPr>
                          <m:t>(1+</m:t>
                        </m:r>
                        <m:r>
                          <a:rPr lang="pt-BR" sz="1600" b="0" i="1">
                            <a:latin typeface="Cambria Math" panose="02040503050406030204" pitchFamily="18" charset="0"/>
                          </a:rPr>
                          <m:t>𝐴𝐶</m:t>
                        </m:r>
                        <m:r>
                          <a:rPr lang="pt-BR" sz="16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pt-BR" sz="1600" b="0" i="1">
                            <a:latin typeface="Cambria Math" panose="02040503050406030204" pitchFamily="18" charset="0"/>
                          </a:rPr>
                          <m:t>𝑆𝐺</m:t>
                        </m:r>
                        <m:r>
                          <a:rPr lang="pt-BR" sz="16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pt-BR" sz="1600" b="0" i="1">
                            <a:latin typeface="Cambria Math" panose="02040503050406030204" pitchFamily="18" charset="0"/>
                          </a:rPr>
                          <m:t>𝑅</m:t>
                        </m:r>
                        <m:r>
                          <a:rPr lang="pt-BR" sz="1600" b="0" i="1">
                            <a:latin typeface="Cambria Math" panose="02040503050406030204" pitchFamily="18" charset="0"/>
                          </a:rPr>
                          <m:t>)×(1+</m:t>
                        </m:r>
                        <m:r>
                          <a:rPr lang="pt-BR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𝐷𝐹</m:t>
                        </m:r>
                        <m:r>
                          <a:rPr lang="pt-BR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)×(1+</m:t>
                        </m:r>
                        <m:r>
                          <a:rPr lang="pt-BR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𝐿</m:t>
                        </m:r>
                        <m:r>
                          <a:rPr lang="pt-BR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)</m:t>
                        </m:r>
                      </m:num>
                      <m:den>
                        <m:r>
                          <a:rPr lang="pt-BR" sz="1600" b="0" i="1">
                            <a:latin typeface="Cambria Math" panose="02040503050406030204" pitchFamily="18" charset="0"/>
                          </a:rPr>
                          <m:t>(1−</m:t>
                        </m:r>
                        <m:r>
                          <a:rPr lang="pt-BR" sz="1600" b="0" i="1">
                            <a:latin typeface="Cambria Math" panose="02040503050406030204" pitchFamily="18" charset="0"/>
                          </a:rPr>
                          <m:t>𝐶𝑃</m:t>
                        </m:r>
                        <m:r>
                          <a:rPr lang="pt-BR" sz="16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pt-BR" sz="1600" b="0" i="1">
                            <a:latin typeface="Cambria Math" panose="02040503050406030204" pitchFamily="18" charset="0"/>
                          </a:rPr>
                          <m:t>𝐼𝑆𝑆</m:t>
                        </m:r>
                        <m:r>
                          <a:rPr lang="pt-BR" sz="1600" b="0" i="1">
                            <a:latin typeface="Cambria Math" panose="02040503050406030204" pitchFamily="18" charset="0"/>
                          </a:rPr>
                          <m:t>)</m:t>
                        </m:r>
                      </m:den>
                    </m:f>
                    <m:r>
                      <a:rPr lang="pt-BR" sz="1600" b="0" i="1">
                        <a:latin typeface="Cambria Math" panose="02040503050406030204" pitchFamily="18" charset="0"/>
                      </a:rPr>
                      <m:t>−1</m:t>
                    </m:r>
                  </m:oMath>
                </m:oMathPara>
              </a14:m>
              <a:endParaRPr lang="pt-BR" sz="1600"/>
            </a:p>
          </xdr:txBody>
        </xdr:sp>
      </mc:Choice>
      <mc:Fallback xmlns="">
        <xdr:sp macro="" textlink="">
          <xdr:nvSpPr>
            <xdr:cNvPr id="2" name="CaixaDeTexto 1"/>
            <xdr:cNvSpPr txBox="1"/>
          </xdr:nvSpPr>
          <xdr:spPr>
            <a:xfrm>
              <a:off x="2651654" y="8476139"/>
              <a:ext cx="5171853" cy="7188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:r>
                <a:rPr lang="pt-BR" sz="1600" b="0" i="0">
                  <a:latin typeface="Cambria Math" panose="02040503050406030204" pitchFamily="18" charset="0"/>
                </a:rPr>
                <a:t>𝐵𝐷𝐼 𝑃𝐴𝐷</a:t>
              </a:r>
              <a:r>
                <a:rPr lang="pt-BR" sz="1600" i="0">
                  <a:latin typeface="Cambria Math" panose="02040503050406030204" pitchFamily="18" charset="0"/>
                </a:rPr>
                <a:t>=(</a:t>
              </a:r>
              <a:r>
                <a:rPr lang="pt-BR" sz="1600" b="0" i="0">
                  <a:latin typeface="Cambria Math" panose="02040503050406030204" pitchFamily="18" charset="0"/>
                </a:rPr>
                <a:t>(1+𝐴𝐶+𝑆𝐺+𝑅)×(1+</a:t>
              </a:r>
              <a:r>
                <a:rPr lang="pt-BR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𝐷𝐹)×(1+𝐿))/(</a:t>
              </a:r>
              <a:r>
                <a:rPr lang="pt-BR" sz="1600" b="0" i="0">
                  <a:latin typeface="Cambria Math" panose="02040503050406030204" pitchFamily="18" charset="0"/>
                </a:rPr>
                <a:t>(1−𝐶𝑃−𝐼𝑆𝑆))−1</a:t>
              </a:r>
              <a:endParaRPr lang="pt-BR" sz="16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3"/>
  <sheetViews>
    <sheetView tabSelected="1" topLeftCell="A47" zoomScale="70" zoomScaleNormal="70" workbookViewId="0">
      <selection activeCell="M26" sqref="M26"/>
    </sheetView>
  </sheetViews>
  <sheetFormatPr defaultRowHeight="15" x14ac:dyDescent="0.25"/>
  <cols>
    <col min="2" max="2" width="18.28515625" customWidth="1"/>
    <col min="3" max="3" width="11.5703125" customWidth="1"/>
    <col min="4" max="4" width="73.7109375" bestFit="1" customWidth="1"/>
    <col min="6" max="6" width="18.140625" customWidth="1"/>
    <col min="7" max="7" width="17.5703125" customWidth="1"/>
    <col min="8" max="8" width="14.5703125" bestFit="1" customWidth="1"/>
    <col min="9" max="9" width="14.28515625" bestFit="1" customWidth="1"/>
    <col min="10" max="10" width="14.5703125" bestFit="1" customWidth="1"/>
    <col min="11" max="11" width="20.140625" bestFit="1" customWidth="1"/>
    <col min="12" max="13" width="21.7109375" bestFit="1" customWidth="1"/>
    <col min="14" max="14" width="11.7109375" bestFit="1" customWidth="1"/>
    <col min="15" max="15" width="12.85546875" customWidth="1"/>
    <col min="16" max="16" width="15.42578125" bestFit="1" customWidth="1"/>
  </cols>
  <sheetData>
    <row r="1" spans="1:14" ht="20.100000000000001" customHeight="1" x14ac:dyDescent="0.25">
      <c r="A1" s="143" t="s">
        <v>48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</row>
    <row r="2" spans="1:14" ht="20.100000000000001" customHeight="1" x14ac:dyDescent="0.25">
      <c r="A2" s="143" t="s">
        <v>49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</row>
    <row r="3" spans="1:14" ht="20.100000000000001" customHeight="1" x14ac:dyDescent="0.25">
      <c r="A3" s="144" t="s">
        <v>50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</row>
    <row r="4" spans="1:14" ht="20.100000000000001" customHeight="1" x14ac:dyDescent="0.25">
      <c r="A4" s="143" t="s">
        <v>51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</row>
    <row r="5" spans="1:14" ht="14.25" customHeight="1" x14ac:dyDescent="0.25">
      <c r="A5" s="54"/>
      <c r="B5" s="54"/>
      <c r="C5" s="54"/>
      <c r="D5" s="54"/>
      <c r="E5" s="54"/>
      <c r="F5" s="54"/>
      <c r="G5" s="54"/>
      <c r="H5" s="54"/>
      <c r="I5" s="132"/>
      <c r="J5" s="54"/>
      <c r="K5" s="54"/>
      <c r="L5" s="54"/>
      <c r="M5" s="54"/>
      <c r="N5" s="54"/>
    </row>
    <row r="6" spans="1:14" x14ac:dyDescent="0.25">
      <c r="A6" s="31" t="s">
        <v>131</v>
      </c>
      <c r="B6" t="s">
        <v>249</v>
      </c>
      <c r="I6" s="26"/>
    </row>
    <row r="7" spans="1:14" ht="9.75" customHeight="1" x14ac:dyDescent="0.25">
      <c r="H7" s="7"/>
      <c r="I7" s="133">
        <f>N8</f>
        <v>0.24729999999999999</v>
      </c>
    </row>
    <row r="8" spans="1:14" x14ac:dyDescent="0.25">
      <c r="A8" s="145" t="s">
        <v>0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7"/>
      <c r="M8" s="32" t="s">
        <v>46</v>
      </c>
      <c r="N8" s="33">
        <f>'BDI SERVIÇOS'!D24</f>
        <v>0.24729999999999999</v>
      </c>
    </row>
    <row r="10" spans="1:14" x14ac:dyDescent="0.25">
      <c r="A10" s="142" t="s">
        <v>1</v>
      </c>
      <c r="B10" s="142" t="s">
        <v>2</v>
      </c>
      <c r="C10" s="142" t="s">
        <v>3</v>
      </c>
      <c r="D10" s="142" t="s">
        <v>4</v>
      </c>
      <c r="E10" s="142" t="s">
        <v>31</v>
      </c>
      <c r="F10" s="142" t="s">
        <v>39</v>
      </c>
      <c r="G10" s="142" t="s">
        <v>40</v>
      </c>
      <c r="H10" s="142" t="s">
        <v>44</v>
      </c>
      <c r="I10" s="142"/>
      <c r="J10" s="142"/>
      <c r="K10" s="142" t="s">
        <v>43</v>
      </c>
      <c r="L10" s="142"/>
      <c r="M10" s="148"/>
      <c r="N10" s="142" t="s">
        <v>45</v>
      </c>
    </row>
    <row r="11" spans="1:14" x14ac:dyDescent="0.25">
      <c r="A11" s="142"/>
      <c r="B11" s="142"/>
      <c r="C11" s="142"/>
      <c r="D11" s="142"/>
      <c r="E11" s="142"/>
      <c r="F11" s="142"/>
      <c r="G11" s="142"/>
      <c r="H11" s="28" t="s">
        <v>41</v>
      </c>
      <c r="I11" s="28" t="s">
        <v>42</v>
      </c>
      <c r="J11" s="28" t="s">
        <v>43</v>
      </c>
      <c r="K11" s="28" t="s">
        <v>41</v>
      </c>
      <c r="L11" s="28" t="s">
        <v>42</v>
      </c>
      <c r="M11" s="29" t="s">
        <v>43</v>
      </c>
      <c r="N11" s="142"/>
    </row>
    <row r="12" spans="1:14" x14ac:dyDescent="0.25">
      <c r="A12" s="28">
        <v>1</v>
      </c>
      <c r="B12" s="29"/>
      <c r="C12" s="42"/>
      <c r="D12" s="50" t="s">
        <v>6</v>
      </c>
      <c r="E12" s="43"/>
      <c r="F12" s="43"/>
      <c r="G12" s="43"/>
      <c r="H12" s="43"/>
      <c r="I12" s="43"/>
      <c r="J12" s="43"/>
      <c r="K12" s="44">
        <f t="shared" ref="K12:L12" si="0">K13</f>
        <v>31232.392000000007</v>
      </c>
      <c r="L12" s="44">
        <f t="shared" si="0"/>
        <v>7808.0980000000018</v>
      </c>
      <c r="M12" s="44">
        <f>M13</f>
        <v>39040.490000000005</v>
      </c>
      <c r="N12" s="45">
        <f>+M12/$M$63</f>
        <v>0.11077221056431001</v>
      </c>
    </row>
    <row r="13" spans="1:14" x14ac:dyDescent="0.25">
      <c r="A13" s="17" t="s">
        <v>5</v>
      </c>
      <c r="B13" s="5">
        <v>542</v>
      </c>
      <c r="C13" s="17" t="s">
        <v>8</v>
      </c>
      <c r="D13" s="51" t="s">
        <v>9</v>
      </c>
      <c r="E13" s="17" t="s">
        <v>209</v>
      </c>
      <c r="F13" s="137">
        <v>6</v>
      </c>
      <c r="G13" s="136">
        <f>Composições!H18</f>
        <v>5216.666666666667</v>
      </c>
      <c r="H13" s="36">
        <f>J13*0.8</f>
        <v>5205.3986666666679</v>
      </c>
      <c r="I13" s="36">
        <f>J13*0.2</f>
        <v>1301.349666666667</v>
      </c>
      <c r="J13" s="36">
        <f>G13*$I$7+G13</f>
        <v>6506.7483333333339</v>
      </c>
      <c r="K13" s="36">
        <f>H13*F13</f>
        <v>31232.392000000007</v>
      </c>
      <c r="L13" s="36">
        <f>I13*F13</f>
        <v>7808.0980000000018</v>
      </c>
      <c r="M13" s="37">
        <f>K13+L13</f>
        <v>39040.490000000005</v>
      </c>
      <c r="N13" s="46">
        <f>+M13/$M$63</f>
        <v>0.11077221056431001</v>
      </c>
    </row>
    <row r="14" spans="1:14" x14ac:dyDescent="0.25">
      <c r="A14" s="28">
        <v>2</v>
      </c>
      <c r="B14" s="29"/>
      <c r="C14" s="42"/>
      <c r="D14" s="50" t="s">
        <v>11</v>
      </c>
      <c r="E14" s="43"/>
      <c r="F14" s="43"/>
      <c r="G14" s="43"/>
      <c r="H14" s="43"/>
      <c r="I14" s="43"/>
      <c r="J14" s="43"/>
      <c r="K14" s="44">
        <f>SUM(K15:K20)</f>
        <v>6209.7534351390004</v>
      </c>
      <c r="L14" s="44">
        <f>SUM(L15:L20)</f>
        <v>24839.013740556002</v>
      </c>
      <c r="M14" s="44">
        <f>SUM(M15:M20)</f>
        <v>31048.767175695008</v>
      </c>
      <c r="N14" s="45">
        <f>+M14/$M$63</f>
        <v>8.8096757375440829E-2</v>
      </c>
    </row>
    <row r="15" spans="1:14" ht="30" x14ac:dyDescent="0.25">
      <c r="A15" s="17" t="s">
        <v>62</v>
      </c>
      <c r="B15" s="16" t="s">
        <v>74</v>
      </c>
      <c r="C15" s="17" t="s">
        <v>8</v>
      </c>
      <c r="D15" s="51" t="s">
        <v>72</v>
      </c>
      <c r="E15" s="17" t="s">
        <v>73</v>
      </c>
      <c r="F15" s="137">
        <v>1</v>
      </c>
      <c r="G15" s="136">
        <f>Composições!H26</f>
        <v>2999</v>
      </c>
      <c r="H15" s="36">
        <f>J15*0.2</f>
        <v>748.13054000000011</v>
      </c>
      <c r="I15" s="36">
        <f>J15*0.8</f>
        <v>2992.5221600000004</v>
      </c>
      <c r="J15" s="36">
        <f>G15*$I$7+G15</f>
        <v>3740.6527000000001</v>
      </c>
      <c r="K15" s="36">
        <f t="shared" ref="K15:K33" si="1">H15*F15</f>
        <v>748.13054000000011</v>
      </c>
      <c r="L15" s="36">
        <f t="shared" ref="L15:L33" si="2">I15*F15</f>
        <v>2992.5221600000004</v>
      </c>
      <c r="M15" s="37">
        <f t="shared" ref="M15:M33" si="3">K15+L15</f>
        <v>3740.6527000000006</v>
      </c>
      <c r="N15" s="46">
        <f>+M15/$M$63</f>
        <v>1.0613605734260886E-2</v>
      </c>
    </row>
    <row r="16" spans="1:14" ht="30" x14ac:dyDescent="0.25">
      <c r="A16" s="17" t="s">
        <v>22</v>
      </c>
      <c r="B16" s="17">
        <v>10779</v>
      </c>
      <c r="C16" s="17" t="s">
        <v>16</v>
      </c>
      <c r="D16" s="51" t="s">
        <v>210</v>
      </c>
      <c r="E16" s="17" t="s">
        <v>209</v>
      </c>
      <c r="F16" s="139">
        <v>6</v>
      </c>
      <c r="G16" s="140">
        <v>1375</v>
      </c>
      <c r="H16" s="130">
        <f t="shared" ref="H16:H17" si="4">J16*0.2</f>
        <v>343.00749999999999</v>
      </c>
      <c r="I16" s="130">
        <f t="shared" ref="I16:I17" si="5">J16*0.8</f>
        <v>1372.03</v>
      </c>
      <c r="J16" s="130">
        <f t="shared" ref="J16:J17" si="6">G16*$I$7+G16</f>
        <v>1715.0374999999999</v>
      </c>
      <c r="K16" s="130">
        <f t="shared" si="1"/>
        <v>2058.0450000000001</v>
      </c>
      <c r="L16" s="130">
        <f t="shared" si="2"/>
        <v>8232.18</v>
      </c>
      <c r="M16" s="131">
        <f t="shared" si="3"/>
        <v>10290.225</v>
      </c>
      <c r="N16" s="46">
        <f t="shared" ref="N16:N20" si="7">+M16/$M$63</f>
        <v>2.9197148151934745E-2</v>
      </c>
    </row>
    <row r="17" spans="1:16" ht="45" x14ac:dyDescent="0.25">
      <c r="A17" s="17" t="s">
        <v>63</v>
      </c>
      <c r="B17" s="17">
        <v>10776</v>
      </c>
      <c r="C17" s="17" t="s">
        <v>16</v>
      </c>
      <c r="D17" s="141" t="s">
        <v>211</v>
      </c>
      <c r="E17" s="17" t="s">
        <v>209</v>
      </c>
      <c r="F17" s="139">
        <v>6</v>
      </c>
      <c r="G17" s="140">
        <v>859.37</v>
      </c>
      <c r="H17" s="130">
        <f t="shared" si="4"/>
        <v>214.37844020000003</v>
      </c>
      <c r="I17" s="130">
        <f t="shared" si="5"/>
        <v>857.51376080000011</v>
      </c>
      <c r="J17" s="130">
        <f t="shared" si="6"/>
        <v>1071.8922010000001</v>
      </c>
      <c r="K17" s="130">
        <f t="shared" si="1"/>
        <v>1286.2706412000002</v>
      </c>
      <c r="L17" s="130">
        <f t="shared" si="2"/>
        <v>5145.0825648000009</v>
      </c>
      <c r="M17" s="131">
        <f t="shared" si="3"/>
        <v>6431.3532060000016</v>
      </c>
      <c r="N17" s="46">
        <f t="shared" si="7"/>
        <v>1.8248111423511394E-2</v>
      </c>
    </row>
    <row r="18" spans="1:16" ht="45" x14ac:dyDescent="0.25">
      <c r="A18" s="17" t="s">
        <v>64</v>
      </c>
      <c r="B18" s="17">
        <v>101505</v>
      </c>
      <c r="C18" s="17" t="s">
        <v>16</v>
      </c>
      <c r="D18" s="51" t="s">
        <v>119</v>
      </c>
      <c r="E18" s="17" t="s">
        <v>145</v>
      </c>
      <c r="F18" s="137">
        <v>1</v>
      </c>
      <c r="G18" s="136">
        <v>1800.61</v>
      </c>
      <c r="H18" s="36">
        <f t="shared" ref="H18:H20" si="8">J18*0.2</f>
        <v>449.18017060000005</v>
      </c>
      <c r="I18" s="36">
        <f t="shared" ref="I18:I20" si="9">J18*0.8</f>
        <v>1796.7206824000002</v>
      </c>
      <c r="J18" s="36">
        <f>G18*$I$7+G18</f>
        <v>2245.9008530000001</v>
      </c>
      <c r="K18" s="36">
        <f t="shared" si="1"/>
        <v>449.18017060000005</v>
      </c>
      <c r="L18" s="36">
        <f t="shared" si="2"/>
        <v>1796.7206824000002</v>
      </c>
      <c r="M18" s="37">
        <f t="shared" si="3"/>
        <v>2245.9008530000001</v>
      </c>
      <c r="N18" s="46">
        <f t="shared" si="7"/>
        <v>6.372445688952148E-3</v>
      </c>
    </row>
    <row r="19" spans="1:16" ht="30" x14ac:dyDescent="0.25">
      <c r="A19" s="17" t="s">
        <v>65</v>
      </c>
      <c r="B19" s="17">
        <v>99059</v>
      </c>
      <c r="C19" s="17" t="s">
        <v>16</v>
      </c>
      <c r="D19" s="51" t="s">
        <v>18</v>
      </c>
      <c r="E19" s="17" t="s">
        <v>167</v>
      </c>
      <c r="F19" s="137">
        <f>(40*2+5.05*2)*1.05</f>
        <v>94.605000000000004</v>
      </c>
      <c r="G19" s="136">
        <v>56.75</v>
      </c>
      <c r="H19" s="36">
        <f t="shared" si="8"/>
        <v>14.156855</v>
      </c>
      <c r="I19" s="36">
        <f t="shared" si="9"/>
        <v>56.627420000000001</v>
      </c>
      <c r="J19" s="36">
        <f>G19*$I$7+G19</f>
        <v>70.784274999999994</v>
      </c>
      <c r="K19" s="36">
        <f t="shared" si="1"/>
        <v>1339.3092672750001</v>
      </c>
      <c r="L19" s="36">
        <f t="shared" si="2"/>
        <v>5357.2370691000006</v>
      </c>
      <c r="M19" s="37">
        <f t="shared" si="3"/>
        <v>6696.5463363750005</v>
      </c>
      <c r="N19" s="46">
        <f t="shared" si="7"/>
        <v>1.9000561745679684E-2</v>
      </c>
    </row>
    <row r="20" spans="1:16" x14ac:dyDescent="0.25">
      <c r="A20" s="17" t="s">
        <v>170</v>
      </c>
      <c r="B20" s="17">
        <v>103689</v>
      </c>
      <c r="C20" s="17" t="s">
        <v>16</v>
      </c>
      <c r="D20" s="51" t="s">
        <v>19</v>
      </c>
      <c r="E20" s="17" t="s">
        <v>212</v>
      </c>
      <c r="F20" s="137">
        <f>1.2*2.4</f>
        <v>2.88</v>
      </c>
      <c r="G20" s="136">
        <v>457.68</v>
      </c>
      <c r="H20" s="36">
        <f t="shared" si="8"/>
        <v>114.17285280000002</v>
      </c>
      <c r="I20" s="36">
        <f t="shared" si="9"/>
        <v>456.69141120000006</v>
      </c>
      <c r="J20" s="36">
        <f>G20*$I$7+G20</f>
        <v>570.86426400000005</v>
      </c>
      <c r="K20" s="36">
        <f t="shared" si="1"/>
        <v>328.81781606400006</v>
      </c>
      <c r="L20" s="36">
        <f t="shared" si="2"/>
        <v>1315.2712642560002</v>
      </c>
      <c r="M20" s="37">
        <f t="shared" si="3"/>
        <v>1644.0890803200002</v>
      </c>
      <c r="N20" s="46">
        <f t="shared" si="7"/>
        <v>4.6648846311019626E-3</v>
      </c>
    </row>
    <row r="21" spans="1:16" x14ac:dyDescent="0.25">
      <c r="A21" s="28">
        <v>3</v>
      </c>
      <c r="B21" s="29"/>
      <c r="C21" s="42"/>
      <c r="D21" s="50" t="s">
        <v>213</v>
      </c>
      <c r="E21" s="43"/>
      <c r="F21" s="43"/>
      <c r="G21" s="43"/>
      <c r="H21" s="43"/>
      <c r="I21" s="43"/>
      <c r="J21" s="43"/>
      <c r="K21" s="44">
        <f t="shared" ref="K21:L21" si="10">SUM(K22:K25)</f>
        <v>10245.751271200003</v>
      </c>
      <c r="L21" s="44">
        <f t="shared" si="10"/>
        <v>40983.00508480001</v>
      </c>
      <c r="M21" s="44">
        <f>SUM(M22:M25)</f>
        <v>51228.756356000013</v>
      </c>
      <c r="N21" s="45">
        <f t="shared" ref="N21:N49" si="11">+M21/$M$63</f>
        <v>0.14535479923573111</v>
      </c>
    </row>
    <row r="22" spans="1:16" ht="45" x14ac:dyDescent="0.25">
      <c r="A22" s="17" t="s">
        <v>27</v>
      </c>
      <c r="B22" s="17">
        <v>89272</v>
      </c>
      <c r="C22" s="17" t="s">
        <v>16</v>
      </c>
      <c r="D22" s="51" t="s">
        <v>58</v>
      </c>
      <c r="E22" s="17" t="s">
        <v>33</v>
      </c>
      <c r="F22" s="137">
        <f>(40+5*2)</f>
        <v>50</v>
      </c>
      <c r="G22" s="136">
        <v>236.54</v>
      </c>
      <c r="H22" s="36">
        <f>J22*0.2</f>
        <v>59.007268400000001</v>
      </c>
      <c r="I22" s="36">
        <f>J22*0.8</f>
        <v>236.0290736</v>
      </c>
      <c r="J22" s="36">
        <f t="shared" ref="J22:J25" si="12">G22*$I$7+G22</f>
        <v>295.03634199999999</v>
      </c>
      <c r="K22" s="36">
        <f t="shared" ref="K22" si="13">H22*F22</f>
        <v>2950.3634200000001</v>
      </c>
      <c r="L22" s="36">
        <f t="shared" ref="L22" si="14">I22*F22</f>
        <v>11801.453680000001</v>
      </c>
      <c r="M22" s="37">
        <f t="shared" ref="M22" si="15">K22+L22</f>
        <v>14751.8171</v>
      </c>
      <c r="N22" s="46">
        <f t="shared" si="11"/>
        <v>4.1856323780961484E-2</v>
      </c>
    </row>
    <row r="23" spans="1:16" x14ac:dyDescent="0.25">
      <c r="A23" s="17" t="s">
        <v>28</v>
      </c>
      <c r="B23" s="16">
        <v>4730</v>
      </c>
      <c r="C23" s="16" t="s">
        <v>16</v>
      </c>
      <c r="D23" s="51" t="s">
        <v>214</v>
      </c>
      <c r="E23" s="17" t="s">
        <v>215</v>
      </c>
      <c r="F23" s="139">
        <v>200</v>
      </c>
      <c r="G23" s="140">
        <v>87.29</v>
      </c>
      <c r="H23" s="36">
        <f t="shared" ref="H23:H25" si="16">J23*0.2</f>
        <v>21.775363400000003</v>
      </c>
      <c r="I23" s="36">
        <f t="shared" ref="I23:I25" si="17">J23*0.8</f>
        <v>87.101453600000013</v>
      </c>
      <c r="J23" s="36">
        <f t="shared" si="12"/>
        <v>108.876817</v>
      </c>
      <c r="K23" s="36">
        <f t="shared" si="1"/>
        <v>4355.0726800000011</v>
      </c>
      <c r="L23" s="36">
        <f t="shared" si="2"/>
        <v>17420.290720000005</v>
      </c>
      <c r="M23" s="36">
        <f t="shared" si="3"/>
        <v>21775.363400000006</v>
      </c>
      <c r="N23" s="46">
        <f t="shared" si="11"/>
        <v>6.1784704537754781E-2</v>
      </c>
      <c r="O23" s="18"/>
      <c r="P23" s="23"/>
    </row>
    <row r="24" spans="1:16" ht="30" x14ac:dyDescent="0.25">
      <c r="A24" s="17" t="s">
        <v>218</v>
      </c>
      <c r="B24" s="17">
        <v>97916</v>
      </c>
      <c r="C24" s="17" t="s">
        <v>16</v>
      </c>
      <c r="D24" s="51" t="s">
        <v>139</v>
      </c>
      <c r="E24" s="74" t="s">
        <v>140</v>
      </c>
      <c r="F24" s="139">
        <f>(F23)*1.3*2.5</f>
        <v>650</v>
      </c>
      <c r="G24" s="140">
        <v>2.64</v>
      </c>
      <c r="H24" s="130">
        <f>J24*0.2</f>
        <v>0.6585744</v>
      </c>
      <c r="I24" s="130">
        <f>J24*0.8</f>
        <v>2.6342976</v>
      </c>
      <c r="J24" s="130">
        <f>G24*$I$7+G24</f>
        <v>3.292872</v>
      </c>
      <c r="K24" s="130">
        <f>H24*F24</f>
        <v>428.07335999999998</v>
      </c>
      <c r="L24" s="130">
        <f>I24*F24</f>
        <v>1712.2934399999999</v>
      </c>
      <c r="M24" s="131">
        <f>K24+L24</f>
        <v>2140.3667999999998</v>
      </c>
      <c r="N24" s="46">
        <f t="shared" si="11"/>
        <v>6.0730068156024265E-3</v>
      </c>
    </row>
    <row r="25" spans="1:16" s="26" customFormat="1" x14ac:dyDescent="0.25">
      <c r="A25" s="17" t="s">
        <v>219</v>
      </c>
      <c r="B25" s="17">
        <v>104482</v>
      </c>
      <c r="C25" s="17" t="s">
        <v>16</v>
      </c>
      <c r="D25" s="51" t="s">
        <v>70</v>
      </c>
      <c r="E25" s="17" t="s">
        <v>33</v>
      </c>
      <c r="F25" s="137">
        <f>44*8</f>
        <v>352</v>
      </c>
      <c r="G25" s="136">
        <v>28.61</v>
      </c>
      <c r="H25" s="36">
        <f t="shared" si="16"/>
        <v>7.1370506000000011</v>
      </c>
      <c r="I25" s="36">
        <f t="shared" si="17"/>
        <v>28.548202400000005</v>
      </c>
      <c r="J25" s="36">
        <f t="shared" si="12"/>
        <v>35.685253000000003</v>
      </c>
      <c r="K25" s="36">
        <f t="shared" si="1"/>
        <v>2512.2418112000005</v>
      </c>
      <c r="L25" s="36">
        <f t="shared" si="2"/>
        <v>10048.967244800002</v>
      </c>
      <c r="M25" s="37">
        <f t="shared" si="3"/>
        <v>12561.209056000003</v>
      </c>
      <c r="N25" s="46">
        <f t="shared" si="11"/>
        <v>3.5640764101412405E-2</v>
      </c>
    </row>
    <row r="26" spans="1:16" x14ac:dyDescent="0.25">
      <c r="A26" s="28">
        <v>4</v>
      </c>
      <c r="B26" s="29"/>
      <c r="C26" s="42"/>
      <c r="D26" s="50" t="s">
        <v>216</v>
      </c>
      <c r="E26" s="43"/>
      <c r="F26" s="43"/>
      <c r="G26" s="43"/>
      <c r="H26" s="43"/>
      <c r="I26" s="43"/>
      <c r="J26" s="43"/>
      <c r="K26" s="44">
        <f>SUM(K27:K28)</f>
        <v>3378.43678</v>
      </c>
      <c r="L26" s="44">
        <f>SUM(L27:L28)</f>
        <v>13513.74712</v>
      </c>
      <c r="M26" s="44">
        <f>SUM(M27:M28)</f>
        <v>16892.1839</v>
      </c>
      <c r="N26" s="45">
        <f t="shared" si="11"/>
        <v>4.7929330596563909E-2</v>
      </c>
    </row>
    <row r="27" spans="1:16" ht="45" x14ac:dyDescent="0.25">
      <c r="A27" s="17" t="s">
        <v>220</v>
      </c>
      <c r="B27" s="17">
        <v>89272</v>
      </c>
      <c r="C27" s="17" t="s">
        <v>16</v>
      </c>
      <c r="D27" s="51" t="s">
        <v>58</v>
      </c>
      <c r="E27" s="17" t="s">
        <v>33</v>
      </c>
      <c r="F27" s="137">
        <f>(40+5*2)</f>
        <v>50</v>
      </c>
      <c r="G27" s="136">
        <v>236.54</v>
      </c>
      <c r="H27" s="36">
        <f>J27*0.2</f>
        <v>59.007268400000001</v>
      </c>
      <c r="I27" s="36">
        <f>J27*0.8</f>
        <v>236.0290736</v>
      </c>
      <c r="J27" s="36">
        <f t="shared" ref="J27" si="18">G27*$I$7+G27</f>
        <v>295.03634199999999</v>
      </c>
      <c r="K27" s="36">
        <f t="shared" ref="K27" si="19">H27*F27</f>
        <v>2950.3634200000001</v>
      </c>
      <c r="L27" s="36">
        <f t="shared" ref="L27" si="20">I27*F27</f>
        <v>11801.453680000001</v>
      </c>
      <c r="M27" s="37">
        <f t="shared" ref="M27" si="21">K27+L27</f>
        <v>14751.8171</v>
      </c>
      <c r="N27" s="46">
        <f t="shared" si="11"/>
        <v>4.1856323780961484E-2</v>
      </c>
    </row>
    <row r="28" spans="1:16" ht="30" x14ac:dyDescent="0.25">
      <c r="A28" s="17" t="s">
        <v>221</v>
      </c>
      <c r="B28" s="17">
        <v>97916</v>
      </c>
      <c r="C28" s="17" t="s">
        <v>16</v>
      </c>
      <c r="D28" s="51" t="s">
        <v>139</v>
      </c>
      <c r="E28" s="74" t="s">
        <v>140</v>
      </c>
      <c r="F28" s="139">
        <f>(F23)*1.3*2.5</f>
        <v>650</v>
      </c>
      <c r="G28" s="140">
        <v>2.64</v>
      </c>
      <c r="H28" s="130">
        <f>J28*0.2</f>
        <v>0.6585744</v>
      </c>
      <c r="I28" s="130">
        <f>J28*0.8</f>
        <v>2.6342976</v>
      </c>
      <c r="J28" s="130">
        <f>G28*$I$7+G28</f>
        <v>3.292872</v>
      </c>
      <c r="K28" s="130">
        <f>H28*F28</f>
        <v>428.07335999999998</v>
      </c>
      <c r="L28" s="130">
        <f>I28*F28</f>
        <v>1712.2934399999999</v>
      </c>
      <c r="M28" s="131">
        <f>K28+L28</f>
        <v>2140.3667999999998</v>
      </c>
      <c r="N28" s="46">
        <f t="shared" si="11"/>
        <v>6.0730068156024265E-3</v>
      </c>
    </row>
    <row r="29" spans="1:16" s="26" customFormat="1" x14ac:dyDescent="0.25">
      <c r="A29" s="28">
        <v>5</v>
      </c>
      <c r="B29" s="29"/>
      <c r="C29" s="42"/>
      <c r="D29" s="50" t="s">
        <v>122</v>
      </c>
      <c r="E29" s="43"/>
      <c r="F29" s="43"/>
      <c r="G29" s="43"/>
      <c r="H29" s="43"/>
      <c r="I29" s="43"/>
      <c r="J29" s="43"/>
      <c r="K29" s="44">
        <f>SUM(K30:K33)</f>
        <v>9503.4770167410024</v>
      </c>
      <c r="L29" s="44">
        <f>SUM(L30:L33)</f>
        <v>38013.90806696401</v>
      </c>
      <c r="M29" s="44">
        <f>SUM(M30:M33)</f>
        <v>47517.385083705005</v>
      </c>
      <c r="N29" s="45">
        <f t="shared" si="11"/>
        <v>0.13482427566758445</v>
      </c>
    </row>
    <row r="30" spans="1:16" s="26" customFormat="1" ht="45" x14ac:dyDescent="0.25">
      <c r="A30" s="25" t="s">
        <v>222</v>
      </c>
      <c r="B30" s="25">
        <v>96520</v>
      </c>
      <c r="C30" s="38" t="s">
        <v>16</v>
      </c>
      <c r="D30" s="52" t="s">
        <v>120</v>
      </c>
      <c r="E30" s="25" t="s">
        <v>121</v>
      </c>
      <c r="F30" s="134">
        <f>F19</f>
        <v>94.605000000000004</v>
      </c>
      <c r="G30" s="138">
        <v>91.09</v>
      </c>
      <c r="H30" s="39">
        <f>J30*0.2</f>
        <v>22.7233114</v>
      </c>
      <c r="I30" s="39">
        <f>J30*0.8</f>
        <v>90.8932456</v>
      </c>
      <c r="J30" s="39">
        <f>G30*$I$7+G30</f>
        <v>113.616557</v>
      </c>
      <c r="K30" s="39">
        <f t="shared" ref="K30:K31" si="22">H30*F30</f>
        <v>2149.738874997</v>
      </c>
      <c r="L30" s="39">
        <f>I30*F30</f>
        <v>8598.9554999880002</v>
      </c>
      <c r="M30" s="40">
        <f t="shared" ref="M30:M31" si="23">K30+L30</f>
        <v>10748.694374985</v>
      </c>
      <c r="N30" s="47">
        <f t="shared" si="11"/>
        <v>3.049799417469537E-2</v>
      </c>
    </row>
    <row r="31" spans="1:16" s="26" customFormat="1" ht="30" x14ac:dyDescent="0.25">
      <c r="A31" s="25" t="s">
        <v>223</v>
      </c>
      <c r="B31" s="25">
        <v>9395</v>
      </c>
      <c r="C31" s="38" t="s">
        <v>67</v>
      </c>
      <c r="D31" s="52" t="s">
        <v>76</v>
      </c>
      <c r="E31" s="25" t="s">
        <v>38</v>
      </c>
      <c r="F31" s="134">
        <f>((2.5/0.5*20/0.5))*0.4</f>
        <v>80</v>
      </c>
      <c r="G31" s="138">
        <f>G35</f>
        <v>127.41408</v>
      </c>
      <c r="H31" s="39">
        <f>J31*0.2</f>
        <v>31.784716396800004</v>
      </c>
      <c r="I31" s="39">
        <f>J31*0.8</f>
        <v>127.13886558720002</v>
      </c>
      <c r="J31" s="39">
        <f t="shared" ref="J31:J33" si="24">G31*$I$7+G31</f>
        <v>158.92358198400001</v>
      </c>
      <c r="K31" s="39">
        <f t="shared" si="22"/>
        <v>2542.7773117440001</v>
      </c>
      <c r="L31" s="39">
        <f t="shared" ref="L31" si="25">I31*F31</f>
        <v>10171.109246976001</v>
      </c>
      <c r="M31" s="40">
        <f t="shared" si="23"/>
        <v>12713.886558720002</v>
      </c>
      <c r="N31" s="47">
        <f t="shared" si="11"/>
        <v>3.6073966258448158E-2</v>
      </c>
    </row>
    <row r="32" spans="1:16" s="26" customFormat="1" ht="30" x14ac:dyDescent="0.25">
      <c r="A32" s="25" t="s">
        <v>224</v>
      </c>
      <c r="B32" s="25">
        <v>96529</v>
      </c>
      <c r="C32" s="25" t="s">
        <v>16</v>
      </c>
      <c r="D32" s="52" t="s">
        <v>25</v>
      </c>
      <c r="E32" s="25" t="s">
        <v>36</v>
      </c>
      <c r="F32" s="134">
        <f>20*1.5</f>
        <v>30</v>
      </c>
      <c r="G32" s="138">
        <v>242.37</v>
      </c>
      <c r="H32" s="39">
        <f t="shared" ref="H32:H33" si="26">J32*0.2</f>
        <v>60.461620200000006</v>
      </c>
      <c r="I32" s="39">
        <f t="shared" ref="I32:I33" si="27">J32*0.8</f>
        <v>241.84648080000002</v>
      </c>
      <c r="J32" s="39">
        <f t="shared" si="24"/>
        <v>302.30810100000002</v>
      </c>
      <c r="K32" s="39">
        <f t="shared" si="1"/>
        <v>1813.8486060000002</v>
      </c>
      <c r="L32" s="39">
        <f t="shared" si="2"/>
        <v>7255.394424000001</v>
      </c>
      <c r="M32" s="40">
        <f t="shared" si="3"/>
        <v>9069.2430300000015</v>
      </c>
      <c r="N32" s="47">
        <f t="shared" si="11"/>
        <v>2.573277380939791E-2</v>
      </c>
    </row>
    <row r="33" spans="1:16" s="26" customFormat="1" ht="30" x14ac:dyDescent="0.25">
      <c r="A33" s="25" t="s">
        <v>225</v>
      </c>
      <c r="B33" s="25">
        <v>96558</v>
      </c>
      <c r="C33" s="25" t="s">
        <v>16</v>
      </c>
      <c r="D33" s="52" t="s">
        <v>26</v>
      </c>
      <c r="E33" s="25" t="s">
        <v>37</v>
      </c>
      <c r="F33" s="134">
        <f>20*0.75</f>
        <v>15</v>
      </c>
      <c r="G33" s="138">
        <v>800.96</v>
      </c>
      <c r="H33" s="39">
        <f t="shared" si="26"/>
        <v>199.80748160000002</v>
      </c>
      <c r="I33" s="39">
        <f t="shared" si="27"/>
        <v>799.22992640000007</v>
      </c>
      <c r="J33" s="39">
        <f t="shared" si="24"/>
        <v>999.03740800000003</v>
      </c>
      <c r="K33" s="39">
        <f t="shared" si="1"/>
        <v>2997.1122240000004</v>
      </c>
      <c r="L33" s="39">
        <f t="shared" si="2"/>
        <v>11988.448896000002</v>
      </c>
      <c r="M33" s="40">
        <f t="shared" si="3"/>
        <v>14985.561120000002</v>
      </c>
      <c r="N33" s="47">
        <f t="shared" si="11"/>
        <v>4.2519541425043016E-2</v>
      </c>
    </row>
    <row r="34" spans="1:16" s="26" customFormat="1" x14ac:dyDescent="0.25">
      <c r="A34" s="75">
        <v>6</v>
      </c>
      <c r="B34" s="76"/>
      <c r="C34" s="77"/>
      <c r="D34" s="78" t="s">
        <v>169</v>
      </c>
      <c r="E34" s="79"/>
      <c r="F34" s="73"/>
      <c r="G34" s="79"/>
      <c r="H34" s="79"/>
      <c r="I34" s="79"/>
      <c r="J34" s="79"/>
      <c r="K34" s="80">
        <f>SUM(K35:K43)</f>
        <v>12102.792630696113</v>
      </c>
      <c r="L34" s="80">
        <f>SUM(L35:L43)</f>
        <v>48411.17052278445</v>
      </c>
      <c r="M34" s="80">
        <f>SUM(M35:M43)</f>
        <v>60513.963153480559</v>
      </c>
      <c r="N34" s="81">
        <f t="shared" si="11"/>
        <v>0.17170034158173336</v>
      </c>
    </row>
    <row r="35" spans="1:16" s="26" customFormat="1" ht="30" x14ac:dyDescent="0.25">
      <c r="A35" s="25" t="s">
        <v>226</v>
      </c>
      <c r="B35" s="25">
        <v>9395</v>
      </c>
      <c r="C35" s="38" t="s">
        <v>67</v>
      </c>
      <c r="D35" s="52" t="s">
        <v>76</v>
      </c>
      <c r="E35" s="25" t="s">
        <v>38</v>
      </c>
      <c r="F35" s="134">
        <f>12*6*0.4</f>
        <v>28.8</v>
      </c>
      <c r="G35" s="135">
        <f>Composições!H51</f>
        <v>127.41408</v>
      </c>
      <c r="H35" s="39">
        <f>J35*0.2</f>
        <v>31.784716396800004</v>
      </c>
      <c r="I35" s="39">
        <f>J35*0.8</f>
        <v>127.13886558720002</v>
      </c>
      <c r="J35" s="39">
        <f t="shared" ref="J35:J43" si="28">G35*$I$7+G35</f>
        <v>158.92358198400001</v>
      </c>
      <c r="K35" s="39">
        <f t="shared" ref="K35:K43" si="29">H35*F35</f>
        <v>915.39983222784008</v>
      </c>
      <c r="L35" s="39">
        <f t="shared" ref="L35:L43" si="30">I35*F35</f>
        <v>3661.5993289113603</v>
      </c>
      <c r="M35" s="40">
        <f t="shared" ref="M35:M43" si="31">K35+L35</f>
        <v>4576.9991611392006</v>
      </c>
      <c r="N35" s="47">
        <f t="shared" si="11"/>
        <v>1.2986627853041336E-2</v>
      </c>
    </row>
    <row r="36" spans="1:16" s="26" customFormat="1" ht="30" x14ac:dyDescent="0.25">
      <c r="A36" s="25" t="s">
        <v>227</v>
      </c>
      <c r="B36" s="25" t="s">
        <v>153</v>
      </c>
      <c r="C36" s="25" t="s">
        <v>16</v>
      </c>
      <c r="D36" s="52" t="s">
        <v>154</v>
      </c>
      <c r="E36" s="25" t="s">
        <v>35</v>
      </c>
      <c r="F36" s="134">
        <f>94.8+4.4</f>
        <v>99.2</v>
      </c>
      <c r="G36" s="135">
        <v>14.27</v>
      </c>
      <c r="H36" s="39">
        <f>J36*0.2</f>
        <v>3.5597941999999998</v>
      </c>
      <c r="I36" s="39">
        <f>J36*0.8</f>
        <v>14.239176799999999</v>
      </c>
      <c r="J36" s="39">
        <f t="shared" si="28"/>
        <v>17.798970999999998</v>
      </c>
      <c r="K36" s="39">
        <f t="shared" si="29"/>
        <v>353.13158463999997</v>
      </c>
      <c r="L36" s="39">
        <f t="shared" si="30"/>
        <v>1412.5263385599999</v>
      </c>
      <c r="M36" s="40">
        <f t="shared" si="31"/>
        <v>1765.6579231999999</v>
      </c>
      <c r="N36" s="47">
        <f t="shared" si="11"/>
        <v>5.0098200932737445E-3</v>
      </c>
    </row>
    <row r="37" spans="1:16" s="26" customFormat="1" ht="30" x14ac:dyDescent="0.25">
      <c r="A37" s="25" t="s">
        <v>228</v>
      </c>
      <c r="B37" s="25" t="s">
        <v>157</v>
      </c>
      <c r="C37" s="25" t="s">
        <v>16</v>
      </c>
      <c r="D37" s="52" t="s">
        <v>155</v>
      </c>
      <c r="E37" s="25" t="s">
        <v>35</v>
      </c>
      <c r="F37" s="134">
        <f>21.1+0.6</f>
        <v>21.700000000000003</v>
      </c>
      <c r="G37" s="135">
        <v>13.63</v>
      </c>
      <c r="H37" s="39">
        <f t="shared" ref="H37:H43" si="32">J37*0.2</f>
        <v>3.4001398000000003</v>
      </c>
      <c r="I37" s="39">
        <f t="shared" ref="I37:I43" si="33">J37*0.8</f>
        <v>13.600559200000001</v>
      </c>
      <c r="J37" s="39">
        <f t="shared" si="28"/>
        <v>17.000699000000001</v>
      </c>
      <c r="K37" s="39">
        <f t="shared" si="29"/>
        <v>73.783033660000015</v>
      </c>
      <c r="L37" s="39">
        <f t="shared" si="30"/>
        <v>295.13213464000006</v>
      </c>
      <c r="M37" s="40">
        <f t="shared" si="31"/>
        <v>368.91516830000006</v>
      </c>
      <c r="N37" s="47">
        <f t="shared" si="11"/>
        <v>1.046747843157078E-3</v>
      </c>
    </row>
    <row r="38" spans="1:16" s="26" customFormat="1" ht="30" x14ac:dyDescent="0.25">
      <c r="A38" s="25" t="s">
        <v>229</v>
      </c>
      <c r="B38" s="25" t="s">
        <v>158</v>
      </c>
      <c r="C38" s="25" t="s">
        <v>16</v>
      </c>
      <c r="D38" s="52" t="s">
        <v>156</v>
      </c>
      <c r="E38" s="25" t="s">
        <v>35</v>
      </c>
      <c r="F38" s="134">
        <f>110.7</f>
        <v>110.7</v>
      </c>
      <c r="G38" s="135">
        <v>12.93</v>
      </c>
      <c r="H38" s="39">
        <f t="shared" si="32"/>
        <v>3.2255178000000004</v>
      </c>
      <c r="I38" s="39">
        <f t="shared" si="33"/>
        <v>12.902071200000002</v>
      </c>
      <c r="J38" s="39">
        <f t="shared" si="28"/>
        <v>16.127589</v>
      </c>
      <c r="K38" s="39">
        <f t="shared" si="29"/>
        <v>357.06482046000008</v>
      </c>
      <c r="L38" s="39">
        <f t="shared" si="30"/>
        <v>1428.2592818400003</v>
      </c>
      <c r="M38" s="40">
        <f t="shared" si="31"/>
        <v>1785.3241023000005</v>
      </c>
      <c r="N38" s="47">
        <f t="shared" si="11"/>
        <v>5.0656202672024198E-3</v>
      </c>
    </row>
    <row r="39" spans="1:16" s="26" customFormat="1" ht="30" x14ac:dyDescent="0.25">
      <c r="A39" s="25" t="s">
        <v>230</v>
      </c>
      <c r="B39" s="25" t="s">
        <v>160</v>
      </c>
      <c r="C39" s="25" t="s">
        <v>16</v>
      </c>
      <c r="D39" s="52" t="s">
        <v>159</v>
      </c>
      <c r="E39" s="25" t="s">
        <v>35</v>
      </c>
      <c r="F39" s="134">
        <f>133.8+5.2</f>
        <v>139</v>
      </c>
      <c r="G39" s="135">
        <v>11.61</v>
      </c>
      <c r="H39" s="39">
        <f t="shared" si="32"/>
        <v>2.8962306</v>
      </c>
      <c r="I39" s="39">
        <f t="shared" si="33"/>
        <v>11.5849224</v>
      </c>
      <c r="J39" s="39">
        <f t="shared" si="28"/>
        <v>14.481152999999999</v>
      </c>
      <c r="K39" s="39">
        <f t="shared" si="29"/>
        <v>402.57605339999998</v>
      </c>
      <c r="L39" s="39">
        <f t="shared" si="30"/>
        <v>1610.3042135999999</v>
      </c>
      <c r="M39" s="40">
        <f t="shared" si="31"/>
        <v>2012.880267</v>
      </c>
      <c r="N39" s="47">
        <f t="shared" si="11"/>
        <v>5.7112806928619119E-3</v>
      </c>
    </row>
    <row r="40" spans="1:16" s="26" customFormat="1" ht="30" x14ac:dyDescent="0.25">
      <c r="A40" s="25" t="s">
        <v>231</v>
      </c>
      <c r="B40" s="25" t="s">
        <v>161</v>
      </c>
      <c r="C40" s="25" t="s">
        <v>16</v>
      </c>
      <c r="D40" s="52" t="s">
        <v>162</v>
      </c>
      <c r="E40" s="25" t="s">
        <v>35</v>
      </c>
      <c r="F40" s="134">
        <f>401.4+30.4</f>
        <v>431.79999999999995</v>
      </c>
      <c r="G40" s="135">
        <v>9.5</v>
      </c>
      <c r="H40" s="39">
        <f t="shared" si="32"/>
        <v>2.3698700000000001</v>
      </c>
      <c r="I40" s="39">
        <f t="shared" si="33"/>
        <v>9.4794800000000006</v>
      </c>
      <c r="J40" s="39">
        <f t="shared" si="28"/>
        <v>11.849349999999999</v>
      </c>
      <c r="K40" s="39">
        <f t="shared" si="29"/>
        <v>1023.3098659999999</v>
      </c>
      <c r="L40" s="39">
        <f t="shared" si="30"/>
        <v>4093.2394639999998</v>
      </c>
      <c r="M40" s="40">
        <f t="shared" si="31"/>
        <v>5116.5493299999998</v>
      </c>
      <c r="N40" s="47">
        <f t="shared" si="11"/>
        <v>1.4517529870794124E-2</v>
      </c>
    </row>
    <row r="41" spans="1:16" s="26" customFormat="1" ht="30" x14ac:dyDescent="0.25">
      <c r="A41" s="25" t="s">
        <v>232</v>
      </c>
      <c r="B41" s="25">
        <v>97091</v>
      </c>
      <c r="C41" s="25" t="s">
        <v>16</v>
      </c>
      <c r="D41" s="52" t="s">
        <v>126</v>
      </c>
      <c r="E41" s="25" t="s">
        <v>35</v>
      </c>
      <c r="F41" s="134">
        <f>(15.04*2.52)*1.1</f>
        <v>41.69088</v>
      </c>
      <c r="G41" s="135">
        <v>14.89</v>
      </c>
      <c r="H41" s="39">
        <f t="shared" si="32"/>
        <v>3.7144594</v>
      </c>
      <c r="I41" s="39">
        <f t="shared" si="33"/>
        <v>14.8578376</v>
      </c>
      <c r="J41" s="39">
        <f t="shared" si="28"/>
        <v>18.572296999999999</v>
      </c>
      <c r="K41" s="39">
        <f t="shared" si="29"/>
        <v>154.859081110272</v>
      </c>
      <c r="L41" s="39">
        <f t="shared" si="30"/>
        <v>619.436324441088</v>
      </c>
      <c r="M41" s="40">
        <f t="shared" si="31"/>
        <v>774.29540555135998</v>
      </c>
      <c r="N41" s="47">
        <f t="shared" si="11"/>
        <v>2.1969604813544363E-3</v>
      </c>
    </row>
    <row r="42" spans="1:16" ht="30" x14ac:dyDescent="0.25">
      <c r="A42" s="25" t="s">
        <v>233</v>
      </c>
      <c r="B42" s="25">
        <v>92264</v>
      </c>
      <c r="C42" s="25" t="s">
        <v>16</v>
      </c>
      <c r="D42" s="52" t="s">
        <v>59</v>
      </c>
      <c r="E42" s="134" t="s">
        <v>36</v>
      </c>
      <c r="F42" s="134">
        <f>16.65+10.8+87.81</f>
        <v>115.26</v>
      </c>
      <c r="G42" s="135">
        <v>227.51</v>
      </c>
      <c r="H42" s="39">
        <f t="shared" si="32"/>
        <v>56.754644599999999</v>
      </c>
      <c r="I42" s="39">
        <f t="shared" si="33"/>
        <v>227.0185784</v>
      </c>
      <c r="J42" s="39">
        <f t="shared" si="28"/>
        <v>283.77322299999997</v>
      </c>
      <c r="K42" s="39">
        <f t="shared" si="29"/>
        <v>6541.5403365960001</v>
      </c>
      <c r="L42" s="39">
        <f t="shared" si="30"/>
        <v>26166.161346384</v>
      </c>
      <c r="M42" s="40">
        <f t="shared" si="31"/>
        <v>32707.701682980001</v>
      </c>
      <c r="N42" s="47">
        <f t="shared" si="11"/>
        <v>9.2803763935895719E-2</v>
      </c>
      <c r="P42" s="22"/>
    </row>
    <row r="43" spans="1:16" ht="45" x14ac:dyDescent="0.25">
      <c r="A43" s="25" t="s">
        <v>234</v>
      </c>
      <c r="B43" s="25">
        <v>103674</v>
      </c>
      <c r="C43" s="25" t="s">
        <v>16</v>
      </c>
      <c r="D43" s="52" t="s">
        <v>61</v>
      </c>
      <c r="E43" s="134" t="s">
        <v>37</v>
      </c>
      <c r="F43" s="134">
        <f>7.35+2.51+3.01</f>
        <v>12.87</v>
      </c>
      <c r="G43" s="135">
        <v>710.51</v>
      </c>
      <c r="H43" s="39">
        <f t="shared" si="32"/>
        <v>177.24382460000001</v>
      </c>
      <c r="I43" s="39">
        <f t="shared" si="33"/>
        <v>708.97529840000004</v>
      </c>
      <c r="J43" s="39">
        <f t="shared" si="28"/>
        <v>886.21912299999997</v>
      </c>
      <c r="K43" s="39">
        <f t="shared" si="29"/>
        <v>2281.1280226019999</v>
      </c>
      <c r="L43" s="39">
        <f t="shared" si="30"/>
        <v>9124.5120904079995</v>
      </c>
      <c r="M43" s="40">
        <f t="shared" si="31"/>
        <v>11405.640113009998</v>
      </c>
      <c r="N43" s="47">
        <f t="shared" si="11"/>
        <v>3.2361990544152598E-2</v>
      </c>
    </row>
    <row r="44" spans="1:16" x14ac:dyDescent="0.25">
      <c r="A44" s="28">
        <v>7</v>
      </c>
      <c r="B44" s="29"/>
      <c r="C44" s="42"/>
      <c r="D44" s="50" t="s">
        <v>147</v>
      </c>
      <c r="E44" s="43"/>
      <c r="F44" s="73"/>
      <c r="G44" s="43"/>
      <c r="H44" s="43"/>
      <c r="I44" s="43"/>
      <c r="J44" s="43"/>
      <c r="K44" s="44">
        <f>SUM(K45:K47)</f>
        <v>5239.5740214400012</v>
      </c>
      <c r="L44" s="44">
        <f>SUM(L45:L47)</f>
        <v>20958.296085760005</v>
      </c>
      <c r="M44" s="44">
        <f>SUM(M45:M47)</f>
        <v>26197.870107200004</v>
      </c>
      <c r="N44" s="45">
        <f t="shared" si="11"/>
        <v>7.4332980550479807E-2</v>
      </c>
    </row>
    <row r="45" spans="1:16" ht="41.25" customHeight="1" x14ac:dyDescent="0.25">
      <c r="A45" s="17" t="s">
        <v>235</v>
      </c>
      <c r="B45" s="17">
        <v>97916</v>
      </c>
      <c r="C45" s="17" t="s">
        <v>16</v>
      </c>
      <c r="D45" s="51" t="s">
        <v>139</v>
      </c>
      <c r="E45" s="74" t="s">
        <v>140</v>
      </c>
      <c r="F45" s="134">
        <f>(F46+F47)*1.3*25</f>
        <v>3763.5000000000005</v>
      </c>
      <c r="G45" s="136">
        <v>2.64</v>
      </c>
      <c r="H45" s="36">
        <f t="shared" ref="H45:H47" si="34">J45*0.2</f>
        <v>0.6585744</v>
      </c>
      <c r="I45" s="36">
        <f t="shared" ref="I45:I47" si="35">J45*0.8</f>
        <v>2.6342976</v>
      </c>
      <c r="J45" s="36">
        <f>G45*$I$7+G45</f>
        <v>3.292872</v>
      </c>
      <c r="K45" s="36">
        <f t="shared" ref="K45:K47" si="36">H45*F45</f>
        <v>2478.5447544000003</v>
      </c>
      <c r="L45" s="36">
        <f t="shared" ref="L45:L47" si="37">I45*F45</f>
        <v>9914.1790176000013</v>
      </c>
      <c r="M45" s="37">
        <f t="shared" ref="M45:M47" si="38">K45+L45</f>
        <v>12392.723772000001</v>
      </c>
      <c r="N45" s="46">
        <f t="shared" si="11"/>
        <v>3.5162709462338057E-2</v>
      </c>
    </row>
    <row r="46" spans="1:16" ht="30" x14ac:dyDescent="0.25">
      <c r="A46" s="17" t="s">
        <v>236</v>
      </c>
      <c r="B46" s="17">
        <v>4730</v>
      </c>
      <c r="C46" s="17" t="s">
        <v>16</v>
      </c>
      <c r="D46" s="51" t="s">
        <v>141</v>
      </c>
      <c r="E46" s="17" t="s">
        <v>37</v>
      </c>
      <c r="F46" s="134">
        <f>20*5.12</f>
        <v>102.4</v>
      </c>
      <c r="G46" s="136">
        <v>87.29</v>
      </c>
      <c r="H46" s="36">
        <f t="shared" si="34"/>
        <v>21.775363400000003</v>
      </c>
      <c r="I46" s="36">
        <f t="shared" si="35"/>
        <v>87.101453600000013</v>
      </c>
      <c r="J46" s="36">
        <f t="shared" ref="J46:J47" si="39">G46*$I$7+G46</f>
        <v>108.876817</v>
      </c>
      <c r="K46" s="36">
        <f t="shared" si="36"/>
        <v>2229.7972121600005</v>
      </c>
      <c r="L46" s="36">
        <f t="shared" si="37"/>
        <v>8919.1888486400021</v>
      </c>
      <c r="M46" s="37">
        <f t="shared" si="38"/>
        <v>11148.986060800002</v>
      </c>
      <c r="N46" s="46">
        <f t="shared" si="11"/>
        <v>3.1633768723330444E-2</v>
      </c>
    </row>
    <row r="47" spans="1:16" s="26" customFormat="1" ht="30" x14ac:dyDescent="0.25">
      <c r="A47" s="17" t="s">
        <v>237</v>
      </c>
      <c r="B47" s="17">
        <v>100322</v>
      </c>
      <c r="C47" s="17" t="s">
        <v>16</v>
      </c>
      <c r="D47" s="51" t="s">
        <v>148</v>
      </c>
      <c r="E47" s="17" t="s">
        <v>37</v>
      </c>
      <c r="F47" s="134">
        <f>20*6.7*0.1</f>
        <v>13.4</v>
      </c>
      <c r="G47" s="136">
        <v>158.91999999999999</v>
      </c>
      <c r="H47" s="36">
        <f t="shared" si="34"/>
        <v>39.644183200000001</v>
      </c>
      <c r="I47" s="36">
        <f t="shared" si="35"/>
        <v>158.5767328</v>
      </c>
      <c r="J47" s="36">
        <f t="shared" si="39"/>
        <v>198.22091599999999</v>
      </c>
      <c r="K47" s="36">
        <f t="shared" si="36"/>
        <v>531.23205487999996</v>
      </c>
      <c r="L47" s="36">
        <f t="shared" si="37"/>
        <v>2124.9282195199999</v>
      </c>
      <c r="M47" s="37">
        <f t="shared" si="38"/>
        <v>2656.1602743999997</v>
      </c>
      <c r="N47" s="46">
        <f t="shared" si="11"/>
        <v>7.5365023648113075E-3</v>
      </c>
    </row>
    <row r="48" spans="1:16" x14ac:dyDescent="0.25">
      <c r="A48" s="28">
        <v>8</v>
      </c>
      <c r="B48" s="29"/>
      <c r="C48" s="42"/>
      <c r="D48" s="50" t="s">
        <v>149</v>
      </c>
      <c r="E48" s="43"/>
      <c r="F48" s="73"/>
      <c r="G48" s="43"/>
      <c r="H48" s="43"/>
      <c r="I48" s="43"/>
      <c r="J48" s="43"/>
      <c r="K48" s="44">
        <f>SUM(K49:K51)</f>
        <v>5606.7554477292006</v>
      </c>
      <c r="L48" s="44">
        <f>SUM(L49:L51)</f>
        <v>22427.021790916802</v>
      </c>
      <c r="M48" s="44">
        <f>SUM(M49:M51)</f>
        <v>28033.777238646006</v>
      </c>
      <c r="N48" s="45">
        <f t="shared" si="11"/>
        <v>7.954212345163332E-2</v>
      </c>
    </row>
    <row r="49" spans="1:14" ht="41.25" customHeight="1" x14ac:dyDescent="0.25">
      <c r="A49" s="25" t="s">
        <v>238</v>
      </c>
      <c r="B49" s="25">
        <v>97091</v>
      </c>
      <c r="C49" s="25" t="s">
        <v>16</v>
      </c>
      <c r="D49" s="52" t="s">
        <v>126</v>
      </c>
      <c r="E49" s="25" t="s">
        <v>35</v>
      </c>
      <c r="F49" s="134">
        <f>(134*2.52)*1.1</f>
        <v>371.44800000000004</v>
      </c>
      <c r="G49" s="135">
        <v>14.89</v>
      </c>
      <c r="H49" s="39">
        <f t="shared" ref="H49:H51" si="40">J49*0.2</f>
        <v>3.7144594</v>
      </c>
      <c r="I49" s="39">
        <f t="shared" ref="I49:I51" si="41">J49*0.8</f>
        <v>14.8578376</v>
      </c>
      <c r="J49" s="39">
        <f>G49*$I$7+G49</f>
        <v>18.572296999999999</v>
      </c>
      <c r="K49" s="39">
        <f t="shared" ref="K49:K51" si="42">H49*F49</f>
        <v>1379.7285152112001</v>
      </c>
      <c r="L49" s="39">
        <f t="shared" ref="L49:L51" si="43">I49*F49</f>
        <v>5518.9140608448006</v>
      </c>
      <c r="M49" s="40">
        <f t="shared" ref="M49:M51" si="44">K49+L49</f>
        <v>6898.6425760560005</v>
      </c>
      <c r="N49" s="47">
        <f t="shared" si="11"/>
        <v>1.9573983012067454E-2</v>
      </c>
    </row>
    <row r="50" spans="1:14" ht="30" x14ac:dyDescent="0.25">
      <c r="A50" s="25" t="s">
        <v>239</v>
      </c>
      <c r="B50" s="17">
        <v>97086</v>
      </c>
      <c r="C50" s="17" t="s">
        <v>16</v>
      </c>
      <c r="D50" s="51" t="s">
        <v>151</v>
      </c>
      <c r="E50" s="137" t="s">
        <v>36</v>
      </c>
      <c r="F50" s="134">
        <v>26.01</v>
      </c>
      <c r="G50" s="136">
        <v>117.03</v>
      </c>
      <c r="H50" s="36">
        <f t="shared" si="40"/>
        <v>29.1943038</v>
      </c>
      <c r="I50" s="36">
        <f t="shared" si="41"/>
        <v>116.7772152</v>
      </c>
      <c r="J50" s="39">
        <f t="shared" ref="J50:J51" si="45">G50*$I$7+G50</f>
        <v>145.971519</v>
      </c>
      <c r="K50" s="36">
        <f t="shared" si="42"/>
        <v>759.343841838</v>
      </c>
      <c r="L50" s="36">
        <f t="shared" si="43"/>
        <v>3037.375367352</v>
      </c>
      <c r="M50" s="37">
        <f t="shared" si="44"/>
        <v>3796.7192091900001</v>
      </c>
      <c r="N50" s="47">
        <f t="shared" ref="N50:N51" si="46">+M50/$M$63</f>
        <v>1.0772687015300148E-2</v>
      </c>
    </row>
    <row r="51" spans="1:14" s="26" customFormat="1" ht="30" x14ac:dyDescent="0.25">
      <c r="A51" s="25" t="s">
        <v>240</v>
      </c>
      <c r="B51" s="17">
        <v>103672</v>
      </c>
      <c r="C51" s="17" t="s">
        <v>16</v>
      </c>
      <c r="D51" s="51" t="s">
        <v>60</v>
      </c>
      <c r="E51" s="137" t="s">
        <v>37</v>
      </c>
      <c r="F51" s="134">
        <v>20.100000000000001</v>
      </c>
      <c r="G51" s="136">
        <v>691.58</v>
      </c>
      <c r="H51" s="36">
        <f t="shared" si="40"/>
        <v>172.52154680000001</v>
      </c>
      <c r="I51" s="36">
        <f t="shared" si="41"/>
        <v>690.08618720000004</v>
      </c>
      <c r="J51" s="39">
        <f t="shared" si="45"/>
        <v>862.60773400000005</v>
      </c>
      <c r="K51" s="36">
        <f t="shared" si="42"/>
        <v>3467.6830906800005</v>
      </c>
      <c r="L51" s="36">
        <f t="shared" si="43"/>
        <v>13870.732362720002</v>
      </c>
      <c r="M51" s="37">
        <f t="shared" si="44"/>
        <v>17338.415453400004</v>
      </c>
      <c r="N51" s="47">
        <f t="shared" si="46"/>
        <v>4.9195453424265727E-2</v>
      </c>
    </row>
    <row r="52" spans="1:14" x14ac:dyDescent="0.25">
      <c r="A52" s="28">
        <v>9</v>
      </c>
      <c r="B52" s="29"/>
      <c r="C52" s="42"/>
      <c r="D52" s="50" t="s">
        <v>168</v>
      </c>
      <c r="E52" s="43"/>
      <c r="F52" s="73"/>
      <c r="G52" s="43"/>
      <c r="H52" s="43"/>
      <c r="I52" s="43"/>
      <c r="J52" s="43"/>
      <c r="K52" s="44">
        <f>SUM(K53:K55)</f>
        <v>7673.0675970319999</v>
      </c>
      <c r="L52" s="44">
        <f>SUM(L53:L55)</f>
        <v>30692.270388127999</v>
      </c>
      <c r="M52" s="44">
        <f>SUM(M53:M55)</f>
        <v>38365.337985159997</v>
      </c>
      <c r="N52" s="45">
        <f>+M52/$M$63</f>
        <v>0.10885655629996099</v>
      </c>
    </row>
    <row r="53" spans="1:14" ht="41.25" customHeight="1" x14ac:dyDescent="0.25">
      <c r="A53" s="25" t="s">
        <v>241</v>
      </c>
      <c r="B53" s="17">
        <v>9395</v>
      </c>
      <c r="C53" s="16" t="s">
        <v>67</v>
      </c>
      <c r="D53" s="51" t="s">
        <v>76</v>
      </c>
      <c r="E53" s="17" t="s">
        <v>38</v>
      </c>
      <c r="F53" s="137">
        <f>(20/0.25)*3*0.4</f>
        <v>96</v>
      </c>
      <c r="G53" s="135">
        <v>127.41</v>
      </c>
      <c r="H53" s="39">
        <f t="shared" ref="H53:H55" si="47">J53*0.2</f>
        <v>31.783698599999997</v>
      </c>
      <c r="I53" s="39">
        <f t="shared" ref="I53:I55" si="48">J53*0.8</f>
        <v>127.13479439999999</v>
      </c>
      <c r="J53" s="39">
        <f>G53*$I$7+G53</f>
        <v>158.91849299999998</v>
      </c>
      <c r="K53" s="39">
        <f t="shared" ref="K53:K55" si="49">H53*F53</f>
        <v>3051.2350655999999</v>
      </c>
      <c r="L53" s="39">
        <f t="shared" ref="L53:L55" si="50">I53*F53</f>
        <v>12204.940262399999</v>
      </c>
      <c r="M53" s="40">
        <f t="shared" ref="M53:M55" si="51">K53+L53</f>
        <v>15256.175327999999</v>
      </c>
      <c r="N53" s="47">
        <f>+M53/$M$63</f>
        <v>4.3287373335714974E-2</v>
      </c>
    </row>
    <row r="54" spans="1:14" ht="30" x14ac:dyDescent="0.25">
      <c r="A54" s="25" t="s">
        <v>242</v>
      </c>
      <c r="B54" s="17">
        <v>92264</v>
      </c>
      <c r="C54" s="17" t="s">
        <v>16</v>
      </c>
      <c r="D54" s="51" t="s">
        <v>59</v>
      </c>
      <c r="E54" s="137" t="s">
        <v>36</v>
      </c>
      <c r="F54" s="137">
        <v>27.72</v>
      </c>
      <c r="G54" s="135">
        <v>227.51</v>
      </c>
      <c r="H54" s="36">
        <f t="shared" si="47"/>
        <v>56.754644599999999</v>
      </c>
      <c r="I54" s="36">
        <f t="shared" si="48"/>
        <v>227.0185784</v>
      </c>
      <c r="J54" s="39">
        <f t="shared" ref="J54:J55" si="52">G54*$I$7+G54</f>
        <v>283.77322299999997</v>
      </c>
      <c r="K54" s="36">
        <f t="shared" si="49"/>
        <v>1573.2387483119999</v>
      </c>
      <c r="L54" s="36">
        <f t="shared" si="50"/>
        <v>6292.9549932479995</v>
      </c>
      <c r="M54" s="37">
        <f t="shared" si="51"/>
        <v>7866.1937415599996</v>
      </c>
      <c r="N54" s="47">
        <f t="shared" ref="N54:N55" si="53">+M54/$M$63</f>
        <v>2.2319281071516824E-2</v>
      </c>
    </row>
    <row r="55" spans="1:14" s="26" customFormat="1" ht="45" x14ac:dyDescent="0.25">
      <c r="A55" s="25" t="s">
        <v>243</v>
      </c>
      <c r="B55" s="17">
        <v>103674</v>
      </c>
      <c r="C55" s="17" t="s">
        <v>16</v>
      </c>
      <c r="D55" s="51" t="s">
        <v>61</v>
      </c>
      <c r="E55" s="137" t="s">
        <v>37</v>
      </c>
      <c r="F55" s="137">
        <v>17.2</v>
      </c>
      <c r="G55" s="135">
        <v>710.51</v>
      </c>
      <c r="H55" s="36">
        <f t="shared" si="47"/>
        <v>177.24382460000001</v>
      </c>
      <c r="I55" s="36">
        <f t="shared" si="48"/>
        <v>708.97529840000004</v>
      </c>
      <c r="J55" s="39">
        <f t="shared" si="52"/>
        <v>886.21912299999997</v>
      </c>
      <c r="K55" s="36">
        <f t="shared" si="49"/>
        <v>3048.5937831199999</v>
      </c>
      <c r="L55" s="36">
        <f t="shared" si="50"/>
        <v>12194.37513248</v>
      </c>
      <c r="M55" s="37">
        <f t="shared" si="51"/>
        <v>15242.968915599999</v>
      </c>
      <c r="N55" s="47">
        <f t="shared" si="53"/>
        <v>4.3249901892729196E-2</v>
      </c>
    </row>
    <row r="56" spans="1:14" x14ac:dyDescent="0.25">
      <c r="A56" s="28">
        <v>10</v>
      </c>
      <c r="B56" s="29"/>
      <c r="C56" s="42"/>
      <c r="D56" s="50" t="s">
        <v>136</v>
      </c>
      <c r="E56" s="43"/>
      <c r="F56" s="73"/>
      <c r="G56" s="43"/>
      <c r="H56" s="43"/>
      <c r="I56" s="43"/>
      <c r="J56" s="43"/>
      <c r="K56" s="44">
        <f>SUM(K57)</f>
        <v>389.64454591999998</v>
      </c>
      <c r="L56" s="44">
        <f>SUM(L57)</f>
        <v>1558.5781836799999</v>
      </c>
      <c r="M56" s="44">
        <f>SUM(M57)</f>
        <v>1948.2227295999999</v>
      </c>
      <c r="N56" s="45">
        <f>+M56/$M$63</f>
        <v>5.5278235091164576E-3</v>
      </c>
    </row>
    <row r="57" spans="1:14" s="26" customFormat="1" ht="52.5" customHeight="1" x14ac:dyDescent="0.25">
      <c r="A57" s="25" t="s">
        <v>244</v>
      </c>
      <c r="B57" s="17">
        <v>98557</v>
      </c>
      <c r="C57" s="17" t="s">
        <v>16</v>
      </c>
      <c r="D57" s="51" t="s">
        <v>137</v>
      </c>
      <c r="E57" s="74" t="s">
        <v>34</v>
      </c>
      <c r="F57" s="134">
        <f>0.4*0.2*5*6+20*1.4</f>
        <v>30.4</v>
      </c>
      <c r="G57" s="136">
        <v>51.38</v>
      </c>
      <c r="H57" s="39">
        <f t="shared" ref="H57" si="54">J57*0.2</f>
        <v>12.817254800000001</v>
      </c>
      <c r="I57" s="39">
        <f t="shared" ref="I57" si="55">J57*0.8</f>
        <v>51.269019200000002</v>
      </c>
      <c r="J57" s="39">
        <f t="shared" ref="J57" si="56">G57*$I$7+G57</f>
        <v>64.086274000000003</v>
      </c>
      <c r="K57" s="39">
        <f t="shared" ref="K57" si="57">H57*F57</f>
        <v>389.64454591999998</v>
      </c>
      <c r="L57" s="39">
        <f t="shared" ref="L57" si="58">I57*F57</f>
        <v>1558.5781836799999</v>
      </c>
      <c r="M57" s="40">
        <f t="shared" ref="M57" si="59">K57+L57</f>
        <v>1948.2227295999999</v>
      </c>
      <c r="N57" s="47">
        <f>+M57/M63</f>
        <v>5.5278235091164576E-3</v>
      </c>
    </row>
    <row r="58" spans="1:14" x14ac:dyDescent="0.25">
      <c r="A58" s="82">
        <v>11</v>
      </c>
      <c r="B58" s="29"/>
      <c r="C58" s="42"/>
      <c r="D58" s="50" t="s">
        <v>142</v>
      </c>
      <c r="E58" s="43"/>
      <c r="F58" s="73"/>
      <c r="G58" s="43"/>
      <c r="H58" s="43"/>
      <c r="I58" s="43"/>
      <c r="J58" s="43"/>
      <c r="K58" s="44">
        <f>SUM(K59:K59)</f>
        <v>286.92889200000002</v>
      </c>
      <c r="L58" s="44">
        <f>SUM(L59:L59)</f>
        <v>1147.7155680000001</v>
      </c>
      <c r="M58" s="44">
        <f>SUM(M59:M59)</f>
        <v>1434.64446</v>
      </c>
      <c r="N58" s="45">
        <f>+M58/$M$63</f>
        <v>4.0706133096188295E-3</v>
      </c>
    </row>
    <row r="59" spans="1:14" ht="30" x14ac:dyDescent="0.25">
      <c r="A59" s="25" t="s">
        <v>245</v>
      </c>
      <c r="B59" s="25">
        <v>102713</v>
      </c>
      <c r="C59" s="25" t="s">
        <v>16</v>
      </c>
      <c r="D59" s="52" t="s">
        <v>144</v>
      </c>
      <c r="E59" s="25" t="s">
        <v>36</v>
      </c>
      <c r="F59" s="134">
        <f>4.5*20</f>
        <v>90</v>
      </c>
      <c r="G59" s="135">
        <v>12.78</v>
      </c>
      <c r="H59" s="39">
        <f t="shared" ref="H59" si="60">J59*0.2</f>
        <v>3.1880988000000001</v>
      </c>
      <c r="I59" s="39">
        <f t="shared" ref="I59" si="61">J59*0.8</f>
        <v>12.7523952</v>
      </c>
      <c r="J59" s="39">
        <f t="shared" ref="J59" si="62">G59*$I$7+G59</f>
        <v>15.940493999999999</v>
      </c>
      <c r="K59" s="39">
        <f t="shared" ref="K59" si="63">H59*F59</f>
        <v>286.92889200000002</v>
      </c>
      <c r="L59" s="39">
        <f t="shared" ref="L59" si="64">I59*F59</f>
        <v>1147.7155680000001</v>
      </c>
      <c r="M59" s="40">
        <f t="shared" ref="M59" si="65">K59+L59</f>
        <v>1434.64446</v>
      </c>
      <c r="N59" s="47">
        <f>+M59/M63</f>
        <v>4.0706133096188295E-3</v>
      </c>
    </row>
    <row r="60" spans="1:14" x14ac:dyDescent="0.25">
      <c r="A60" s="28">
        <v>12</v>
      </c>
      <c r="B60" s="29"/>
      <c r="C60" s="42"/>
      <c r="D60" s="50" t="s">
        <v>29</v>
      </c>
      <c r="E60" s="43"/>
      <c r="F60" s="43"/>
      <c r="G60" s="43"/>
      <c r="H60" s="43"/>
      <c r="I60" s="43"/>
      <c r="J60" s="43"/>
      <c r="K60" s="44">
        <f>SUM(K61:K62)</f>
        <v>2043.5977839125906</v>
      </c>
      <c r="L60" s="44">
        <f>SUM(L61:L62)</f>
        <v>8174.3911356503622</v>
      </c>
      <c r="M60" s="44">
        <f>SUM(M61:M62)</f>
        <v>10217.988919562953</v>
      </c>
      <c r="N60" s="45">
        <f>+M60/$M$63</f>
        <v>2.8992187857826937E-2</v>
      </c>
    </row>
    <row r="61" spans="1:14" ht="30" x14ac:dyDescent="0.25">
      <c r="A61" s="17" t="s">
        <v>246</v>
      </c>
      <c r="B61" s="16" t="s">
        <v>74</v>
      </c>
      <c r="C61" s="17" t="s">
        <v>8</v>
      </c>
      <c r="D61" s="51" t="s">
        <v>30</v>
      </c>
      <c r="E61" s="17" t="s">
        <v>36</v>
      </c>
      <c r="F61" s="35">
        <f>F19</f>
        <v>94.605000000000004</v>
      </c>
      <c r="G61" s="36">
        <f>Composições!H59</f>
        <v>54.892300000000006</v>
      </c>
      <c r="H61" s="36">
        <f>J61*0.2</f>
        <v>13.693433158000003</v>
      </c>
      <c r="I61" s="36">
        <f>J61*0.8</f>
        <v>54.773732632000012</v>
      </c>
      <c r="J61" s="36">
        <f>G61*$I$7+G61</f>
        <v>68.46716579000001</v>
      </c>
      <c r="K61" s="36">
        <f t="shared" ref="K61:K62" si="66">H61*F61</f>
        <v>1295.4672439125904</v>
      </c>
      <c r="L61" s="36">
        <f t="shared" ref="L61:L62" si="67">I61*F61</f>
        <v>5181.8689756503618</v>
      </c>
      <c r="M61" s="37">
        <f t="shared" ref="M61:M62" si="68">K61+L61</f>
        <v>6477.3362195629525</v>
      </c>
      <c r="N61" s="46">
        <f>+M61/$M$63</f>
        <v>1.8378582123566051E-2</v>
      </c>
    </row>
    <row r="62" spans="1:14" ht="30" x14ac:dyDescent="0.25">
      <c r="A62" s="17" t="s">
        <v>247</v>
      </c>
      <c r="B62" s="16" t="s">
        <v>74</v>
      </c>
      <c r="C62" s="17" t="s">
        <v>8</v>
      </c>
      <c r="D62" s="51" t="s">
        <v>75</v>
      </c>
      <c r="E62" s="17" t="s">
        <v>73</v>
      </c>
      <c r="F62" s="35">
        <v>1</v>
      </c>
      <c r="G62" s="36">
        <f>Composições!H68</f>
        <v>2999</v>
      </c>
      <c r="H62" s="36">
        <f>J62*0.2</f>
        <v>748.13054000000011</v>
      </c>
      <c r="I62" s="36">
        <f>J62*0.8</f>
        <v>2992.5221600000004</v>
      </c>
      <c r="J62" s="36">
        <f>G62*$I$7+G62</f>
        <v>3740.6527000000001</v>
      </c>
      <c r="K62" s="36">
        <f t="shared" si="66"/>
        <v>748.13054000000011</v>
      </c>
      <c r="L62" s="36">
        <f t="shared" si="67"/>
        <v>2992.5221600000004</v>
      </c>
      <c r="M62" s="37">
        <f t="shared" si="68"/>
        <v>3740.6527000000006</v>
      </c>
      <c r="N62" s="46">
        <f>+M62/$M$63</f>
        <v>1.0613605734260886E-2</v>
      </c>
    </row>
    <row r="63" spans="1:14" x14ac:dyDescent="0.25">
      <c r="A63" s="142" t="s">
        <v>47</v>
      </c>
      <c r="B63" s="142"/>
      <c r="C63" s="142"/>
      <c r="D63" s="142"/>
      <c r="E63" s="142"/>
      <c r="F63" s="142"/>
      <c r="G63" s="142"/>
      <c r="H63" s="142"/>
      <c r="I63" s="142"/>
      <c r="J63" s="142"/>
      <c r="K63" s="48">
        <f t="shared" ref="K63:L63" si="69">+K60+K34+K29+K21+K14+K12+K44+K48+K56+K52+K58+K26</f>
        <v>93912.171421809908</v>
      </c>
      <c r="L63" s="48">
        <f t="shared" si="69"/>
        <v>258527.2156872396</v>
      </c>
      <c r="M63" s="48">
        <f>+M60+M34+M29+M21+M14+M12+M44+M48+M56+M52+M58+M26</f>
        <v>352439.38710904954</v>
      </c>
      <c r="N63" s="45">
        <f>+N60+N34+N29+N21+N14+N12+N44+N48+N56+N52+N58+N26</f>
        <v>1</v>
      </c>
    </row>
    <row r="64" spans="1:14" x14ac:dyDescent="0.25">
      <c r="A64" s="31"/>
      <c r="B64" s="31"/>
      <c r="G64" s="15"/>
    </row>
    <row r="65" spans="1:14" x14ac:dyDescent="0.25">
      <c r="A65" s="31" t="s">
        <v>208</v>
      </c>
      <c r="B65" s="31"/>
      <c r="G65" s="15"/>
    </row>
    <row r="66" spans="1:14" x14ac:dyDescent="0.25">
      <c r="A66" s="31"/>
      <c r="B66" s="31"/>
      <c r="G66" s="15"/>
    </row>
    <row r="67" spans="1:14" x14ac:dyDescent="0.25">
      <c r="A67" t="s">
        <v>217</v>
      </c>
      <c r="M67" s="30"/>
    </row>
    <row r="68" spans="1:14" x14ac:dyDescent="0.25">
      <c r="M68" s="8"/>
      <c r="N68" s="8"/>
    </row>
    <row r="70" spans="1:14" x14ac:dyDescent="0.25">
      <c r="G70" s="15" t="s">
        <v>48</v>
      </c>
    </row>
    <row r="71" spans="1:14" x14ac:dyDescent="0.25">
      <c r="G71" s="15" t="s">
        <v>52</v>
      </c>
    </row>
    <row r="72" spans="1:14" x14ac:dyDescent="0.25">
      <c r="G72" s="15" t="s">
        <v>53</v>
      </c>
    </row>
    <row r="73" spans="1:14" x14ac:dyDescent="0.25">
      <c r="G73" s="15" t="s">
        <v>54</v>
      </c>
    </row>
  </sheetData>
  <mergeCells count="16">
    <mergeCell ref="A63:J63"/>
    <mergeCell ref="A1:N1"/>
    <mergeCell ref="A2:N2"/>
    <mergeCell ref="A3:N3"/>
    <mergeCell ref="A4:N4"/>
    <mergeCell ref="A8:L8"/>
    <mergeCell ref="A10:A11"/>
    <mergeCell ref="B10:B11"/>
    <mergeCell ref="C10:C11"/>
    <mergeCell ref="D10:D11"/>
    <mergeCell ref="E10:E11"/>
    <mergeCell ref="F10:F11"/>
    <mergeCell ref="G10:G11"/>
    <mergeCell ref="H10:J10"/>
    <mergeCell ref="K10:M10"/>
    <mergeCell ref="N10:N11"/>
  </mergeCells>
  <pageMargins left="0.511811024" right="0.511811024" top="0.78740157499999996" bottom="0.78740157499999996" header="0.31496062000000002" footer="0.31496062000000002"/>
  <pageSetup paperSize="9" scale="49" fitToHeight="0" orientation="landscape" r:id="rId1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8"/>
  <sheetViews>
    <sheetView workbookViewId="0">
      <selection sqref="A1:N1"/>
    </sheetView>
  </sheetViews>
  <sheetFormatPr defaultRowHeight="15" x14ac:dyDescent="0.25"/>
  <cols>
    <col min="2" max="2" width="18.28515625" customWidth="1"/>
    <col min="3" max="3" width="11.5703125" customWidth="1"/>
    <col min="4" max="4" width="73.7109375" bestFit="1" customWidth="1"/>
    <col min="6" max="6" width="18.140625" customWidth="1"/>
    <col min="7" max="7" width="17.5703125" customWidth="1"/>
    <col min="8" max="8" width="14.5703125" bestFit="1" customWidth="1"/>
    <col min="9" max="9" width="14.28515625" bestFit="1" customWidth="1"/>
    <col min="10" max="10" width="14.5703125" bestFit="1" customWidth="1"/>
    <col min="11" max="11" width="20.140625" bestFit="1" customWidth="1"/>
    <col min="12" max="13" width="21.7109375" bestFit="1" customWidth="1"/>
    <col min="14" max="14" width="11.7109375" bestFit="1" customWidth="1"/>
    <col min="15" max="15" width="12.85546875" customWidth="1"/>
    <col min="16" max="16" width="15.42578125" bestFit="1" customWidth="1"/>
  </cols>
  <sheetData>
    <row r="1" spans="1:14" ht="20.100000000000001" customHeight="1" x14ac:dyDescent="0.25">
      <c r="A1" s="143" t="s">
        <v>48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</row>
    <row r="2" spans="1:14" ht="20.100000000000001" customHeight="1" x14ac:dyDescent="0.25">
      <c r="A2" s="143" t="s">
        <v>49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</row>
    <row r="3" spans="1:14" ht="20.100000000000001" customHeight="1" x14ac:dyDescent="0.25">
      <c r="A3" s="144" t="s">
        <v>50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</row>
    <row r="4" spans="1:14" ht="20.100000000000001" customHeight="1" x14ac:dyDescent="0.25">
      <c r="A4" s="143" t="s">
        <v>51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</row>
    <row r="5" spans="1:14" ht="14.25" customHeight="1" x14ac:dyDescent="0.2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</row>
    <row r="6" spans="1:14" x14ac:dyDescent="0.25">
      <c r="A6" s="31" t="s">
        <v>131</v>
      </c>
      <c r="B6" t="s">
        <v>249</v>
      </c>
    </row>
    <row r="7" spans="1:14" ht="9.75" customHeight="1" x14ac:dyDescent="0.25">
      <c r="H7" s="7"/>
      <c r="I7" s="34">
        <f>N8</f>
        <v>0.24729999999999999</v>
      </c>
    </row>
    <row r="8" spans="1:14" x14ac:dyDescent="0.25">
      <c r="A8" s="145" t="s">
        <v>0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7"/>
      <c r="M8" s="32" t="s">
        <v>46</v>
      </c>
      <c r="N8" s="33">
        <f>'BDI SERVIÇOS'!D24</f>
        <v>0.24729999999999999</v>
      </c>
    </row>
    <row r="10" spans="1:14" x14ac:dyDescent="0.25">
      <c r="A10" s="142" t="s">
        <v>1</v>
      </c>
      <c r="B10" s="142" t="s">
        <v>2</v>
      </c>
      <c r="C10" s="142" t="s">
        <v>3</v>
      </c>
      <c r="D10" s="142" t="s">
        <v>4</v>
      </c>
      <c r="E10" s="142" t="s">
        <v>31</v>
      </c>
      <c r="F10" s="142" t="s">
        <v>39</v>
      </c>
      <c r="G10" s="142" t="s">
        <v>40</v>
      </c>
      <c r="H10" s="142" t="s">
        <v>44</v>
      </c>
      <c r="I10" s="142"/>
      <c r="J10" s="142"/>
      <c r="K10" s="142" t="s">
        <v>43</v>
      </c>
      <c r="L10" s="142"/>
      <c r="M10" s="148"/>
      <c r="N10" s="142" t="s">
        <v>45</v>
      </c>
    </row>
    <row r="11" spans="1:14" x14ac:dyDescent="0.25">
      <c r="A11" s="142"/>
      <c r="B11" s="142"/>
      <c r="C11" s="142"/>
      <c r="D11" s="142"/>
      <c r="E11" s="142"/>
      <c r="F11" s="142"/>
      <c r="G11" s="142"/>
      <c r="H11" s="28" t="s">
        <v>41</v>
      </c>
      <c r="I11" s="28" t="s">
        <v>42</v>
      </c>
      <c r="J11" s="28" t="s">
        <v>43</v>
      </c>
      <c r="K11" s="28" t="s">
        <v>41</v>
      </c>
      <c r="L11" s="28" t="s">
        <v>42</v>
      </c>
      <c r="M11" s="29" t="s">
        <v>43</v>
      </c>
      <c r="N11" s="142"/>
    </row>
    <row r="12" spans="1:14" x14ac:dyDescent="0.25">
      <c r="A12" s="28" t="s">
        <v>5</v>
      </c>
      <c r="B12" s="29"/>
      <c r="C12" s="42"/>
      <c r="D12" s="50" t="s">
        <v>6</v>
      </c>
      <c r="E12" s="43"/>
      <c r="F12" s="43"/>
      <c r="G12" s="43"/>
      <c r="H12" s="43"/>
      <c r="I12" s="43"/>
      <c r="J12" s="43"/>
      <c r="K12" s="44">
        <f t="shared" ref="K12:L12" si="0">K13</f>
        <v>31232.392000000007</v>
      </c>
      <c r="L12" s="44">
        <f t="shared" si="0"/>
        <v>7808.0980000000018</v>
      </c>
      <c r="M12" s="44">
        <f>M13</f>
        <v>39040.490000000005</v>
      </c>
      <c r="N12" s="45">
        <f t="shared" ref="N12:N40" si="1">+M12/$M$58</f>
        <v>0.11503141762446421</v>
      </c>
    </row>
    <row r="13" spans="1:14" x14ac:dyDescent="0.25">
      <c r="A13" s="17" t="s">
        <v>7</v>
      </c>
      <c r="B13" s="5">
        <v>542</v>
      </c>
      <c r="C13" s="17" t="s">
        <v>8</v>
      </c>
      <c r="D13" s="51" t="s">
        <v>9</v>
      </c>
      <c r="E13" s="17" t="s">
        <v>145</v>
      </c>
      <c r="F13" s="35">
        <v>6</v>
      </c>
      <c r="G13" s="128">
        <f>Composições!H18</f>
        <v>5216.666666666667</v>
      </c>
      <c r="H13" s="36">
        <f>J13*0.8</f>
        <v>5205.3986666666679</v>
      </c>
      <c r="I13" s="36">
        <f>J13*0.2</f>
        <v>1301.349666666667</v>
      </c>
      <c r="J13" s="36">
        <f>G13*$I$7+G13</f>
        <v>6506.7483333333339</v>
      </c>
      <c r="K13" s="36">
        <f>H13*F13</f>
        <v>31232.392000000007</v>
      </c>
      <c r="L13" s="36">
        <f>I13*F13</f>
        <v>7808.0980000000018</v>
      </c>
      <c r="M13" s="37">
        <f>K13+L13</f>
        <v>39040.490000000005</v>
      </c>
      <c r="N13" s="46">
        <f t="shared" si="1"/>
        <v>0.11503141762446421</v>
      </c>
    </row>
    <row r="14" spans="1:14" x14ac:dyDescent="0.25">
      <c r="A14" s="28" t="s">
        <v>10</v>
      </c>
      <c r="B14" s="29"/>
      <c r="C14" s="42"/>
      <c r="D14" s="50" t="s">
        <v>11</v>
      </c>
      <c r="E14" s="43"/>
      <c r="F14" s="43"/>
      <c r="G14" s="43"/>
      <c r="H14" s="43"/>
      <c r="I14" s="43"/>
      <c r="J14" s="43"/>
      <c r="K14" s="44">
        <f>SUM(K15:K19)</f>
        <v>5956.7165778749995</v>
      </c>
      <c r="L14" s="44">
        <f t="shared" ref="L14:M14" si="2">SUM(L15:L19)</f>
        <v>23826.866311499998</v>
      </c>
      <c r="M14" s="44">
        <f t="shared" si="2"/>
        <v>29783.582889374997</v>
      </c>
      <c r="N14" s="45">
        <f t="shared" si="1"/>
        <v>8.775626949611906E-2</v>
      </c>
    </row>
    <row r="15" spans="1:14" ht="30" x14ac:dyDescent="0.25">
      <c r="A15" s="17" t="s">
        <v>12</v>
      </c>
      <c r="B15" s="16" t="s">
        <v>74</v>
      </c>
      <c r="C15" s="17" t="s">
        <v>8</v>
      </c>
      <c r="D15" s="51" t="s">
        <v>72</v>
      </c>
      <c r="E15" s="17" t="s">
        <v>73</v>
      </c>
      <c r="F15" s="35">
        <v>1</v>
      </c>
      <c r="G15" s="36">
        <f>Composições!H26</f>
        <v>2999</v>
      </c>
      <c r="H15" s="36">
        <f>J15*0.2</f>
        <v>748.13054000000011</v>
      </c>
      <c r="I15" s="36">
        <f>J15*0.8</f>
        <v>2992.5221600000004</v>
      </c>
      <c r="J15" s="36">
        <f>G15*$I$7+G15</f>
        <v>3740.6527000000001</v>
      </c>
      <c r="K15" s="36">
        <f t="shared" ref="K15" si="3">H15*F15</f>
        <v>748.13054000000011</v>
      </c>
      <c r="L15" s="36">
        <f t="shared" ref="L15" si="4">I15*F15</f>
        <v>2992.5221600000004</v>
      </c>
      <c r="M15" s="37">
        <f t="shared" ref="M15" si="5">K15+L15</f>
        <v>3740.6527000000006</v>
      </c>
      <c r="N15" s="46">
        <f t="shared" si="1"/>
        <v>1.1021700365998983E-2</v>
      </c>
    </row>
    <row r="16" spans="1:14" ht="30" x14ac:dyDescent="0.25">
      <c r="A16" s="17" t="s">
        <v>13</v>
      </c>
      <c r="B16" s="17">
        <v>93584</v>
      </c>
      <c r="C16" s="17" t="s">
        <v>16</v>
      </c>
      <c r="D16" s="51" t="s">
        <v>17</v>
      </c>
      <c r="E16" s="17" t="s">
        <v>32</v>
      </c>
      <c r="F16" s="35">
        <v>15</v>
      </c>
      <c r="G16" s="128">
        <v>850</v>
      </c>
      <c r="H16" s="36">
        <f>J16*0.2</f>
        <v>212.041</v>
      </c>
      <c r="I16" s="36">
        <f>J16*0.8</f>
        <v>848.16399999999999</v>
      </c>
      <c r="J16" s="36">
        <f>G16*$I$7+G16</f>
        <v>1060.2049999999999</v>
      </c>
      <c r="K16" s="36">
        <f t="shared" ref="K16:K28" si="6">H16*F16</f>
        <v>3180.6149999999998</v>
      </c>
      <c r="L16" s="36">
        <f t="shared" ref="L16:L28" si="7">I16*F16</f>
        <v>12722.46</v>
      </c>
      <c r="M16" s="37">
        <f t="shared" ref="M16:M28" si="8">K16+L16</f>
        <v>15903.074999999999</v>
      </c>
      <c r="N16" s="46">
        <f t="shared" si="1"/>
        <v>4.6857845837441486E-2</v>
      </c>
    </row>
    <row r="17" spans="1:16" ht="45" x14ac:dyDescent="0.25">
      <c r="A17" s="17" t="s">
        <v>14</v>
      </c>
      <c r="B17" s="17">
        <v>101505</v>
      </c>
      <c r="C17" s="17" t="s">
        <v>16</v>
      </c>
      <c r="D17" s="51" t="s">
        <v>119</v>
      </c>
      <c r="E17" s="17" t="s">
        <v>145</v>
      </c>
      <c r="F17" s="35">
        <v>1</v>
      </c>
      <c r="G17" s="36">
        <v>1800.61</v>
      </c>
      <c r="H17" s="36">
        <f t="shared" ref="H17:H19" si="9">J17*0.2</f>
        <v>449.18017060000005</v>
      </c>
      <c r="I17" s="36">
        <f t="shared" ref="I17:I19" si="10">J17*0.8</f>
        <v>1796.7206824000002</v>
      </c>
      <c r="J17" s="36">
        <f>G17*$I$7+G17</f>
        <v>2245.9008530000001</v>
      </c>
      <c r="K17" s="36">
        <f t="shared" si="6"/>
        <v>449.18017060000005</v>
      </c>
      <c r="L17" s="36">
        <f t="shared" si="7"/>
        <v>1796.7206824000002</v>
      </c>
      <c r="M17" s="37">
        <f t="shared" si="8"/>
        <v>2245.9008530000001</v>
      </c>
      <c r="N17" s="46">
        <f t="shared" si="1"/>
        <v>6.6174671210474916E-3</v>
      </c>
    </row>
    <row r="18" spans="1:16" ht="30" x14ac:dyDescent="0.25">
      <c r="A18" s="17" t="s">
        <v>71</v>
      </c>
      <c r="B18" s="17">
        <v>99059</v>
      </c>
      <c r="C18" s="17" t="s">
        <v>16</v>
      </c>
      <c r="D18" s="51" t="s">
        <v>18</v>
      </c>
      <c r="E18" s="17" t="s">
        <v>167</v>
      </c>
      <c r="F18" s="35">
        <f>(40*2+5.05*2)*1.05</f>
        <v>94.605000000000004</v>
      </c>
      <c r="G18" s="36">
        <v>56.75</v>
      </c>
      <c r="H18" s="36">
        <f t="shared" si="9"/>
        <v>14.156855</v>
      </c>
      <c r="I18" s="36">
        <f t="shared" si="10"/>
        <v>56.627420000000001</v>
      </c>
      <c r="J18" s="36">
        <f>G18*$I$7+G18</f>
        <v>70.784274999999994</v>
      </c>
      <c r="K18" s="36">
        <f t="shared" si="6"/>
        <v>1339.3092672750001</v>
      </c>
      <c r="L18" s="36">
        <f t="shared" si="7"/>
        <v>5357.2370691000006</v>
      </c>
      <c r="M18" s="37">
        <f t="shared" si="8"/>
        <v>6696.5463363750005</v>
      </c>
      <c r="N18" s="46">
        <f t="shared" si="1"/>
        <v>1.9731136014459048E-2</v>
      </c>
    </row>
    <row r="19" spans="1:16" x14ac:dyDescent="0.25">
      <c r="A19" s="17" t="s">
        <v>15</v>
      </c>
      <c r="B19" s="17">
        <v>223</v>
      </c>
      <c r="C19" s="17" t="s">
        <v>8</v>
      </c>
      <c r="D19" s="51" t="s">
        <v>19</v>
      </c>
      <c r="E19" s="17" t="s">
        <v>34</v>
      </c>
      <c r="F19" s="35">
        <f>1.5*2</f>
        <v>3</v>
      </c>
      <c r="G19" s="128">
        <f>Composições!H32</f>
        <v>320</v>
      </c>
      <c r="H19" s="36">
        <f t="shared" si="9"/>
        <v>79.827200000000005</v>
      </c>
      <c r="I19" s="36">
        <f t="shared" si="10"/>
        <v>319.30880000000002</v>
      </c>
      <c r="J19" s="36">
        <f>G19*$I$7+G19</f>
        <v>399.13599999999997</v>
      </c>
      <c r="K19" s="36">
        <f t="shared" si="6"/>
        <v>239.48160000000001</v>
      </c>
      <c r="L19" s="36">
        <f t="shared" si="7"/>
        <v>957.92640000000006</v>
      </c>
      <c r="M19" s="37">
        <f t="shared" si="8"/>
        <v>1197.4080000000001</v>
      </c>
      <c r="N19" s="46">
        <f t="shared" si="1"/>
        <v>3.5281201571720653E-3</v>
      </c>
    </row>
    <row r="20" spans="1:16" x14ac:dyDescent="0.25">
      <c r="A20" s="28" t="s">
        <v>62</v>
      </c>
      <c r="B20" s="29"/>
      <c r="C20" s="42"/>
      <c r="D20" s="50" t="s">
        <v>21</v>
      </c>
      <c r="E20" s="43"/>
      <c r="F20" s="43"/>
      <c r="G20" s="43"/>
      <c r="H20" s="43"/>
      <c r="I20" s="43"/>
      <c r="J20" s="43"/>
      <c r="K20" s="44">
        <f t="shared" ref="K20:L20" si="11">SUM(K21:K23)</f>
        <v>14489.206562742189</v>
      </c>
      <c r="L20" s="44">
        <f t="shared" si="11"/>
        <v>57956.826250968756</v>
      </c>
      <c r="M20" s="44">
        <f>SUM(M21:M23)</f>
        <v>72446.032813710946</v>
      </c>
      <c r="N20" s="45">
        <f t="shared" si="1"/>
        <v>0.21345966343736006</v>
      </c>
    </row>
    <row r="21" spans="1:16" ht="45" x14ac:dyDescent="0.25">
      <c r="A21" s="17" t="s">
        <v>20</v>
      </c>
      <c r="B21" s="17">
        <v>89272</v>
      </c>
      <c r="C21" s="17" t="s">
        <v>16</v>
      </c>
      <c r="D21" s="51" t="s">
        <v>58</v>
      </c>
      <c r="E21" s="17" t="s">
        <v>33</v>
      </c>
      <c r="F21" s="35">
        <f>(40+5*2)</f>
        <v>50</v>
      </c>
      <c r="G21" s="36">
        <v>240.97</v>
      </c>
      <c r="H21" s="36">
        <f>J21*0.2</f>
        <v>60.1123762</v>
      </c>
      <c r="I21" s="36">
        <f>J21*0.8</f>
        <v>240.4495048</v>
      </c>
      <c r="J21" s="36">
        <f t="shared" ref="J21" si="12">G21*$I$7+G21</f>
        <v>300.56188099999997</v>
      </c>
      <c r="K21" s="36">
        <f t="shared" ref="K21" si="13">H21*F21</f>
        <v>3005.6188099999999</v>
      </c>
      <c r="L21" s="36">
        <f t="shared" ref="L21" si="14">I21*F21</f>
        <v>12022.47524</v>
      </c>
      <c r="M21" s="37">
        <f t="shared" ref="M21" si="15">K21+L21</f>
        <v>15028.09405</v>
      </c>
      <c r="N21" s="46">
        <f t="shared" si="1"/>
        <v>4.4279745535091272E-2</v>
      </c>
    </row>
    <row r="22" spans="1:16" ht="45" x14ac:dyDescent="0.25">
      <c r="A22" s="17" t="s">
        <v>77</v>
      </c>
      <c r="B22" s="16" t="s">
        <v>66</v>
      </c>
      <c r="C22" s="16" t="s">
        <v>67</v>
      </c>
      <c r="D22" s="51" t="s">
        <v>68</v>
      </c>
      <c r="E22" s="17" t="s">
        <v>145</v>
      </c>
      <c r="F22" s="35">
        <f>(F21*(((1.5+3)*1.5)/2))/0.08</f>
        <v>2109.375</v>
      </c>
      <c r="G22" s="128">
        <f>Composições!H42</f>
        <v>17.050825000000003</v>
      </c>
      <c r="H22" s="36">
        <f t="shared" ref="H22:H23" si="16">J22*0.2</f>
        <v>4.2534988045000004</v>
      </c>
      <c r="I22" s="36">
        <f t="shared" ref="I22:I23" si="17">J22*0.8</f>
        <v>17.013995218000002</v>
      </c>
      <c r="J22" s="36">
        <f t="shared" ref="J22:J23" si="18">G22*$I$7+G22</f>
        <v>21.267494022500003</v>
      </c>
      <c r="K22" s="36">
        <f t="shared" si="6"/>
        <v>8972.2240407421887</v>
      </c>
      <c r="L22" s="36">
        <f t="shared" si="7"/>
        <v>35888.896162968755</v>
      </c>
      <c r="M22" s="36">
        <f t="shared" si="8"/>
        <v>44861.120203710947</v>
      </c>
      <c r="N22" s="46">
        <f t="shared" si="1"/>
        <v>0.13218169785405773</v>
      </c>
    </row>
    <row r="23" spans="1:16" x14ac:dyDescent="0.25">
      <c r="A23" s="17" t="s">
        <v>78</v>
      </c>
      <c r="B23" s="17">
        <v>104482</v>
      </c>
      <c r="C23" s="17" t="s">
        <v>16</v>
      </c>
      <c r="D23" s="51" t="s">
        <v>70</v>
      </c>
      <c r="E23" s="17" t="s">
        <v>33</v>
      </c>
      <c r="F23" s="35">
        <f>44*8</f>
        <v>352</v>
      </c>
      <c r="G23" s="36">
        <v>28.6</v>
      </c>
      <c r="H23" s="36">
        <f t="shared" si="16"/>
        <v>7.1345560000000008</v>
      </c>
      <c r="I23" s="36">
        <f t="shared" si="17"/>
        <v>28.538224000000003</v>
      </c>
      <c r="J23" s="36">
        <f t="shared" si="18"/>
        <v>35.672780000000003</v>
      </c>
      <c r="K23" s="36">
        <f t="shared" si="6"/>
        <v>2511.3637120000003</v>
      </c>
      <c r="L23" s="36">
        <f t="shared" si="7"/>
        <v>10045.454848000001</v>
      </c>
      <c r="M23" s="37">
        <f t="shared" si="8"/>
        <v>12556.818560000002</v>
      </c>
      <c r="N23" s="46">
        <f t="shared" si="1"/>
        <v>3.6998220048211058E-2</v>
      </c>
    </row>
    <row r="24" spans="1:16" x14ac:dyDescent="0.25">
      <c r="A24" s="28" t="s">
        <v>22</v>
      </c>
      <c r="B24" s="29"/>
      <c r="C24" s="42"/>
      <c r="D24" s="50" t="s">
        <v>122</v>
      </c>
      <c r="E24" s="43"/>
      <c r="F24" s="43"/>
      <c r="G24" s="43"/>
      <c r="H24" s="43"/>
      <c r="I24" s="43"/>
      <c r="J24" s="43"/>
      <c r="K24" s="44">
        <f>SUM(K25:K28)</f>
        <v>9540.5567012489992</v>
      </c>
      <c r="L24" s="44">
        <f>SUM(L25:L28)</f>
        <v>38162.226804995997</v>
      </c>
      <c r="M24" s="44">
        <f>SUM(M25:M28)</f>
        <v>47702.783506245003</v>
      </c>
      <c r="N24" s="45">
        <f t="shared" si="1"/>
        <v>0.14055455787968521</v>
      </c>
      <c r="O24" s="18"/>
      <c r="P24" s="23"/>
    </row>
    <row r="25" spans="1:16" s="26" customFormat="1" ht="45" x14ac:dyDescent="0.25">
      <c r="A25" s="25" t="s">
        <v>23</v>
      </c>
      <c r="B25" s="25">
        <v>96520</v>
      </c>
      <c r="C25" s="38" t="s">
        <v>16</v>
      </c>
      <c r="D25" s="52" t="s">
        <v>120</v>
      </c>
      <c r="E25" s="25" t="s">
        <v>121</v>
      </c>
      <c r="F25" s="41">
        <f>F18</f>
        <v>94.605000000000004</v>
      </c>
      <c r="G25" s="39">
        <v>89.85</v>
      </c>
      <c r="H25" s="39">
        <f>J25*0.2</f>
        <v>22.413981</v>
      </c>
      <c r="I25" s="39">
        <f>J25*0.8</f>
        <v>89.655923999999999</v>
      </c>
      <c r="J25" s="39">
        <f>G25*$I$7+G25</f>
        <v>112.06990499999999</v>
      </c>
      <c r="K25" s="39">
        <f t="shared" ref="K25:K26" si="19">H25*F25</f>
        <v>2120.4746725049999</v>
      </c>
      <c r="L25" s="39">
        <f>I25*F25</f>
        <v>8481.8986900199998</v>
      </c>
      <c r="M25" s="40">
        <f t="shared" ref="M25:M26" si="20">K25+L25</f>
        <v>10602.373362524999</v>
      </c>
      <c r="N25" s="47">
        <f t="shared" si="1"/>
        <v>3.1239516667826348E-2</v>
      </c>
    </row>
    <row r="26" spans="1:16" s="26" customFormat="1" ht="30" x14ac:dyDescent="0.25">
      <c r="A26" s="25" t="s">
        <v>24</v>
      </c>
      <c r="B26" s="25">
        <v>9395</v>
      </c>
      <c r="C26" s="38" t="s">
        <v>67</v>
      </c>
      <c r="D26" s="52" t="s">
        <v>76</v>
      </c>
      <c r="E26" s="25" t="s">
        <v>38</v>
      </c>
      <c r="F26" s="41">
        <f>((2.5/0.5*20/0.5))*0.4</f>
        <v>80</v>
      </c>
      <c r="G26" s="129">
        <f>Composições!H50</f>
        <v>127.41408</v>
      </c>
      <c r="H26" s="39">
        <f>J26*0.2</f>
        <v>31.784716396800004</v>
      </c>
      <c r="I26" s="39">
        <f>J26*0.8</f>
        <v>127.13886558720002</v>
      </c>
      <c r="J26" s="39">
        <f t="shared" ref="J26" si="21">G26*$I$7+G26</f>
        <v>158.92358198400001</v>
      </c>
      <c r="K26" s="39">
        <f t="shared" si="19"/>
        <v>2542.7773117440001</v>
      </c>
      <c r="L26" s="39">
        <f t="shared" ref="L26" si="22">I26*F26</f>
        <v>10171.109246976001</v>
      </c>
      <c r="M26" s="40">
        <f t="shared" si="20"/>
        <v>12713.886558720002</v>
      </c>
      <c r="N26" s="47">
        <f t="shared" si="1"/>
        <v>3.7461015329627839E-2</v>
      </c>
    </row>
    <row r="27" spans="1:16" s="26" customFormat="1" ht="30" x14ac:dyDescent="0.25">
      <c r="A27" s="25" t="s">
        <v>134</v>
      </c>
      <c r="B27" s="25">
        <v>96529</v>
      </c>
      <c r="C27" s="25" t="s">
        <v>16</v>
      </c>
      <c r="D27" s="52" t="s">
        <v>25</v>
      </c>
      <c r="E27" s="25" t="s">
        <v>36</v>
      </c>
      <c r="F27" s="41">
        <f>20*1.5</f>
        <v>30</v>
      </c>
      <c r="G27" s="39">
        <v>242.2</v>
      </c>
      <c r="H27" s="39">
        <f t="shared" ref="H27:H28" si="23">J27*0.2</f>
        <v>60.419211999999995</v>
      </c>
      <c r="I27" s="39">
        <f t="shared" ref="I27:I28" si="24">J27*0.8</f>
        <v>241.67684799999998</v>
      </c>
      <c r="J27" s="39">
        <f t="shared" ref="J27:J28" si="25">G27*$I$7+G27</f>
        <v>302.09605999999997</v>
      </c>
      <c r="K27" s="39">
        <f t="shared" si="6"/>
        <v>1812.5763599999998</v>
      </c>
      <c r="L27" s="39">
        <f t="shared" si="7"/>
        <v>7250.3054399999992</v>
      </c>
      <c r="M27" s="40">
        <f t="shared" si="8"/>
        <v>9062.8817999999992</v>
      </c>
      <c r="N27" s="47">
        <f t="shared" si="1"/>
        <v>2.6703459439596063E-2</v>
      </c>
    </row>
    <row r="28" spans="1:16" s="26" customFormat="1" ht="30" x14ac:dyDescent="0.25">
      <c r="A28" s="25" t="s">
        <v>135</v>
      </c>
      <c r="B28" s="25">
        <v>96558</v>
      </c>
      <c r="C28" s="25" t="s">
        <v>16</v>
      </c>
      <c r="D28" s="52" t="s">
        <v>26</v>
      </c>
      <c r="E28" s="25" t="s">
        <v>37</v>
      </c>
      <c r="F28" s="41">
        <f>20*0.75</f>
        <v>15</v>
      </c>
      <c r="G28" s="39">
        <v>819.03</v>
      </c>
      <c r="H28" s="39">
        <f t="shared" si="23"/>
        <v>204.31522380000001</v>
      </c>
      <c r="I28" s="39">
        <f t="shared" si="24"/>
        <v>817.26089520000005</v>
      </c>
      <c r="J28" s="39">
        <f t="shared" si="25"/>
        <v>1021.5761189999999</v>
      </c>
      <c r="K28" s="39">
        <f t="shared" si="6"/>
        <v>3064.728357</v>
      </c>
      <c r="L28" s="39">
        <f t="shared" si="7"/>
        <v>12258.913428</v>
      </c>
      <c r="M28" s="40">
        <f t="shared" si="8"/>
        <v>15323.641785</v>
      </c>
      <c r="N28" s="47">
        <f t="shared" si="1"/>
        <v>4.5150566442634939E-2</v>
      </c>
    </row>
    <row r="29" spans="1:16" s="26" customFormat="1" x14ac:dyDescent="0.25">
      <c r="A29" s="75">
        <v>2.2999999999999998</v>
      </c>
      <c r="B29" s="76"/>
      <c r="C29" s="77"/>
      <c r="D29" s="78" t="s">
        <v>169</v>
      </c>
      <c r="E29" s="79"/>
      <c r="F29" s="73"/>
      <c r="G29" s="79"/>
      <c r="H29" s="79"/>
      <c r="I29" s="79"/>
      <c r="J29" s="79"/>
      <c r="K29" s="80">
        <f>SUM(K30:K38)</f>
        <v>12225.867951747841</v>
      </c>
      <c r="L29" s="80">
        <f>SUM(L30:L38)</f>
        <v>48903.471806991365</v>
      </c>
      <c r="M29" s="80">
        <f>SUM(M30:M38)</f>
        <v>61129.339758739217</v>
      </c>
      <c r="N29" s="81">
        <f t="shared" si="1"/>
        <v>0.18011542915817128</v>
      </c>
    </row>
    <row r="30" spans="1:16" s="26" customFormat="1" ht="30" x14ac:dyDescent="0.25">
      <c r="A30" s="25" t="s">
        <v>79</v>
      </c>
      <c r="B30" s="25">
        <v>9395</v>
      </c>
      <c r="C30" s="38" t="s">
        <v>67</v>
      </c>
      <c r="D30" s="52" t="s">
        <v>76</v>
      </c>
      <c r="E30" s="25" t="s">
        <v>38</v>
      </c>
      <c r="F30" s="41">
        <f>12*6*0.4</f>
        <v>28.8</v>
      </c>
      <c r="G30" s="129">
        <f>Composições!H51</f>
        <v>127.41408</v>
      </c>
      <c r="H30" s="39">
        <f>J30*0.2</f>
        <v>31.784716396800004</v>
      </c>
      <c r="I30" s="39">
        <f>J30*0.8</f>
        <v>127.13886558720002</v>
      </c>
      <c r="J30" s="39">
        <f t="shared" ref="J30" si="26">G30*$I$7+G30</f>
        <v>158.92358198400001</v>
      </c>
      <c r="K30" s="39">
        <f t="shared" ref="K30" si="27">H30*F30</f>
        <v>915.39983222784008</v>
      </c>
      <c r="L30" s="39">
        <f t="shared" ref="L30" si="28">I30*F30</f>
        <v>3661.5993289113603</v>
      </c>
      <c r="M30" s="40">
        <f t="shared" ref="M30" si="29">K30+L30</f>
        <v>4576.9991611392006</v>
      </c>
      <c r="N30" s="47">
        <f t="shared" si="1"/>
        <v>1.3485965518666024E-2</v>
      </c>
    </row>
    <row r="31" spans="1:16" s="26" customFormat="1" ht="30" x14ac:dyDescent="0.25">
      <c r="A31" s="25" t="s">
        <v>80</v>
      </c>
      <c r="B31" s="25" t="s">
        <v>153</v>
      </c>
      <c r="C31" s="25" t="s">
        <v>16</v>
      </c>
      <c r="D31" s="52" t="s">
        <v>154</v>
      </c>
      <c r="E31" s="25" t="s">
        <v>35</v>
      </c>
      <c r="F31" s="41">
        <f>94.8+4.4</f>
        <v>99.2</v>
      </c>
      <c r="G31" s="39">
        <v>14.7</v>
      </c>
      <c r="H31" s="39">
        <f>J31*0.2</f>
        <v>3.667062</v>
      </c>
      <c r="I31" s="39">
        <f>J31*0.8</f>
        <v>14.668248</v>
      </c>
      <c r="J31" s="39">
        <f t="shared" ref="J31" si="30">G31*$I$7+G31</f>
        <v>18.33531</v>
      </c>
      <c r="K31" s="39">
        <f t="shared" ref="K31" si="31">H31*F31</f>
        <v>363.7725504</v>
      </c>
      <c r="L31" s="39">
        <f t="shared" ref="L31" si="32">I31*F31</f>
        <v>1455.0902016</v>
      </c>
      <c r="M31" s="40">
        <f t="shared" ref="M31" si="33">K31+L31</f>
        <v>1818.862752</v>
      </c>
      <c r="N31" s="47">
        <f t="shared" si="1"/>
        <v>5.3592145187443662E-3</v>
      </c>
    </row>
    <row r="32" spans="1:16" s="26" customFormat="1" ht="30" x14ac:dyDescent="0.25">
      <c r="A32" s="25" t="s">
        <v>150</v>
      </c>
      <c r="B32" s="25" t="s">
        <v>157</v>
      </c>
      <c r="C32" s="25" t="s">
        <v>16</v>
      </c>
      <c r="D32" s="52" t="s">
        <v>155</v>
      </c>
      <c r="E32" s="25" t="s">
        <v>35</v>
      </c>
      <c r="F32" s="41">
        <f>21.1+0.6</f>
        <v>21.700000000000003</v>
      </c>
      <c r="G32" s="39">
        <v>13.78</v>
      </c>
      <c r="H32" s="39">
        <f t="shared" ref="H32:H36" si="34">J32*0.2</f>
        <v>3.4375588000000001</v>
      </c>
      <c r="I32" s="39">
        <f t="shared" ref="I32:I36" si="35">J32*0.8</f>
        <v>13.750235200000001</v>
      </c>
      <c r="J32" s="39">
        <f t="shared" ref="J32:J35" si="36">G32*$I$7+G32</f>
        <v>17.187794</v>
      </c>
      <c r="K32" s="39">
        <f t="shared" ref="K32:K36" si="37">H32*F32</f>
        <v>74.595025960000015</v>
      </c>
      <c r="L32" s="39">
        <f t="shared" ref="L32:L36" si="38">I32*F32</f>
        <v>298.38010384000006</v>
      </c>
      <c r="M32" s="40">
        <f t="shared" ref="M32:M36" si="39">K32+L32</f>
        <v>372.9751298000001</v>
      </c>
      <c r="N32" s="47">
        <f t="shared" si="1"/>
        <v>1.0989579772068064E-3</v>
      </c>
    </row>
    <row r="33" spans="1:16" s="26" customFormat="1" ht="30" x14ac:dyDescent="0.25">
      <c r="A33" s="25" t="s">
        <v>152</v>
      </c>
      <c r="B33" s="25" t="s">
        <v>158</v>
      </c>
      <c r="C33" s="25" t="s">
        <v>16</v>
      </c>
      <c r="D33" s="52" t="s">
        <v>156</v>
      </c>
      <c r="E33" s="25" t="s">
        <v>35</v>
      </c>
      <c r="F33" s="41">
        <f>110.7</f>
        <v>110.7</v>
      </c>
      <c r="G33" s="39">
        <v>13.08</v>
      </c>
      <c r="H33" s="39">
        <f t="shared" si="34"/>
        <v>3.2629368000000003</v>
      </c>
      <c r="I33" s="39">
        <f t="shared" si="35"/>
        <v>13.051747200000001</v>
      </c>
      <c r="J33" s="39">
        <f t="shared" si="36"/>
        <v>16.314684</v>
      </c>
      <c r="K33" s="39">
        <f t="shared" si="37"/>
        <v>361.20710376000005</v>
      </c>
      <c r="L33" s="39">
        <f t="shared" si="38"/>
        <v>1444.8284150400002</v>
      </c>
      <c r="M33" s="40">
        <f t="shared" si="39"/>
        <v>1806.0355188000003</v>
      </c>
      <c r="N33" s="47">
        <f t="shared" si="1"/>
        <v>5.3214195315606618E-3</v>
      </c>
    </row>
    <row r="34" spans="1:16" s="26" customFormat="1" ht="30" x14ac:dyDescent="0.25">
      <c r="A34" s="25" t="s">
        <v>171</v>
      </c>
      <c r="B34" s="25" t="s">
        <v>160</v>
      </c>
      <c r="C34" s="25" t="s">
        <v>16</v>
      </c>
      <c r="D34" s="52" t="s">
        <v>159</v>
      </c>
      <c r="E34" s="25" t="s">
        <v>35</v>
      </c>
      <c r="F34" s="41">
        <f>133.8+5.2</f>
        <v>139</v>
      </c>
      <c r="G34" s="39">
        <v>11.76</v>
      </c>
      <c r="H34" s="39">
        <f t="shared" ref="H34" si="40">J34*0.2</f>
        <v>2.9336496000000003</v>
      </c>
      <c r="I34" s="39">
        <f t="shared" si="35"/>
        <v>11.734598400000001</v>
      </c>
      <c r="J34" s="39">
        <f t="shared" ref="J34" si="41">G34*$I$7+G34</f>
        <v>14.668248</v>
      </c>
      <c r="K34" s="39">
        <f t="shared" ref="K34" si="42">H34*F34</f>
        <v>407.77729440000002</v>
      </c>
      <c r="L34" s="39">
        <f t="shared" ref="L34" si="43">I34*F34</f>
        <v>1631.1091776000001</v>
      </c>
      <c r="M34" s="40">
        <f t="shared" ref="M34" si="44">K34+L34</f>
        <v>2038.8864720000001</v>
      </c>
      <c r="N34" s="47">
        <f t="shared" si="1"/>
        <v>6.0075065976247337E-3</v>
      </c>
    </row>
    <row r="35" spans="1:16" s="26" customFormat="1" ht="30" x14ac:dyDescent="0.25">
      <c r="A35" s="25" t="s">
        <v>172</v>
      </c>
      <c r="B35" s="25" t="s">
        <v>161</v>
      </c>
      <c r="C35" s="25" t="s">
        <v>16</v>
      </c>
      <c r="D35" s="52" t="s">
        <v>162</v>
      </c>
      <c r="E35" s="25" t="s">
        <v>35</v>
      </c>
      <c r="F35" s="41">
        <f>401.4+30.4</f>
        <v>431.79999999999995</v>
      </c>
      <c r="G35" s="39">
        <v>9.65</v>
      </c>
      <c r="H35" s="39">
        <f t="shared" si="34"/>
        <v>2.4072890000000005</v>
      </c>
      <c r="I35" s="39">
        <f t="shared" si="35"/>
        <v>9.6291560000000018</v>
      </c>
      <c r="J35" s="39">
        <f t="shared" si="36"/>
        <v>12.036445000000001</v>
      </c>
      <c r="K35" s="39">
        <f t="shared" si="37"/>
        <v>1039.4673902000002</v>
      </c>
      <c r="L35" s="39">
        <f t="shared" si="38"/>
        <v>4157.8695608000007</v>
      </c>
      <c r="M35" s="40">
        <f t="shared" si="39"/>
        <v>5197.3369510000011</v>
      </c>
      <c r="N35" s="47">
        <f t="shared" si="1"/>
        <v>1.5313768790953714E-2</v>
      </c>
    </row>
    <row r="36" spans="1:16" s="26" customFormat="1" ht="30" x14ac:dyDescent="0.25">
      <c r="A36" s="25" t="s">
        <v>173</v>
      </c>
      <c r="B36" s="25">
        <v>97091</v>
      </c>
      <c r="C36" s="25" t="s">
        <v>16</v>
      </c>
      <c r="D36" s="52" t="s">
        <v>126</v>
      </c>
      <c r="E36" s="25" t="s">
        <v>35</v>
      </c>
      <c r="F36" s="41">
        <f>(15.04*2.52)*1.1</f>
        <v>41.69088</v>
      </c>
      <c r="G36" s="39">
        <v>15.68</v>
      </c>
      <c r="H36" s="39">
        <f t="shared" si="34"/>
        <v>3.1360000000000001</v>
      </c>
      <c r="I36" s="39">
        <f t="shared" si="35"/>
        <v>12.544</v>
      </c>
      <c r="J36" s="39">
        <f t="shared" ref="J36" si="45">G36*$I$6+G36</f>
        <v>15.68</v>
      </c>
      <c r="K36" s="39">
        <f t="shared" si="37"/>
        <v>130.74259968000001</v>
      </c>
      <c r="L36" s="39">
        <f t="shared" si="38"/>
        <v>522.97039872000005</v>
      </c>
      <c r="M36" s="40">
        <f t="shared" si="39"/>
        <v>653.71299840000006</v>
      </c>
      <c r="N36" s="47">
        <f t="shared" si="1"/>
        <v>1.9261421392377787E-3</v>
      </c>
    </row>
    <row r="37" spans="1:16" s="26" customFormat="1" ht="30" x14ac:dyDescent="0.25">
      <c r="A37" s="25" t="s">
        <v>174</v>
      </c>
      <c r="B37" s="25">
        <v>92264</v>
      </c>
      <c r="C37" s="25" t="s">
        <v>16</v>
      </c>
      <c r="D37" s="52" t="s">
        <v>59</v>
      </c>
      <c r="E37" s="41" t="s">
        <v>36</v>
      </c>
      <c r="F37" s="41">
        <f>16.65+10.8+87.81</f>
        <v>115.26</v>
      </c>
      <c r="G37" s="39">
        <v>229.63</v>
      </c>
      <c r="H37" s="39">
        <f t="shared" ref="H37:H38" si="46">J37*0.2</f>
        <v>57.283499800000008</v>
      </c>
      <c r="I37" s="39">
        <f t="shared" ref="I37:I38" si="47">J37*0.8</f>
        <v>229.13399920000003</v>
      </c>
      <c r="J37" s="39">
        <f t="shared" ref="J37:J38" si="48">G37*$I$7+G37</f>
        <v>286.41749900000002</v>
      </c>
      <c r="K37" s="39">
        <f t="shared" ref="K37:K38" si="49">H37*F37</f>
        <v>6602.4961869480012</v>
      </c>
      <c r="L37" s="39">
        <f t="shared" ref="L37:L38" si="50">I37*F37</f>
        <v>26409.984747792005</v>
      </c>
      <c r="M37" s="40">
        <f t="shared" ref="M37:M38" si="51">K37+L37</f>
        <v>33012.480934740008</v>
      </c>
      <c r="N37" s="47">
        <f t="shared" si="1"/>
        <v>9.7270102942451281E-2</v>
      </c>
    </row>
    <row r="38" spans="1:16" s="26" customFormat="1" ht="45" x14ac:dyDescent="0.25">
      <c r="A38" s="25" t="s">
        <v>175</v>
      </c>
      <c r="B38" s="25">
        <v>103674</v>
      </c>
      <c r="C38" s="25" t="s">
        <v>16</v>
      </c>
      <c r="D38" s="52" t="s">
        <v>61</v>
      </c>
      <c r="E38" s="41" t="s">
        <v>37</v>
      </c>
      <c r="F38" s="41">
        <f>7.35+2.51+3.01</f>
        <v>12.87</v>
      </c>
      <c r="G38" s="39">
        <v>725.86</v>
      </c>
      <c r="H38" s="39">
        <f t="shared" si="46"/>
        <v>181.07303560000003</v>
      </c>
      <c r="I38" s="39">
        <f t="shared" si="47"/>
        <v>724.2921424000001</v>
      </c>
      <c r="J38" s="39">
        <f t="shared" si="48"/>
        <v>905.36517800000001</v>
      </c>
      <c r="K38" s="39">
        <f t="shared" si="49"/>
        <v>2330.4099681720004</v>
      </c>
      <c r="L38" s="39">
        <f t="shared" si="50"/>
        <v>9321.6398726880016</v>
      </c>
      <c r="M38" s="40">
        <f t="shared" si="51"/>
        <v>11652.049840860001</v>
      </c>
      <c r="N38" s="47">
        <f t="shared" si="1"/>
        <v>3.4332351141725899E-2</v>
      </c>
    </row>
    <row r="39" spans="1:16" x14ac:dyDescent="0.25">
      <c r="A39" s="28">
        <v>2.4</v>
      </c>
      <c r="B39" s="29"/>
      <c r="C39" s="42"/>
      <c r="D39" s="50" t="s">
        <v>147</v>
      </c>
      <c r="E39" s="43"/>
      <c r="F39" s="73"/>
      <c r="G39" s="43"/>
      <c r="H39" s="43"/>
      <c r="I39" s="43"/>
      <c r="J39" s="43"/>
      <c r="K39" s="44">
        <f>SUM(K40:K42)</f>
        <v>3849.6546000000003</v>
      </c>
      <c r="L39" s="44">
        <f>SUM(L40:L42)</f>
        <v>15398.618400000001</v>
      </c>
      <c r="M39" s="44">
        <f>SUM(M40:M42)</f>
        <v>19248.273000000001</v>
      </c>
      <c r="N39" s="45">
        <f t="shared" si="1"/>
        <v>5.6714352970792595E-2</v>
      </c>
      <c r="P39" s="22"/>
    </row>
    <row r="40" spans="1:16" ht="30" x14ac:dyDescent="0.25">
      <c r="A40" s="17" t="s">
        <v>81</v>
      </c>
      <c r="B40" s="17">
        <v>97916</v>
      </c>
      <c r="C40" s="17" t="s">
        <v>16</v>
      </c>
      <c r="D40" s="51" t="s">
        <v>139</v>
      </c>
      <c r="E40" s="74" t="s">
        <v>140</v>
      </c>
      <c r="F40" s="41">
        <f>(F41+F42)*1.3*25</f>
        <v>3763.5000000000005</v>
      </c>
      <c r="G40" s="36">
        <v>2.57</v>
      </c>
      <c r="H40" s="36">
        <f t="shared" ref="H40:H42" si="52">J40*0.2</f>
        <v>0.51400000000000001</v>
      </c>
      <c r="I40" s="36">
        <f t="shared" ref="I40:I42" si="53">J40*0.8</f>
        <v>2.056</v>
      </c>
      <c r="J40" s="36">
        <f t="shared" ref="J40:J42" si="54">G40*$I$6+G40</f>
        <v>2.57</v>
      </c>
      <c r="K40" s="36">
        <f t="shared" ref="K40:K42" si="55">H40*F40</f>
        <v>1934.4390000000003</v>
      </c>
      <c r="L40" s="36">
        <f t="shared" ref="L40:L42" si="56">I40*F40</f>
        <v>7737.7560000000012</v>
      </c>
      <c r="M40" s="37">
        <f t="shared" ref="M40:M42" si="57">K40+L40</f>
        <v>9672.1950000000015</v>
      </c>
      <c r="N40" s="46">
        <f t="shared" si="1"/>
        <v>2.8498779149294863E-2</v>
      </c>
    </row>
    <row r="41" spans="1:16" ht="30" x14ac:dyDescent="0.25">
      <c r="A41" s="17" t="s">
        <v>82</v>
      </c>
      <c r="B41" s="17">
        <v>4730</v>
      </c>
      <c r="C41" s="17" t="s">
        <v>16</v>
      </c>
      <c r="D41" s="51" t="s">
        <v>141</v>
      </c>
      <c r="E41" s="17" t="s">
        <v>37</v>
      </c>
      <c r="F41" s="41">
        <f>20*5.12</f>
        <v>102.4</v>
      </c>
      <c r="G41" s="128">
        <v>73.86</v>
      </c>
      <c r="H41" s="36">
        <f t="shared" si="52"/>
        <v>14.772</v>
      </c>
      <c r="I41" s="36">
        <f t="shared" si="53"/>
        <v>59.088000000000001</v>
      </c>
      <c r="J41" s="36">
        <f t="shared" si="54"/>
        <v>73.86</v>
      </c>
      <c r="K41" s="36">
        <f t="shared" si="55"/>
        <v>1512.6528000000001</v>
      </c>
      <c r="L41" s="36">
        <f t="shared" si="56"/>
        <v>6050.6112000000003</v>
      </c>
      <c r="M41" s="37">
        <f t="shared" si="57"/>
        <v>7563.2640000000001</v>
      </c>
      <c r="N41" s="46">
        <f t="shared" ref="N41:N42" si="58">+M41/$M$58</f>
        <v>2.2284888836899219E-2</v>
      </c>
    </row>
    <row r="42" spans="1:16" ht="41.25" customHeight="1" x14ac:dyDescent="0.25">
      <c r="A42" s="17" t="s">
        <v>83</v>
      </c>
      <c r="B42" s="17">
        <v>100322</v>
      </c>
      <c r="C42" s="17" t="s">
        <v>16</v>
      </c>
      <c r="D42" s="51" t="s">
        <v>148</v>
      </c>
      <c r="E42" s="17" t="s">
        <v>37</v>
      </c>
      <c r="F42" s="41">
        <f>20*6.7*0.1</f>
        <v>13.4</v>
      </c>
      <c r="G42" s="36">
        <v>150.21</v>
      </c>
      <c r="H42" s="36">
        <f t="shared" si="52"/>
        <v>30.042000000000002</v>
      </c>
      <c r="I42" s="36">
        <f t="shared" si="53"/>
        <v>120.16800000000001</v>
      </c>
      <c r="J42" s="36">
        <f t="shared" si="54"/>
        <v>150.21</v>
      </c>
      <c r="K42" s="36">
        <f t="shared" si="55"/>
        <v>402.56280000000004</v>
      </c>
      <c r="L42" s="36">
        <f t="shared" si="56"/>
        <v>1610.2512000000002</v>
      </c>
      <c r="M42" s="37">
        <f t="shared" si="57"/>
        <v>2012.8140000000003</v>
      </c>
      <c r="N42" s="46">
        <f t="shared" si="58"/>
        <v>5.9306849845985107E-3</v>
      </c>
    </row>
    <row r="43" spans="1:16" x14ac:dyDescent="0.25">
      <c r="A43" s="28">
        <v>2.5</v>
      </c>
      <c r="B43" s="29"/>
      <c r="C43" s="42"/>
      <c r="D43" s="50" t="s">
        <v>149</v>
      </c>
      <c r="E43" s="43"/>
      <c r="F43" s="73"/>
      <c r="G43" s="43"/>
      <c r="H43" s="43"/>
      <c r="I43" s="43"/>
      <c r="J43" s="43"/>
      <c r="K43" s="44">
        <f>SUM(K44:K46)</f>
        <v>4615.0934280000001</v>
      </c>
      <c r="L43" s="44">
        <f>SUM(L44:L46)</f>
        <v>18460.373712000001</v>
      </c>
      <c r="M43" s="44">
        <f>SUM(M44:M46)</f>
        <v>23075.467140000001</v>
      </c>
      <c r="N43" s="45">
        <f>+M43/$M$58</f>
        <v>6.7991044617035812E-2</v>
      </c>
    </row>
    <row r="44" spans="1:16" s="26" customFormat="1" ht="30" x14ac:dyDescent="0.25">
      <c r="A44" s="25" t="s">
        <v>123</v>
      </c>
      <c r="B44" s="25">
        <v>97091</v>
      </c>
      <c r="C44" s="25" t="s">
        <v>16</v>
      </c>
      <c r="D44" s="52" t="s">
        <v>126</v>
      </c>
      <c r="E44" s="25" t="s">
        <v>35</v>
      </c>
      <c r="F44" s="41">
        <f>(134*2.52)*1.1</f>
        <v>371.44800000000004</v>
      </c>
      <c r="G44" s="39">
        <v>15.68</v>
      </c>
      <c r="H44" s="39">
        <f t="shared" ref="H44:H46" si="59">J44*0.2</f>
        <v>3.1360000000000001</v>
      </c>
      <c r="I44" s="39">
        <f t="shared" ref="I44:I46" si="60">J44*0.8</f>
        <v>12.544</v>
      </c>
      <c r="J44" s="39">
        <f t="shared" ref="J44:J46" si="61">G44*$I$6+G44</f>
        <v>15.68</v>
      </c>
      <c r="K44" s="39">
        <f t="shared" ref="K44:K46" si="62">H44*F44</f>
        <v>1164.8609280000001</v>
      </c>
      <c r="L44" s="39">
        <f t="shared" ref="L44:L46" si="63">I44*F44</f>
        <v>4659.4437120000002</v>
      </c>
      <c r="M44" s="40">
        <f t="shared" ref="M44:M46" si="64">K44+L44</f>
        <v>5824.3046400000003</v>
      </c>
      <c r="N44" s="47">
        <f>+M44/$M$58</f>
        <v>1.7161106825655741E-2</v>
      </c>
    </row>
    <row r="45" spans="1:16" ht="52.5" customHeight="1" x14ac:dyDescent="0.25">
      <c r="A45" s="25" t="s">
        <v>124</v>
      </c>
      <c r="B45" s="17">
        <v>97086</v>
      </c>
      <c r="C45" s="17" t="s">
        <v>16</v>
      </c>
      <c r="D45" s="51" t="s">
        <v>151</v>
      </c>
      <c r="E45" s="35" t="s">
        <v>36</v>
      </c>
      <c r="F45" s="41">
        <v>26.01</v>
      </c>
      <c r="G45" s="36">
        <v>116.95</v>
      </c>
      <c r="H45" s="36">
        <f t="shared" si="59"/>
        <v>23.39</v>
      </c>
      <c r="I45" s="36">
        <f t="shared" si="60"/>
        <v>93.56</v>
      </c>
      <c r="J45" s="36">
        <f t="shared" si="61"/>
        <v>116.95</v>
      </c>
      <c r="K45" s="36">
        <f t="shared" si="62"/>
        <v>608.37390000000005</v>
      </c>
      <c r="L45" s="36">
        <f t="shared" si="63"/>
        <v>2433.4956000000002</v>
      </c>
      <c r="M45" s="37">
        <f t="shared" si="64"/>
        <v>3041.8695000000002</v>
      </c>
      <c r="N45" s="47">
        <f t="shared" ref="N45:N46" si="65">+M45/$M$58</f>
        <v>8.9627604779965661E-3</v>
      </c>
    </row>
    <row r="46" spans="1:16" ht="41.25" customHeight="1" x14ac:dyDescent="0.25">
      <c r="A46" s="25" t="s">
        <v>125</v>
      </c>
      <c r="B46" s="17">
        <v>103672</v>
      </c>
      <c r="C46" s="17" t="s">
        <v>16</v>
      </c>
      <c r="D46" s="51" t="s">
        <v>60</v>
      </c>
      <c r="E46" s="35" t="s">
        <v>37</v>
      </c>
      <c r="F46" s="41">
        <v>20.100000000000001</v>
      </c>
      <c r="G46" s="36">
        <v>706.93</v>
      </c>
      <c r="H46" s="36">
        <f t="shared" si="59"/>
        <v>141.386</v>
      </c>
      <c r="I46" s="36">
        <f t="shared" si="60"/>
        <v>565.54399999999998</v>
      </c>
      <c r="J46" s="36">
        <f t="shared" si="61"/>
        <v>706.93</v>
      </c>
      <c r="K46" s="36">
        <f t="shared" si="62"/>
        <v>2841.8586</v>
      </c>
      <c r="L46" s="36">
        <f t="shared" si="63"/>
        <v>11367.4344</v>
      </c>
      <c r="M46" s="37">
        <f t="shared" si="64"/>
        <v>14209.293</v>
      </c>
      <c r="N46" s="47">
        <f t="shared" si="65"/>
        <v>4.1867177313383505E-2</v>
      </c>
    </row>
    <row r="47" spans="1:16" x14ac:dyDescent="0.25">
      <c r="A47" s="28">
        <v>2.6</v>
      </c>
      <c r="B47" s="29"/>
      <c r="C47" s="42"/>
      <c r="D47" s="50" t="s">
        <v>168</v>
      </c>
      <c r="E47" s="43"/>
      <c r="F47" s="73"/>
      <c r="G47" s="43"/>
      <c r="H47" s="43"/>
      <c r="I47" s="43"/>
      <c r="J47" s="43"/>
      <c r="K47" s="44">
        <f>SUM(K48:K50)</f>
        <v>6650.0271200000007</v>
      </c>
      <c r="L47" s="44">
        <f>SUM(L48:L50)</f>
        <v>26600.108480000003</v>
      </c>
      <c r="M47" s="44">
        <f>SUM(M48:M50)</f>
        <v>33250.135600000001</v>
      </c>
      <c r="N47" s="45">
        <f>+M47/$M$58</f>
        <v>9.7970343975540899E-2</v>
      </c>
    </row>
    <row r="48" spans="1:16" s="26" customFormat="1" ht="30" x14ac:dyDescent="0.25">
      <c r="A48" s="25" t="s">
        <v>138</v>
      </c>
      <c r="B48" s="17">
        <v>9395</v>
      </c>
      <c r="C48" s="16" t="s">
        <v>67</v>
      </c>
      <c r="D48" s="51" t="s">
        <v>76</v>
      </c>
      <c r="E48" s="17" t="s">
        <v>38</v>
      </c>
      <c r="F48" s="35">
        <f>(20/0.25)*3*0.4</f>
        <v>96</v>
      </c>
      <c r="G48" s="128">
        <v>150</v>
      </c>
      <c r="H48" s="39">
        <f t="shared" ref="H48:H50" si="66">J48*0.2</f>
        <v>30</v>
      </c>
      <c r="I48" s="39">
        <f t="shared" ref="I48:I50" si="67">J48*0.8</f>
        <v>120</v>
      </c>
      <c r="J48" s="39">
        <f t="shared" ref="J48:J50" si="68">G48*$I$6+G48</f>
        <v>150</v>
      </c>
      <c r="K48" s="39">
        <f t="shared" ref="K48:K50" si="69">H48*F48</f>
        <v>2880</v>
      </c>
      <c r="L48" s="39">
        <f t="shared" ref="L48:L50" si="70">I48*F48</f>
        <v>11520</v>
      </c>
      <c r="M48" s="40">
        <f t="shared" ref="M48:M50" si="71">K48+L48</f>
        <v>14400</v>
      </c>
      <c r="N48" s="47">
        <f>+M48/$M$58</f>
        <v>4.2429088717694997E-2</v>
      </c>
    </row>
    <row r="49" spans="1:14" ht="52.5" customHeight="1" x14ac:dyDescent="0.25">
      <c r="A49" s="25" t="s">
        <v>163</v>
      </c>
      <c r="B49" s="17">
        <v>92264</v>
      </c>
      <c r="C49" s="17" t="s">
        <v>16</v>
      </c>
      <c r="D49" s="51" t="s">
        <v>59</v>
      </c>
      <c r="E49" s="35" t="s">
        <v>36</v>
      </c>
      <c r="F49" s="35">
        <v>27.72</v>
      </c>
      <c r="G49" s="39">
        <v>229.63</v>
      </c>
      <c r="H49" s="36">
        <f t="shared" si="66"/>
        <v>45.926000000000002</v>
      </c>
      <c r="I49" s="36">
        <f t="shared" si="67"/>
        <v>183.70400000000001</v>
      </c>
      <c r="J49" s="36">
        <f t="shared" si="68"/>
        <v>229.63</v>
      </c>
      <c r="K49" s="36">
        <f t="shared" si="69"/>
        <v>1273.06872</v>
      </c>
      <c r="L49" s="36">
        <f t="shared" si="70"/>
        <v>5092.2748799999999</v>
      </c>
      <c r="M49" s="37">
        <f t="shared" si="71"/>
        <v>6365.3436000000002</v>
      </c>
      <c r="N49" s="47">
        <f t="shared" ref="N49:N50" si="72">+M49/$M$58</f>
        <v>1.8755258911320283E-2</v>
      </c>
    </row>
    <row r="50" spans="1:14" ht="41.25" customHeight="1" x14ac:dyDescent="0.25">
      <c r="A50" s="25" t="s">
        <v>164</v>
      </c>
      <c r="B50" s="17">
        <v>103674</v>
      </c>
      <c r="C50" s="17" t="s">
        <v>16</v>
      </c>
      <c r="D50" s="51" t="s">
        <v>61</v>
      </c>
      <c r="E50" s="35" t="s">
        <v>37</v>
      </c>
      <c r="F50" s="35">
        <v>17.2</v>
      </c>
      <c r="G50" s="39">
        <v>725.86</v>
      </c>
      <c r="H50" s="36">
        <f t="shared" si="66"/>
        <v>145.172</v>
      </c>
      <c r="I50" s="36">
        <f t="shared" si="67"/>
        <v>580.68799999999999</v>
      </c>
      <c r="J50" s="36">
        <f t="shared" si="68"/>
        <v>725.86</v>
      </c>
      <c r="K50" s="36">
        <f t="shared" si="69"/>
        <v>2496.9584</v>
      </c>
      <c r="L50" s="36">
        <f t="shared" si="70"/>
        <v>9987.8335999999999</v>
      </c>
      <c r="M50" s="37">
        <f t="shared" si="71"/>
        <v>12484.791999999999</v>
      </c>
      <c r="N50" s="47">
        <f t="shared" si="72"/>
        <v>3.6785996346525608E-2</v>
      </c>
    </row>
    <row r="51" spans="1:14" x14ac:dyDescent="0.25">
      <c r="A51" s="28">
        <v>2.7</v>
      </c>
      <c r="B51" s="29"/>
      <c r="C51" s="42"/>
      <c r="D51" s="50" t="s">
        <v>136</v>
      </c>
      <c r="E51" s="43"/>
      <c r="F51" s="73"/>
      <c r="G51" s="43"/>
      <c r="H51" s="43"/>
      <c r="I51" s="43"/>
      <c r="J51" s="43"/>
      <c r="K51" s="44">
        <f>SUM(K52)</f>
        <v>364.39121119999999</v>
      </c>
      <c r="L51" s="44">
        <f>SUM(L52)</f>
        <v>1457.5648447999999</v>
      </c>
      <c r="M51" s="44">
        <f>SUM(M52)</f>
        <v>1821.956056</v>
      </c>
      <c r="N51" s="45">
        <f>+M51/$M$58</f>
        <v>5.3683288291503945E-3</v>
      </c>
    </row>
    <row r="52" spans="1:14" s="26" customFormat="1" ht="30" x14ac:dyDescent="0.25">
      <c r="A52" s="25" t="s">
        <v>143</v>
      </c>
      <c r="B52" s="17">
        <v>98557</v>
      </c>
      <c r="C52" s="17" t="s">
        <v>16</v>
      </c>
      <c r="D52" s="51" t="s">
        <v>137</v>
      </c>
      <c r="E52" s="74" t="s">
        <v>34</v>
      </c>
      <c r="F52" s="41">
        <f>0.4*0.2*5*6+20*1.4</f>
        <v>30.4</v>
      </c>
      <c r="G52" s="36">
        <v>48.05</v>
      </c>
      <c r="H52" s="39">
        <f t="shared" ref="H52" si="73">J52*0.2</f>
        <v>11.986553000000001</v>
      </c>
      <c r="I52" s="39">
        <f t="shared" ref="I52" si="74">J52*0.8</f>
        <v>47.946212000000003</v>
      </c>
      <c r="J52" s="39">
        <f t="shared" ref="J52" si="75">G52*$I$7+G52</f>
        <v>59.932764999999996</v>
      </c>
      <c r="K52" s="39">
        <f t="shared" ref="K52" si="76">H52*F52</f>
        <v>364.39121119999999</v>
      </c>
      <c r="L52" s="39">
        <f t="shared" ref="L52" si="77">I52*F52</f>
        <v>1457.5648447999999</v>
      </c>
      <c r="M52" s="40">
        <f t="shared" ref="M52" si="78">K52+L52</f>
        <v>1821.956056</v>
      </c>
      <c r="N52" s="47">
        <f>+M52/M58</f>
        <v>5.3683288291503945E-3</v>
      </c>
    </row>
    <row r="53" spans="1:14" x14ac:dyDescent="0.25">
      <c r="A53" s="82">
        <v>2.8</v>
      </c>
      <c r="B53" s="29"/>
      <c r="C53" s="42"/>
      <c r="D53" s="50" t="s">
        <v>142</v>
      </c>
      <c r="E53" s="43"/>
      <c r="F53" s="73"/>
      <c r="G53" s="43"/>
      <c r="H53" s="43"/>
      <c r="I53" s="43"/>
      <c r="J53" s="43"/>
      <c r="K53" s="44">
        <f>SUM(K54:K54)</f>
        <v>334.75037399999997</v>
      </c>
      <c r="L53" s="44">
        <f>SUM(L54:L54)</f>
        <v>1339.0014959999999</v>
      </c>
      <c r="M53" s="44">
        <f>SUM(M54:M54)</f>
        <v>1673.7518699999998</v>
      </c>
      <c r="N53" s="45">
        <f>+M53/$M$58</f>
        <v>4.9316504571970763E-3</v>
      </c>
    </row>
    <row r="54" spans="1:14" s="26" customFormat="1" ht="52.5" customHeight="1" x14ac:dyDescent="0.25">
      <c r="A54" s="25" t="s">
        <v>146</v>
      </c>
      <c r="B54" s="25">
        <v>102713</v>
      </c>
      <c r="C54" s="25" t="s">
        <v>16</v>
      </c>
      <c r="D54" s="52" t="s">
        <v>144</v>
      </c>
      <c r="E54" s="25" t="s">
        <v>36</v>
      </c>
      <c r="F54" s="41">
        <f>4.5*20</f>
        <v>90</v>
      </c>
      <c r="G54" s="39">
        <v>14.91</v>
      </c>
      <c r="H54" s="39">
        <f t="shared" ref="H54" si="79">J54*0.2</f>
        <v>3.7194485999999998</v>
      </c>
      <c r="I54" s="39">
        <f t="shared" ref="I54" si="80">J54*0.8</f>
        <v>14.877794399999999</v>
      </c>
      <c r="J54" s="39">
        <f t="shared" ref="J54" si="81">G54*$I$7+G54</f>
        <v>18.597242999999999</v>
      </c>
      <c r="K54" s="39">
        <f t="shared" ref="K54" si="82">H54*F54</f>
        <v>334.75037399999997</v>
      </c>
      <c r="L54" s="39">
        <f t="shared" ref="L54" si="83">I54*F54</f>
        <v>1339.0014959999999</v>
      </c>
      <c r="M54" s="40">
        <f t="shared" ref="M54" si="84">K54+L54</f>
        <v>1673.7518699999998</v>
      </c>
      <c r="N54" s="47">
        <f>+M54/M58</f>
        <v>4.9316504571970763E-3</v>
      </c>
    </row>
    <row r="55" spans="1:14" x14ac:dyDescent="0.25">
      <c r="A55" s="28">
        <v>3</v>
      </c>
      <c r="B55" s="29"/>
      <c r="C55" s="42"/>
      <c r="D55" s="50" t="s">
        <v>29</v>
      </c>
      <c r="E55" s="43"/>
      <c r="F55" s="43"/>
      <c r="G55" s="43"/>
      <c r="H55" s="43"/>
      <c r="I55" s="43"/>
      <c r="J55" s="43"/>
      <c r="K55" s="44">
        <f>SUM(K56:K57)</f>
        <v>2043.5977839125906</v>
      </c>
      <c r="L55" s="44">
        <f>SUM(L56:L57)</f>
        <v>8174.3911356503622</v>
      </c>
      <c r="M55" s="44">
        <f>SUM(M56:M57)</f>
        <v>10217.988919562953</v>
      </c>
      <c r="N55" s="45">
        <f>+M55/$M$58</f>
        <v>3.0106941554483402E-2</v>
      </c>
    </row>
    <row r="56" spans="1:14" ht="30" x14ac:dyDescent="0.25">
      <c r="A56" s="17" t="s">
        <v>27</v>
      </c>
      <c r="B56" s="16" t="s">
        <v>74</v>
      </c>
      <c r="C56" s="17" t="s">
        <v>8</v>
      </c>
      <c r="D56" s="51" t="s">
        <v>30</v>
      </c>
      <c r="E56" s="17" t="s">
        <v>36</v>
      </c>
      <c r="F56" s="35">
        <f>F18</f>
        <v>94.605000000000004</v>
      </c>
      <c r="G56" s="36">
        <f>Composições!H59</f>
        <v>54.892300000000006</v>
      </c>
      <c r="H56" s="36">
        <f>J56*0.2</f>
        <v>13.693433158000003</v>
      </c>
      <c r="I56" s="36">
        <f>J56*0.8</f>
        <v>54.773732632000012</v>
      </c>
      <c r="J56" s="36">
        <f>G56*$I$7+G56</f>
        <v>68.46716579000001</v>
      </c>
      <c r="K56" s="36">
        <f t="shared" ref="K56" si="85">H56*F56</f>
        <v>1295.4672439125904</v>
      </c>
      <c r="L56" s="36">
        <f t="shared" ref="L56" si="86">I56*F56</f>
        <v>5181.8689756503618</v>
      </c>
      <c r="M56" s="37">
        <f t="shared" ref="M56" si="87">K56+L56</f>
        <v>6477.3362195629525</v>
      </c>
      <c r="N56" s="46">
        <f>+M56/$M$58</f>
        <v>1.9085241188484418E-2</v>
      </c>
    </row>
    <row r="57" spans="1:14" ht="30" x14ac:dyDescent="0.25">
      <c r="A57" s="17" t="s">
        <v>28</v>
      </c>
      <c r="B57" s="16" t="s">
        <v>74</v>
      </c>
      <c r="C57" s="17" t="s">
        <v>8</v>
      </c>
      <c r="D57" s="51" t="s">
        <v>75</v>
      </c>
      <c r="E57" s="17" t="s">
        <v>73</v>
      </c>
      <c r="F57" s="35">
        <v>1</v>
      </c>
      <c r="G57" s="36">
        <f>Composições!H68</f>
        <v>2999</v>
      </c>
      <c r="H57" s="36">
        <f>J57*0.2</f>
        <v>748.13054000000011</v>
      </c>
      <c r="I57" s="36">
        <f>J57*0.8</f>
        <v>2992.5221600000004</v>
      </c>
      <c r="J57" s="36">
        <f>G57*$I$7+G57</f>
        <v>3740.6527000000001</v>
      </c>
      <c r="K57" s="36">
        <f t="shared" ref="K57" si="88">H57*F57</f>
        <v>748.13054000000011</v>
      </c>
      <c r="L57" s="36">
        <f t="shared" ref="L57" si="89">I57*F57</f>
        <v>2992.5221600000004</v>
      </c>
      <c r="M57" s="37">
        <f t="shared" ref="M57" si="90">K57+L57</f>
        <v>3740.6527000000006</v>
      </c>
      <c r="N57" s="46">
        <f>+M57/$M$58</f>
        <v>1.1021700365998983E-2</v>
      </c>
    </row>
    <row r="58" spans="1:14" x14ac:dyDescent="0.25">
      <c r="A58" s="142" t="s">
        <v>47</v>
      </c>
      <c r="B58" s="142"/>
      <c r="C58" s="142"/>
      <c r="D58" s="142"/>
      <c r="E58" s="142"/>
      <c r="F58" s="142"/>
      <c r="G58" s="142"/>
      <c r="H58" s="142"/>
      <c r="I58" s="142"/>
      <c r="J58" s="142"/>
      <c r="K58" s="48">
        <f>+K55+K29+K24+K20+K14+K12+K39+K43+K51+K47+K53</f>
        <v>91302.254310726625</v>
      </c>
      <c r="L58" s="48">
        <f t="shared" ref="L58:N58" si="91">+L55+L29+L24+L20+L14+L12+L39+L43+L51+L47+L53</f>
        <v>248087.5472429065</v>
      </c>
      <c r="M58" s="48">
        <f t="shared" si="91"/>
        <v>339389.80155363312</v>
      </c>
      <c r="N58" s="49">
        <f t="shared" si="91"/>
        <v>1</v>
      </c>
    </row>
    <row r="59" spans="1:14" x14ac:dyDescent="0.25">
      <c r="A59" s="31"/>
      <c r="B59" s="31"/>
      <c r="G59" s="15"/>
    </row>
    <row r="60" spans="1:14" x14ac:dyDescent="0.25">
      <c r="A60" s="31" t="s">
        <v>208</v>
      </c>
      <c r="B60" s="31"/>
      <c r="G60" s="15"/>
    </row>
    <row r="61" spans="1:14" x14ac:dyDescent="0.25">
      <c r="A61" s="31"/>
      <c r="B61" s="31"/>
      <c r="G61" s="15"/>
    </row>
    <row r="62" spans="1:14" x14ac:dyDescent="0.25">
      <c r="A62" t="s">
        <v>127</v>
      </c>
      <c r="M62" s="30"/>
    </row>
    <row r="63" spans="1:14" x14ac:dyDescent="0.25">
      <c r="M63" s="8"/>
      <c r="N63" s="8"/>
    </row>
    <row r="65" spans="7:7" x14ac:dyDescent="0.25">
      <c r="G65" s="15" t="s">
        <v>48</v>
      </c>
    </row>
    <row r="66" spans="7:7" x14ac:dyDescent="0.25">
      <c r="G66" s="15" t="s">
        <v>52</v>
      </c>
    </row>
    <row r="67" spans="7:7" x14ac:dyDescent="0.25">
      <c r="G67" s="15" t="s">
        <v>53</v>
      </c>
    </row>
    <row r="68" spans="7:7" x14ac:dyDescent="0.25">
      <c r="G68" s="15" t="s">
        <v>54</v>
      </c>
    </row>
  </sheetData>
  <mergeCells count="16">
    <mergeCell ref="N10:N11"/>
    <mergeCell ref="D10:D11"/>
    <mergeCell ref="A8:L8"/>
    <mergeCell ref="A1:N1"/>
    <mergeCell ref="A2:N2"/>
    <mergeCell ref="A3:N3"/>
    <mergeCell ref="A4:N4"/>
    <mergeCell ref="A58:J58"/>
    <mergeCell ref="C10:C11"/>
    <mergeCell ref="B10:B11"/>
    <mergeCell ref="A10:A11"/>
    <mergeCell ref="K10:M10"/>
    <mergeCell ref="H10:J10"/>
    <mergeCell ref="G10:G11"/>
    <mergeCell ref="F10:F11"/>
    <mergeCell ref="E10:E11"/>
  </mergeCells>
  <phoneticPr fontId="4" type="noConversion"/>
  <pageMargins left="0.511811024" right="0.511811024" top="0.78740157499999996" bottom="0.78740157499999996" header="0.31496062000000002" footer="0.31496062000000002"/>
  <pageSetup paperSize="9" scale="49" fitToHeight="0" orientation="landscape" r:id="rId1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workbookViewId="0">
      <selection sqref="A1:F1"/>
    </sheetView>
  </sheetViews>
  <sheetFormatPr defaultRowHeight="15" x14ac:dyDescent="0.25"/>
  <cols>
    <col min="1" max="1" width="21" customWidth="1"/>
    <col min="2" max="2" width="55.28515625" bestFit="1" customWidth="1"/>
    <col min="3" max="3" width="28.5703125" customWidth="1"/>
    <col min="4" max="4" width="23.28515625" customWidth="1"/>
    <col min="5" max="5" width="19.140625" bestFit="1" customWidth="1"/>
    <col min="6" max="6" width="19.85546875" customWidth="1"/>
    <col min="7" max="7" width="18.85546875" bestFit="1" customWidth="1"/>
    <col min="8" max="8" width="19.140625" bestFit="1" customWidth="1"/>
    <col min="9" max="9" width="18.28515625" bestFit="1" customWidth="1"/>
    <col min="10" max="10" width="21.140625" bestFit="1" customWidth="1"/>
    <col min="11" max="11" width="15.140625" bestFit="1" customWidth="1"/>
  </cols>
  <sheetData>
    <row r="1" spans="1:11" ht="20.100000000000001" customHeight="1" x14ac:dyDescent="0.25">
      <c r="A1" s="143" t="s">
        <v>48</v>
      </c>
      <c r="B1" s="143"/>
      <c r="C1" s="143"/>
      <c r="D1" s="143"/>
      <c r="E1" s="143"/>
      <c r="F1" s="143"/>
      <c r="G1" s="9"/>
      <c r="H1" s="9"/>
      <c r="I1" s="9"/>
      <c r="J1" s="9"/>
      <c r="K1" s="9"/>
    </row>
    <row r="2" spans="1:11" ht="20.100000000000001" customHeight="1" x14ac:dyDescent="0.25">
      <c r="A2" s="143" t="s">
        <v>49</v>
      </c>
      <c r="B2" s="143"/>
      <c r="C2" s="143"/>
      <c r="D2" s="143"/>
      <c r="E2" s="143"/>
      <c r="F2" s="143"/>
      <c r="G2" s="9"/>
      <c r="H2" s="9"/>
      <c r="I2" s="9"/>
      <c r="J2" s="9"/>
      <c r="K2" s="9"/>
    </row>
    <row r="3" spans="1:11" ht="20.100000000000001" customHeight="1" x14ac:dyDescent="0.25">
      <c r="A3" s="144" t="s">
        <v>50</v>
      </c>
      <c r="B3" s="144"/>
      <c r="C3" s="144"/>
      <c r="D3" s="144"/>
      <c r="E3" s="144"/>
      <c r="F3" s="144"/>
      <c r="G3" s="10"/>
      <c r="H3" s="10"/>
      <c r="I3" s="10"/>
      <c r="J3" s="10"/>
      <c r="K3" s="10"/>
    </row>
    <row r="4" spans="1:11" ht="20.100000000000001" customHeight="1" x14ac:dyDescent="0.25">
      <c r="A4" s="143" t="s">
        <v>51</v>
      </c>
      <c r="B4" s="143"/>
      <c r="C4" s="143"/>
      <c r="D4" s="143"/>
      <c r="E4" s="143"/>
      <c r="F4" s="143"/>
      <c r="G4" s="9"/>
      <c r="H4" s="9"/>
      <c r="I4" s="9"/>
      <c r="J4" s="9"/>
      <c r="K4" s="9"/>
    </row>
    <row r="6" spans="1:11" x14ac:dyDescent="0.25">
      <c r="A6" s="31" t="s">
        <v>131</v>
      </c>
      <c r="B6" t="str">
        <f>+Orçamento!B6</f>
        <v>EXECUÇÃO DE REFORÇO SOBRE GABIÕES E BASE (META 07)</v>
      </c>
    </row>
    <row r="8" spans="1:11" x14ac:dyDescent="0.25">
      <c r="A8" s="154" t="s">
        <v>55</v>
      </c>
      <c r="B8" s="155"/>
      <c r="C8" s="155"/>
      <c r="D8" s="155"/>
      <c r="E8" s="155"/>
      <c r="F8" s="155"/>
      <c r="G8" s="155"/>
      <c r="H8" s="155"/>
      <c r="I8" s="155"/>
    </row>
    <row r="10" spans="1:11" x14ac:dyDescent="0.25">
      <c r="A10" s="14" t="s">
        <v>1</v>
      </c>
      <c r="B10" s="14" t="s">
        <v>4</v>
      </c>
      <c r="C10" s="14" t="s">
        <v>56</v>
      </c>
      <c r="D10" s="14" t="s">
        <v>128</v>
      </c>
      <c r="E10" s="14" t="s">
        <v>57</v>
      </c>
      <c r="F10" s="14" t="s">
        <v>129</v>
      </c>
      <c r="G10" s="14" t="s">
        <v>130</v>
      </c>
      <c r="H10" s="14" t="s">
        <v>165</v>
      </c>
      <c r="I10" s="14" t="s">
        <v>166</v>
      </c>
    </row>
    <row r="11" spans="1:11" x14ac:dyDescent="0.25">
      <c r="A11" s="149">
        <f>'Orçamento - Nathaniel'!A12</f>
        <v>1</v>
      </c>
      <c r="B11" s="150" t="str">
        <f>'Orçamento - Nathaniel'!D12</f>
        <v>SERVIÇOS TÉCNICOS</v>
      </c>
      <c r="C11" s="12">
        <v>1</v>
      </c>
      <c r="D11" s="12">
        <v>0.25</v>
      </c>
      <c r="E11" s="12">
        <v>0.15</v>
      </c>
      <c r="F11" s="12">
        <v>0.15</v>
      </c>
      <c r="G11" s="12">
        <v>0.15</v>
      </c>
      <c r="H11" s="12">
        <v>0.15</v>
      </c>
      <c r="I11" s="12">
        <v>0.15</v>
      </c>
    </row>
    <row r="12" spans="1:11" x14ac:dyDescent="0.25">
      <c r="A12" s="149"/>
      <c r="B12" s="150"/>
      <c r="C12" s="13">
        <f>'Orçamento - Nathaniel'!M12</f>
        <v>39040.490000000005</v>
      </c>
      <c r="D12" s="13">
        <f>C12*D11</f>
        <v>9760.1225000000013</v>
      </c>
      <c r="E12" s="13">
        <f>C12*E11</f>
        <v>5856.0735000000004</v>
      </c>
      <c r="F12" s="13">
        <f>C12*F11</f>
        <v>5856.0735000000004</v>
      </c>
      <c r="G12" s="13">
        <f>C12*$G$11</f>
        <v>5856.0735000000004</v>
      </c>
      <c r="H12" s="13">
        <f>C12*$H$11</f>
        <v>5856.0735000000004</v>
      </c>
      <c r="I12" s="13">
        <f>C12*$I$11</f>
        <v>5856.0735000000004</v>
      </c>
    </row>
    <row r="13" spans="1:11" x14ac:dyDescent="0.25">
      <c r="A13" s="149">
        <f>'Orçamento - Nathaniel'!A14</f>
        <v>2</v>
      </c>
      <c r="B13" s="150" t="str">
        <f>'Orçamento - Nathaniel'!D14</f>
        <v>SERVIÇOS INICIAIS</v>
      </c>
      <c r="C13" s="12">
        <v>1</v>
      </c>
      <c r="D13" s="12">
        <v>0.7</v>
      </c>
      <c r="E13" s="12">
        <v>0.3</v>
      </c>
      <c r="F13" s="12"/>
      <c r="G13" s="12"/>
      <c r="H13" s="12"/>
      <c r="I13" s="12"/>
    </row>
    <row r="14" spans="1:11" x14ac:dyDescent="0.25">
      <c r="A14" s="149"/>
      <c r="B14" s="150"/>
      <c r="C14" s="13">
        <f>'Orçamento - Nathaniel'!M14</f>
        <v>31048.767175695008</v>
      </c>
      <c r="D14" s="13">
        <f>C14*D13</f>
        <v>21734.137022986502</v>
      </c>
      <c r="E14" s="13">
        <f>C14*E13</f>
        <v>9314.6301527085016</v>
      </c>
      <c r="F14" s="13">
        <f>C14*F13</f>
        <v>0</v>
      </c>
      <c r="G14" s="13">
        <f>C14*$G$13</f>
        <v>0</v>
      </c>
      <c r="H14" s="13">
        <f>D14*$G$13</f>
        <v>0</v>
      </c>
      <c r="I14" s="13">
        <f>E14*$G$13</f>
        <v>0</v>
      </c>
    </row>
    <row r="15" spans="1:11" x14ac:dyDescent="0.25">
      <c r="A15" s="149">
        <f>'Orçamento - Nathaniel'!A21</f>
        <v>3</v>
      </c>
      <c r="B15" s="150" t="str">
        <f>'Orçamento - Nathaniel'!D21</f>
        <v>ENSECADEIRA - INSTALAÇÃO</v>
      </c>
      <c r="C15" s="12">
        <v>1</v>
      </c>
      <c r="D15" s="11">
        <v>0.5</v>
      </c>
      <c r="E15" s="11">
        <v>0.3</v>
      </c>
      <c r="F15" s="12">
        <v>0.2</v>
      </c>
      <c r="G15" s="12"/>
      <c r="H15" s="12"/>
      <c r="I15" s="12"/>
    </row>
    <row r="16" spans="1:11" x14ac:dyDescent="0.25">
      <c r="A16" s="149"/>
      <c r="B16" s="150"/>
      <c r="C16" s="13">
        <f>'Orçamento - Nathaniel'!M21</f>
        <v>51228.756356000013</v>
      </c>
      <c r="D16" s="13">
        <f>C16*D15</f>
        <v>25614.378178000006</v>
      </c>
      <c r="E16" s="13">
        <f>C16*E15</f>
        <v>15368.626906800004</v>
      </c>
      <c r="F16" s="13">
        <f>C16*F15</f>
        <v>10245.751271200003</v>
      </c>
      <c r="G16" s="13">
        <f>C16*$G$15</f>
        <v>0</v>
      </c>
      <c r="H16" s="13">
        <f>D16*$G$15</f>
        <v>0</v>
      </c>
      <c r="I16" s="13">
        <f>E16*$G$15</f>
        <v>0</v>
      </c>
    </row>
    <row r="17" spans="1:11" x14ac:dyDescent="0.25">
      <c r="A17" s="149">
        <f>'Orçamento - Nathaniel'!A26</f>
        <v>4</v>
      </c>
      <c r="B17" s="150" t="str">
        <f>'Orçamento - Nathaniel'!D26</f>
        <v>ENSECADEIRA - REMOÇÃO</v>
      </c>
      <c r="C17" s="12">
        <v>1</v>
      </c>
      <c r="D17" s="11"/>
      <c r="E17" s="11"/>
      <c r="F17" s="12"/>
      <c r="G17" s="12">
        <v>0.7</v>
      </c>
      <c r="H17" s="12">
        <v>0.3</v>
      </c>
      <c r="I17" s="12"/>
    </row>
    <row r="18" spans="1:11" x14ac:dyDescent="0.25">
      <c r="A18" s="149"/>
      <c r="B18" s="150"/>
      <c r="C18" s="13">
        <f>'Orçamento - Nathaniel'!M26</f>
        <v>16892.1839</v>
      </c>
      <c r="D18" s="13">
        <f>C18*D17</f>
        <v>0</v>
      </c>
      <c r="E18" s="13">
        <f>C18*E17</f>
        <v>0</v>
      </c>
      <c r="F18" s="13">
        <f>C18*F17</f>
        <v>0</v>
      </c>
      <c r="G18" s="13">
        <f>C18*$G$17</f>
        <v>11824.52873</v>
      </c>
      <c r="H18" s="13">
        <f>C18*$H$17</f>
        <v>5067.65517</v>
      </c>
      <c r="I18" s="13">
        <f>E18*$G$15</f>
        <v>0</v>
      </c>
    </row>
    <row r="19" spans="1:11" x14ac:dyDescent="0.25">
      <c r="A19" s="149">
        <f>'Orçamento - Nathaniel'!A29</f>
        <v>5</v>
      </c>
      <c r="B19" s="150" t="str">
        <f>'Orçamento - Nathaniel'!D29</f>
        <v>BASE INFRAESTRUTURA</v>
      </c>
      <c r="C19" s="12">
        <v>1</v>
      </c>
      <c r="D19" s="11">
        <v>0.5</v>
      </c>
      <c r="E19" s="11">
        <v>0.3</v>
      </c>
      <c r="F19" s="12">
        <v>0.2</v>
      </c>
      <c r="G19" s="12"/>
      <c r="H19" s="12"/>
      <c r="I19" s="12"/>
    </row>
    <row r="20" spans="1:11" x14ac:dyDescent="0.25">
      <c r="A20" s="149"/>
      <c r="B20" s="150"/>
      <c r="C20" s="13">
        <f>'Orçamento - Nathaniel'!M29</f>
        <v>47517.385083705005</v>
      </c>
      <c r="D20" s="13">
        <f>C20*D19</f>
        <v>23758.692541852502</v>
      </c>
      <c r="E20" s="13">
        <f>C20*E19</f>
        <v>14255.215525111502</v>
      </c>
      <c r="F20" s="13">
        <f>C20*F19</f>
        <v>9503.4770167410006</v>
      </c>
      <c r="G20" s="13">
        <f>C20*$G$19</f>
        <v>0</v>
      </c>
      <c r="H20" s="13">
        <f>D20*$G$19</f>
        <v>0</v>
      </c>
      <c r="I20" s="13">
        <f>E20*$G$19</f>
        <v>0</v>
      </c>
    </row>
    <row r="21" spans="1:11" x14ac:dyDescent="0.25">
      <c r="A21" s="149">
        <f>'Orçamento - Nathaniel'!A34</f>
        <v>6</v>
      </c>
      <c r="B21" s="150" t="str">
        <f>'Orçamento - Nathaniel'!D34</f>
        <v>CONTENÇÃO COM TIRANTES</v>
      </c>
      <c r="C21" s="12">
        <v>1</v>
      </c>
      <c r="D21" s="12"/>
      <c r="E21" s="11"/>
      <c r="F21" s="11">
        <v>0.1</v>
      </c>
      <c r="G21" s="11">
        <v>0.4</v>
      </c>
      <c r="H21" s="11">
        <v>0.5</v>
      </c>
      <c r="I21" s="11"/>
    </row>
    <row r="22" spans="1:11" x14ac:dyDescent="0.25">
      <c r="A22" s="149"/>
      <c r="B22" s="150"/>
      <c r="C22" s="13">
        <f>'Orçamento - Nathaniel'!M34</f>
        <v>60513.963153480559</v>
      </c>
      <c r="D22" s="13">
        <f>C22*D21</f>
        <v>0</v>
      </c>
      <c r="E22" s="13">
        <f>C22*E21</f>
        <v>0</v>
      </c>
      <c r="F22" s="13">
        <f>C22*F21</f>
        <v>6051.3963153480563</v>
      </c>
      <c r="G22" s="13">
        <f>C22*$G$21</f>
        <v>24205.585261392225</v>
      </c>
      <c r="H22" s="13">
        <f>C22*$H$21</f>
        <v>30256.98157674028</v>
      </c>
      <c r="I22" s="13">
        <f>E22*$G$21</f>
        <v>0</v>
      </c>
    </row>
    <row r="23" spans="1:11" x14ac:dyDescent="0.25">
      <c r="A23" s="149">
        <f>'Orçamento - Nathaniel'!A44</f>
        <v>7</v>
      </c>
      <c r="B23" s="150" t="str">
        <f>'Orçamento - Nathaniel'!D44</f>
        <v>MURO EM PEDRA</v>
      </c>
      <c r="C23" s="12">
        <v>1</v>
      </c>
      <c r="D23" s="12"/>
      <c r="E23" s="11"/>
      <c r="F23" s="11">
        <v>0.3</v>
      </c>
      <c r="G23" s="11">
        <v>0.3</v>
      </c>
      <c r="H23" s="11">
        <v>0.4</v>
      </c>
      <c r="I23" s="11"/>
      <c r="J23" s="9"/>
      <c r="K23" s="9"/>
    </row>
    <row r="24" spans="1:11" x14ac:dyDescent="0.25">
      <c r="A24" s="149"/>
      <c r="B24" s="150"/>
      <c r="C24" s="13">
        <f>'Orçamento - Nathaniel'!M44</f>
        <v>26197.870107200004</v>
      </c>
      <c r="D24" s="13">
        <f>C24*D23</f>
        <v>0</v>
      </c>
      <c r="E24" s="13">
        <f>C24*E23</f>
        <v>0</v>
      </c>
      <c r="F24" s="13">
        <f>C24*F23</f>
        <v>7859.3610321600008</v>
      </c>
      <c r="G24" s="13">
        <f>C24*$G$23</f>
        <v>7859.3610321600008</v>
      </c>
      <c r="H24" s="13">
        <f>C24*$H$23</f>
        <v>10479.148042880002</v>
      </c>
      <c r="I24" s="13">
        <f>E24*$G$23</f>
        <v>0</v>
      </c>
      <c r="J24" s="9"/>
      <c r="K24" s="9"/>
    </row>
    <row r="25" spans="1:11" x14ac:dyDescent="0.25">
      <c r="A25" s="149">
        <f>'Orçamento - Nathaniel'!A48</f>
        <v>8</v>
      </c>
      <c r="B25" s="150" t="str">
        <f>'Orçamento - Nathaniel'!D48</f>
        <v>BASE LIGAÇÃO</v>
      </c>
      <c r="C25" s="12">
        <v>1</v>
      </c>
      <c r="D25" s="12"/>
      <c r="E25" s="11"/>
      <c r="F25" s="11">
        <v>0.1</v>
      </c>
      <c r="G25" s="11">
        <v>0.4</v>
      </c>
      <c r="H25" s="11">
        <v>0.5</v>
      </c>
      <c r="I25" s="11"/>
      <c r="J25" s="10"/>
      <c r="K25" s="10"/>
    </row>
    <row r="26" spans="1:11" x14ac:dyDescent="0.25">
      <c r="A26" s="149"/>
      <c r="B26" s="150"/>
      <c r="C26" s="13">
        <f>'Orçamento - Nathaniel'!M48</f>
        <v>28033.777238646006</v>
      </c>
      <c r="D26" s="13">
        <f>C26*D25</f>
        <v>0</v>
      </c>
      <c r="E26" s="13">
        <f>C26*E25</f>
        <v>0</v>
      </c>
      <c r="F26" s="13">
        <f>C26*F25</f>
        <v>2803.3777238646007</v>
      </c>
      <c r="G26" s="13">
        <f>C26*G25</f>
        <v>11213.510895458403</v>
      </c>
      <c r="H26" s="13">
        <f>C26*H25</f>
        <v>14016.888619323003</v>
      </c>
      <c r="I26" s="13">
        <f>E26*$G$27</f>
        <v>0</v>
      </c>
      <c r="J26" s="9"/>
      <c r="K26" s="9"/>
    </row>
    <row r="27" spans="1:11" x14ac:dyDescent="0.25">
      <c r="A27" s="149">
        <f>'Orçamento - Nathaniel'!A52</f>
        <v>9</v>
      </c>
      <c r="B27" s="150" t="str">
        <f>'Orçamento - Nathaniel'!D52</f>
        <v>REFORÇO DE FUNDAÇÃO ABAIXO DO GABIÃO</v>
      </c>
      <c r="C27" s="12">
        <v>1</v>
      </c>
      <c r="D27" s="12"/>
      <c r="E27" s="11"/>
      <c r="F27" s="11">
        <v>1</v>
      </c>
      <c r="G27" s="11"/>
      <c r="H27" s="11"/>
      <c r="I27" s="11"/>
      <c r="J27" s="10"/>
      <c r="K27" s="10"/>
    </row>
    <row r="28" spans="1:11" x14ac:dyDescent="0.25">
      <c r="A28" s="149"/>
      <c r="B28" s="150"/>
      <c r="C28" s="13">
        <f>'Orçamento - Nathaniel'!M52</f>
        <v>38365.337985159997</v>
      </c>
      <c r="D28" s="13">
        <f>C28*D27</f>
        <v>0</v>
      </c>
      <c r="E28" s="13">
        <f>C28*E27</f>
        <v>0</v>
      </c>
      <c r="F28" s="13">
        <f>C28*F27</f>
        <v>38365.337985159997</v>
      </c>
      <c r="G28" s="13">
        <f>C28*$G$27</f>
        <v>0</v>
      </c>
      <c r="H28" s="13">
        <f>C28*$H$27</f>
        <v>0</v>
      </c>
      <c r="I28" s="13">
        <f>C28*$I$27</f>
        <v>0</v>
      </c>
      <c r="J28" s="9"/>
      <c r="K28" s="9"/>
    </row>
    <row r="29" spans="1:11" x14ac:dyDescent="0.25">
      <c r="A29" s="149">
        <f>'Orçamento - Nathaniel'!A56</f>
        <v>10</v>
      </c>
      <c r="B29" s="150" t="str">
        <f>'Orçamento - Nathaniel'!D56</f>
        <v>IMPERMEABILIZAÇÃO</v>
      </c>
      <c r="C29" s="12">
        <v>1</v>
      </c>
      <c r="D29" s="12"/>
      <c r="E29" s="11"/>
      <c r="F29" s="11"/>
      <c r="G29" s="11"/>
      <c r="H29" s="11"/>
      <c r="I29" s="11">
        <v>1</v>
      </c>
      <c r="J29" s="10"/>
      <c r="K29" s="10"/>
    </row>
    <row r="30" spans="1:11" x14ac:dyDescent="0.25">
      <c r="A30" s="149"/>
      <c r="B30" s="150"/>
      <c r="C30" s="13">
        <f>'Orçamento - Nathaniel'!M56</f>
        <v>1948.2227295999999</v>
      </c>
      <c r="D30" s="13">
        <f>C30*D29</f>
        <v>0</v>
      </c>
      <c r="E30" s="13">
        <f>C30*E29</f>
        <v>0</v>
      </c>
      <c r="F30" s="13">
        <f>C30*F29</f>
        <v>0</v>
      </c>
      <c r="G30" s="13">
        <f>C30*$G$29</f>
        <v>0</v>
      </c>
      <c r="H30" s="13">
        <f>D30*$H$29</f>
        <v>0</v>
      </c>
      <c r="I30" s="13">
        <f>C30*$I$29</f>
        <v>1948.2227295999999</v>
      </c>
      <c r="J30" s="9"/>
      <c r="K30" s="9"/>
    </row>
    <row r="31" spans="1:11" x14ac:dyDescent="0.25">
      <c r="A31" s="149">
        <f>'Orçamento - Nathaniel'!A58</f>
        <v>11</v>
      </c>
      <c r="B31" s="150" t="str">
        <f>'Orçamento - Nathaniel'!D58</f>
        <v>DRENAGEM</v>
      </c>
      <c r="C31" s="12">
        <v>1</v>
      </c>
      <c r="D31" s="12"/>
      <c r="E31" s="11"/>
      <c r="F31" s="11"/>
      <c r="G31" s="11">
        <v>0.1</v>
      </c>
      <c r="H31" s="11">
        <v>0.2</v>
      </c>
      <c r="I31" s="11">
        <v>0.7</v>
      </c>
      <c r="J31" s="10"/>
      <c r="K31" s="10"/>
    </row>
    <row r="32" spans="1:11" x14ac:dyDescent="0.25">
      <c r="A32" s="149"/>
      <c r="B32" s="150"/>
      <c r="C32" s="13">
        <f>'Orçamento - Nathaniel'!M58</f>
        <v>1434.64446</v>
      </c>
      <c r="D32" s="13">
        <f>C32*D31</f>
        <v>0</v>
      </c>
      <c r="E32" s="13">
        <f>C32*E31</f>
        <v>0</v>
      </c>
      <c r="F32" s="13">
        <f>C32*F31</f>
        <v>0</v>
      </c>
      <c r="G32" s="13">
        <f>C32*$G$31</f>
        <v>143.46444600000001</v>
      </c>
      <c r="H32" s="13">
        <f>C32*$H$31</f>
        <v>286.92889200000002</v>
      </c>
      <c r="I32" s="13">
        <f>C32*$I$31</f>
        <v>1004.2511219999999</v>
      </c>
      <c r="J32" s="9"/>
      <c r="K32" s="9"/>
    </row>
    <row r="33" spans="1:11" x14ac:dyDescent="0.25">
      <c r="A33" s="152">
        <f>'Orçamento - Nathaniel'!A60</f>
        <v>12</v>
      </c>
      <c r="B33" s="150" t="str">
        <f>'Orçamento - Nathaniel'!D60</f>
        <v>SERVIÇOS FINAIS</v>
      </c>
      <c r="C33" s="12">
        <v>1</v>
      </c>
      <c r="D33" s="12"/>
      <c r="E33" s="11"/>
      <c r="F33" s="11"/>
      <c r="G33" s="11"/>
      <c r="H33" s="11"/>
      <c r="I33" s="11">
        <v>1</v>
      </c>
      <c r="J33" s="10"/>
      <c r="K33" s="10"/>
    </row>
    <row r="34" spans="1:11" x14ac:dyDescent="0.25">
      <c r="A34" s="153"/>
      <c r="B34" s="150"/>
      <c r="C34" s="13">
        <f>'Orçamento - Nathaniel'!M60</f>
        <v>10217.988919562953</v>
      </c>
      <c r="D34" s="13">
        <f>C34*D33</f>
        <v>0</v>
      </c>
      <c r="E34" s="13">
        <f>C34*E33</f>
        <v>0</v>
      </c>
      <c r="F34" s="13">
        <f>C34*F33</f>
        <v>0</v>
      </c>
      <c r="G34" s="13">
        <f>C34*$G$33</f>
        <v>0</v>
      </c>
      <c r="H34" s="13">
        <f>D34*$G$33</f>
        <v>0</v>
      </c>
      <c r="I34" s="13">
        <f>C34*$I$33</f>
        <v>10217.988919562953</v>
      </c>
      <c r="J34" s="9"/>
      <c r="K34" s="9"/>
    </row>
    <row r="35" spans="1:11" x14ac:dyDescent="0.25">
      <c r="J35" s="8"/>
      <c r="K35" s="8"/>
    </row>
    <row r="36" spans="1:11" x14ac:dyDescent="0.25">
      <c r="A36" t="s">
        <v>248</v>
      </c>
      <c r="C36" s="22">
        <f>C12+C14+C16+C18+C20+C22+C24+C26+C28+C30+C32+C34</f>
        <v>352439.38710904948</v>
      </c>
    </row>
    <row r="37" spans="1:11" ht="39.75" customHeight="1" x14ac:dyDescent="0.25"/>
    <row r="39" spans="1:11" x14ac:dyDescent="0.25">
      <c r="D39" s="151" t="s">
        <v>48</v>
      </c>
      <c r="E39" s="151"/>
      <c r="F39" s="151"/>
    </row>
    <row r="40" spans="1:11" x14ac:dyDescent="0.25">
      <c r="D40" s="151" t="s">
        <v>52</v>
      </c>
      <c r="E40" s="151"/>
      <c r="F40" s="151"/>
    </row>
    <row r="41" spans="1:11" x14ac:dyDescent="0.25">
      <c r="D41" s="151" t="s">
        <v>53</v>
      </c>
      <c r="E41" s="151"/>
      <c r="F41" s="151"/>
    </row>
    <row r="42" spans="1:11" x14ac:dyDescent="0.25">
      <c r="D42" s="15"/>
      <c r="E42" s="15" t="s">
        <v>54</v>
      </c>
      <c r="F42" s="15"/>
    </row>
  </sheetData>
  <mergeCells count="32">
    <mergeCell ref="B33:B34"/>
    <mergeCell ref="B23:B24"/>
    <mergeCell ref="B21:B22"/>
    <mergeCell ref="B15:B16"/>
    <mergeCell ref="B13:B14"/>
    <mergeCell ref="A1:F1"/>
    <mergeCell ref="A2:F2"/>
    <mergeCell ref="A3:F3"/>
    <mergeCell ref="A4:F4"/>
    <mergeCell ref="A8:I8"/>
    <mergeCell ref="A25:A26"/>
    <mergeCell ref="B25:B26"/>
    <mergeCell ref="B11:B12"/>
    <mergeCell ref="A11:A12"/>
    <mergeCell ref="A13:A14"/>
    <mergeCell ref="A15:A16"/>
    <mergeCell ref="A17:A18"/>
    <mergeCell ref="B17:B18"/>
    <mergeCell ref="D41:F41"/>
    <mergeCell ref="D39:F39"/>
    <mergeCell ref="D40:F40"/>
    <mergeCell ref="B19:B20"/>
    <mergeCell ref="A31:A32"/>
    <mergeCell ref="B31:B32"/>
    <mergeCell ref="A29:A30"/>
    <mergeCell ref="B29:B30"/>
    <mergeCell ref="A27:A28"/>
    <mergeCell ref="B27:B28"/>
    <mergeCell ref="A21:A22"/>
    <mergeCell ref="A23:A24"/>
    <mergeCell ref="A33:A34"/>
    <mergeCell ref="A19:A20"/>
  </mergeCells>
  <pageMargins left="0.511811024" right="0.511811024" top="0.78740157499999996" bottom="0.78740157499999996" header="0.31496062000000002" footer="0.31496062000000002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52"/>
  <sheetViews>
    <sheetView workbookViewId="0">
      <selection sqref="A1:H1"/>
    </sheetView>
  </sheetViews>
  <sheetFormatPr defaultColWidth="0" defaultRowHeight="15" x14ac:dyDescent="0.25"/>
  <cols>
    <col min="1" max="1" width="25.5703125" style="89" customWidth="1"/>
    <col min="2" max="2" width="38.85546875" style="89" customWidth="1"/>
    <col min="3" max="3" width="12" style="89" customWidth="1"/>
    <col min="4" max="4" width="17.85546875" style="100" customWidth="1"/>
    <col min="5" max="5" width="2.42578125" style="100" customWidth="1"/>
    <col min="6" max="6" width="17.85546875" style="125" customWidth="1"/>
    <col min="7" max="7" width="17.85546875" style="126" customWidth="1"/>
    <col min="8" max="8" width="14.28515625" style="126" bestFit="1" customWidth="1"/>
    <col min="9" max="9" width="8.28515625" style="88" customWidth="1"/>
    <col min="10" max="232" width="10.28515625" style="88" hidden="1" customWidth="1"/>
    <col min="233" max="234" width="0" style="88" hidden="1"/>
    <col min="235" max="235" width="0.42578125" style="88" customWidth="1"/>
    <col min="236" max="236" width="25.5703125" style="88" customWidth="1"/>
    <col min="237" max="237" width="38.85546875" style="88" customWidth="1"/>
    <col min="238" max="238" width="12" style="88" customWidth="1"/>
    <col min="239" max="239" width="17.85546875" style="88" customWidth="1"/>
    <col min="240" max="240" width="2.42578125" style="88" customWidth="1"/>
    <col min="241" max="243" width="17.85546875" style="88" customWidth="1"/>
    <col min="244" max="244" width="8.28515625" style="88" customWidth="1"/>
    <col min="245" max="253" width="10.28515625" style="88" hidden="1" customWidth="1"/>
    <col min="254" max="255" width="0" style="88" hidden="1" customWidth="1"/>
    <col min="256" max="256" width="0.42578125" style="88" hidden="1" customWidth="1"/>
    <col min="257" max="488" width="0" style="88" hidden="1" customWidth="1"/>
    <col min="489" max="491" width="0" style="88" hidden="1"/>
    <col min="492" max="492" width="25.5703125" style="88" customWidth="1"/>
    <col min="493" max="493" width="38.85546875" style="88" customWidth="1"/>
    <col min="494" max="494" width="12" style="88" customWidth="1"/>
    <col min="495" max="495" width="17.85546875" style="88" customWidth="1"/>
    <col min="496" max="496" width="2.42578125" style="88" customWidth="1"/>
    <col min="497" max="499" width="17.85546875" style="88" customWidth="1"/>
    <col min="500" max="500" width="8.28515625" style="88" customWidth="1"/>
    <col min="501" max="744" width="0" style="88" hidden="1" customWidth="1"/>
    <col min="745" max="747" width="0" style="88" hidden="1"/>
    <col min="748" max="748" width="25.5703125" style="88" customWidth="1"/>
    <col min="749" max="749" width="38.85546875" style="88" customWidth="1"/>
    <col min="750" max="750" width="12" style="88" customWidth="1"/>
    <col min="751" max="751" width="17.85546875" style="88" customWidth="1"/>
    <col min="752" max="752" width="2.42578125" style="88" customWidth="1"/>
    <col min="753" max="755" width="17.85546875" style="88" customWidth="1"/>
    <col min="756" max="756" width="8.28515625" style="88" customWidth="1"/>
    <col min="757" max="1000" width="0" style="88" hidden="1" customWidth="1"/>
    <col min="1001" max="1003" width="0" style="88" hidden="1"/>
    <col min="1004" max="1004" width="25.5703125" style="88" customWidth="1"/>
    <col min="1005" max="1005" width="38.85546875" style="88" customWidth="1"/>
    <col min="1006" max="1006" width="12" style="88" customWidth="1"/>
    <col min="1007" max="1007" width="17.85546875" style="88" customWidth="1"/>
    <col min="1008" max="1008" width="2.42578125" style="88" customWidth="1"/>
    <col min="1009" max="1011" width="17.85546875" style="88" customWidth="1"/>
    <col min="1012" max="1012" width="8.28515625" style="88" customWidth="1"/>
    <col min="1013" max="1256" width="0" style="88" hidden="1" customWidth="1"/>
    <col min="1257" max="1259" width="0" style="88" hidden="1"/>
    <col min="1260" max="1260" width="25.5703125" style="88" customWidth="1"/>
    <col min="1261" max="1261" width="38.85546875" style="88" customWidth="1"/>
    <col min="1262" max="1262" width="12" style="88" customWidth="1"/>
    <col min="1263" max="1263" width="17.85546875" style="88" customWidth="1"/>
    <col min="1264" max="1264" width="2.42578125" style="88" customWidth="1"/>
    <col min="1265" max="1267" width="17.85546875" style="88" customWidth="1"/>
    <col min="1268" max="1268" width="8.28515625" style="88" customWidth="1"/>
    <col min="1269" max="1512" width="0" style="88" hidden="1" customWidth="1"/>
    <col min="1513" max="1515" width="0" style="88" hidden="1"/>
    <col min="1516" max="1516" width="25.5703125" style="88" customWidth="1"/>
    <col min="1517" max="1517" width="38.85546875" style="88" customWidth="1"/>
    <col min="1518" max="1518" width="12" style="88" customWidth="1"/>
    <col min="1519" max="1519" width="17.85546875" style="88" customWidth="1"/>
    <col min="1520" max="1520" width="2.42578125" style="88" customWidth="1"/>
    <col min="1521" max="1523" width="17.85546875" style="88" customWidth="1"/>
    <col min="1524" max="1524" width="8.28515625" style="88" customWidth="1"/>
    <col min="1525" max="1768" width="0" style="88" hidden="1" customWidth="1"/>
    <col min="1769" max="1771" width="0" style="88" hidden="1"/>
    <col min="1772" max="1772" width="25.5703125" style="88" customWidth="1"/>
    <col min="1773" max="1773" width="38.85546875" style="88" customWidth="1"/>
    <col min="1774" max="1774" width="12" style="88" customWidth="1"/>
    <col min="1775" max="1775" width="17.85546875" style="88" customWidth="1"/>
    <col min="1776" max="1776" width="2.42578125" style="88" customWidth="1"/>
    <col min="1777" max="1779" width="17.85546875" style="88" customWidth="1"/>
    <col min="1780" max="1780" width="8.28515625" style="88" customWidth="1"/>
    <col min="1781" max="2024" width="0" style="88" hidden="1" customWidth="1"/>
    <col min="2025" max="2027" width="0" style="88" hidden="1"/>
    <col min="2028" max="2028" width="25.5703125" style="88" customWidth="1"/>
    <col min="2029" max="2029" width="38.85546875" style="88" customWidth="1"/>
    <col min="2030" max="2030" width="12" style="88" customWidth="1"/>
    <col min="2031" max="2031" width="17.85546875" style="88" customWidth="1"/>
    <col min="2032" max="2032" width="2.42578125" style="88" customWidth="1"/>
    <col min="2033" max="2035" width="17.85546875" style="88" customWidth="1"/>
    <col min="2036" max="2036" width="8.28515625" style="88" customWidth="1"/>
    <col min="2037" max="2280" width="0" style="88" hidden="1" customWidth="1"/>
    <col min="2281" max="2283" width="0" style="88" hidden="1"/>
    <col min="2284" max="2284" width="25.5703125" style="88" customWidth="1"/>
    <col min="2285" max="2285" width="38.85546875" style="88" customWidth="1"/>
    <col min="2286" max="2286" width="12" style="88" customWidth="1"/>
    <col min="2287" max="2287" width="17.85546875" style="88" customWidth="1"/>
    <col min="2288" max="2288" width="2.42578125" style="88" customWidth="1"/>
    <col min="2289" max="2291" width="17.85546875" style="88" customWidth="1"/>
    <col min="2292" max="2292" width="8.28515625" style="88" customWidth="1"/>
    <col min="2293" max="2536" width="0" style="88" hidden="1" customWidth="1"/>
    <col min="2537" max="2539" width="0" style="88" hidden="1"/>
    <col min="2540" max="2540" width="25.5703125" style="88" customWidth="1"/>
    <col min="2541" max="2541" width="38.85546875" style="88" customWidth="1"/>
    <col min="2542" max="2542" width="12" style="88" customWidth="1"/>
    <col min="2543" max="2543" width="17.85546875" style="88" customWidth="1"/>
    <col min="2544" max="2544" width="2.42578125" style="88" customWidth="1"/>
    <col min="2545" max="2547" width="17.85546875" style="88" customWidth="1"/>
    <col min="2548" max="2548" width="8.28515625" style="88" customWidth="1"/>
    <col min="2549" max="2792" width="0" style="88" hidden="1" customWidth="1"/>
    <col min="2793" max="2795" width="0" style="88" hidden="1"/>
    <col min="2796" max="2796" width="25.5703125" style="88" customWidth="1"/>
    <col min="2797" max="2797" width="38.85546875" style="88" customWidth="1"/>
    <col min="2798" max="2798" width="12" style="88" customWidth="1"/>
    <col min="2799" max="2799" width="17.85546875" style="88" customWidth="1"/>
    <col min="2800" max="2800" width="2.42578125" style="88" customWidth="1"/>
    <col min="2801" max="2803" width="17.85546875" style="88" customWidth="1"/>
    <col min="2804" max="2804" width="8.28515625" style="88" customWidth="1"/>
    <col min="2805" max="3048" width="0" style="88" hidden="1" customWidth="1"/>
    <col min="3049" max="3051" width="0" style="88" hidden="1"/>
    <col min="3052" max="3052" width="25.5703125" style="88" customWidth="1"/>
    <col min="3053" max="3053" width="38.85546875" style="88" customWidth="1"/>
    <col min="3054" max="3054" width="12" style="88" customWidth="1"/>
    <col min="3055" max="3055" width="17.85546875" style="88" customWidth="1"/>
    <col min="3056" max="3056" width="2.42578125" style="88" customWidth="1"/>
    <col min="3057" max="3059" width="17.85546875" style="88" customWidth="1"/>
    <col min="3060" max="3060" width="8.28515625" style="88" customWidth="1"/>
    <col min="3061" max="3304" width="0" style="88" hidden="1" customWidth="1"/>
    <col min="3305" max="3307" width="0" style="88" hidden="1"/>
    <col min="3308" max="3308" width="25.5703125" style="88" customWidth="1"/>
    <col min="3309" max="3309" width="38.85546875" style="88" customWidth="1"/>
    <col min="3310" max="3310" width="12" style="88" customWidth="1"/>
    <col min="3311" max="3311" width="17.85546875" style="88" customWidth="1"/>
    <col min="3312" max="3312" width="2.42578125" style="88" customWidth="1"/>
    <col min="3313" max="3315" width="17.85546875" style="88" customWidth="1"/>
    <col min="3316" max="3316" width="8.28515625" style="88" customWidth="1"/>
    <col min="3317" max="3560" width="0" style="88" hidden="1" customWidth="1"/>
    <col min="3561" max="3563" width="0" style="88" hidden="1"/>
    <col min="3564" max="3564" width="25.5703125" style="88" customWidth="1"/>
    <col min="3565" max="3565" width="38.85546875" style="88" customWidth="1"/>
    <col min="3566" max="3566" width="12" style="88" customWidth="1"/>
    <col min="3567" max="3567" width="17.85546875" style="88" customWidth="1"/>
    <col min="3568" max="3568" width="2.42578125" style="88" customWidth="1"/>
    <col min="3569" max="3571" width="17.85546875" style="88" customWidth="1"/>
    <col min="3572" max="3572" width="8.28515625" style="88" customWidth="1"/>
    <col min="3573" max="3816" width="0" style="88" hidden="1" customWidth="1"/>
    <col min="3817" max="3819" width="0" style="88" hidden="1"/>
    <col min="3820" max="3820" width="25.5703125" style="88" customWidth="1"/>
    <col min="3821" max="3821" width="38.85546875" style="88" customWidth="1"/>
    <col min="3822" max="3822" width="12" style="88" customWidth="1"/>
    <col min="3823" max="3823" width="17.85546875" style="88" customWidth="1"/>
    <col min="3824" max="3824" width="2.42578125" style="88" customWidth="1"/>
    <col min="3825" max="3827" width="17.85546875" style="88" customWidth="1"/>
    <col min="3828" max="3828" width="8.28515625" style="88" customWidth="1"/>
    <col min="3829" max="4072" width="0" style="88" hidden="1" customWidth="1"/>
    <col min="4073" max="4075" width="0" style="88" hidden="1"/>
    <col min="4076" max="4076" width="25.5703125" style="88" customWidth="1"/>
    <col min="4077" max="4077" width="38.85546875" style="88" customWidth="1"/>
    <col min="4078" max="4078" width="12" style="88" customWidth="1"/>
    <col min="4079" max="4079" width="17.85546875" style="88" customWidth="1"/>
    <col min="4080" max="4080" width="2.42578125" style="88" customWidth="1"/>
    <col min="4081" max="4083" width="17.85546875" style="88" customWidth="1"/>
    <col min="4084" max="4084" width="8.28515625" style="88" customWidth="1"/>
    <col min="4085" max="4328" width="0" style="88" hidden="1" customWidth="1"/>
    <col min="4329" max="4331" width="0" style="88" hidden="1"/>
    <col min="4332" max="4332" width="25.5703125" style="88" customWidth="1"/>
    <col min="4333" max="4333" width="38.85546875" style="88" customWidth="1"/>
    <col min="4334" max="4334" width="12" style="88" customWidth="1"/>
    <col min="4335" max="4335" width="17.85546875" style="88" customWidth="1"/>
    <col min="4336" max="4336" width="2.42578125" style="88" customWidth="1"/>
    <col min="4337" max="4339" width="17.85546875" style="88" customWidth="1"/>
    <col min="4340" max="4340" width="8.28515625" style="88" customWidth="1"/>
    <col min="4341" max="4584" width="0" style="88" hidden="1" customWidth="1"/>
    <col min="4585" max="4587" width="0" style="88" hidden="1"/>
    <col min="4588" max="4588" width="25.5703125" style="88" customWidth="1"/>
    <col min="4589" max="4589" width="38.85546875" style="88" customWidth="1"/>
    <col min="4590" max="4590" width="12" style="88" customWidth="1"/>
    <col min="4591" max="4591" width="17.85546875" style="88" customWidth="1"/>
    <col min="4592" max="4592" width="2.42578125" style="88" customWidth="1"/>
    <col min="4593" max="4595" width="17.85546875" style="88" customWidth="1"/>
    <col min="4596" max="4596" width="8.28515625" style="88" customWidth="1"/>
    <col min="4597" max="4840" width="0" style="88" hidden="1" customWidth="1"/>
    <col min="4841" max="4843" width="0" style="88" hidden="1"/>
    <col min="4844" max="4844" width="25.5703125" style="88" customWidth="1"/>
    <col min="4845" max="4845" width="38.85546875" style="88" customWidth="1"/>
    <col min="4846" max="4846" width="12" style="88" customWidth="1"/>
    <col min="4847" max="4847" width="17.85546875" style="88" customWidth="1"/>
    <col min="4848" max="4848" width="2.42578125" style="88" customWidth="1"/>
    <col min="4849" max="4851" width="17.85546875" style="88" customWidth="1"/>
    <col min="4852" max="4852" width="8.28515625" style="88" customWidth="1"/>
    <col min="4853" max="5096" width="0" style="88" hidden="1" customWidth="1"/>
    <col min="5097" max="5099" width="0" style="88" hidden="1"/>
    <col min="5100" max="5100" width="25.5703125" style="88" customWidth="1"/>
    <col min="5101" max="5101" width="38.85546875" style="88" customWidth="1"/>
    <col min="5102" max="5102" width="12" style="88" customWidth="1"/>
    <col min="5103" max="5103" width="17.85546875" style="88" customWidth="1"/>
    <col min="5104" max="5104" width="2.42578125" style="88" customWidth="1"/>
    <col min="5105" max="5107" width="17.85546875" style="88" customWidth="1"/>
    <col min="5108" max="5108" width="8.28515625" style="88" customWidth="1"/>
    <col min="5109" max="5352" width="0" style="88" hidden="1" customWidth="1"/>
    <col min="5353" max="5355" width="0" style="88" hidden="1"/>
    <col min="5356" max="5356" width="25.5703125" style="88" customWidth="1"/>
    <col min="5357" max="5357" width="38.85546875" style="88" customWidth="1"/>
    <col min="5358" max="5358" width="12" style="88" customWidth="1"/>
    <col min="5359" max="5359" width="17.85546875" style="88" customWidth="1"/>
    <col min="5360" max="5360" width="2.42578125" style="88" customWidth="1"/>
    <col min="5361" max="5363" width="17.85546875" style="88" customWidth="1"/>
    <col min="5364" max="5364" width="8.28515625" style="88" customWidth="1"/>
    <col min="5365" max="5608" width="0" style="88" hidden="1" customWidth="1"/>
    <col min="5609" max="5611" width="0" style="88" hidden="1"/>
    <col min="5612" max="5612" width="25.5703125" style="88" customWidth="1"/>
    <col min="5613" max="5613" width="38.85546875" style="88" customWidth="1"/>
    <col min="5614" max="5614" width="12" style="88" customWidth="1"/>
    <col min="5615" max="5615" width="17.85546875" style="88" customWidth="1"/>
    <col min="5616" max="5616" width="2.42578125" style="88" customWidth="1"/>
    <col min="5617" max="5619" width="17.85546875" style="88" customWidth="1"/>
    <col min="5620" max="5620" width="8.28515625" style="88" customWidth="1"/>
    <col min="5621" max="5864" width="0" style="88" hidden="1" customWidth="1"/>
    <col min="5865" max="5867" width="0" style="88" hidden="1"/>
    <col min="5868" max="5868" width="25.5703125" style="88" customWidth="1"/>
    <col min="5869" max="5869" width="38.85546875" style="88" customWidth="1"/>
    <col min="5870" max="5870" width="12" style="88" customWidth="1"/>
    <col min="5871" max="5871" width="17.85546875" style="88" customWidth="1"/>
    <col min="5872" max="5872" width="2.42578125" style="88" customWidth="1"/>
    <col min="5873" max="5875" width="17.85546875" style="88" customWidth="1"/>
    <col min="5876" max="5876" width="8.28515625" style="88" customWidth="1"/>
    <col min="5877" max="6120" width="0" style="88" hidden="1" customWidth="1"/>
    <col min="6121" max="6123" width="0" style="88" hidden="1"/>
    <col min="6124" max="6124" width="25.5703125" style="88" customWidth="1"/>
    <col min="6125" max="6125" width="38.85546875" style="88" customWidth="1"/>
    <col min="6126" max="6126" width="12" style="88" customWidth="1"/>
    <col min="6127" max="6127" width="17.85546875" style="88" customWidth="1"/>
    <col min="6128" max="6128" width="2.42578125" style="88" customWidth="1"/>
    <col min="6129" max="6131" width="17.85546875" style="88" customWidth="1"/>
    <col min="6132" max="6132" width="8.28515625" style="88" customWidth="1"/>
    <col min="6133" max="6376" width="0" style="88" hidden="1" customWidth="1"/>
    <col min="6377" max="6379" width="0" style="88" hidden="1"/>
    <col min="6380" max="6380" width="25.5703125" style="88" customWidth="1"/>
    <col min="6381" max="6381" width="38.85546875" style="88" customWidth="1"/>
    <col min="6382" max="6382" width="12" style="88" customWidth="1"/>
    <col min="6383" max="6383" width="17.85546875" style="88" customWidth="1"/>
    <col min="6384" max="6384" width="2.42578125" style="88" customWidth="1"/>
    <col min="6385" max="6387" width="17.85546875" style="88" customWidth="1"/>
    <col min="6388" max="6388" width="8.28515625" style="88" customWidth="1"/>
    <col min="6389" max="6632" width="0" style="88" hidden="1" customWidth="1"/>
    <col min="6633" max="6635" width="0" style="88" hidden="1"/>
    <col min="6636" max="6636" width="25.5703125" style="88" customWidth="1"/>
    <col min="6637" max="6637" width="38.85546875" style="88" customWidth="1"/>
    <col min="6638" max="6638" width="12" style="88" customWidth="1"/>
    <col min="6639" max="6639" width="17.85546875" style="88" customWidth="1"/>
    <col min="6640" max="6640" width="2.42578125" style="88" customWidth="1"/>
    <col min="6641" max="6643" width="17.85546875" style="88" customWidth="1"/>
    <col min="6644" max="6644" width="8.28515625" style="88" customWidth="1"/>
    <col min="6645" max="6888" width="0" style="88" hidden="1" customWidth="1"/>
    <col min="6889" max="6891" width="0" style="88" hidden="1"/>
    <col min="6892" max="6892" width="25.5703125" style="88" customWidth="1"/>
    <col min="6893" max="6893" width="38.85546875" style="88" customWidth="1"/>
    <col min="6894" max="6894" width="12" style="88" customWidth="1"/>
    <col min="6895" max="6895" width="17.85546875" style="88" customWidth="1"/>
    <col min="6896" max="6896" width="2.42578125" style="88" customWidth="1"/>
    <col min="6897" max="6899" width="17.85546875" style="88" customWidth="1"/>
    <col min="6900" max="6900" width="8.28515625" style="88" customWidth="1"/>
    <col min="6901" max="7144" width="0" style="88" hidden="1" customWidth="1"/>
    <col min="7145" max="7147" width="0" style="88" hidden="1"/>
    <col min="7148" max="7148" width="25.5703125" style="88" customWidth="1"/>
    <col min="7149" max="7149" width="38.85546875" style="88" customWidth="1"/>
    <col min="7150" max="7150" width="12" style="88" customWidth="1"/>
    <col min="7151" max="7151" width="17.85546875" style="88" customWidth="1"/>
    <col min="7152" max="7152" width="2.42578125" style="88" customWidth="1"/>
    <col min="7153" max="7155" width="17.85546875" style="88" customWidth="1"/>
    <col min="7156" max="7156" width="8.28515625" style="88" customWidth="1"/>
    <col min="7157" max="7400" width="0" style="88" hidden="1" customWidth="1"/>
    <col min="7401" max="7403" width="0" style="88" hidden="1"/>
    <col min="7404" max="7404" width="25.5703125" style="88" customWidth="1"/>
    <col min="7405" max="7405" width="38.85546875" style="88" customWidth="1"/>
    <col min="7406" max="7406" width="12" style="88" customWidth="1"/>
    <col min="7407" max="7407" width="17.85546875" style="88" customWidth="1"/>
    <col min="7408" max="7408" width="2.42578125" style="88" customWidth="1"/>
    <col min="7409" max="7411" width="17.85546875" style="88" customWidth="1"/>
    <col min="7412" max="7412" width="8.28515625" style="88" customWidth="1"/>
    <col min="7413" max="7656" width="0" style="88" hidden="1" customWidth="1"/>
    <col min="7657" max="7659" width="0" style="88" hidden="1"/>
    <col min="7660" max="7660" width="25.5703125" style="88" customWidth="1"/>
    <col min="7661" max="7661" width="38.85546875" style="88" customWidth="1"/>
    <col min="7662" max="7662" width="12" style="88" customWidth="1"/>
    <col min="7663" max="7663" width="17.85546875" style="88" customWidth="1"/>
    <col min="7664" max="7664" width="2.42578125" style="88" customWidth="1"/>
    <col min="7665" max="7667" width="17.85546875" style="88" customWidth="1"/>
    <col min="7668" max="7668" width="8.28515625" style="88" customWidth="1"/>
    <col min="7669" max="7912" width="0" style="88" hidden="1" customWidth="1"/>
    <col min="7913" max="7915" width="0" style="88" hidden="1"/>
    <col min="7916" max="7916" width="25.5703125" style="88" customWidth="1"/>
    <col min="7917" max="7917" width="38.85546875" style="88" customWidth="1"/>
    <col min="7918" max="7918" width="12" style="88" customWidth="1"/>
    <col min="7919" max="7919" width="17.85546875" style="88" customWidth="1"/>
    <col min="7920" max="7920" width="2.42578125" style="88" customWidth="1"/>
    <col min="7921" max="7923" width="17.85546875" style="88" customWidth="1"/>
    <col min="7924" max="7924" width="8.28515625" style="88" customWidth="1"/>
    <col min="7925" max="8168" width="0" style="88" hidden="1" customWidth="1"/>
    <col min="8169" max="8171" width="0" style="88" hidden="1"/>
    <col min="8172" max="8172" width="25.5703125" style="88" customWidth="1"/>
    <col min="8173" max="8173" width="38.85546875" style="88" customWidth="1"/>
    <col min="8174" max="8174" width="12" style="88" customWidth="1"/>
    <col min="8175" max="8175" width="17.85546875" style="88" customWidth="1"/>
    <col min="8176" max="8176" width="2.42578125" style="88" customWidth="1"/>
    <col min="8177" max="8179" width="17.85546875" style="88" customWidth="1"/>
    <col min="8180" max="8180" width="8.28515625" style="88" customWidth="1"/>
    <col min="8181" max="8424" width="0" style="88" hidden="1" customWidth="1"/>
    <col min="8425" max="8427" width="0" style="88" hidden="1"/>
    <col min="8428" max="8428" width="25.5703125" style="88" customWidth="1"/>
    <col min="8429" max="8429" width="38.85546875" style="88" customWidth="1"/>
    <col min="8430" max="8430" width="12" style="88" customWidth="1"/>
    <col min="8431" max="8431" width="17.85546875" style="88" customWidth="1"/>
    <col min="8432" max="8432" width="2.42578125" style="88" customWidth="1"/>
    <col min="8433" max="8435" width="17.85546875" style="88" customWidth="1"/>
    <col min="8436" max="8436" width="8.28515625" style="88" customWidth="1"/>
    <col min="8437" max="8680" width="0" style="88" hidden="1" customWidth="1"/>
    <col min="8681" max="8683" width="0" style="88" hidden="1"/>
    <col min="8684" max="8684" width="25.5703125" style="88" customWidth="1"/>
    <col min="8685" max="8685" width="38.85546875" style="88" customWidth="1"/>
    <col min="8686" max="8686" width="12" style="88" customWidth="1"/>
    <col min="8687" max="8687" width="17.85546875" style="88" customWidth="1"/>
    <col min="8688" max="8688" width="2.42578125" style="88" customWidth="1"/>
    <col min="8689" max="8691" width="17.85546875" style="88" customWidth="1"/>
    <col min="8692" max="8692" width="8.28515625" style="88" customWidth="1"/>
    <col min="8693" max="8936" width="0" style="88" hidden="1" customWidth="1"/>
    <col min="8937" max="8939" width="0" style="88" hidden="1"/>
    <col min="8940" max="8940" width="25.5703125" style="88" customWidth="1"/>
    <col min="8941" max="8941" width="38.85546875" style="88" customWidth="1"/>
    <col min="8942" max="8942" width="12" style="88" customWidth="1"/>
    <col min="8943" max="8943" width="17.85546875" style="88" customWidth="1"/>
    <col min="8944" max="8944" width="2.42578125" style="88" customWidth="1"/>
    <col min="8945" max="8947" width="17.85546875" style="88" customWidth="1"/>
    <col min="8948" max="8948" width="8.28515625" style="88" customWidth="1"/>
    <col min="8949" max="9192" width="0" style="88" hidden="1" customWidth="1"/>
    <col min="9193" max="9195" width="0" style="88" hidden="1"/>
    <col min="9196" max="9196" width="25.5703125" style="88" customWidth="1"/>
    <col min="9197" max="9197" width="38.85546875" style="88" customWidth="1"/>
    <col min="9198" max="9198" width="12" style="88" customWidth="1"/>
    <col min="9199" max="9199" width="17.85546875" style="88" customWidth="1"/>
    <col min="9200" max="9200" width="2.42578125" style="88" customWidth="1"/>
    <col min="9201" max="9203" width="17.85546875" style="88" customWidth="1"/>
    <col min="9204" max="9204" width="8.28515625" style="88" customWidth="1"/>
    <col min="9205" max="9448" width="0" style="88" hidden="1" customWidth="1"/>
    <col min="9449" max="9451" width="0" style="88" hidden="1"/>
    <col min="9452" max="9452" width="25.5703125" style="88" customWidth="1"/>
    <col min="9453" max="9453" width="38.85546875" style="88" customWidth="1"/>
    <col min="9454" max="9454" width="12" style="88" customWidth="1"/>
    <col min="9455" max="9455" width="17.85546875" style="88" customWidth="1"/>
    <col min="9456" max="9456" width="2.42578125" style="88" customWidth="1"/>
    <col min="9457" max="9459" width="17.85546875" style="88" customWidth="1"/>
    <col min="9460" max="9460" width="8.28515625" style="88" customWidth="1"/>
    <col min="9461" max="9704" width="0" style="88" hidden="1" customWidth="1"/>
    <col min="9705" max="9707" width="0" style="88" hidden="1"/>
    <col min="9708" max="9708" width="25.5703125" style="88" customWidth="1"/>
    <col min="9709" max="9709" width="38.85546875" style="88" customWidth="1"/>
    <col min="9710" max="9710" width="12" style="88" customWidth="1"/>
    <col min="9711" max="9711" width="17.85546875" style="88" customWidth="1"/>
    <col min="9712" max="9712" width="2.42578125" style="88" customWidth="1"/>
    <col min="9713" max="9715" width="17.85546875" style="88" customWidth="1"/>
    <col min="9716" max="9716" width="8.28515625" style="88" customWidth="1"/>
    <col min="9717" max="9960" width="0" style="88" hidden="1" customWidth="1"/>
    <col min="9961" max="9963" width="0" style="88" hidden="1"/>
    <col min="9964" max="9964" width="25.5703125" style="88" customWidth="1"/>
    <col min="9965" max="9965" width="38.85546875" style="88" customWidth="1"/>
    <col min="9966" max="9966" width="12" style="88" customWidth="1"/>
    <col min="9967" max="9967" width="17.85546875" style="88" customWidth="1"/>
    <col min="9968" max="9968" width="2.42578125" style="88" customWidth="1"/>
    <col min="9969" max="9971" width="17.85546875" style="88" customWidth="1"/>
    <col min="9972" max="9972" width="8.28515625" style="88" customWidth="1"/>
    <col min="9973" max="10216" width="0" style="88" hidden="1" customWidth="1"/>
    <col min="10217" max="10219" width="0" style="88" hidden="1"/>
    <col min="10220" max="10220" width="25.5703125" style="88" customWidth="1"/>
    <col min="10221" max="10221" width="38.85546875" style="88" customWidth="1"/>
    <col min="10222" max="10222" width="12" style="88" customWidth="1"/>
    <col min="10223" max="10223" width="17.85546875" style="88" customWidth="1"/>
    <col min="10224" max="10224" width="2.42578125" style="88" customWidth="1"/>
    <col min="10225" max="10227" width="17.85546875" style="88" customWidth="1"/>
    <col min="10228" max="10228" width="8.28515625" style="88" customWidth="1"/>
    <col min="10229" max="10472" width="0" style="88" hidden="1" customWidth="1"/>
    <col min="10473" max="10475" width="0" style="88" hidden="1"/>
    <col min="10476" max="10476" width="25.5703125" style="88" customWidth="1"/>
    <col min="10477" max="10477" width="38.85546875" style="88" customWidth="1"/>
    <col min="10478" max="10478" width="12" style="88" customWidth="1"/>
    <col min="10479" max="10479" width="17.85546875" style="88" customWidth="1"/>
    <col min="10480" max="10480" width="2.42578125" style="88" customWidth="1"/>
    <col min="10481" max="10483" width="17.85546875" style="88" customWidth="1"/>
    <col min="10484" max="10484" width="8.28515625" style="88" customWidth="1"/>
    <col min="10485" max="10728" width="0" style="88" hidden="1" customWidth="1"/>
    <col min="10729" max="10731" width="0" style="88" hidden="1"/>
    <col min="10732" max="10732" width="25.5703125" style="88" customWidth="1"/>
    <col min="10733" max="10733" width="38.85546875" style="88" customWidth="1"/>
    <col min="10734" max="10734" width="12" style="88" customWidth="1"/>
    <col min="10735" max="10735" width="17.85546875" style="88" customWidth="1"/>
    <col min="10736" max="10736" width="2.42578125" style="88" customWidth="1"/>
    <col min="10737" max="10739" width="17.85546875" style="88" customWidth="1"/>
    <col min="10740" max="10740" width="8.28515625" style="88" customWidth="1"/>
    <col min="10741" max="10984" width="0" style="88" hidden="1" customWidth="1"/>
    <col min="10985" max="10987" width="0" style="88" hidden="1"/>
    <col min="10988" max="10988" width="25.5703125" style="88" customWidth="1"/>
    <col min="10989" max="10989" width="38.85546875" style="88" customWidth="1"/>
    <col min="10990" max="10990" width="12" style="88" customWidth="1"/>
    <col min="10991" max="10991" width="17.85546875" style="88" customWidth="1"/>
    <col min="10992" max="10992" width="2.42578125" style="88" customWidth="1"/>
    <col min="10993" max="10995" width="17.85546875" style="88" customWidth="1"/>
    <col min="10996" max="10996" width="8.28515625" style="88" customWidth="1"/>
    <col min="10997" max="11240" width="0" style="88" hidden="1" customWidth="1"/>
    <col min="11241" max="11243" width="0" style="88" hidden="1"/>
    <col min="11244" max="11244" width="25.5703125" style="88" customWidth="1"/>
    <col min="11245" max="11245" width="38.85546875" style="88" customWidth="1"/>
    <col min="11246" max="11246" width="12" style="88" customWidth="1"/>
    <col min="11247" max="11247" width="17.85546875" style="88" customWidth="1"/>
    <col min="11248" max="11248" width="2.42578125" style="88" customWidth="1"/>
    <col min="11249" max="11251" width="17.85546875" style="88" customWidth="1"/>
    <col min="11252" max="11252" width="8.28515625" style="88" customWidth="1"/>
    <col min="11253" max="11496" width="0" style="88" hidden="1" customWidth="1"/>
    <col min="11497" max="11499" width="0" style="88" hidden="1"/>
    <col min="11500" max="11500" width="25.5703125" style="88" customWidth="1"/>
    <col min="11501" max="11501" width="38.85546875" style="88" customWidth="1"/>
    <col min="11502" max="11502" width="12" style="88" customWidth="1"/>
    <col min="11503" max="11503" width="17.85546875" style="88" customWidth="1"/>
    <col min="11504" max="11504" width="2.42578125" style="88" customWidth="1"/>
    <col min="11505" max="11507" width="17.85546875" style="88" customWidth="1"/>
    <col min="11508" max="11508" width="8.28515625" style="88" customWidth="1"/>
    <col min="11509" max="11752" width="0" style="88" hidden="1" customWidth="1"/>
    <col min="11753" max="11755" width="0" style="88" hidden="1"/>
    <col min="11756" max="11756" width="25.5703125" style="88" customWidth="1"/>
    <col min="11757" max="11757" width="38.85546875" style="88" customWidth="1"/>
    <col min="11758" max="11758" width="12" style="88" customWidth="1"/>
    <col min="11759" max="11759" width="17.85546875" style="88" customWidth="1"/>
    <col min="11760" max="11760" width="2.42578125" style="88" customWidth="1"/>
    <col min="11761" max="11763" width="17.85546875" style="88" customWidth="1"/>
    <col min="11764" max="11764" width="8.28515625" style="88" customWidth="1"/>
    <col min="11765" max="12008" width="0" style="88" hidden="1" customWidth="1"/>
    <col min="12009" max="12011" width="0" style="88" hidden="1"/>
    <col min="12012" max="12012" width="25.5703125" style="88" customWidth="1"/>
    <col min="12013" max="12013" width="38.85546875" style="88" customWidth="1"/>
    <col min="12014" max="12014" width="12" style="88" customWidth="1"/>
    <col min="12015" max="12015" width="17.85546875" style="88" customWidth="1"/>
    <col min="12016" max="12016" width="2.42578125" style="88" customWidth="1"/>
    <col min="12017" max="12019" width="17.85546875" style="88" customWidth="1"/>
    <col min="12020" max="12020" width="8.28515625" style="88" customWidth="1"/>
    <col min="12021" max="12264" width="0" style="88" hidden="1" customWidth="1"/>
    <col min="12265" max="12267" width="0" style="88" hidden="1"/>
    <col min="12268" max="12268" width="25.5703125" style="88" customWidth="1"/>
    <col min="12269" max="12269" width="38.85546875" style="88" customWidth="1"/>
    <col min="12270" max="12270" width="12" style="88" customWidth="1"/>
    <col min="12271" max="12271" width="17.85546875" style="88" customWidth="1"/>
    <col min="12272" max="12272" width="2.42578125" style="88" customWidth="1"/>
    <col min="12273" max="12275" width="17.85546875" style="88" customWidth="1"/>
    <col min="12276" max="12276" width="8.28515625" style="88" customWidth="1"/>
    <col min="12277" max="12520" width="0" style="88" hidden="1" customWidth="1"/>
    <col min="12521" max="12523" width="0" style="88" hidden="1"/>
    <col min="12524" max="12524" width="25.5703125" style="88" customWidth="1"/>
    <col min="12525" max="12525" width="38.85546875" style="88" customWidth="1"/>
    <col min="12526" max="12526" width="12" style="88" customWidth="1"/>
    <col min="12527" max="12527" width="17.85546875" style="88" customWidth="1"/>
    <col min="12528" max="12528" width="2.42578125" style="88" customWidth="1"/>
    <col min="12529" max="12531" width="17.85546875" style="88" customWidth="1"/>
    <col min="12532" max="12532" width="8.28515625" style="88" customWidth="1"/>
    <col min="12533" max="12776" width="0" style="88" hidden="1" customWidth="1"/>
    <col min="12777" max="12779" width="0" style="88" hidden="1"/>
    <col min="12780" max="12780" width="25.5703125" style="88" customWidth="1"/>
    <col min="12781" max="12781" width="38.85546875" style="88" customWidth="1"/>
    <col min="12782" max="12782" width="12" style="88" customWidth="1"/>
    <col min="12783" max="12783" width="17.85546875" style="88" customWidth="1"/>
    <col min="12784" max="12784" width="2.42578125" style="88" customWidth="1"/>
    <col min="12785" max="12787" width="17.85546875" style="88" customWidth="1"/>
    <col min="12788" max="12788" width="8.28515625" style="88" customWidth="1"/>
    <col min="12789" max="13032" width="0" style="88" hidden="1" customWidth="1"/>
    <col min="13033" max="13035" width="0" style="88" hidden="1"/>
    <col min="13036" max="13036" width="25.5703125" style="88" customWidth="1"/>
    <col min="13037" max="13037" width="38.85546875" style="88" customWidth="1"/>
    <col min="13038" max="13038" width="12" style="88" customWidth="1"/>
    <col min="13039" max="13039" width="17.85546875" style="88" customWidth="1"/>
    <col min="13040" max="13040" width="2.42578125" style="88" customWidth="1"/>
    <col min="13041" max="13043" width="17.85546875" style="88" customWidth="1"/>
    <col min="13044" max="13044" width="8.28515625" style="88" customWidth="1"/>
    <col min="13045" max="13288" width="0" style="88" hidden="1" customWidth="1"/>
    <col min="13289" max="13291" width="0" style="88" hidden="1"/>
    <col min="13292" max="13292" width="25.5703125" style="88" customWidth="1"/>
    <col min="13293" max="13293" width="38.85546875" style="88" customWidth="1"/>
    <col min="13294" max="13294" width="12" style="88" customWidth="1"/>
    <col min="13295" max="13295" width="17.85546875" style="88" customWidth="1"/>
    <col min="13296" max="13296" width="2.42578125" style="88" customWidth="1"/>
    <col min="13297" max="13299" width="17.85546875" style="88" customWidth="1"/>
    <col min="13300" max="13300" width="8.28515625" style="88" customWidth="1"/>
    <col min="13301" max="13544" width="0" style="88" hidden="1" customWidth="1"/>
    <col min="13545" max="13547" width="0" style="88" hidden="1"/>
    <col min="13548" max="13548" width="25.5703125" style="88" customWidth="1"/>
    <col min="13549" max="13549" width="38.85546875" style="88" customWidth="1"/>
    <col min="13550" max="13550" width="12" style="88" customWidth="1"/>
    <col min="13551" max="13551" width="17.85546875" style="88" customWidth="1"/>
    <col min="13552" max="13552" width="2.42578125" style="88" customWidth="1"/>
    <col min="13553" max="13555" width="17.85546875" style="88" customWidth="1"/>
    <col min="13556" max="13556" width="8.28515625" style="88" customWidth="1"/>
    <col min="13557" max="13800" width="0" style="88" hidden="1" customWidth="1"/>
    <col min="13801" max="13803" width="0" style="88" hidden="1"/>
    <col min="13804" max="13804" width="25.5703125" style="88" customWidth="1"/>
    <col min="13805" max="13805" width="38.85546875" style="88" customWidth="1"/>
    <col min="13806" max="13806" width="12" style="88" customWidth="1"/>
    <col min="13807" max="13807" width="17.85546875" style="88" customWidth="1"/>
    <col min="13808" max="13808" width="2.42578125" style="88" customWidth="1"/>
    <col min="13809" max="13811" width="17.85546875" style="88" customWidth="1"/>
    <col min="13812" max="13812" width="8.28515625" style="88" customWidth="1"/>
    <col min="13813" max="14056" width="0" style="88" hidden="1" customWidth="1"/>
    <col min="14057" max="14059" width="0" style="88" hidden="1"/>
    <col min="14060" max="14060" width="25.5703125" style="88" customWidth="1"/>
    <col min="14061" max="14061" width="38.85546875" style="88" customWidth="1"/>
    <col min="14062" max="14062" width="12" style="88" customWidth="1"/>
    <col min="14063" max="14063" width="17.85546875" style="88" customWidth="1"/>
    <col min="14064" max="14064" width="2.42578125" style="88" customWidth="1"/>
    <col min="14065" max="14067" width="17.85546875" style="88" customWidth="1"/>
    <col min="14068" max="14068" width="8.28515625" style="88" customWidth="1"/>
    <col min="14069" max="14312" width="0" style="88" hidden="1" customWidth="1"/>
    <col min="14313" max="14315" width="0" style="88" hidden="1"/>
    <col min="14316" max="14316" width="25.5703125" style="88" customWidth="1"/>
    <col min="14317" max="14317" width="38.85546875" style="88" customWidth="1"/>
    <col min="14318" max="14318" width="12" style="88" customWidth="1"/>
    <col min="14319" max="14319" width="17.85546875" style="88" customWidth="1"/>
    <col min="14320" max="14320" width="2.42578125" style="88" customWidth="1"/>
    <col min="14321" max="14323" width="17.85546875" style="88" customWidth="1"/>
    <col min="14324" max="14324" width="8.28515625" style="88" customWidth="1"/>
    <col min="14325" max="14568" width="0" style="88" hidden="1" customWidth="1"/>
    <col min="14569" max="14571" width="0" style="88" hidden="1"/>
    <col min="14572" max="14572" width="25.5703125" style="88" customWidth="1"/>
    <col min="14573" max="14573" width="38.85546875" style="88" customWidth="1"/>
    <col min="14574" max="14574" width="12" style="88" customWidth="1"/>
    <col min="14575" max="14575" width="17.85546875" style="88" customWidth="1"/>
    <col min="14576" max="14576" width="2.42578125" style="88" customWidth="1"/>
    <col min="14577" max="14579" width="17.85546875" style="88" customWidth="1"/>
    <col min="14580" max="14580" width="8.28515625" style="88" customWidth="1"/>
    <col min="14581" max="14824" width="0" style="88" hidden="1" customWidth="1"/>
    <col min="14825" max="14827" width="0" style="88" hidden="1"/>
    <col min="14828" max="14828" width="25.5703125" style="88" customWidth="1"/>
    <col min="14829" max="14829" width="38.85546875" style="88" customWidth="1"/>
    <col min="14830" max="14830" width="12" style="88" customWidth="1"/>
    <col min="14831" max="14831" width="17.85546875" style="88" customWidth="1"/>
    <col min="14832" max="14832" width="2.42578125" style="88" customWidth="1"/>
    <col min="14833" max="14835" width="17.85546875" style="88" customWidth="1"/>
    <col min="14836" max="14836" width="8.28515625" style="88" customWidth="1"/>
    <col min="14837" max="15080" width="0" style="88" hidden="1" customWidth="1"/>
    <col min="15081" max="15083" width="0" style="88" hidden="1"/>
    <col min="15084" max="15084" width="25.5703125" style="88" customWidth="1"/>
    <col min="15085" max="15085" width="38.85546875" style="88" customWidth="1"/>
    <col min="15086" max="15086" width="12" style="88" customWidth="1"/>
    <col min="15087" max="15087" width="17.85546875" style="88" customWidth="1"/>
    <col min="15088" max="15088" width="2.42578125" style="88" customWidth="1"/>
    <col min="15089" max="15091" width="17.85546875" style="88" customWidth="1"/>
    <col min="15092" max="15092" width="8.28515625" style="88" customWidth="1"/>
    <col min="15093" max="15336" width="0" style="88" hidden="1" customWidth="1"/>
    <col min="15337" max="15339" width="0" style="88" hidden="1"/>
    <col min="15340" max="15340" width="25.5703125" style="88" customWidth="1"/>
    <col min="15341" max="15341" width="38.85546875" style="88" customWidth="1"/>
    <col min="15342" max="15342" width="12" style="88" customWidth="1"/>
    <col min="15343" max="15343" width="17.85546875" style="88" customWidth="1"/>
    <col min="15344" max="15344" width="2.42578125" style="88" customWidth="1"/>
    <col min="15345" max="15347" width="17.85546875" style="88" customWidth="1"/>
    <col min="15348" max="15348" width="8.28515625" style="88" customWidth="1"/>
    <col min="15349" max="15592" width="0" style="88" hidden="1" customWidth="1"/>
    <col min="15593" max="15595" width="0" style="88" hidden="1"/>
    <col min="15596" max="15596" width="25.5703125" style="88" customWidth="1"/>
    <col min="15597" max="15597" width="38.85546875" style="88" customWidth="1"/>
    <col min="15598" max="15598" width="12" style="88" customWidth="1"/>
    <col min="15599" max="15599" width="17.85546875" style="88" customWidth="1"/>
    <col min="15600" max="15600" width="2.42578125" style="88" customWidth="1"/>
    <col min="15601" max="15603" width="17.85546875" style="88" customWidth="1"/>
    <col min="15604" max="15604" width="8.28515625" style="88" customWidth="1"/>
    <col min="15605" max="15848" width="0" style="88" hidden="1" customWidth="1"/>
    <col min="15849" max="15851" width="0" style="88" hidden="1"/>
    <col min="15852" max="15852" width="25.5703125" style="88" customWidth="1"/>
    <col min="15853" max="15853" width="38.85546875" style="88" customWidth="1"/>
    <col min="15854" max="15854" width="12" style="88" customWidth="1"/>
    <col min="15855" max="15855" width="17.85546875" style="88" customWidth="1"/>
    <col min="15856" max="15856" width="2.42578125" style="88" customWidth="1"/>
    <col min="15857" max="15859" width="17.85546875" style="88" customWidth="1"/>
    <col min="15860" max="15860" width="8.28515625" style="88" customWidth="1"/>
    <col min="15861" max="16104" width="0" style="88" hidden="1" customWidth="1"/>
    <col min="16105" max="16107" width="0" style="88" hidden="1"/>
    <col min="16108" max="16108" width="25.5703125" style="88" customWidth="1"/>
    <col min="16109" max="16109" width="38.85546875" style="88" customWidth="1"/>
    <col min="16110" max="16110" width="12" style="88" customWidth="1"/>
    <col min="16111" max="16111" width="17.85546875" style="88" customWidth="1"/>
    <col min="16112" max="16112" width="2.42578125" style="88" customWidth="1"/>
    <col min="16113" max="16115" width="17.85546875" style="88" customWidth="1"/>
    <col min="16116" max="16116" width="8.28515625" style="88" customWidth="1"/>
    <col min="16117" max="16360" width="0" style="88" hidden="1" customWidth="1"/>
    <col min="16361" max="16384" width="0" style="88" hidden="1"/>
  </cols>
  <sheetData>
    <row r="1" spans="1:9" s="84" customFormat="1" ht="30" customHeight="1" x14ac:dyDescent="0.25">
      <c r="A1" s="157" t="s">
        <v>48</v>
      </c>
      <c r="B1" s="158"/>
      <c r="C1" s="158"/>
      <c r="D1" s="158"/>
      <c r="E1" s="158"/>
      <c r="F1" s="158"/>
      <c r="G1" s="158"/>
      <c r="H1" s="159"/>
      <c r="I1" s="83"/>
    </row>
    <row r="2" spans="1:9" s="86" customFormat="1" ht="30" customHeight="1" x14ac:dyDescent="0.25">
      <c r="A2" s="160" t="s">
        <v>176</v>
      </c>
      <c r="B2" s="161"/>
      <c r="C2" s="161"/>
      <c r="D2" s="161"/>
      <c r="E2" s="161"/>
      <c r="F2" s="161"/>
      <c r="G2" s="161"/>
      <c r="H2" s="162"/>
      <c r="I2" s="85"/>
    </row>
    <row r="3" spans="1:9" s="86" customFormat="1" ht="30" customHeight="1" x14ac:dyDescent="0.25">
      <c r="A3" s="160" t="s">
        <v>50</v>
      </c>
      <c r="B3" s="161"/>
      <c r="C3" s="161"/>
      <c r="D3" s="161"/>
      <c r="E3" s="161"/>
      <c r="F3" s="161"/>
      <c r="G3" s="161"/>
      <c r="H3" s="162"/>
      <c r="I3" s="85"/>
    </row>
    <row r="4" spans="1:9" ht="30" customHeight="1" x14ac:dyDescent="0.25">
      <c r="A4" s="163" t="s">
        <v>51</v>
      </c>
      <c r="B4" s="164"/>
      <c r="C4" s="164"/>
      <c r="D4" s="164"/>
      <c r="E4" s="164"/>
      <c r="F4" s="164"/>
      <c r="G4" s="164"/>
      <c r="H4" s="165"/>
      <c r="I4" s="87"/>
    </row>
    <row r="5" spans="1:9" ht="9.9499999999999993" customHeight="1" x14ac:dyDescent="0.25">
      <c r="D5" s="90"/>
      <c r="E5" s="90"/>
      <c r="F5" s="90"/>
      <c r="G5" s="90"/>
      <c r="H5" s="90"/>
    </row>
    <row r="6" spans="1:9" s="92" customFormat="1" ht="30" customHeight="1" x14ac:dyDescent="0.25">
      <c r="A6" s="166" t="s">
        <v>177</v>
      </c>
      <c r="B6" s="166"/>
      <c r="C6" s="166"/>
      <c r="D6" s="166"/>
      <c r="E6" s="166"/>
      <c r="F6" s="166"/>
      <c r="G6" s="166"/>
      <c r="H6" s="166"/>
      <c r="I6" s="91"/>
    </row>
    <row r="7" spans="1:9" ht="9.9499999999999993" customHeight="1" x14ac:dyDescent="0.25">
      <c r="D7" s="90"/>
      <c r="E7" s="90"/>
      <c r="F7" s="90"/>
      <c r="G7" s="90"/>
      <c r="H7" s="90"/>
    </row>
    <row r="8" spans="1:9" ht="30" customHeight="1" x14ac:dyDescent="0.25">
      <c r="A8" s="93" t="s">
        <v>178</v>
      </c>
      <c r="B8" s="94"/>
      <c r="C8" s="95"/>
      <c r="D8" s="167" t="s">
        <v>179</v>
      </c>
      <c r="E8" s="168"/>
      <c r="F8" s="168"/>
      <c r="G8" s="168"/>
      <c r="H8" s="169"/>
    </row>
    <row r="9" spans="1:9" ht="8.1" customHeight="1" x14ac:dyDescent="0.25">
      <c r="A9" s="96"/>
      <c r="D9" s="90"/>
      <c r="E9" s="90"/>
      <c r="F9" s="90"/>
      <c r="G9" s="90"/>
      <c r="H9" s="90"/>
    </row>
    <row r="10" spans="1:9" ht="30" customHeight="1" x14ac:dyDescent="0.25">
      <c r="A10" s="93" t="s">
        <v>180</v>
      </c>
      <c r="B10" s="95"/>
      <c r="C10" s="97"/>
      <c r="D10" s="170" t="s">
        <v>181</v>
      </c>
      <c r="E10" s="171"/>
      <c r="F10" s="171"/>
      <c r="G10" s="171"/>
      <c r="H10" s="172"/>
    </row>
    <row r="11" spans="1:9" ht="8.1" customHeight="1" x14ac:dyDescent="0.25">
      <c r="A11" s="96"/>
      <c r="D11" s="90"/>
      <c r="E11" s="90"/>
      <c r="F11" s="90"/>
      <c r="G11" s="90"/>
      <c r="H11" s="90"/>
    </row>
    <row r="12" spans="1:9" ht="30" customHeight="1" x14ac:dyDescent="0.25">
      <c r="A12" s="93" t="s">
        <v>182</v>
      </c>
      <c r="B12" s="98"/>
      <c r="C12" s="94"/>
      <c r="D12" s="173">
        <v>0.2</v>
      </c>
      <c r="E12" s="173"/>
      <c r="F12" s="173"/>
      <c r="G12" s="173"/>
      <c r="H12" s="174"/>
    </row>
    <row r="13" spans="1:9" ht="8.1" customHeight="1" x14ac:dyDescent="0.25">
      <c r="A13" s="96"/>
      <c r="D13" s="90"/>
      <c r="E13" s="90"/>
      <c r="F13" s="90"/>
      <c r="G13" s="90"/>
      <c r="H13" s="90"/>
    </row>
    <row r="14" spans="1:9" ht="30" customHeight="1" x14ac:dyDescent="0.25">
      <c r="A14" s="93" t="s">
        <v>183</v>
      </c>
      <c r="B14" s="98"/>
      <c r="C14" s="94"/>
      <c r="D14" s="173">
        <v>0.03</v>
      </c>
      <c r="E14" s="173"/>
      <c r="F14" s="173"/>
      <c r="G14" s="173"/>
      <c r="H14" s="174"/>
    </row>
    <row r="15" spans="1:9" ht="24.75" customHeight="1" x14ac:dyDescent="0.25">
      <c r="A15" s="99"/>
      <c r="B15" s="99"/>
      <c r="C15" s="99"/>
      <c r="D15" s="90"/>
      <c r="E15" s="90"/>
      <c r="F15" s="100"/>
      <c r="G15" s="99"/>
      <c r="H15" s="99"/>
    </row>
    <row r="16" spans="1:9" ht="30" customHeight="1" x14ac:dyDescent="0.25">
      <c r="A16" s="175" t="s">
        <v>184</v>
      </c>
      <c r="B16" s="176"/>
      <c r="C16" s="101" t="s">
        <v>185</v>
      </c>
      <c r="D16" s="102" t="s">
        <v>186</v>
      </c>
      <c r="E16" s="103"/>
      <c r="F16" s="101" t="s">
        <v>187</v>
      </c>
      <c r="G16" s="101" t="s">
        <v>188</v>
      </c>
      <c r="H16" s="101" t="s">
        <v>189</v>
      </c>
    </row>
    <row r="17" spans="1:8" ht="30" customHeight="1" x14ac:dyDescent="0.25">
      <c r="A17" s="177" t="s">
        <v>190</v>
      </c>
      <c r="B17" s="178"/>
      <c r="C17" s="104" t="s">
        <v>191</v>
      </c>
      <c r="D17" s="105">
        <v>5.5199999999999999E-2</v>
      </c>
      <c r="E17" s="106"/>
      <c r="F17" s="107">
        <v>0.04</v>
      </c>
      <c r="G17" s="107">
        <v>5.5199999999999999E-2</v>
      </c>
      <c r="H17" s="107">
        <v>7.85E-2</v>
      </c>
    </row>
    <row r="18" spans="1:8" ht="30" customHeight="1" x14ac:dyDescent="0.25">
      <c r="A18" s="156" t="s">
        <v>192</v>
      </c>
      <c r="B18" s="156"/>
      <c r="C18" s="104" t="s">
        <v>193</v>
      </c>
      <c r="D18" s="105">
        <v>1.2200000000000001E-2</v>
      </c>
      <c r="E18" s="106"/>
      <c r="F18" s="107">
        <v>8.0999999999999996E-3</v>
      </c>
      <c r="G18" s="107">
        <v>1.2200000000000001E-2</v>
      </c>
      <c r="H18" s="107">
        <v>1.9900000000000001E-2</v>
      </c>
    </row>
    <row r="19" spans="1:8" ht="30" customHeight="1" x14ac:dyDescent="0.25">
      <c r="A19" s="156" t="s">
        <v>194</v>
      </c>
      <c r="B19" s="156"/>
      <c r="C19" s="104" t="s">
        <v>195</v>
      </c>
      <c r="D19" s="105">
        <v>2.3199999999999998E-2</v>
      </c>
      <c r="E19" s="106"/>
      <c r="F19" s="107">
        <v>1.46E-2</v>
      </c>
      <c r="G19" s="107">
        <v>2.3199999999999998E-2</v>
      </c>
      <c r="H19" s="107">
        <v>3.1600000000000003E-2</v>
      </c>
    </row>
    <row r="20" spans="1:8" ht="30" customHeight="1" x14ac:dyDescent="0.25">
      <c r="A20" s="156" t="s">
        <v>196</v>
      </c>
      <c r="B20" s="156"/>
      <c r="C20" s="104" t="s">
        <v>197</v>
      </c>
      <c r="D20" s="105">
        <v>1.0200000000000001E-2</v>
      </c>
      <c r="E20" s="106"/>
      <c r="F20" s="107">
        <v>9.4000000000000004E-3</v>
      </c>
      <c r="G20" s="107">
        <v>1.0200000000000001E-2</v>
      </c>
      <c r="H20" s="107">
        <v>1.3299999999999999E-2</v>
      </c>
    </row>
    <row r="21" spans="1:8" ht="30" customHeight="1" x14ac:dyDescent="0.25">
      <c r="A21" s="156" t="s">
        <v>198</v>
      </c>
      <c r="B21" s="156"/>
      <c r="C21" s="104" t="s">
        <v>199</v>
      </c>
      <c r="D21" s="105">
        <v>8.4000000000000005E-2</v>
      </c>
      <c r="E21" s="106"/>
      <c r="F21" s="107">
        <v>7.1400000000000005E-2</v>
      </c>
      <c r="G21" s="107">
        <v>8.4000000000000005E-2</v>
      </c>
      <c r="H21" s="107">
        <v>0.1043</v>
      </c>
    </row>
    <row r="22" spans="1:8" ht="30" customHeight="1" x14ac:dyDescent="0.25">
      <c r="A22" s="156" t="s">
        <v>200</v>
      </c>
      <c r="B22" s="156"/>
      <c r="C22" s="108" t="s">
        <v>201</v>
      </c>
      <c r="D22" s="109">
        <v>3.6499999999999998E-2</v>
      </c>
      <c r="E22" s="106"/>
      <c r="F22" s="107">
        <v>3.6499999999999998E-2</v>
      </c>
      <c r="G22" s="107">
        <v>3.6499999999999998E-2</v>
      </c>
      <c r="H22" s="107">
        <v>3.6499999999999998E-2</v>
      </c>
    </row>
    <row r="23" spans="1:8" ht="30" customHeight="1" x14ac:dyDescent="0.25">
      <c r="A23" s="156" t="s">
        <v>202</v>
      </c>
      <c r="B23" s="156"/>
      <c r="C23" s="108" t="s">
        <v>203</v>
      </c>
      <c r="D23" s="109">
        <v>6.0000000000000001E-3</v>
      </c>
      <c r="E23" s="106"/>
      <c r="F23" s="107">
        <v>0</v>
      </c>
      <c r="G23" s="107">
        <v>2.5000000000000001E-2</v>
      </c>
      <c r="H23" s="107">
        <v>0.05</v>
      </c>
    </row>
    <row r="24" spans="1:8" ht="30" customHeight="1" x14ac:dyDescent="0.25">
      <c r="A24" s="181" t="s">
        <v>204</v>
      </c>
      <c r="B24" s="181"/>
      <c r="C24" s="110" t="s">
        <v>205</v>
      </c>
      <c r="D24" s="111">
        <v>0.24729999999999999</v>
      </c>
      <c r="E24" s="112"/>
      <c r="F24" s="113">
        <v>0.22800000000000001</v>
      </c>
      <c r="G24" s="113">
        <v>0.27479999999999999</v>
      </c>
      <c r="H24" s="113">
        <v>0.3095</v>
      </c>
    </row>
    <row r="25" spans="1:8" ht="24.75" customHeight="1" x14ac:dyDescent="0.25">
      <c r="A25" s="114"/>
      <c r="B25" s="99"/>
      <c r="C25" s="99"/>
      <c r="D25" s="90"/>
      <c r="E25" s="90"/>
      <c r="F25" s="115"/>
      <c r="G25" s="115"/>
      <c r="H25" s="115"/>
    </row>
    <row r="26" spans="1:8" ht="15.75" customHeight="1" x14ac:dyDescent="0.25">
      <c r="A26" s="179" t="s">
        <v>206</v>
      </c>
      <c r="B26" s="179"/>
      <c r="C26" s="179"/>
      <c r="D26" s="179"/>
      <c r="E26" s="179"/>
      <c r="F26" s="179"/>
      <c r="G26" s="179"/>
      <c r="H26" s="179"/>
    </row>
    <row r="27" spans="1:8" ht="24.75" customHeight="1" x14ac:dyDescent="0.25">
      <c r="A27" s="99"/>
      <c r="B27" s="99"/>
      <c r="C27" s="99"/>
      <c r="D27" s="90"/>
      <c r="E27" s="90"/>
      <c r="F27" s="100"/>
      <c r="G27" s="99"/>
      <c r="H27" s="99"/>
    </row>
    <row r="28" spans="1:8" ht="24.75" customHeight="1" x14ac:dyDescent="0.25">
      <c r="A28" s="99"/>
      <c r="B28" s="99"/>
      <c r="C28" s="99"/>
      <c r="D28" s="90"/>
      <c r="E28" s="90"/>
      <c r="F28" s="100"/>
      <c r="G28" s="99"/>
      <c r="H28" s="99"/>
    </row>
    <row r="29" spans="1:8" ht="51.75" customHeight="1" x14ac:dyDescent="0.25">
      <c r="A29" s="99"/>
      <c r="B29" s="99"/>
      <c r="C29" s="99"/>
      <c r="D29" s="90"/>
      <c r="E29" s="90"/>
      <c r="F29" s="100"/>
      <c r="G29" s="99"/>
      <c r="H29" s="99"/>
    </row>
    <row r="30" spans="1:8" ht="64.5" customHeight="1" x14ac:dyDescent="0.25">
      <c r="A30" s="180" t="s">
        <v>207</v>
      </c>
      <c r="B30" s="180"/>
      <c r="C30" s="180"/>
      <c r="D30" s="180"/>
      <c r="E30" s="180"/>
      <c r="F30" s="180"/>
      <c r="G30" s="180"/>
      <c r="H30" s="180"/>
    </row>
    <row r="31" spans="1:8" s="119" customFormat="1" ht="61.5" customHeight="1" x14ac:dyDescent="0.25">
      <c r="A31" s="116"/>
      <c r="B31" s="116"/>
      <c r="C31" s="116"/>
      <c r="D31" s="116"/>
      <c r="E31" s="116"/>
      <c r="F31" s="117"/>
      <c r="G31" s="116"/>
      <c r="H31" s="118"/>
    </row>
    <row r="32" spans="1:8" s="119" customFormat="1" x14ac:dyDescent="0.25">
      <c r="A32" t="s">
        <v>127</v>
      </c>
      <c r="B32" s="116"/>
      <c r="C32" s="116"/>
      <c r="D32" s="116"/>
      <c r="E32" s="116"/>
      <c r="F32" s="117"/>
      <c r="G32" s="116"/>
      <c r="H32" s="118"/>
    </row>
    <row r="33" spans="1:8" s="119" customFormat="1" ht="100.5" customHeight="1" x14ac:dyDescent="0.25">
      <c r="A33" s="120"/>
      <c r="B33" s="116"/>
      <c r="C33" s="116"/>
      <c r="D33" s="116"/>
      <c r="E33" s="116"/>
      <c r="F33" s="117"/>
      <c r="G33" s="116"/>
      <c r="H33" s="118"/>
    </row>
    <row r="34" spans="1:8" s="119" customFormat="1" ht="15.75" x14ac:dyDescent="0.25">
      <c r="A34" s="116"/>
      <c r="B34" s="121"/>
      <c r="C34" s="116"/>
      <c r="D34" s="121" t="s">
        <v>48</v>
      </c>
      <c r="E34" s="116"/>
      <c r="F34" s="121"/>
      <c r="G34" s="122"/>
      <c r="H34" s="122"/>
    </row>
    <row r="35" spans="1:8" x14ac:dyDescent="0.25">
      <c r="B35" s="116"/>
      <c r="D35" s="116" t="s">
        <v>52</v>
      </c>
      <c r="F35" s="116"/>
      <c r="G35" s="123"/>
      <c r="H35" s="123"/>
    </row>
    <row r="36" spans="1:8" x14ac:dyDescent="0.25">
      <c r="D36" s="116" t="s">
        <v>53</v>
      </c>
      <c r="F36" s="116"/>
      <c r="G36" s="123"/>
      <c r="H36" s="123"/>
    </row>
    <row r="37" spans="1:8" x14ac:dyDescent="0.25">
      <c r="D37" s="100" t="s">
        <v>54</v>
      </c>
      <c r="F37" s="116"/>
      <c r="G37" s="124"/>
      <c r="H37" s="124"/>
    </row>
    <row r="39" spans="1:8" s="127" customFormat="1" x14ac:dyDescent="0.25">
      <c r="A39" s="89"/>
      <c r="B39" s="89"/>
      <c r="C39" s="89"/>
      <c r="D39" s="100"/>
      <c r="E39" s="100"/>
      <c r="F39" s="125"/>
      <c r="G39" s="126"/>
      <c r="H39" s="126"/>
    </row>
    <row r="40" spans="1:8" s="127" customFormat="1" x14ac:dyDescent="0.25">
      <c r="A40" s="89"/>
      <c r="B40" s="89"/>
      <c r="C40" s="89"/>
      <c r="D40" s="100"/>
      <c r="E40" s="100"/>
      <c r="F40" s="125"/>
      <c r="G40" s="126"/>
      <c r="H40" s="126"/>
    </row>
    <row r="41" spans="1:8" s="127" customFormat="1" x14ac:dyDescent="0.25">
      <c r="A41" s="89"/>
      <c r="B41" s="89"/>
      <c r="C41" s="89"/>
      <c r="D41" s="100"/>
      <c r="E41" s="100"/>
      <c r="F41" s="125"/>
      <c r="G41" s="126"/>
      <c r="H41" s="126"/>
    </row>
    <row r="50" spans="1:8" s="127" customFormat="1" x14ac:dyDescent="0.25">
      <c r="A50" s="89"/>
      <c r="B50" s="89"/>
      <c r="C50" s="89"/>
      <c r="D50" s="100"/>
      <c r="E50" s="100"/>
      <c r="F50" s="125"/>
      <c r="G50" s="126"/>
      <c r="H50" s="126"/>
    </row>
    <row r="51" spans="1:8" s="127" customFormat="1" x14ac:dyDescent="0.25">
      <c r="A51" s="89"/>
      <c r="B51" s="89"/>
      <c r="C51" s="89"/>
      <c r="D51" s="100"/>
      <c r="E51" s="100"/>
      <c r="F51" s="125"/>
      <c r="G51" s="126"/>
      <c r="H51" s="126"/>
    </row>
    <row r="52" spans="1:8" s="127" customFormat="1" x14ac:dyDescent="0.25">
      <c r="A52" s="89"/>
      <c r="B52" s="89"/>
      <c r="C52" s="89"/>
      <c r="D52" s="100"/>
      <c r="E52" s="100"/>
      <c r="F52" s="125"/>
      <c r="G52" s="126"/>
      <c r="H52" s="126"/>
    </row>
  </sheetData>
  <sheetProtection formatColumns="0" formatRows="0" sort="0" autoFilter="0"/>
  <mergeCells count="20">
    <mergeCell ref="A26:H26"/>
    <mergeCell ref="A30:H30"/>
    <mergeCell ref="A19:B19"/>
    <mergeCell ref="A20:B20"/>
    <mergeCell ref="A21:B21"/>
    <mergeCell ref="A22:B22"/>
    <mergeCell ref="A23:B23"/>
    <mergeCell ref="A24:B24"/>
    <mergeCell ref="A18:B18"/>
    <mergeCell ref="A1:H1"/>
    <mergeCell ref="A2:H2"/>
    <mergeCell ref="A3:H3"/>
    <mergeCell ref="A4:H4"/>
    <mergeCell ref="A6:H6"/>
    <mergeCell ref="D8:H8"/>
    <mergeCell ref="D10:H10"/>
    <mergeCell ref="D12:H12"/>
    <mergeCell ref="D14:H14"/>
    <mergeCell ref="A16:B16"/>
    <mergeCell ref="A17:B17"/>
  </mergeCells>
  <conditionalFormatting sqref="D24">
    <cfRule type="cellIs" dxfId="0" priority="1" stopIfTrue="1" operator="greaterThan">
      <formula>$H$24</formula>
    </cfRule>
  </conditionalFormatting>
  <dataValidations count="2">
    <dataValidation type="decimal" allowBlank="1" showInputMessage="1" showErrorMessage="1" errorTitle="Erro de valores" error="Digite um valor entre 0% e 100%" sqref="WUQ983057:WUR983062 IE17:IF22 SA17:SB22 ABW17:ABX22 ALS17:ALT22 AVO17:AVP22 BFK17:BFL22 BPG17:BPH22 BZC17:BZD22 CIY17:CIZ22 CSU17:CSV22 DCQ17:DCR22 DMM17:DMN22 DWI17:DWJ22 EGE17:EGF22 EQA17:EQB22 EZW17:EZX22 FJS17:FJT22 FTO17:FTP22 GDK17:GDL22 GNG17:GNH22 GXC17:GXD22 HGY17:HGZ22 HQU17:HQV22 IAQ17:IAR22 IKM17:IKN22 IUI17:IUJ22 JEE17:JEF22 JOA17:JOB22 JXW17:JXX22 KHS17:KHT22 KRO17:KRP22 LBK17:LBL22 LLG17:LLH22 LVC17:LVD22 MEY17:MEZ22 MOU17:MOV22 MYQ17:MYR22 NIM17:NIN22 NSI17:NSJ22 OCE17:OCF22 OMA17:OMB22 OVW17:OVX22 PFS17:PFT22 PPO17:PPP22 PZK17:PZL22 QJG17:QJH22 QTC17:QTD22 RCY17:RCZ22 RMU17:RMV22 RWQ17:RWR22 SGM17:SGN22 SQI17:SQJ22 TAE17:TAF22 TKA17:TKB22 TTW17:TTX22 UDS17:UDT22 UNO17:UNP22 UXK17:UXL22 VHG17:VHH22 VRC17:VRD22 WAY17:WAZ22 WKU17:WKV22 WUQ17:WUR22 D65553:E65558 IE65553:IF65558 SA65553:SB65558 ABW65553:ABX65558 ALS65553:ALT65558 AVO65553:AVP65558 BFK65553:BFL65558 BPG65553:BPH65558 BZC65553:BZD65558 CIY65553:CIZ65558 CSU65553:CSV65558 DCQ65553:DCR65558 DMM65553:DMN65558 DWI65553:DWJ65558 EGE65553:EGF65558 EQA65553:EQB65558 EZW65553:EZX65558 FJS65553:FJT65558 FTO65553:FTP65558 GDK65553:GDL65558 GNG65553:GNH65558 GXC65553:GXD65558 HGY65553:HGZ65558 HQU65553:HQV65558 IAQ65553:IAR65558 IKM65553:IKN65558 IUI65553:IUJ65558 JEE65553:JEF65558 JOA65553:JOB65558 JXW65553:JXX65558 KHS65553:KHT65558 KRO65553:KRP65558 LBK65553:LBL65558 LLG65553:LLH65558 LVC65553:LVD65558 MEY65553:MEZ65558 MOU65553:MOV65558 MYQ65553:MYR65558 NIM65553:NIN65558 NSI65553:NSJ65558 OCE65553:OCF65558 OMA65553:OMB65558 OVW65553:OVX65558 PFS65553:PFT65558 PPO65553:PPP65558 PZK65553:PZL65558 QJG65553:QJH65558 QTC65553:QTD65558 RCY65553:RCZ65558 RMU65553:RMV65558 RWQ65553:RWR65558 SGM65553:SGN65558 SQI65553:SQJ65558 TAE65553:TAF65558 TKA65553:TKB65558 TTW65553:TTX65558 UDS65553:UDT65558 UNO65553:UNP65558 UXK65553:UXL65558 VHG65553:VHH65558 VRC65553:VRD65558 WAY65553:WAZ65558 WKU65553:WKV65558 WUQ65553:WUR65558 D131089:E131094 IE131089:IF131094 SA131089:SB131094 ABW131089:ABX131094 ALS131089:ALT131094 AVO131089:AVP131094 BFK131089:BFL131094 BPG131089:BPH131094 BZC131089:BZD131094 CIY131089:CIZ131094 CSU131089:CSV131094 DCQ131089:DCR131094 DMM131089:DMN131094 DWI131089:DWJ131094 EGE131089:EGF131094 EQA131089:EQB131094 EZW131089:EZX131094 FJS131089:FJT131094 FTO131089:FTP131094 GDK131089:GDL131094 GNG131089:GNH131094 GXC131089:GXD131094 HGY131089:HGZ131094 HQU131089:HQV131094 IAQ131089:IAR131094 IKM131089:IKN131094 IUI131089:IUJ131094 JEE131089:JEF131094 JOA131089:JOB131094 JXW131089:JXX131094 KHS131089:KHT131094 KRO131089:KRP131094 LBK131089:LBL131094 LLG131089:LLH131094 LVC131089:LVD131094 MEY131089:MEZ131094 MOU131089:MOV131094 MYQ131089:MYR131094 NIM131089:NIN131094 NSI131089:NSJ131094 OCE131089:OCF131094 OMA131089:OMB131094 OVW131089:OVX131094 PFS131089:PFT131094 PPO131089:PPP131094 PZK131089:PZL131094 QJG131089:QJH131094 QTC131089:QTD131094 RCY131089:RCZ131094 RMU131089:RMV131094 RWQ131089:RWR131094 SGM131089:SGN131094 SQI131089:SQJ131094 TAE131089:TAF131094 TKA131089:TKB131094 TTW131089:TTX131094 UDS131089:UDT131094 UNO131089:UNP131094 UXK131089:UXL131094 VHG131089:VHH131094 VRC131089:VRD131094 WAY131089:WAZ131094 WKU131089:WKV131094 WUQ131089:WUR131094 D196625:E196630 IE196625:IF196630 SA196625:SB196630 ABW196625:ABX196630 ALS196625:ALT196630 AVO196625:AVP196630 BFK196625:BFL196630 BPG196625:BPH196630 BZC196625:BZD196630 CIY196625:CIZ196630 CSU196625:CSV196630 DCQ196625:DCR196630 DMM196625:DMN196630 DWI196625:DWJ196630 EGE196625:EGF196630 EQA196625:EQB196630 EZW196625:EZX196630 FJS196625:FJT196630 FTO196625:FTP196630 GDK196625:GDL196630 GNG196625:GNH196630 GXC196625:GXD196630 HGY196625:HGZ196630 HQU196625:HQV196630 IAQ196625:IAR196630 IKM196625:IKN196630 IUI196625:IUJ196630 JEE196625:JEF196630 JOA196625:JOB196630 JXW196625:JXX196630 KHS196625:KHT196630 KRO196625:KRP196630 LBK196625:LBL196630 LLG196625:LLH196630 LVC196625:LVD196630 MEY196625:MEZ196630 MOU196625:MOV196630 MYQ196625:MYR196630 NIM196625:NIN196630 NSI196625:NSJ196630 OCE196625:OCF196630 OMA196625:OMB196630 OVW196625:OVX196630 PFS196625:PFT196630 PPO196625:PPP196630 PZK196625:PZL196630 QJG196625:QJH196630 QTC196625:QTD196630 RCY196625:RCZ196630 RMU196625:RMV196630 RWQ196625:RWR196630 SGM196625:SGN196630 SQI196625:SQJ196630 TAE196625:TAF196630 TKA196625:TKB196630 TTW196625:TTX196630 UDS196625:UDT196630 UNO196625:UNP196630 UXK196625:UXL196630 VHG196625:VHH196630 VRC196625:VRD196630 WAY196625:WAZ196630 WKU196625:WKV196630 WUQ196625:WUR196630 D262161:E262166 IE262161:IF262166 SA262161:SB262166 ABW262161:ABX262166 ALS262161:ALT262166 AVO262161:AVP262166 BFK262161:BFL262166 BPG262161:BPH262166 BZC262161:BZD262166 CIY262161:CIZ262166 CSU262161:CSV262166 DCQ262161:DCR262166 DMM262161:DMN262166 DWI262161:DWJ262166 EGE262161:EGF262166 EQA262161:EQB262166 EZW262161:EZX262166 FJS262161:FJT262166 FTO262161:FTP262166 GDK262161:GDL262166 GNG262161:GNH262166 GXC262161:GXD262166 HGY262161:HGZ262166 HQU262161:HQV262166 IAQ262161:IAR262166 IKM262161:IKN262166 IUI262161:IUJ262166 JEE262161:JEF262166 JOA262161:JOB262166 JXW262161:JXX262166 KHS262161:KHT262166 KRO262161:KRP262166 LBK262161:LBL262166 LLG262161:LLH262166 LVC262161:LVD262166 MEY262161:MEZ262166 MOU262161:MOV262166 MYQ262161:MYR262166 NIM262161:NIN262166 NSI262161:NSJ262166 OCE262161:OCF262166 OMA262161:OMB262166 OVW262161:OVX262166 PFS262161:PFT262166 PPO262161:PPP262166 PZK262161:PZL262166 QJG262161:QJH262166 QTC262161:QTD262166 RCY262161:RCZ262166 RMU262161:RMV262166 RWQ262161:RWR262166 SGM262161:SGN262166 SQI262161:SQJ262166 TAE262161:TAF262166 TKA262161:TKB262166 TTW262161:TTX262166 UDS262161:UDT262166 UNO262161:UNP262166 UXK262161:UXL262166 VHG262161:VHH262166 VRC262161:VRD262166 WAY262161:WAZ262166 WKU262161:WKV262166 WUQ262161:WUR262166 D327697:E327702 IE327697:IF327702 SA327697:SB327702 ABW327697:ABX327702 ALS327697:ALT327702 AVO327697:AVP327702 BFK327697:BFL327702 BPG327697:BPH327702 BZC327697:BZD327702 CIY327697:CIZ327702 CSU327697:CSV327702 DCQ327697:DCR327702 DMM327697:DMN327702 DWI327697:DWJ327702 EGE327697:EGF327702 EQA327697:EQB327702 EZW327697:EZX327702 FJS327697:FJT327702 FTO327697:FTP327702 GDK327697:GDL327702 GNG327697:GNH327702 GXC327697:GXD327702 HGY327697:HGZ327702 HQU327697:HQV327702 IAQ327697:IAR327702 IKM327697:IKN327702 IUI327697:IUJ327702 JEE327697:JEF327702 JOA327697:JOB327702 JXW327697:JXX327702 KHS327697:KHT327702 KRO327697:KRP327702 LBK327697:LBL327702 LLG327697:LLH327702 LVC327697:LVD327702 MEY327697:MEZ327702 MOU327697:MOV327702 MYQ327697:MYR327702 NIM327697:NIN327702 NSI327697:NSJ327702 OCE327697:OCF327702 OMA327697:OMB327702 OVW327697:OVX327702 PFS327697:PFT327702 PPO327697:PPP327702 PZK327697:PZL327702 QJG327697:QJH327702 QTC327697:QTD327702 RCY327697:RCZ327702 RMU327697:RMV327702 RWQ327697:RWR327702 SGM327697:SGN327702 SQI327697:SQJ327702 TAE327697:TAF327702 TKA327697:TKB327702 TTW327697:TTX327702 UDS327697:UDT327702 UNO327697:UNP327702 UXK327697:UXL327702 VHG327697:VHH327702 VRC327697:VRD327702 WAY327697:WAZ327702 WKU327697:WKV327702 WUQ327697:WUR327702 D393233:E393238 IE393233:IF393238 SA393233:SB393238 ABW393233:ABX393238 ALS393233:ALT393238 AVO393233:AVP393238 BFK393233:BFL393238 BPG393233:BPH393238 BZC393233:BZD393238 CIY393233:CIZ393238 CSU393233:CSV393238 DCQ393233:DCR393238 DMM393233:DMN393238 DWI393233:DWJ393238 EGE393233:EGF393238 EQA393233:EQB393238 EZW393233:EZX393238 FJS393233:FJT393238 FTO393233:FTP393238 GDK393233:GDL393238 GNG393233:GNH393238 GXC393233:GXD393238 HGY393233:HGZ393238 HQU393233:HQV393238 IAQ393233:IAR393238 IKM393233:IKN393238 IUI393233:IUJ393238 JEE393233:JEF393238 JOA393233:JOB393238 JXW393233:JXX393238 KHS393233:KHT393238 KRO393233:KRP393238 LBK393233:LBL393238 LLG393233:LLH393238 LVC393233:LVD393238 MEY393233:MEZ393238 MOU393233:MOV393238 MYQ393233:MYR393238 NIM393233:NIN393238 NSI393233:NSJ393238 OCE393233:OCF393238 OMA393233:OMB393238 OVW393233:OVX393238 PFS393233:PFT393238 PPO393233:PPP393238 PZK393233:PZL393238 QJG393233:QJH393238 QTC393233:QTD393238 RCY393233:RCZ393238 RMU393233:RMV393238 RWQ393233:RWR393238 SGM393233:SGN393238 SQI393233:SQJ393238 TAE393233:TAF393238 TKA393233:TKB393238 TTW393233:TTX393238 UDS393233:UDT393238 UNO393233:UNP393238 UXK393233:UXL393238 VHG393233:VHH393238 VRC393233:VRD393238 WAY393233:WAZ393238 WKU393233:WKV393238 WUQ393233:WUR393238 D458769:E458774 IE458769:IF458774 SA458769:SB458774 ABW458769:ABX458774 ALS458769:ALT458774 AVO458769:AVP458774 BFK458769:BFL458774 BPG458769:BPH458774 BZC458769:BZD458774 CIY458769:CIZ458774 CSU458769:CSV458774 DCQ458769:DCR458774 DMM458769:DMN458774 DWI458769:DWJ458774 EGE458769:EGF458774 EQA458769:EQB458774 EZW458769:EZX458774 FJS458769:FJT458774 FTO458769:FTP458774 GDK458769:GDL458774 GNG458769:GNH458774 GXC458769:GXD458774 HGY458769:HGZ458774 HQU458769:HQV458774 IAQ458769:IAR458774 IKM458769:IKN458774 IUI458769:IUJ458774 JEE458769:JEF458774 JOA458769:JOB458774 JXW458769:JXX458774 KHS458769:KHT458774 KRO458769:KRP458774 LBK458769:LBL458774 LLG458769:LLH458774 LVC458769:LVD458774 MEY458769:MEZ458774 MOU458769:MOV458774 MYQ458769:MYR458774 NIM458769:NIN458774 NSI458769:NSJ458774 OCE458769:OCF458774 OMA458769:OMB458774 OVW458769:OVX458774 PFS458769:PFT458774 PPO458769:PPP458774 PZK458769:PZL458774 QJG458769:QJH458774 QTC458769:QTD458774 RCY458769:RCZ458774 RMU458769:RMV458774 RWQ458769:RWR458774 SGM458769:SGN458774 SQI458769:SQJ458774 TAE458769:TAF458774 TKA458769:TKB458774 TTW458769:TTX458774 UDS458769:UDT458774 UNO458769:UNP458774 UXK458769:UXL458774 VHG458769:VHH458774 VRC458769:VRD458774 WAY458769:WAZ458774 WKU458769:WKV458774 WUQ458769:WUR458774 D524305:E524310 IE524305:IF524310 SA524305:SB524310 ABW524305:ABX524310 ALS524305:ALT524310 AVO524305:AVP524310 BFK524305:BFL524310 BPG524305:BPH524310 BZC524305:BZD524310 CIY524305:CIZ524310 CSU524305:CSV524310 DCQ524305:DCR524310 DMM524305:DMN524310 DWI524305:DWJ524310 EGE524305:EGF524310 EQA524305:EQB524310 EZW524305:EZX524310 FJS524305:FJT524310 FTO524305:FTP524310 GDK524305:GDL524310 GNG524305:GNH524310 GXC524305:GXD524310 HGY524305:HGZ524310 HQU524305:HQV524310 IAQ524305:IAR524310 IKM524305:IKN524310 IUI524305:IUJ524310 JEE524305:JEF524310 JOA524305:JOB524310 JXW524305:JXX524310 KHS524305:KHT524310 KRO524305:KRP524310 LBK524305:LBL524310 LLG524305:LLH524310 LVC524305:LVD524310 MEY524305:MEZ524310 MOU524305:MOV524310 MYQ524305:MYR524310 NIM524305:NIN524310 NSI524305:NSJ524310 OCE524305:OCF524310 OMA524305:OMB524310 OVW524305:OVX524310 PFS524305:PFT524310 PPO524305:PPP524310 PZK524305:PZL524310 QJG524305:QJH524310 QTC524305:QTD524310 RCY524305:RCZ524310 RMU524305:RMV524310 RWQ524305:RWR524310 SGM524305:SGN524310 SQI524305:SQJ524310 TAE524305:TAF524310 TKA524305:TKB524310 TTW524305:TTX524310 UDS524305:UDT524310 UNO524305:UNP524310 UXK524305:UXL524310 VHG524305:VHH524310 VRC524305:VRD524310 WAY524305:WAZ524310 WKU524305:WKV524310 WUQ524305:WUR524310 D589841:E589846 IE589841:IF589846 SA589841:SB589846 ABW589841:ABX589846 ALS589841:ALT589846 AVO589841:AVP589846 BFK589841:BFL589846 BPG589841:BPH589846 BZC589841:BZD589846 CIY589841:CIZ589846 CSU589841:CSV589846 DCQ589841:DCR589846 DMM589841:DMN589846 DWI589841:DWJ589846 EGE589841:EGF589846 EQA589841:EQB589846 EZW589841:EZX589846 FJS589841:FJT589846 FTO589841:FTP589846 GDK589841:GDL589846 GNG589841:GNH589846 GXC589841:GXD589846 HGY589841:HGZ589846 HQU589841:HQV589846 IAQ589841:IAR589846 IKM589841:IKN589846 IUI589841:IUJ589846 JEE589841:JEF589846 JOA589841:JOB589846 JXW589841:JXX589846 KHS589841:KHT589846 KRO589841:KRP589846 LBK589841:LBL589846 LLG589841:LLH589846 LVC589841:LVD589846 MEY589841:MEZ589846 MOU589841:MOV589846 MYQ589841:MYR589846 NIM589841:NIN589846 NSI589841:NSJ589846 OCE589841:OCF589846 OMA589841:OMB589846 OVW589841:OVX589846 PFS589841:PFT589846 PPO589841:PPP589846 PZK589841:PZL589846 QJG589841:QJH589846 QTC589841:QTD589846 RCY589841:RCZ589846 RMU589841:RMV589846 RWQ589841:RWR589846 SGM589841:SGN589846 SQI589841:SQJ589846 TAE589841:TAF589846 TKA589841:TKB589846 TTW589841:TTX589846 UDS589841:UDT589846 UNO589841:UNP589846 UXK589841:UXL589846 VHG589841:VHH589846 VRC589841:VRD589846 WAY589841:WAZ589846 WKU589841:WKV589846 WUQ589841:WUR589846 D655377:E655382 IE655377:IF655382 SA655377:SB655382 ABW655377:ABX655382 ALS655377:ALT655382 AVO655377:AVP655382 BFK655377:BFL655382 BPG655377:BPH655382 BZC655377:BZD655382 CIY655377:CIZ655382 CSU655377:CSV655382 DCQ655377:DCR655382 DMM655377:DMN655382 DWI655377:DWJ655382 EGE655377:EGF655382 EQA655377:EQB655382 EZW655377:EZX655382 FJS655377:FJT655382 FTO655377:FTP655382 GDK655377:GDL655382 GNG655377:GNH655382 GXC655377:GXD655382 HGY655377:HGZ655382 HQU655377:HQV655382 IAQ655377:IAR655382 IKM655377:IKN655382 IUI655377:IUJ655382 JEE655377:JEF655382 JOA655377:JOB655382 JXW655377:JXX655382 KHS655377:KHT655382 KRO655377:KRP655382 LBK655377:LBL655382 LLG655377:LLH655382 LVC655377:LVD655382 MEY655377:MEZ655382 MOU655377:MOV655382 MYQ655377:MYR655382 NIM655377:NIN655382 NSI655377:NSJ655382 OCE655377:OCF655382 OMA655377:OMB655382 OVW655377:OVX655382 PFS655377:PFT655382 PPO655377:PPP655382 PZK655377:PZL655382 QJG655377:QJH655382 QTC655377:QTD655382 RCY655377:RCZ655382 RMU655377:RMV655382 RWQ655377:RWR655382 SGM655377:SGN655382 SQI655377:SQJ655382 TAE655377:TAF655382 TKA655377:TKB655382 TTW655377:TTX655382 UDS655377:UDT655382 UNO655377:UNP655382 UXK655377:UXL655382 VHG655377:VHH655382 VRC655377:VRD655382 WAY655377:WAZ655382 WKU655377:WKV655382 WUQ655377:WUR655382 D720913:E720918 IE720913:IF720918 SA720913:SB720918 ABW720913:ABX720918 ALS720913:ALT720918 AVO720913:AVP720918 BFK720913:BFL720918 BPG720913:BPH720918 BZC720913:BZD720918 CIY720913:CIZ720918 CSU720913:CSV720918 DCQ720913:DCR720918 DMM720913:DMN720918 DWI720913:DWJ720918 EGE720913:EGF720918 EQA720913:EQB720918 EZW720913:EZX720918 FJS720913:FJT720918 FTO720913:FTP720918 GDK720913:GDL720918 GNG720913:GNH720918 GXC720913:GXD720918 HGY720913:HGZ720918 HQU720913:HQV720918 IAQ720913:IAR720918 IKM720913:IKN720918 IUI720913:IUJ720918 JEE720913:JEF720918 JOA720913:JOB720918 JXW720913:JXX720918 KHS720913:KHT720918 KRO720913:KRP720918 LBK720913:LBL720918 LLG720913:LLH720918 LVC720913:LVD720918 MEY720913:MEZ720918 MOU720913:MOV720918 MYQ720913:MYR720918 NIM720913:NIN720918 NSI720913:NSJ720918 OCE720913:OCF720918 OMA720913:OMB720918 OVW720913:OVX720918 PFS720913:PFT720918 PPO720913:PPP720918 PZK720913:PZL720918 QJG720913:QJH720918 QTC720913:QTD720918 RCY720913:RCZ720918 RMU720913:RMV720918 RWQ720913:RWR720918 SGM720913:SGN720918 SQI720913:SQJ720918 TAE720913:TAF720918 TKA720913:TKB720918 TTW720913:TTX720918 UDS720913:UDT720918 UNO720913:UNP720918 UXK720913:UXL720918 VHG720913:VHH720918 VRC720913:VRD720918 WAY720913:WAZ720918 WKU720913:WKV720918 WUQ720913:WUR720918 D786449:E786454 IE786449:IF786454 SA786449:SB786454 ABW786449:ABX786454 ALS786449:ALT786454 AVO786449:AVP786454 BFK786449:BFL786454 BPG786449:BPH786454 BZC786449:BZD786454 CIY786449:CIZ786454 CSU786449:CSV786454 DCQ786449:DCR786454 DMM786449:DMN786454 DWI786449:DWJ786454 EGE786449:EGF786454 EQA786449:EQB786454 EZW786449:EZX786454 FJS786449:FJT786454 FTO786449:FTP786454 GDK786449:GDL786454 GNG786449:GNH786454 GXC786449:GXD786454 HGY786449:HGZ786454 HQU786449:HQV786454 IAQ786449:IAR786454 IKM786449:IKN786454 IUI786449:IUJ786454 JEE786449:JEF786454 JOA786449:JOB786454 JXW786449:JXX786454 KHS786449:KHT786454 KRO786449:KRP786454 LBK786449:LBL786454 LLG786449:LLH786454 LVC786449:LVD786454 MEY786449:MEZ786454 MOU786449:MOV786454 MYQ786449:MYR786454 NIM786449:NIN786454 NSI786449:NSJ786454 OCE786449:OCF786454 OMA786449:OMB786454 OVW786449:OVX786454 PFS786449:PFT786454 PPO786449:PPP786454 PZK786449:PZL786454 QJG786449:QJH786454 QTC786449:QTD786454 RCY786449:RCZ786454 RMU786449:RMV786454 RWQ786449:RWR786454 SGM786449:SGN786454 SQI786449:SQJ786454 TAE786449:TAF786454 TKA786449:TKB786454 TTW786449:TTX786454 UDS786449:UDT786454 UNO786449:UNP786454 UXK786449:UXL786454 VHG786449:VHH786454 VRC786449:VRD786454 WAY786449:WAZ786454 WKU786449:WKV786454 WUQ786449:WUR786454 D851985:E851990 IE851985:IF851990 SA851985:SB851990 ABW851985:ABX851990 ALS851985:ALT851990 AVO851985:AVP851990 BFK851985:BFL851990 BPG851985:BPH851990 BZC851985:BZD851990 CIY851985:CIZ851990 CSU851985:CSV851990 DCQ851985:DCR851990 DMM851985:DMN851990 DWI851985:DWJ851990 EGE851985:EGF851990 EQA851985:EQB851990 EZW851985:EZX851990 FJS851985:FJT851990 FTO851985:FTP851990 GDK851985:GDL851990 GNG851985:GNH851990 GXC851985:GXD851990 HGY851985:HGZ851990 HQU851985:HQV851990 IAQ851985:IAR851990 IKM851985:IKN851990 IUI851985:IUJ851990 JEE851985:JEF851990 JOA851985:JOB851990 JXW851985:JXX851990 KHS851985:KHT851990 KRO851985:KRP851990 LBK851985:LBL851990 LLG851985:LLH851990 LVC851985:LVD851990 MEY851985:MEZ851990 MOU851985:MOV851990 MYQ851985:MYR851990 NIM851985:NIN851990 NSI851985:NSJ851990 OCE851985:OCF851990 OMA851985:OMB851990 OVW851985:OVX851990 PFS851985:PFT851990 PPO851985:PPP851990 PZK851985:PZL851990 QJG851985:QJH851990 QTC851985:QTD851990 RCY851985:RCZ851990 RMU851985:RMV851990 RWQ851985:RWR851990 SGM851985:SGN851990 SQI851985:SQJ851990 TAE851985:TAF851990 TKA851985:TKB851990 TTW851985:TTX851990 UDS851985:UDT851990 UNO851985:UNP851990 UXK851985:UXL851990 VHG851985:VHH851990 VRC851985:VRD851990 WAY851985:WAZ851990 WKU851985:WKV851990 WUQ851985:WUR851990 D917521:E917526 IE917521:IF917526 SA917521:SB917526 ABW917521:ABX917526 ALS917521:ALT917526 AVO917521:AVP917526 BFK917521:BFL917526 BPG917521:BPH917526 BZC917521:BZD917526 CIY917521:CIZ917526 CSU917521:CSV917526 DCQ917521:DCR917526 DMM917521:DMN917526 DWI917521:DWJ917526 EGE917521:EGF917526 EQA917521:EQB917526 EZW917521:EZX917526 FJS917521:FJT917526 FTO917521:FTP917526 GDK917521:GDL917526 GNG917521:GNH917526 GXC917521:GXD917526 HGY917521:HGZ917526 HQU917521:HQV917526 IAQ917521:IAR917526 IKM917521:IKN917526 IUI917521:IUJ917526 JEE917521:JEF917526 JOA917521:JOB917526 JXW917521:JXX917526 KHS917521:KHT917526 KRO917521:KRP917526 LBK917521:LBL917526 LLG917521:LLH917526 LVC917521:LVD917526 MEY917521:MEZ917526 MOU917521:MOV917526 MYQ917521:MYR917526 NIM917521:NIN917526 NSI917521:NSJ917526 OCE917521:OCF917526 OMA917521:OMB917526 OVW917521:OVX917526 PFS917521:PFT917526 PPO917521:PPP917526 PZK917521:PZL917526 QJG917521:QJH917526 QTC917521:QTD917526 RCY917521:RCZ917526 RMU917521:RMV917526 RWQ917521:RWR917526 SGM917521:SGN917526 SQI917521:SQJ917526 TAE917521:TAF917526 TKA917521:TKB917526 TTW917521:TTX917526 UDS917521:UDT917526 UNO917521:UNP917526 UXK917521:UXL917526 VHG917521:VHH917526 VRC917521:VRD917526 WAY917521:WAZ917526 WKU917521:WKV917526 WUQ917521:WUR917526 D983057:E983062 IE983057:IF983062 SA983057:SB983062 ABW983057:ABX983062 ALS983057:ALT983062 AVO983057:AVP983062 BFK983057:BFL983062 BPG983057:BPH983062 BZC983057:BZD983062 CIY983057:CIZ983062 CSU983057:CSV983062 DCQ983057:DCR983062 DMM983057:DMN983062 DWI983057:DWJ983062 EGE983057:EGF983062 EQA983057:EQB983062 EZW983057:EZX983062 FJS983057:FJT983062 FTO983057:FTP983062 GDK983057:GDL983062 GNG983057:GNH983062 GXC983057:GXD983062 HGY983057:HGZ983062 HQU983057:HQV983062 IAQ983057:IAR983062 IKM983057:IKN983062 IUI983057:IUJ983062 JEE983057:JEF983062 JOA983057:JOB983062 JXW983057:JXX983062 KHS983057:KHT983062 KRO983057:KRP983062 LBK983057:LBL983062 LLG983057:LLH983062 LVC983057:LVD983062 MEY983057:MEZ983062 MOU983057:MOV983062 MYQ983057:MYR983062 NIM983057:NIN983062 NSI983057:NSJ983062 OCE983057:OCF983062 OMA983057:OMB983062 OVW983057:OVX983062 PFS983057:PFT983062 PPO983057:PPP983062 PZK983057:PZL983062 QJG983057:QJH983062 QTC983057:QTD983062 RCY983057:RCZ983062 RMU983057:RMV983062 RWQ983057:RWR983062 SGM983057:SGN983062 SQI983057:SQJ983062 TAE983057:TAF983062 TKA983057:TKB983062 TTW983057:TTX983062 UDS983057:UDT983062 UNO983057:UNP983062 UXK983057:UXL983062 VHG983057:VHH983062 VRC983057:VRD983062 WAY983057:WAZ983062 WKU983057:WKV983062 D17:E22">
      <formula1>0</formula1>
      <formula2>1</formula2>
    </dataValidation>
    <dataValidation type="list" allowBlank="1" showInputMessage="1" showErrorMessage="1" sqref="WUQ983048:WUU983048 WKU983048:WKY983048 WAY983048:WBC983048 VRC983048:VRG983048 VHG983048:VHK983048 UXK983048:UXO983048 UNO983048:UNS983048 UDS983048:UDW983048 TTW983048:TUA983048 TKA983048:TKE983048 TAE983048:TAI983048 SQI983048:SQM983048 SGM983048:SGQ983048 RWQ983048:RWU983048 RMU983048:RMY983048 RCY983048:RDC983048 QTC983048:QTG983048 QJG983048:QJK983048 PZK983048:PZO983048 PPO983048:PPS983048 PFS983048:PFW983048 OVW983048:OWA983048 OMA983048:OME983048 OCE983048:OCI983048 NSI983048:NSM983048 NIM983048:NIQ983048 MYQ983048:MYU983048 MOU983048:MOY983048 MEY983048:MFC983048 LVC983048:LVG983048 LLG983048:LLK983048 LBK983048:LBO983048 KRO983048:KRS983048 KHS983048:KHW983048 JXW983048:JYA983048 JOA983048:JOE983048 JEE983048:JEI983048 IUI983048:IUM983048 IKM983048:IKQ983048 IAQ983048:IAU983048 HQU983048:HQY983048 HGY983048:HHC983048 GXC983048:GXG983048 GNG983048:GNK983048 GDK983048:GDO983048 FTO983048:FTS983048 FJS983048:FJW983048 EZW983048:FAA983048 EQA983048:EQE983048 EGE983048:EGI983048 DWI983048:DWM983048 DMM983048:DMQ983048 DCQ983048:DCU983048 CSU983048:CSY983048 CIY983048:CJC983048 BZC983048:BZG983048 BPG983048:BPK983048 BFK983048:BFO983048 AVO983048:AVS983048 ALS983048:ALW983048 ABW983048:ACA983048 SA983048:SE983048 IE983048:II983048 D983048:H983048 WUQ917512:WUU917512 WKU917512:WKY917512 WAY917512:WBC917512 VRC917512:VRG917512 VHG917512:VHK917512 UXK917512:UXO917512 UNO917512:UNS917512 UDS917512:UDW917512 TTW917512:TUA917512 TKA917512:TKE917512 TAE917512:TAI917512 SQI917512:SQM917512 SGM917512:SGQ917512 RWQ917512:RWU917512 RMU917512:RMY917512 RCY917512:RDC917512 QTC917512:QTG917512 QJG917512:QJK917512 PZK917512:PZO917512 PPO917512:PPS917512 PFS917512:PFW917512 OVW917512:OWA917512 OMA917512:OME917512 OCE917512:OCI917512 NSI917512:NSM917512 NIM917512:NIQ917512 MYQ917512:MYU917512 MOU917512:MOY917512 MEY917512:MFC917512 LVC917512:LVG917512 LLG917512:LLK917512 LBK917512:LBO917512 KRO917512:KRS917512 KHS917512:KHW917512 JXW917512:JYA917512 JOA917512:JOE917512 JEE917512:JEI917512 IUI917512:IUM917512 IKM917512:IKQ917512 IAQ917512:IAU917512 HQU917512:HQY917512 HGY917512:HHC917512 GXC917512:GXG917512 GNG917512:GNK917512 GDK917512:GDO917512 FTO917512:FTS917512 FJS917512:FJW917512 EZW917512:FAA917512 EQA917512:EQE917512 EGE917512:EGI917512 DWI917512:DWM917512 DMM917512:DMQ917512 DCQ917512:DCU917512 CSU917512:CSY917512 CIY917512:CJC917512 BZC917512:BZG917512 BPG917512:BPK917512 BFK917512:BFO917512 AVO917512:AVS917512 ALS917512:ALW917512 ABW917512:ACA917512 SA917512:SE917512 IE917512:II917512 D917512:H917512 WUQ851976:WUU851976 WKU851976:WKY851976 WAY851976:WBC851976 VRC851976:VRG851976 VHG851976:VHK851976 UXK851976:UXO851976 UNO851976:UNS851976 UDS851976:UDW851976 TTW851976:TUA851976 TKA851976:TKE851976 TAE851976:TAI851976 SQI851976:SQM851976 SGM851976:SGQ851976 RWQ851976:RWU851976 RMU851976:RMY851976 RCY851976:RDC851976 QTC851976:QTG851976 QJG851976:QJK851976 PZK851976:PZO851976 PPO851976:PPS851976 PFS851976:PFW851976 OVW851976:OWA851976 OMA851976:OME851976 OCE851976:OCI851976 NSI851976:NSM851976 NIM851976:NIQ851976 MYQ851976:MYU851976 MOU851976:MOY851976 MEY851976:MFC851976 LVC851976:LVG851976 LLG851976:LLK851976 LBK851976:LBO851976 KRO851976:KRS851976 KHS851976:KHW851976 JXW851976:JYA851976 JOA851976:JOE851976 JEE851976:JEI851976 IUI851976:IUM851976 IKM851976:IKQ851976 IAQ851976:IAU851976 HQU851976:HQY851976 HGY851976:HHC851976 GXC851976:GXG851976 GNG851976:GNK851976 GDK851976:GDO851976 FTO851976:FTS851976 FJS851976:FJW851976 EZW851976:FAA851976 EQA851976:EQE851976 EGE851976:EGI851976 DWI851976:DWM851976 DMM851976:DMQ851976 DCQ851976:DCU851976 CSU851976:CSY851976 CIY851976:CJC851976 BZC851976:BZG851976 BPG851976:BPK851976 BFK851976:BFO851976 AVO851976:AVS851976 ALS851976:ALW851976 ABW851976:ACA851976 SA851976:SE851976 IE851976:II851976 D851976:H851976 WUQ786440:WUU786440 WKU786440:WKY786440 WAY786440:WBC786440 VRC786440:VRG786440 VHG786440:VHK786440 UXK786440:UXO786440 UNO786440:UNS786440 UDS786440:UDW786440 TTW786440:TUA786440 TKA786440:TKE786440 TAE786440:TAI786440 SQI786440:SQM786440 SGM786440:SGQ786440 RWQ786440:RWU786440 RMU786440:RMY786440 RCY786440:RDC786440 QTC786440:QTG786440 QJG786440:QJK786440 PZK786440:PZO786440 PPO786440:PPS786440 PFS786440:PFW786440 OVW786440:OWA786440 OMA786440:OME786440 OCE786440:OCI786440 NSI786440:NSM786440 NIM786440:NIQ786440 MYQ786440:MYU786440 MOU786440:MOY786440 MEY786440:MFC786440 LVC786440:LVG786440 LLG786440:LLK786440 LBK786440:LBO786440 KRO786440:KRS786440 KHS786440:KHW786440 JXW786440:JYA786440 JOA786440:JOE786440 JEE786440:JEI786440 IUI786440:IUM786440 IKM786440:IKQ786440 IAQ786440:IAU786440 HQU786440:HQY786440 HGY786440:HHC786440 GXC786440:GXG786440 GNG786440:GNK786440 GDK786440:GDO786440 FTO786440:FTS786440 FJS786440:FJW786440 EZW786440:FAA786440 EQA786440:EQE786440 EGE786440:EGI786440 DWI786440:DWM786440 DMM786440:DMQ786440 DCQ786440:DCU786440 CSU786440:CSY786440 CIY786440:CJC786440 BZC786440:BZG786440 BPG786440:BPK786440 BFK786440:BFO786440 AVO786440:AVS786440 ALS786440:ALW786440 ABW786440:ACA786440 SA786440:SE786440 IE786440:II786440 D786440:H786440 WUQ720904:WUU720904 WKU720904:WKY720904 WAY720904:WBC720904 VRC720904:VRG720904 VHG720904:VHK720904 UXK720904:UXO720904 UNO720904:UNS720904 UDS720904:UDW720904 TTW720904:TUA720904 TKA720904:TKE720904 TAE720904:TAI720904 SQI720904:SQM720904 SGM720904:SGQ720904 RWQ720904:RWU720904 RMU720904:RMY720904 RCY720904:RDC720904 QTC720904:QTG720904 QJG720904:QJK720904 PZK720904:PZO720904 PPO720904:PPS720904 PFS720904:PFW720904 OVW720904:OWA720904 OMA720904:OME720904 OCE720904:OCI720904 NSI720904:NSM720904 NIM720904:NIQ720904 MYQ720904:MYU720904 MOU720904:MOY720904 MEY720904:MFC720904 LVC720904:LVG720904 LLG720904:LLK720904 LBK720904:LBO720904 KRO720904:KRS720904 KHS720904:KHW720904 JXW720904:JYA720904 JOA720904:JOE720904 JEE720904:JEI720904 IUI720904:IUM720904 IKM720904:IKQ720904 IAQ720904:IAU720904 HQU720904:HQY720904 HGY720904:HHC720904 GXC720904:GXG720904 GNG720904:GNK720904 GDK720904:GDO720904 FTO720904:FTS720904 FJS720904:FJW720904 EZW720904:FAA720904 EQA720904:EQE720904 EGE720904:EGI720904 DWI720904:DWM720904 DMM720904:DMQ720904 DCQ720904:DCU720904 CSU720904:CSY720904 CIY720904:CJC720904 BZC720904:BZG720904 BPG720904:BPK720904 BFK720904:BFO720904 AVO720904:AVS720904 ALS720904:ALW720904 ABW720904:ACA720904 SA720904:SE720904 IE720904:II720904 D720904:H720904 WUQ655368:WUU655368 WKU655368:WKY655368 WAY655368:WBC655368 VRC655368:VRG655368 VHG655368:VHK655368 UXK655368:UXO655368 UNO655368:UNS655368 UDS655368:UDW655368 TTW655368:TUA655368 TKA655368:TKE655368 TAE655368:TAI655368 SQI655368:SQM655368 SGM655368:SGQ655368 RWQ655368:RWU655368 RMU655368:RMY655368 RCY655368:RDC655368 QTC655368:QTG655368 QJG655368:QJK655368 PZK655368:PZO655368 PPO655368:PPS655368 PFS655368:PFW655368 OVW655368:OWA655368 OMA655368:OME655368 OCE655368:OCI655368 NSI655368:NSM655368 NIM655368:NIQ655368 MYQ655368:MYU655368 MOU655368:MOY655368 MEY655368:MFC655368 LVC655368:LVG655368 LLG655368:LLK655368 LBK655368:LBO655368 KRO655368:KRS655368 KHS655368:KHW655368 JXW655368:JYA655368 JOA655368:JOE655368 JEE655368:JEI655368 IUI655368:IUM655368 IKM655368:IKQ655368 IAQ655368:IAU655368 HQU655368:HQY655368 HGY655368:HHC655368 GXC655368:GXG655368 GNG655368:GNK655368 GDK655368:GDO655368 FTO655368:FTS655368 FJS655368:FJW655368 EZW655368:FAA655368 EQA655368:EQE655368 EGE655368:EGI655368 DWI655368:DWM655368 DMM655368:DMQ655368 DCQ655368:DCU655368 CSU655368:CSY655368 CIY655368:CJC655368 BZC655368:BZG655368 BPG655368:BPK655368 BFK655368:BFO655368 AVO655368:AVS655368 ALS655368:ALW655368 ABW655368:ACA655368 SA655368:SE655368 IE655368:II655368 D655368:H655368 WUQ589832:WUU589832 WKU589832:WKY589832 WAY589832:WBC589832 VRC589832:VRG589832 VHG589832:VHK589832 UXK589832:UXO589832 UNO589832:UNS589832 UDS589832:UDW589832 TTW589832:TUA589832 TKA589832:TKE589832 TAE589832:TAI589832 SQI589832:SQM589832 SGM589832:SGQ589832 RWQ589832:RWU589832 RMU589832:RMY589832 RCY589832:RDC589832 QTC589832:QTG589832 QJG589832:QJK589832 PZK589832:PZO589832 PPO589832:PPS589832 PFS589832:PFW589832 OVW589832:OWA589832 OMA589832:OME589832 OCE589832:OCI589832 NSI589832:NSM589832 NIM589832:NIQ589832 MYQ589832:MYU589832 MOU589832:MOY589832 MEY589832:MFC589832 LVC589832:LVG589832 LLG589832:LLK589832 LBK589832:LBO589832 KRO589832:KRS589832 KHS589832:KHW589832 JXW589832:JYA589832 JOA589832:JOE589832 JEE589832:JEI589832 IUI589832:IUM589832 IKM589832:IKQ589832 IAQ589832:IAU589832 HQU589832:HQY589832 HGY589832:HHC589832 GXC589832:GXG589832 GNG589832:GNK589832 GDK589832:GDO589832 FTO589832:FTS589832 FJS589832:FJW589832 EZW589832:FAA589832 EQA589832:EQE589832 EGE589832:EGI589832 DWI589832:DWM589832 DMM589832:DMQ589832 DCQ589832:DCU589832 CSU589832:CSY589832 CIY589832:CJC589832 BZC589832:BZG589832 BPG589832:BPK589832 BFK589832:BFO589832 AVO589832:AVS589832 ALS589832:ALW589832 ABW589832:ACA589832 SA589832:SE589832 IE589832:II589832 D589832:H589832 WUQ524296:WUU524296 WKU524296:WKY524296 WAY524296:WBC524296 VRC524296:VRG524296 VHG524296:VHK524296 UXK524296:UXO524296 UNO524296:UNS524296 UDS524296:UDW524296 TTW524296:TUA524296 TKA524296:TKE524296 TAE524296:TAI524296 SQI524296:SQM524296 SGM524296:SGQ524296 RWQ524296:RWU524296 RMU524296:RMY524296 RCY524296:RDC524296 QTC524296:QTG524296 QJG524296:QJK524296 PZK524296:PZO524296 PPO524296:PPS524296 PFS524296:PFW524296 OVW524296:OWA524296 OMA524296:OME524296 OCE524296:OCI524296 NSI524296:NSM524296 NIM524296:NIQ524296 MYQ524296:MYU524296 MOU524296:MOY524296 MEY524296:MFC524296 LVC524296:LVG524296 LLG524296:LLK524296 LBK524296:LBO524296 KRO524296:KRS524296 KHS524296:KHW524296 JXW524296:JYA524296 JOA524296:JOE524296 JEE524296:JEI524296 IUI524296:IUM524296 IKM524296:IKQ524296 IAQ524296:IAU524296 HQU524296:HQY524296 HGY524296:HHC524296 GXC524296:GXG524296 GNG524296:GNK524296 GDK524296:GDO524296 FTO524296:FTS524296 FJS524296:FJW524296 EZW524296:FAA524296 EQA524296:EQE524296 EGE524296:EGI524296 DWI524296:DWM524296 DMM524296:DMQ524296 DCQ524296:DCU524296 CSU524296:CSY524296 CIY524296:CJC524296 BZC524296:BZG524296 BPG524296:BPK524296 BFK524296:BFO524296 AVO524296:AVS524296 ALS524296:ALW524296 ABW524296:ACA524296 SA524296:SE524296 IE524296:II524296 D524296:H524296 WUQ458760:WUU458760 WKU458760:WKY458760 WAY458760:WBC458760 VRC458760:VRG458760 VHG458760:VHK458760 UXK458760:UXO458760 UNO458760:UNS458760 UDS458760:UDW458760 TTW458760:TUA458760 TKA458760:TKE458760 TAE458760:TAI458760 SQI458760:SQM458760 SGM458760:SGQ458760 RWQ458760:RWU458760 RMU458760:RMY458760 RCY458760:RDC458760 QTC458760:QTG458760 QJG458760:QJK458760 PZK458760:PZO458760 PPO458760:PPS458760 PFS458760:PFW458760 OVW458760:OWA458760 OMA458760:OME458760 OCE458760:OCI458760 NSI458760:NSM458760 NIM458760:NIQ458760 MYQ458760:MYU458760 MOU458760:MOY458760 MEY458760:MFC458760 LVC458760:LVG458760 LLG458760:LLK458760 LBK458760:LBO458760 KRO458760:KRS458760 KHS458760:KHW458760 JXW458760:JYA458760 JOA458760:JOE458760 JEE458760:JEI458760 IUI458760:IUM458760 IKM458760:IKQ458760 IAQ458760:IAU458760 HQU458760:HQY458760 HGY458760:HHC458760 GXC458760:GXG458760 GNG458760:GNK458760 GDK458760:GDO458760 FTO458760:FTS458760 FJS458760:FJW458760 EZW458760:FAA458760 EQA458760:EQE458760 EGE458760:EGI458760 DWI458760:DWM458760 DMM458760:DMQ458760 DCQ458760:DCU458760 CSU458760:CSY458760 CIY458760:CJC458760 BZC458760:BZG458760 BPG458760:BPK458760 BFK458760:BFO458760 AVO458760:AVS458760 ALS458760:ALW458760 ABW458760:ACA458760 SA458760:SE458760 IE458760:II458760 D458760:H458760 WUQ393224:WUU393224 WKU393224:WKY393224 WAY393224:WBC393224 VRC393224:VRG393224 VHG393224:VHK393224 UXK393224:UXO393224 UNO393224:UNS393224 UDS393224:UDW393224 TTW393224:TUA393224 TKA393224:TKE393224 TAE393224:TAI393224 SQI393224:SQM393224 SGM393224:SGQ393224 RWQ393224:RWU393224 RMU393224:RMY393224 RCY393224:RDC393224 QTC393224:QTG393224 QJG393224:QJK393224 PZK393224:PZO393224 PPO393224:PPS393224 PFS393224:PFW393224 OVW393224:OWA393224 OMA393224:OME393224 OCE393224:OCI393224 NSI393224:NSM393224 NIM393224:NIQ393224 MYQ393224:MYU393224 MOU393224:MOY393224 MEY393224:MFC393224 LVC393224:LVG393224 LLG393224:LLK393224 LBK393224:LBO393224 KRO393224:KRS393224 KHS393224:KHW393224 JXW393224:JYA393224 JOA393224:JOE393224 JEE393224:JEI393224 IUI393224:IUM393224 IKM393224:IKQ393224 IAQ393224:IAU393224 HQU393224:HQY393224 HGY393224:HHC393224 GXC393224:GXG393224 GNG393224:GNK393224 GDK393224:GDO393224 FTO393224:FTS393224 FJS393224:FJW393224 EZW393224:FAA393224 EQA393224:EQE393224 EGE393224:EGI393224 DWI393224:DWM393224 DMM393224:DMQ393224 DCQ393224:DCU393224 CSU393224:CSY393224 CIY393224:CJC393224 BZC393224:BZG393224 BPG393224:BPK393224 BFK393224:BFO393224 AVO393224:AVS393224 ALS393224:ALW393224 ABW393224:ACA393224 SA393224:SE393224 IE393224:II393224 D393224:H393224 WUQ327688:WUU327688 WKU327688:WKY327688 WAY327688:WBC327688 VRC327688:VRG327688 VHG327688:VHK327688 UXK327688:UXO327688 UNO327688:UNS327688 UDS327688:UDW327688 TTW327688:TUA327688 TKA327688:TKE327688 TAE327688:TAI327688 SQI327688:SQM327688 SGM327688:SGQ327688 RWQ327688:RWU327688 RMU327688:RMY327688 RCY327688:RDC327688 QTC327688:QTG327688 QJG327688:QJK327688 PZK327688:PZO327688 PPO327688:PPS327688 PFS327688:PFW327688 OVW327688:OWA327688 OMA327688:OME327688 OCE327688:OCI327688 NSI327688:NSM327688 NIM327688:NIQ327688 MYQ327688:MYU327688 MOU327688:MOY327688 MEY327688:MFC327688 LVC327688:LVG327688 LLG327688:LLK327688 LBK327688:LBO327688 KRO327688:KRS327688 KHS327688:KHW327688 JXW327688:JYA327688 JOA327688:JOE327688 JEE327688:JEI327688 IUI327688:IUM327688 IKM327688:IKQ327688 IAQ327688:IAU327688 HQU327688:HQY327688 HGY327688:HHC327688 GXC327688:GXG327688 GNG327688:GNK327688 GDK327688:GDO327688 FTO327688:FTS327688 FJS327688:FJW327688 EZW327688:FAA327688 EQA327688:EQE327688 EGE327688:EGI327688 DWI327688:DWM327688 DMM327688:DMQ327688 DCQ327688:DCU327688 CSU327688:CSY327688 CIY327688:CJC327688 BZC327688:BZG327688 BPG327688:BPK327688 BFK327688:BFO327688 AVO327688:AVS327688 ALS327688:ALW327688 ABW327688:ACA327688 SA327688:SE327688 IE327688:II327688 D327688:H327688 WUQ262152:WUU262152 WKU262152:WKY262152 WAY262152:WBC262152 VRC262152:VRG262152 VHG262152:VHK262152 UXK262152:UXO262152 UNO262152:UNS262152 UDS262152:UDW262152 TTW262152:TUA262152 TKA262152:TKE262152 TAE262152:TAI262152 SQI262152:SQM262152 SGM262152:SGQ262152 RWQ262152:RWU262152 RMU262152:RMY262152 RCY262152:RDC262152 QTC262152:QTG262152 QJG262152:QJK262152 PZK262152:PZO262152 PPO262152:PPS262152 PFS262152:PFW262152 OVW262152:OWA262152 OMA262152:OME262152 OCE262152:OCI262152 NSI262152:NSM262152 NIM262152:NIQ262152 MYQ262152:MYU262152 MOU262152:MOY262152 MEY262152:MFC262152 LVC262152:LVG262152 LLG262152:LLK262152 LBK262152:LBO262152 KRO262152:KRS262152 KHS262152:KHW262152 JXW262152:JYA262152 JOA262152:JOE262152 JEE262152:JEI262152 IUI262152:IUM262152 IKM262152:IKQ262152 IAQ262152:IAU262152 HQU262152:HQY262152 HGY262152:HHC262152 GXC262152:GXG262152 GNG262152:GNK262152 GDK262152:GDO262152 FTO262152:FTS262152 FJS262152:FJW262152 EZW262152:FAA262152 EQA262152:EQE262152 EGE262152:EGI262152 DWI262152:DWM262152 DMM262152:DMQ262152 DCQ262152:DCU262152 CSU262152:CSY262152 CIY262152:CJC262152 BZC262152:BZG262152 BPG262152:BPK262152 BFK262152:BFO262152 AVO262152:AVS262152 ALS262152:ALW262152 ABW262152:ACA262152 SA262152:SE262152 IE262152:II262152 D262152:H262152 WUQ196616:WUU196616 WKU196616:WKY196616 WAY196616:WBC196616 VRC196616:VRG196616 VHG196616:VHK196616 UXK196616:UXO196616 UNO196616:UNS196616 UDS196616:UDW196616 TTW196616:TUA196616 TKA196616:TKE196616 TAE196616:TAI196616 SQI196616:SQM196616 SGM196616:SGQ196616 RWQ196616:RWU196616 RMU196616:RMY196616 RCY196616:RDC196616 QTC196616:QTG196616 QJG196616:QJK196616 PZK196616:PZO196616 PPO196616:PPS196616 PFS196616:PFW196616 OVW196616:OWA196616 OMA196616:OME196616 OCE196616:OCI196616 NSI196616:NSM196616 NIM196616:NIQ196616 MYQ196616:MYU196616 MOU196616:MOY196616 MEY196616:MFC196616 LVC196616:LVG196616 LLG196616:LLK196616 LBK196616:LBO196616 KRO196616:KRS196616 KHS196616:KHW196616 JXW196616:JYA196616 JOA196616:JOE196616 JEE196616:JEI196616 IUI196616:IUM196616 IKM196616:IKQ196616 IAQ196616:IAU196616 HQU196616:HQY196616 HGY196616:HHC196616 GXC196616:GXG196616 GNG196616:GNK196616 GDK196616:GDO196616 FTO196616:FTS196616 FJS196616:FJW196616 EZW196616:FAA196616 EQA196616:EQE196616 EGE196616:EGI196616 DWI196616:DWM196616 DMM196616:DMQ196616 DCQ196616:DCU196616 CSU196616:CSY196616 CIY196616:CJC196616 BZC196616:BZG196616 BPG196616:BPK196616 BFK196616:BFO196616 AVO196616:AVS196616 ALS196616:ALW196616 ABW196616:ACA196616 SA196616:SE196616 IE196616:II196616 D196616:H196616 WUQ131080:WUU131080 WKU131080:WKY131080 WAY131080:WBC131080 VRC131080:VRG131080 VHG131080:VHK131080 UXK131080:UXO131080 UNO131080:UNS131080 UDS131080:UDW131080 TTW131080:TUA131080 TKA131080:TKE131080 TAE131080:TAI131080 SQI131080:SQM131080 SGM131080:SGQ131080 RWQ131080:RWU131080 RMU131080:RMY131080 RCY131080:RDC131080 QTC131080:QTG131080 QJG131080:QJK131080 PZK131080:PZO131080 PPO131080:PPS131080 PFS131080:PFW131080 OVW131080:OWA131080 OMA131080:OME131080 OCE131080:OCI131080 NSI131080:NSM131080 NIM131080:NIQ131080 MYQ131080:MYU131080 MOU131080:MOY131080 MEY131080:MFC131080 LVC131080:LVG131080 LLG131080:LLK131080 LBK131080:LBO131080 KRO131080:KRS131080 KHS131080:KHW131080 JXW131080:JYA131080 JOA131080:JOE131080 JEE131080:JEI131080 IUI131080:IUM131080 IKM131080:IKQ131080 IAQ131080:IAU131080 HQU131080:HQY131080 HGY131080:HHC131080 GXC131080:GXG131080 GNG131080:GNK131080 GDK131080:GDO131080 FTO131080:FTS131080 FJS131080:FJW131080 EZW131080:FAA131080 EQA131080:EQE131080 EGE131080:EGI131080 DWI131080:DWM131080 DMM131080:DMQ131080 DCQ131080:DCU131080 CSU131080:CSY131080 CIY131080:CJC131080 BZC131080:BZG131080 BPG131080:BPK131080 BFK131080:BFO131080 AVO131080:AVS131080 ALS131080:ALW131080 ABW131080:ACA131080 SA131080:SE131080 IE131080:II131080 D131080:H131080 WUQ65544:WUU65544 WKU65544:WKY65544 WAY65544:WBC65544 VRC65544:VRG65544 VHG65544:VHK65544 UXK65544:UXO65544 UNO65544:UNS65544 UDS65544:UDW65544 TTW65544:TUA65544 TKA65544:TKE65544 TAE65544:TAI65544 SQI65544:SQM65544 SGM65544:SGQ65544 RWQ65544:RWU65544 RMU65544:RMY65544 RCY65544:RDC65544 QTC65544:QTG65544 QJG65544:QJK65544 PZK65544:PZO65544 PPO65544:PPS65544 PFS65544:PFW65544 OVW65544:OWA65544 OMA65544:OME65544 OCE65544:OCI65544 NSI65544:NSM65544 NIM65544:NIQ65544 MYQ65544:MYU65544 MOU65544:MOY65544 MEY65544:MFC65544 LVC65544:LVG65544 LLG65544:LLK65544 LBK65544:LBO65544 KRO65544:KRS65544 KHS65544:KHW65544 JXW65544:JYA65544 JOA65544:JOE65544 JEE65544:JEI65544 IUI65544:IUM65544 IKM65544:IKQ65544 IAQ65544:IAU65544 HQU65544:HQY65544 HGY65544:HHC65544 GXC65544:GXG65544 GNG65544:GNK65544 GDK65544:GDO65544 FTO65544:FTS65544 FJS65544:FJW65544 EZW65544:FAA65544 EQA65544:EQE65544 EGE65544:EGI65544 DWI65544:DWM65544 DMM65544:DMQ65544 DCQ65544:DCU65544 CSU65544:CSY65544 CIY65544:CJC65544 BZC65544:BZG65544 BPG65544:BPK65544 BFK65544:BFO65544 AVO65544:AVS65544 ALS65544:ALW65544 ABW65544:ACA65544 SA65544:SE65544 IE65544:II65544 D65544:H65544 WUQ8:WUU8 WKU8:WKY8 WAY8:WBC8 VRC8:VRG8 VHG8:VHK8 UXK8:UXO8 UNO8:UNS8 UDS8:UDW8 TTW8:TUA8 TKA8:TKE8 TAE8:TAI8 SQI8:SQM8 SGM8:SGQ8 RWQ8:RWU8 RMU8:RMY8 RCY8:RDC8 QTC8:QTG8 QJG8:QJK8 PZK8:PZO8 PPO8:PPS8 PFS8:PFW8 OVW8:OWA8 OMA8:OME8 OCE8:OCI8 NSI8:NSM8 NIM8:NIQ8 MYQ8:MYU8 MOU8:MOY8 MEY8:MFC8 LVC8:LVG8 LLG8:LLK8 LBK8:LBO8 KRO8:KRS8 KHS8:KHW8 JXW8:JYA8 JOA8:JOE8 JEE8:JEI8 IUI8:IUM8 IKM8:IKQ8 IAQ8:IAU8 HQU8:HQY8 HGY8:HHC8 GXC8:GXG8 GNG8:GNK8 GDK8:GDO8 FTO8:FTS8 FJS8:FJW8 EZW8:FAA8 EQA8:EQE8 EGE8:EGI8 DWI8:DWM8 DMM8:DMQ8 DCQ8:DCU8 CSU8:CSY8 CIY8:CJC8 BZC8:BZG8 BPG8:BPK8 BFK8:BFO8 AVO8:AVS8 ALS8:ALW8 ABW8:ACA8 SA8:SE8 IE8:II8">
      <formula1>#REF!</formula1>
    </dataValidation>
  </dataValidations>
  <printOptions horizontalCentered="1"/>
  <pageMargins left="0.78740157480314965" right="0.39370078740157483" top="0.78740157480314965" bottom="0.78740157480314965" header="0.39370078740157483" footer="0.39370078740157483"/>
  <pageSetup paperSize="9" scale="61" firstPageNumber="0" fitToHeight="0" orientation="portrait" r:id="rId1"/>
  <headerFooter>
    <oddFooter>&amp;R&amp;12Página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5"/>
  <sheetViews>
    <sheetView workbookViewId="0">
      <selection sqref="A1:H1"/>
    </sheetView>
  </sheetViews>
  <sheetFormatPr defaultRowHeight="15" x14ac:dyDescent="0.25"/>
  <cols>
    <col min="1" max="1" width="16.28515625" customWidth="1"/>
    <col min="2" max="2" width="24.42578125" customWidth="1"/>
    <col min="3" max="3" width="17.5703125" bestFit="1" customWidth="1"/>
    <col min="4" max="4" width="73.7109375" bestFit="1" customWidth="1"/>
    <col min="6" max="6" width="18.140625" customWidth="1"/>
    <col min="7" max="7" width="17.5703125" customWidth="1"/>
    <col min="8" max="8" width="17.7109375" bestFit="1" customWidth="1"/>
  </cols>
  <sheetData>
    <row r="1" spans="1:8" ht="20.100000000000001" customHeight="1" x14ac:dyDescent="0.25">
      <c r="A1" s="143" t="s">
        <v>48</v>
      </c>
      <c r="B1" s="143"/>
      <c r="C1" s="143"/>
      <c r="D1" s="143"/>
      <c r="E1" s="143"/>
      <c r="F1" s="143"/>
      <c r="G1" s="143"/>
      <c r="H1" s="143"/>
    </row>
    <row r="2" spans="1:8" ht="20.100000000000001" customHeight="1" x14ac:dyDescent="0.25">
      <c r="A2" s="143" t="s">
        <v>49</v>
      </c>
      <c r="B2" s="143"/>
      <c r="C2" s="143"/>
      <c r="D2" s="143"/>
      <c r="E2" s="143"/>
      <c r="F2" s="143"/>
      <c r="G2" s="143"/>
      <c r="H2" s="143"/>
    </row>
    <row r="3" spans="1:8" ht="20.100000000000001" customHeight="1" x14ac:dyDescent="0.25">
      <c r="A3" s="144" t="s">
        <v>50</v>
      </c>
      <c r="B3" s="144"/>
      <c r="C3" s="144"/>
      <c r="D3" s="144"/>
      <c r="E3" s="144"/>
      <c r="F3" s="144"/>
      <c r="G3" s="144"/>
      <c r="H3" s="144"/>
    </row>
    <row r="4" spans="1:8" ht="20.100000000000001" customHeight="1" x14ac:dyDescent="0.25">
      <c r="A4" s="143" t="s">
        <v>51</v>
      </c>
      <c r="B4" s="143"/>
      <c r="C4" s="143"/>
      <c r="D4" s="143"/>
      <c r="E4" s="143"/>
      <c r="F4" s="143"/>
      <c r="G4" s="143"/>
      <c r="H4" s="143"/>
    </row>
    <row r="5" spans="1:8" ht="20.100000000000001" customHeight="1" x14ac:dyDescent="0.25">
      <c r="A5" s="54"/>
      <c r="B5" s="54"/>
      <c r="C5" s="54"/>
      <c r="D5" s="54"/>
      <c r="E5" s="54"/>
      <c r="F5" s="54"/>
      <c r="G5" s="54"/>
      <c r="H5" s="54"/>
    </row>
    <row r="6" spans="1:8" x14ac:dyDescent="0.25">
      <c r="A6" s="31" t="s">
        <v>131</v>
      </c>
      <c r="B6" t="str">
        <f>Orçamento!B6</f>
        <v>EXECUÇÃO DE REFORÇO SOBRE GABIÕES E BASE (META 07)</v>
      </c>
    </row>
    <row r="7" spans="1:8" x14ac:dyDescent="0.25">
      <c r="H7" s="7"/>
    </row>
    <row r="8" spans="1:8" x14ac:dyDescent="0.25">
      <c r="A8" s="182" t="s">
        <v>84</v>
      </c>
      <c r="B8" s="182"/>
      <c r="C8" s="182"/>
      <c r="D8" s="182"/>
      <c r="E8" s="182"/>
      <c r="F8" s="182"/>
      <c r="G8" s="182"/>
      <c r="H8" s="182"/>
    </row>
    <row r="10" spans="1:8" x14ac:dyDescent="0.25">
      <c r="A10" s="142" t="s">
        <v>1</v>
      </c>
      <c r="B10" s="142" t="s">
        <v>2</v>
      </c>
      <c r="C10" s="142" t="s">
        <v>3</v>
      </c>
      <c r="D10" s="142" t="s">
        <v>4</v>
      </c>
      <c r="E10" s="142" t="s">
        <v>31</v>
      </c>
      <c r="F10" s="142" t="s">
        <v>39</v>
      </c>
      <c r="G10" s="142" t="s">
        <v>40</v>
      </c>
      <c r="H10" s="142" t="s">
        <v>43</v>
      </c>
    </row>
    <row r="11" spans="1:8" x14ac:dyDescent="0.25">
      <c r="A11" s="142"/>
      <c r="B11" s="142"/>
      <c r="C11" s="142"/>
      <c r="D11" s="142"/>
      <c r="E11" s="142"/>
      <c r="F11" s="142"/>
      <c r="G11" s="142"/>
      <c r="H11" s="142"/>
    </row>
    <row r="12" spans="1:8" x14ac:dyDescent="0.25">
      <c r="A12" s="14" t="s">
        <v>7</v>
      </c>
      <c r="B12" s="68">
        <v>542</v>
      </c>
      <c r="C12" s="14" t="s">
        <v>8</v>
      </c>
      <c r="D12" s="20" t="s">
        <v>9</v>
      </c>
      <c r="E12" s="69" t="s">
        <v>31</v>
      </c>
      <c r="F12" s="70"/>
      <c r="G12" s="71"/>
      <c r="H12" s="71"/>
    </row>
    <row r="13" spans="1:8" x14ac:dyDescent="0.25">
      <c r="A13" s="55"/>
      <c r="B13" s="56"/>
      <c r="C13" s="17" t="s">
        <v>110</v>
      </c>
      <c r="D13" s="1" t="s">
        <v>87</v>
      </c>
      <c r="E13" s="2" t="s">
        <v>88</v>
      </c>
      <c r="F13" s="3">
        <v>1</v>
      </c>
      <c r="G13" s="4">
        <v>250</v>
      </c>
      <c r="H13" s="4">
        <f>+G13*F13</f>
        <v>250</v>
      </c>
    </row>
    <row r="14" spans="1:8" x14ac:dyDescent="0.25">
      <c r="A14" s="61"/>
      <c r="B14" s="62"/>
      <c r="C14" s="17" t="s">
        <v>110</v>
      </c>
      <c r="D14" s="1" t="s">
        <v>89</v>
      </c>
      <c r="E14" s="2" t="s">
        <v>94</v>
      </c>
      <c r="F14" s="3">
        <f>70*30</f>
        <v>2100</v>
      </c>
      <c r="G14" s="4">
        <v>1.5</v>
      </c>
      <c r="H14" s="4">
        <f t="shared" ref="H14:H16" si="0">+G14*F14</f>
        <v>3150</v>
      </c>
    </row>
    <row r="15" spans="1:8" x14ac:dyDescent="0.25">
      <c r="A15" s="61"/>
      <c r="B15" s="62"/>
      <c r="C15" s="17" t="s">
        <v>110</v>
      </c>
      <c r="D15" s="1" t="s">
        <v>85</v>
      </c>
      <c r="E15" s="2" t="s">
        <v>88</v>
      </c>
      <c r="F15" s="3">
        <v>3</v>
      </c>
      <c r="G15" s="4">
        <f>1500*4</f>
        <v>6000</v>
      </c>
      <c r="H15" s="4">
        <f t="shared" si="0"/>
        <v>18000</v>
      </c>
    </row>
    <row r="16" spans="1:8" x14ac:dyDescent="0.25">
      <c r="A16" s="61"/>
      <c r="B16" s="62"/>
      <c r="C16" s="17" t="s">
        <v>110</v>
      </c>
      <c r="D16" s="1" t="s">
        <v>86</v>
      </c>
      <c r="E16" s="2" t="s">
        <v>88</v>
      </c>
      <c r="F16" s="3">
        <v>3</v>
      </c>
      <c r="G16" s="4">
        <v>3300</v>
      </c>
      <c r="H16" s="4">
        <f t="shared" si="0"/>
        <v>9900</v>
      </c>
    </row>
    <row r="17" spans="1:8" x14ac:dyDescent="0.25">
      <c r="A17" s="61"/>
      <c r="B17" s="62"/>
      <c r="C17" s="59"/>
      <c r="D17" s="1" t="s">
        <v>43</v>
      </c>
      <c r="E17" s="2"/>
      <c r="F17" s="3"/>
      <c r="G17" s="4"/>
      <c r="H17" s="4">
        <f>SUM(H13:H16)</f>
        <v>31300</v>
      </c>
    </row>
    <row r="18" spans="1:8" x14ac:dyDescent="0.25">
      <c r="A18" s="57"/>
      <c r="B18" s="58"/>
      <c r="C18" s="60"/>
      <c r="D18" s="1" t="s">
        <v>114</v>
      </c>
      <c r="E18" s="2" t="s">
        <v>91</v>
      </c>
      <c r="F18" s="3">
        <f>100/6</f>
        <v>16.666666666666668</v>
      </c>
      <c r="G18" s="4"/>
      <c r="H18" s="71">
        <f>+H17*(F18/100)</f>
        <v>5216.666666666667</v>
      </c>
    </row>
    <row r="19" spans="1:8" x14ac:dyDescent="0.25">
      <c r="A19" s="183"/>
      <c r="B19" s="184"/>
      <c r="C19" s="184"/>
      <c r="D19" s="184"/>
      <c r="E19" s="184"/>
      <c r="F19" s="184"/>
      <c r="G19" s="184"/>
      <c r="H19" s="185"/>
    </row>
    <row r="20" spans="1:8" x14ac:dyDescent="0.25">
      <c r="A20" s="14" t="s">
        <v>12</v>
      </c>
      <c r="B20" s="72" t="s">
        <v>74</v>
      </c>
      <c r="C20" s="14" t="s">
        <v>8</v>
      </c>
      <c r="D20" s="21" t="s">
        <v>72</v>
      </c>
      <c r="E20" s="69" t="s">
        <v>73</v>
      </c>
      <c r="F20" s="70"/>
      <c r="G20" s="71"/>
      <c r="H20" s="71"/>
    </row>
    <row r="21" spans="1:8" x14ac:dyDescent="0.25">
      <c r="A21" s="55"/>
      <c r="B21" s="56"/>
      <c r="C21" s="17" t="s">
        <v>110</v>
      </c>
      <c r="D21" s="1" t="s">
        <v>97</v>
      </c>
      <c r="E21" s="2" t="s">
        <v>92</v>
      </c>
      <c r="F21" s="3">
        <v>2</v>
      </c>
      <c r="G21" s="4">
        <v>250</v>
      </c>
      <c r="H21" s="4">
        <f>+G21*F21</f>
        <v>500</v>
      </c>
    </row>
    <row r="22" spans="1:8" x14ac:dyDescent="0.25">
      <c r="A22" s="61"/>
      <c r="B22" s="62"/>
      <c r="C22" s="17" t="s">
        <v>110</v>
      </c>
      <c r="D22" s="1" t="s">
        <v>93</v>
      </c>
      <c r="E22" s="2" t="s">
        <v>94</v>
      </c>
      <c r="F22" s="3">
        <v>120</v>
      </c>
      <c r="G22" s="4">
        <v>18.95</v>
      </c>
      <c r="H22" s="4">
        <f t="shared" ref="H22:H24" si="1">+G22*F22</f>
        <v>2274</v>
      </c>
    </row>
    <row r="23" spans="1:8" x14ac:dyDescent="0.25">
      <c r="A23" s="61"/>
      <c r="B23" s="62"/>
      <c r="C23" s="17" t="s">
        <v>110</v>
      </c>
      <c r="D23" s="1" t="s">
        <v>95</v>
      </c>
      <c r="E23" s="2" t="s">
        <v>96</v>
      </c>
      <c r="F23" s="3">
        <v>3</v>
      </c>
      <c r="G23" s="4">
        <v>25</v>
      </c>
      <c r="H23" s="4">
        <f t="shared" si="1"/>
        <v>75</v>
      </c>
    </row>
    <row r="24" spans="1:8" x14ac:dyDescent="0.25">
      <c r="A24" s="61"/>
      <c r="B24" s="62"/>
      <c r="C24" s="17" t="s">
        <v>110</v>
      </c>
      <c r="D24" s="1" t="s">
        <v>98</v>
      </c>
      <c r="E24" s="2" t="s">
        <v>92</v>
      </c>
      <c r="F24" s="3">
        <v>1</v>
      </c>
      <c r="G24" s="4">
        <v>150</v>
      </c>
      <c r="H24" s="4">
        <f t="shared" si="1"/>
        <v>150</v>
      </c>
    </row>
    <row r="25" spans="1:8" x14ac:dyDescent="0.25">
      <c r="A25" s="61"/>
      <c r="B25" s="62"/>
      <c r="C25" s="59"/>
      <c r="D25" s="1" t="s">
        <v>43</v>
      </c>
      <c r="E25" s="2"/>
      <c r="F25" s="3"/>
      <c r="G25" s="4"/>
      <c r="H25" s="4">
        <f>SUM(H21:H24)</f>
        <v>2999</v>
      </c>
    </row>
    <row r="26" spans="1:8" x14ac:dyDescent="0.25">
      <c r="A26" s="57"/>
      <c r="B26" s="58"/>
      <c r="C26" s="60"/>
      <c r="D26" s="1" t="s">
        <v>114</v>
      </c>
      <c r="E26" s="2" t="s">
        <v>91</v>
      </c>
      <c r="F26" s="3">
        <v>100</v>
      </c>
      <c r="G26" s="4"/>
      <c r="H26" s="71">
        <f>+H25*(F26/100)</f>
        <v>2999</v>
      </c>
    </row>
    <row r="27" spans="1:8" x14ac:dyDescent="0.25">
      <c r="A27" s="183"/>
      <c r="B27" s="184"/>
      <c r="C27" s="184"/>
      <c r="D27" s="184"/>
      <c r="E27" s="184"/>
      <c r="F27" s="184"/>
      <c r="G27" s="184"/>
      <c r="H27" s="185"/>
    </row>
    <row r="28" spans="1:8" x14ac:dyDescent="0.25">
      <c r="A28" s="14" t="s">
        <v>15</v>
      </c>
      <c r="B28" s="72">
        <v>223</v>
      </c>
      <c r="C28" s="14" t="s">
        <v>8</v>
      </c>
      <c r="D28" s="21" t="s">
        <v>19</v>
      </c>
      <c r="E28" s="69" t="s">
        <v>34</v>
      </c>
      <c r="F28" s="70"/>
      <c r="G28" s="71"/>
      <c r="H28" s="71"/>
    </row>
    <row r="29" spans="1:8" x14ac:dyDescent="0.25">
      <c r="A29" s="55"/>
      <c r="B29" s="56"/>
      <c r="C29" s="17" t="s">
        <v>110</v>
      </c>
      <c r="D29" s="6" t="s">
        <v>99</v>
      </c>
      <c r="E29" s="2" t="s">
        <v>101</v>
      </c>
      <c r="F29" s="3">
        <v>2.5</v>
      </c>
      <c r="G29" s="4">
        <v>75</v>
      </c>
      <c r="H29" s="4">
        <f>+G29*F29</f>
        <v>187.5</v>
      </c>
    </row>
    <row r="30" spans="1:8" x14ac:dyDescent="0.25">
      <c r="A30" s="61"/>
      <c r="B30" s="62"/>
      <c r="C30" s="17" t="s">
        <v>110</v>
      </c>
      <c r="D30" s="6" t="s">
        <v>100</v>
      </c>
      <c r="E30" s="2" t="s">
        <v>32</v>
      </c>
      <c r="F30" s="3">
        <v>1</v>
      </c>
      <c r="G30" s="4">
        <v>91</v>
      </c>
      <c r="H30" s="4">
        <f>+G30*F30</f>
        <v>91</v>
      </c>
    </row>
    <row r="31" spans="1:8" x14ac:dyDescent="0.25">
      <c r="A31" s="61"/>
      <c r="B31" s="62"/>
      <c r="C31" s="17" t="s">
        <v>110</v>
      </c>
      <c r="D31" s="6" t="s">
        <v>111</v>
      </c>
      <c r="E31" s="2" t="s">
        <v>32</v>
      </c>
      <c r="F31" s="3">
        <v>1</v>
      </c>
      <c r="G31" s="4">
        <v>41.5</v>
      </c>
      <c r="H31" s="4">
        <f>+G31*F31</f>
        <v>41.5</v>
      </c>
    </row>
    <row r="32" spans="1:8" x14ac:dyDescent="0.25">
      <c r="A32" s="61"/>
      <c r="B32" s="62"/>
      <c r="C32" s="59"/>
      <c r="D32" s="1" t="s">
        <v>43</v>
      </c>
      <c r="E32" s="2"/>
      <c r="F32" s="3"/>
      <c r="G32" s="4"/>
      <c r="H32" s="4">
        <f>SUM(H29:H31)</f>
        <v>320</v>
      </c>
    </row>
    <row r="33" spans="1:10" x14ac:dyDescent="0.25">
      <c r="A33" s="57"/>
      <c r="B33" s="58"/>
      <c r="C33" s="60"/>
      <c r="D33" s="1" t="s">
        <v>114</v>
      </c>
      <c r="E33" s="2" t="s">
        <v>91</v>
      </c>
      <c r="F33" s="3">
        <v>100</v>
      </c>
      <c r="G33" s="4"/>
      <c r="H33" s="71">
        <f>+H32*(F33/100)</f>
        <v>320</v>
      </c>
    </row>
    <row r="34" spans="1:10" x14ac:dyDescent="0.25">
      <c r="A34" s="183"/>
      <c r="B34" s="184"/>
      <c r="C34" s="184"/>
      <c r="D34" s="184"/>
      <c r="E34" s="184"/>
      <c r="F34" s="184"/>
      <c r="G34" s="184"/>
      <c r="H34" s="185"/>
    </row>
    <row r="35" spans="1:10" ht="45" x14ac:dyDescent="0.25">
      <c r="A35" s="14" t="s">
        <v>77</v>
      </c>
      <c r="B35" s="72" t="s">
        <v>66</v>
      </c>
      <c r="C35" s="14" t="s">
        <v>67</v>
      </c>
      <c r="D35" s="21" t="s">
        <v>68</v>
      </c>
      <c r="E35" s="69" t="s">
        <v>69</v>
      </c>
      <c r="F35" s="70"/>
      <c r="G35" s="71"/>
      <c r="H35" s="71"/>
    </row>
    <row r="36" spans="1:10" x14ac:dyDescent="0.25">
      <c r="A36" s="55"/>
      <c r="B36" s="56"/>
      <c r="C36" s="16">
        <v>367</v>
      </c>
      <c r="D36" s="1" t="s">
        <v>103</v>
      </c>
      <c r="E36" s="2" t="s">
        <v>102</v>
      </c>
      <c r="F36" s="3">
        <f>0.4*0.4*0.5</f>
        <v>8.0000000000000016E-2</v>
      </c>
      <c r="G36" s="27">
        <v>92.69</v>
      </c>
      <c r="H36" s="4">
        <f>+G36*F36</f>
        <v>7.4152000000000013</v>
      </c>
      <c r="J36" s="23"/>
    </row>
    <row r="37" spans="1:10" x14ac:dyDescent="0.25">
      <c r="A37" s="61"/>
      <c r="B37" s="62"/>
      <c r="C37" s="16">
        <v>37526</v>
      </c>
      <c r="D37" s="1" t="s">
        <v>104</v>
      </c>
      <c r="E37" s="2" t="s">
        <v>96</v>
      </c>
      <c r="F37" s="3">
        <v>1</v>
      </c>
      <c r="G37" s="27">
        <v>3.55</v>
      </c>
      <c r="H37" s="4">
        <f t="shared" ref="H37:H40" si="2">+G37*F37</f>
        <v>3.55</v>
      </c>
    </row>
    <row r="38" spans="1:10" x14ac:dyDescent="0.25">
      <c r="A38" s="61"/>
      <c r="B38" s="62"/>
      <c r="C38" s="16">
        <v>6111</v>
      </c>
      <c r="D38" s="1" t="s">
        <v>108</v>
      </c>
      <c r="E38" s="2" t="s">
        <v>106</v>
      </c>
      <c r="F38" s="19">
        <v>0.11</v>
      </c>
      <c r="G38" s="27">
        <v>16.28</v>
      </c>
      <c r="H38" s="4">
        <f t="shared" si="2"/>
        <v>1.7908000000000002</v>
      </c>
    </row>
    <row r="39" spans="1:10" x14ac:dyDescent="0.25">
      <c r="A39" s="61"/>
      <c r="B39" s="62"/>
      <c r="C39" s="16">
        <v>6111</v>
      </c>
      <c r="D39" s="1" t="s">
        <v>107</v>
      </c>
      <c r="E39" s="2" t="s">
        <v>106</v>
      </c>
      <c r="F39" s="19">
        <v>0.11</v>
      </c>
      <c r="G39" s="27">
        <v>16.28</v>
      </c>
      <c r="H39" s="4">
        <f t="shared" si="2"/>
        <v>1.7908000000000002</v>
      </c>
    </row>
    <row r="40" spans="1:10" x14ac:dyDescent="0.25">
      <c r="A40" s="61"/>
      <c r="B40" s="62"/>
      <c r="C40" s="16">
        <v>4083</v>
      </c>
      <c r="D40" s="1" t="s">
        <v>109</v>
      </c>
      <c r="E40" s="2" t="s">
        <v>106</v>
      </c>
      <c r="F40" s="19">
        <v>4.65E-2</v>
      </c>
      <c r="G40" s="27">
        <v>53.85</v>
      </c>
      <c r="H40" s="4">
        <f t="shared" si="2"/>
        <v>2.5040249999999999</v>
      </c>
    </row>
    <row r="41" spans="1:10" x14ac:dyDescent="0.25">
      <c r="A41" s="61"/>
      <c r="B41" s="62"/>
      <c r="C41" s="63"/>
      <c r="D41" s="1" t="s">
        <v>43</v>
      </c>
      <c r="E41" s="2"/>
      <c r="F41" s="3"/>
      <c r="G41" s="4"/>
      <c r="H41" s="4">
        <f>SUM(H36:H40)</f>
        <v>17.050825000000003</v>
      </c>
    </row>
    <row r="42" spans="1:10" x14ac:dyDescent="0.25">
      <c r="A42" s="57"/>
      <c r="B42" s="58"/>
      <c r="C42" s="64"/>
      <c r="D42" s="1" t="s">
        <v>114</v>
      </c>
      <c r="E42" s="2" t="s">
        <v>91</v>
      </c>
      <c r="F42" s="3">
        <v>100</v>
      </c>
      <c r="G42" s="4"/>
      <c r="H42" s="71">
        <f>+H41*(F42/100)</f>
        <v>17.050825000000003</v>
      </c>
    </row>
    <row r="43" spans="1:10" x14ac:dyDescent="0.25">
      <c r="A43" s="183"/>
      <c r="B43" s="184"/>
      <c r="C43" s="184"/>
      <c r="D43" s="184"/>
      <c r="E43" s="184"/>
      <c r="F43" s="184"/>
      <c r="G43" s="184"/>
      <c r="H43" s="185"/>
    </row>
    <row r="44" spans="1:10" ht="30" x14ac:dyDescent="0.25">
      <c r="A44" s="14" t="s">
        <v>24</v>
      </c>
      <c r="B44" s="72" t="s">
        <v>74</v>
      </c>
      <c r="C44" s="14" t="s">
        <v>67</v>
      </c>
      <c r="D44" s="21" t="s">
        <v>132</v>
      </c>
      <c r="E44" s="69" t="s">
        <v>38</v>
      </c>
      <c r="F44" s="70"/>
      <c r="G44" s="71"/>
      <c r="H44" s="71"/>
    </row>
    <row r="45" spans="1:10" x14ac:dyDescent="0.25">
      <c r="A45" s="55"/>
      <c r="B45" s="56"/>
      <c r="C45" s="16">
        <v>43055</v>
      </c>
      <c r="D45" s="1" t="s">
        <v>133</v>
      </c>
      <c r="E45" s="2" t="s">
        <v>112</v>
      </c>
      <c r="F45" s="24">
        <f>0.96*1.1</f>
        <v>1.056</v>
      </c>
      <c r="G45" s="53">
        <v>6.98</v>
      </c>
      <c r="H45" s="4">
        <f>+G45*F45</f>
        <v>7.3708800000000005</v>
      </c>
    </row>
    <row r="46" spans="1:10" x14ac:dyDescent="0.25">
      <c r="A46" s="61"/>
      <c r="B46" s="62"/>
      <c r="C46" s="16">
        <v>4257</v>
      </c>
      <c r="D46" s="1" t="s">
        <v>118</v>
      </c>
      <c r="E46" s="2" t="s">
        <v>106</v>
      </c>
      <c r="F46" s="24">
        <v>0.4</v>
      </c>
      <c r="G46" s="27">
        <v>28.52</v>
      </c>
      <c r="H46" s="4">
        <f t="shared" ref="H46:H49" si="3">+G46*F46</f>
        <v>11.408000000000001</v>
      </c>
    </row>
    <row r="47" spans="1:10" x14ac:dyDescent="0.25">
      <c r="A47" s="61"/>
      <c r="B47" s="62"/>
      <c r="C47" s="16">
        <v>4750</v>
      </c>
      <c r="D47" s="1" t="s">
        <v>113</v>
      </c>
      <c r="E47" s="2" t="s">
        <v>106</v>
      </c>
      <c r="F47" s="24">
        <v>0.4</v>
      </c>
      <c r="G47" s="27">
        <v>20.71</v>
      </c>
      <c r="H47" s="4">
        <f t="shared" si="3"/>
        <v>8.2840000000000007</v>
      </c>
    </row>
    <row r="48" spans="1:10" ht="30" x14ac:dyDescent="0.25">
      <c r="A48" s="61"/>
      <c r="B48" s="62"/>
      <c r="C48" s="16">
        <v>157</v>
      </c>
      <c r="D48" s="1" t="s">
        <v>117</v>
      </c>
      <c r="E48" s="2" t="s">
        <v>112</v>
      </c>
      <c r="F48" s="24">
        <v>0.56999999999999995</v>
      </c>
      <c r="G48" s="27">
        <v>157.16</v>
      </c>
      <c r="H48" s="4">
        <f t="shared" si="3"/>
        <v>89.581199999999995</v>
      </c>
    </row>
    <row r="49" spans="1:8" x14ac:dyDescent="0.25">
      <c r="A49" s="61"/>
      <c r="B49" s="62"/>
      <c r="C49" s="16">
        <v>4083</v>
      </c>
      <c r="D49" s="1" t="s">
        <v>109</v>
      </c>
      <c r="E49" s="2" t="s">
        <v>106</v>
      </c>
      <c r="F49" s="24">
        <v>0.2</v>
      </c>
      <c r="G49" s="27">
        <v>53.85</v>
      </c>
      <c r="H49" s="4">
        <f t="shared" si="3"/>
        <v>10.770000000000001</v>
      </c>
    </row>
    <row r="50" spans="1:8" x14ac:dyDescent="0.25">
      <c r="A50" s="61"/>
      <c r="B50" s="62"/>
      <c r="C50" s="63"/>
      <c r="D50" s="1" t="s">
        <v>43</v>
      </c>
      <c r="E50" s="2"/>
      <c r="F50" s="24"/>
      <c r="G50" s="3"/>
      <c r="H50" s="4">
        <f>SUM(H45:H49)</f>
        <v>127.41408</v>
      </c>
    </row>
    <row r="51" spans="1:8" x14ac:dyDescent="0.25">
      <c r="A51" s="57"/>
      <c r="B51" s="58"/>
      <c r="C51" s="64"/>
      <c r="D51" s="1" t="s">
        <v>114</v>
      </c>
      <c r="E51" s="2" t="s">
        <v>91</v>
      </c>
      <c r="F51" s="3">
        <v>100</v>
      </c>
      <c r="G51" s="3"/>
      <c r="H51" s="71">
        <f>+H50*(F51/100)</f>
        <v>127.41408</v>
      </c>
    </row>
    <row r="52" spans="1:8" x14ac:dyDescent="0.25">
      <c r="A52" s="183"/>
      <c r="B52" s="184"/>
      <c r="C52" s="184"/>
      <c r="D52" s="184"/>
      <c r="E52" s="184"/>
      <c r="F52" s="184"/>
      <c r="G52" s="184"/>
      <c r="H52" s="185"/>
    </row>
    <row r="53" spans="1:8" x14ac:dyDescent="0.25">
      <c r="A53" s="14">
        <v>3.1</v>
      </c>
      <c r="B53" s="72" t="s">
        <v>74</v>
      </c>
      <c r="C53" s="14" t="s">
        <v>8</v>
      </c>
      <c r="D53" s="21" t="s">
        <v>30</v>
      </c>
      <c r="E53" s="69" t="s">
        <v>36</v>
      </c>
      <c r="F53" s="70"/>
      <c r="G53" s="71"/>
      <c r="H53" s="71"/>
    </row>
    <row r="54" spans="1:8" x14ac:dyDescent="0.25">
      <c r="A54" s="55"/>
      <c r="B54" s="56"/>
      <c r="C54" s="16" t="s">
        <v>110</v>
      </c>
      <c r="D54" s="1" t="s">
        <v>115</v>
      </c>
      <c r="E54" s="2" t="s">
        <v>96</v>
      </c>
      <c r="F54" s="3">
        <v>0.1115</v>
      </c>
      <c r="G54" s="4">
        <v>65</v>
      </c>
      <c r="H54" s="4">
        <f>+G54*F54</f>
        <v>7.2475000000000005</v>
      </c>
    </row>
    <row r="55" spans="1:8" x14ac:dyDescent="0.25">
      <c r="A55" s="61"/>
      <c r="B55" s="62"/>
      <c r="C55" s="16">
        <v>6111</v>
      </c>
      <c r="D55" s="1" t="s">
        <v>105</v>
      </c>
      <c r="E55" s="2" t="s">
        <v>106</v>
      </c>
      <c r="F55" s="19">
        <v>2.5</v>
      </c>
      <c r="G55" s="4">
        <v>16.28</v>
      </c>
      <c r="H55" s="4">
        <f t="shared" ref="H55:H58" si="4">+G55*F55</f>
        <v>40.700000000000003</v>
      </c>
    </row>
    <row r="56" spans="1:8" x14ac:dyDescent="0.25">
      <c r="A56" s="61"/>
      <c r="B56" s="62"/>
      <c r="C56" s="16">
        <v>4083</v>
      </c>
      <c r="D56" s="1" t="s">
        <v>109</v>
      </c>
      <c r="E56" s="2" t="s">
        <v>106</v>
      </c>
      <c r="F56" s="19">
        <v>0.1</v>
      </c>
      <c r="G56" s="27">
        <v>53.85</v>
      </c>
      <c r="H56" s="4">
        <f t="shared" si="4"/>
        <v>5.3850000000000007</v>
      </c>
    </row>
    <row r="57" spans="1:8" x14ac:dyDescent="0.25">
      <c r="A57" s="61"/>
      <c r="B57" s="62"/>
      <c r="C57" s="16">
        <v>38400</v>
      </c>
      <c r="D57" s="1" t="s">
        <v>116</v>
      </c>
      <c r="E57" s="2" t="s">
        <v>96</v>
      </c>
      <c r="F57" s="19">
        <v>0.03</v>
      </c>
      <c r="G57" s="4">
        <v>22.41</v>
      </c>
      <c r="H57" s="4">
        <f t="shared" si="4"/>
        <v>0.67230000000000001</v>
      </c>
    </row>
    <row r="58" spans="1:8" x14ac:dyDescent="0.25">
      <c r="A58" s="61"/>
      <c r="B58" s="62"/>
      <c r="C58" s="16">
        <v>37526</v>
      </c>
      <c r="D58" s="1" t="s">
        <v>104</v>
      </c>
      <c r="E58" s="2" t="s">
        <v>96</v>
      </c>
      <c r="F58" s="3">
        <v>0.25</v>
      </c>
      <c r="G58" s="4">
        <v>3.55</v>
      </c>
      <c r="H58" s="4">
        <f t="shared" si="4"/>
        <v>0.88749999999999996</v>
      </c>
    </row>
    <row r="59" spans="1:8" x14ac:dyDescent="0.25">
      <c r="A59" s="61"/>
      <c r="B59" s="62"/>
      <c r="C59" s="63"/>
      <c r="D59" s="1" t="s">
        <v>43</v>
      </c>
      <c r="E59" s="2"/>
      <c r="F59" s="3"/>
      <c r="G59" s="4"/>
      <c r="H59" s="4">
        <f>SUM(H54:H58)</f>
        <v>54.892300000000006</v>
      </c>
    </row>
    <row r="60" spans="1:8" x14ac:dyDescent="0.25">
      <c r="A60" s="57"/>
      <c r="B60" s="58"/>
      <c r="C60" s="64"/>
      <c r="D60" s="1" t="s">
        <v>90</v>
      </c>
      <c r="E60" s="2" t="s">
        <v>91</v>
      </c>
      <c r="F60" s="3">
        <v>100</v>
      </c>
      <c r="G60" s="4"/>
      <c r="H60" s="71">
        <f>+H59*(F60/100)</f>
        <v>54.892300000000006</v>
      </c>
    </row>
    <row r="61" spans="1:8" x14ac:dyDescent="0.25">
      <c r="A61" s="183"/>
      <c r="B61" s="184"/>
      <c r="C61" s="184"/>
      <c r="D61" s="184"/>
      <c r="E61" s="184"/>
      <c r="F61" s="184"/>
      <c r="G61" s="184"/>
      <c r="H61" s="185"/>
    </row>
    <row r="62" spans="1:8" x14ac:dyDescent="0.25">
      <c r="A62" s="14">
        <v>3.2</v>
      </c>
      <c r="B62" s="72" t="s">
        <v>74</v>
      </c>
      <c r="C62" s="14" t="s">
        <v>8</v>
      </c>
      <c r="D62" s="21" t="s">
        <v>75</v>
      </c>
      <c r="E62" s="69" t="s">
        <v>73</v>
      </c>
      <c r="F62" s="70"/>
      <c r="G62" s="71"/>
      <c r="H62" s="71"/>
    </row>
    <row r="63" spans="1:8" x14ac:dyDescent="0.25">
      <c r="A63" s="55"/>
      <c r="B63" s="65"/>
      <c r="C63" s="17" t="s">
        <v>110</v>
      </c>
      <c r="D63" s="1" t="s">
        <v>97</v>
      </c>
      <c r="E63" s="2" t="s">
        <v>92</v>
      </c>
      <c r="F63" s="3">
        <v>2</v>
      </c>
      <c r="G63" s="4">
        <v>250</v>
      </c>
      <c r="H63" s="4">
        <f>+G63*F63</f>
        <v>500</v>
      </c>
    </row>
    <row r="64" spans="1:8" x14ac:dyDescent="0.25">
      <c r="A64" s="61"/>
      <c r="B64" s="66"/>
      <c r="C64" s="17" t="s">
        <v>110</v>
      </c>
      <c r="D64" s="1" t="s">
        <v>93</v>
      </c>
      <c r="E64" s="2" t="s">
        <v>94</v>
      </c>
      <c r="F64" s="3">
        <v>120</v>
      </c>
      <c r="G64" s="4">
        <v>18.95</v>
      </c>
      <c r="H64" s="4">
        <f t="shared" ref="H64:H66" si="5">+G64*F64</f>
        <v>2274</v>
      </c>
    </row>
    <row r="65" spans="1:8" x14ac:dyDescent="0.25">
      <c r="A65" s="61"/>
      <c r="B65" s="66"/>
      <c r="C65" s="17" t="s">
        <v>110</v>
      </c>
      <c r="D65" s="1" t="s">
        <v>95</v>
      </c>
      <c r="E65" s="2" t="s">
        <v>96</v>
      </c>
      <c r="F65" s="3">
        <v>3</v>
      </c>
      <c r="G65" s="4">
        <v>25</v>
      </c>
      <c r="H65" s="4">
        <f t="shared" si="5"/>
        <v>75</v>
      </c>
    </row>
    <row r="66" spans="1:8" x14ac:dyDescent="0.25">
      <c r="A66" s="61"/>
      <c r="B66" s="66"/>
      <c r="C66" s="17" t="s">
        <v>110</v>
      </c>
      <c r="D66" s="1" t="s">
        <v>98</v>
      </c>
      <c r="E66" s="2" t="s">
        <v>92</v>
      </c>
      <c r="F66" s="3">
        <v>1</v>
      </c>
      <c r="G66" s="4">
        <v>150</v>
      </c>
      <c r="H66" s="4">
        <f t="shared" si="5"/>
        <v>150</v>
      </c>
    </row>
    <row r="67" spans="1:8" x14ac:dyDescent="0.25">
      <c r="A67" s="61"/>
      <c r="B67" s="66"/>
      <c r="C67" s="63"/>
      <c r="D67" s="1" t="s">
        <v>43</v>
      </c>
      <c r="E67" s="2"/>
      <c r="F67" s="3"/>
      <c r="G67" s="4"/>
      <c r="H67" s="4">
        <f>SUM(H63:H66)</f>
        <v>2999</v>
      </c>
    </row>
    <row r="68" spans="1:8" x14ac:dyDescent="0.25">
      <c r="A68" s="57"/>
      <c r="B68" s="67"/>
      <c r="C68" s="64"/>
      <c r="D68" s="1" t="s">
        <v>114</v>
      </c>
      <c r="E68" s="2" t="s">
        <v>91</v>
      </c>
      <c r="F68" s="3">
        <v>100</v>
      </c>
      <c r="G68" s="4"/>
      <c r="H68" s="71">
        <f>+H67*(F68/100)</f>
        <v>2999</v>
      </c>
    </row>
    <row r="69" spans="1:8" x14ac:dyDescent="0.25">
      <c r="G69" s="15"/>
    </row>
    <row r="70" spans="1:8" x14ac:dyDescent="0.25">
      <c r="A70" t="str">
        <f>Orçamento!A62</f>
        <v>Igrejinha, 29 de junho de 2024</v>
      </c>
      <c r="G70" s="15"/>
    </row>
    <row r="71" spans="1:8" ht="81" customHeight="1" x14ac:dyDescent="0.25">
      <c r="G71" s="15"/>
    </row>
    <row r="72" spans="1:8" x14ac:dyDescent="0.25">
      <c r="E72" s="15" t="s">
        <v>48</v>
      </c>
      <c r="G72" s="15"/>
    </row>
    <row r="73" spans="1:8" x14ac:dyDescent="0.25">
      <c r="E73" s="15" t="s">
        <v>52</v>
      </c>
    </row>
    <row r="74" spans="1:8" x14ac:dyDescent="0.25">
      <c r="E74" s="15" t="s">
        <v>53</v>
      </c>
    </row>
    <row r="75" spans="1:8" x14ac:dyDescent="0.25">
      <c r="E75" s="15" t="s">
        <v>54</v>
      </c>
    </row>
  </sheetData>
  <mergeCells count="19">
    <mergeCell ref="C10:C11"/>
    <mergeCell ref="D10:D11"/>
    <mergeCell ref="E10:E11"/>
    <mergeCell ref="A61:H61"/>
    <mergeCell ref="A19:H19"/>
    <mergeCell ref="A27:H27"/>
    <mergeCell ref="A34:H34"/>
    <mergeCell ref="A43:H43"/>
    <mergeCell ref="A52:H52"/>
    <mergeCell ref="H10:H11"/>
    <mergeCell ref="F10:F11"/>
    <mergeCell ref="G10:G11"/>
    <mergeCell ref="A10:A11"/>
    <mergeCell ref="B10:B11"/>
    <mergeCell ref="A1:H1"/>
    <mergeCell ref="A2:H2"/>
    <mergeCell ref="A3:H3"/>
    <mergeCell ref="A4:H4"/>
    <mergeCell ref="A8:H8"/>
  </mergeCells>
  <pageMargins left="0.511811024" right="0.511811024" top="0.78740157499999996" bottom="0.78740157499999996" header="0.31496062000000002" footer="0.31496062000000002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Orçamento - Nathaniel</vt:lpstr>
      <vt:lpstr>Orçamento</vt:lpstr>
      <vt:lpstr>Cronograma</vt:lpstr>
      <vt:lpstr>BDI SERVIÇOS</vt:lpstr>
      <vt:lpstr>Composições</vt:lpstr>
      <vt:lpstr>'BDI SERVIÇOS'!Area_de_impressao</vt:lpstr>
      <vt:lpstr>Cronograma!Area_de_impressao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Financeiro</dc:creator>
  <cp:lastModifiedBy>Alessandra Regina De Azambuja</cp:lastModifiedBy>
  <cp:lastPrinted>2025-03-25T19:56:15Z</cp:lastPrinted>
  <dcterms:created xsi:type="dcterms:W3CDTF">2024-04-11T17:10:39Z</dcterms:created>
  <dcterms:modified xsi:type="dcterms:W3CDTF">2025-03-25T19:57:28Z</dcterms:modified>
</cp:coreProperties>
</file>