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EP. ENGENHARIA ELÉTRICOS\Ano 2026\"/>
    </mc:Choice>
  </mc:AlternateContent>
  <bookViews>
    <workbookView xWindow="-105" yWindow="-105" windowWidth="23250" windowHeight="12570" tabRatio="500"/>
  </bookViews>
  <sheets>
    <sheet name="Orçamento" sheetId="1" r:id="rId1"/>
    <sheet name="Cronograma" sheetId="2" r:id="rId2"/>
    <sheet name="Composições" sheetId="5" r:id="rId3"/>
    <sheet name="composições sem BDI" sheetId="6" r:id="rId4"/>
    <sheet name="CRONOGRAMA (em construção)" sheetId="4" state="hidden" r:id="rId5"/>
  </sheets>
  <externalReferences>
    <externalReference r:id="rId6"/>
  </externalReferences>
  <calcPr calcId="162913"/>
</workbook>
</file>

<file path=xl/calcChain.xml><?xml version="1.0" encoding="utf-8"?>
<calcChain xmlns="http://schemas.openxmlformats.org/spreadsheetml/2006/main">
  <c r="H112" i="6" l="1"/>
  <c r="K111" i="6"/>
  <c r="H111" i="6"/>
  <c r="H110" i="6"/>
  <c r="H109" i="6"/>
  <c r="K108" i="6"/>
  <c r="H108" i="6"/>
  <c r="H105" i="6"/>
  <c r="H104" i="6"/>
  <c r="H103" i="6"/>
  <c r="H102" i="6"/>
  <c r="K101" i="6"/>
  <c r="H101" i="6"/>
  <c r="H98" i="6"/>
  <c r="K97" i="6"/>
  <c r="H97" i="6"/>
  <c r="H96" i="6"/>
  <c r="K95" i="6"/>
  <c r="H95" i="6"/>
  <c r="H92" i="6"/>
  <c r="K91" i="6"/>
  <c r="H91" i="6"/>
  <c r="H90" i="6"/>
  <c r="K89" i="6"/>
  <c r="H89" i="6"/>
  <c r="H86" i="6"/>
  <c r="K85" i="6"/>
  <c r="H85" i="6"/>
  <c r="H84" i="6"/>
  <c r="K83" i="6"/>
  <c r="H83" i="6"/>
  <c r="H80" i="6"/>
  <c r="K79" i="6"/>
  <c r="H79" i="6"/>
  <c r="H78" i="6"/>
  <c r="K77" i="6"/>
  <c r="H77" i="6"/>
  <c r="H74" i="6"/>
  <c r="K73" i="6"/>
  <c r="H73" i="6"/>
  <c r="H72" i="6"/>
  <c r="K71" i="6"/>
  <c r="H71" i="6"/>
  <c r="H68" i="6"/>
  <c r="H67" i="6"/>
  <c r="H66" i="6"/>
  <c r="K65" i="6"/>
  <c r="H65" i="6"/>
  <c r="K64" i="6"/>
  <c r="H64" i="6"/>
  <c r="H61" i="6"/>
  <c r="K60" i="6"/>
  <c r="H60" i="6"/>
  <c r="H59" i="6"/>
  <c r="K58" i="6"/>
  <c r="H58" i="6"/>
  <c r="H55" i="6"/>
  <c r="H54" i="6"/>
  <c r="K53" i="6"/>
  <c r="H53" i="6"/>
  <c r="K52" i="6"/>
  <c r="H52" i="6"/>
  <c r="H49" i="6"/>
  <c r="K48" i="6"/>
  <c r="H48" i="6"/>
  <c r="H47" i="6"/>
  <c r="H46" i="6"/>
  <c r="H43" i="6"/>
  <c r="K42" i="6"/>
  <c r="H42" i="6"/>
  <c r="H41" i="6"/>
  <c r="H40" i="6"/>
  <c r="H37" i="6"/>
  <c r="K36" i="6"/>
  <c r="H36" i="6"/>
  <c r="H35" i="6"/>
  <c r="H34" i="6"/>
  <c r="H31" i="6"/>
  <c r="H30" i="6"/>
  <c r="H29" i="6"/>
  <c r="H28" i="6"/>
  <c r="H25" i="6"/>
  <c r="K24" i="6"/>
  <c r="H24" i="6"/>
  <c r="H23" i="6"/>
  <c r="K22" i="6"/>
  <c r="H22" i="6"/>
  <c r="K21" i="6"/>
  <c r="H21" i="6"/>
  <c r="H18" i="6"/>
  <c r="H17" i="6"/>
  <c r="H16" i="6"/>
  <c r="H15" i="6"/>
  <c r="H14" i="6"/>
  <c r="H13" i="6"/>
  <c r="H12" i="6"/>
  <c r="J110" i="5"/>
  <c r="J111" i="5"/>
  <c r="J112" i="5"/>
  <c r="I110" i="5"/>
  <c r="I111" i="5"/>
  <c r="I112" i="5"/>
  <c r="H110" i="5"/>
  <c r="H111" i="5"/>
  <c r="J103" i="5"/>
  <c r="J104" i="5"/>
  <c r="J105" i="5"/>
  <c r="I103" i="5"/>
  <c r="I104" i="5"/>
  <c r="I105" i="5"/>
  <c r="H103" i="5"/>
  <c r="H104" i="5"/>
  <c r="H105" i="5"/>
  <c r="H113" i="5"/>
  <c r="I113" i="5" s="1"/>
  <c r="J113" i="5" s="1"/>
  <c r="N112" i="5"/>
  <c r="H112" i="5"/>
  <c r="N109" i="5"/>
  <c r="H109" i="5"/>
  <c r="I109" i="5" s="1"/>
  <c r="H106" i="5"/>
  <c r="N102" i="5"/>
  <c r="H102" i="5"/>
  <c r="H99" i="5"/>
  <c r="N98" i="5"/>
  <c r="H98" i="5"/>
  <c r="H97" i="5"/>
  <c r="N96" i="5"/>
  <c r="H96" i="5"/>
  <c r="H93" i="5"/>
  <c r="I93" i="5" s="1"/>
  <c r="J93" i="5" s="1"/>
  <c r="N92" i="5"/>
  <c r="H92" i="5"/>
  <c r="I92" i="5" s="1"/>
  <c r="J92" i="5" s="1"/>
  <c r="H91" i="5"/>
  <c r="N90" i="5"/>
  <c r="H90" i="5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M23" i="1"/>
  <c r="I23" i="1"/>
  <c r="H23" i="1"/>
  <c r="M22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I31" i="1" s="1"/>
  <c r="H15" i="1"/>
  <c r="H87" i="5"/>
  <c r="I87" i="5" s="1"/>
  <c r="N86" i="5"/>
  <c r="H86" i="5"/>
  <c r="I86" i="5" s="1"/>
  <c r="H85" i="5"/>
  <c r="N84" i="5"/>
  <c r="H84" i="5"/>
  <c r="I84" i="5" s="1"/>
  <c r="H81" i="5"/>
  <c r="I81" i="5" s="1"/>
  <c r="J81" i="5" s="1"/>
  <c r="N80" i="5"/>
  <c r="H80" i="5"/>
  <c r="I80" i="5" s="1"/>
  <c r="J80" i="5" s="1"/>
  <c r="H79" i="5"/>
  <c r="I79" i="5" s="1"/>
  <c r="N78" i="5"/>
  <c r="H78" i="5"/>
  <c r="I78" i="5" s="1"/>
  <c r="H75" i="5"/>
  <c r="I75" i="5" s="1"/>
  <c r="J75" i="5" s="1"/>
  <c r="N74" i="5"/>
  <c r="H74" i="5"/>
  <c r="H73" i="5"/>
  <c r="I73" i="5" s="1"/>
  <c r="J73" i="5" s="1"/>
  <c r="N72" i="5"/>
  <c r="H72" i="5"/>
  <c r="I72" i="5" s="1"/>
  <c r="J72" i="5" s="1"/>
  <c r="H69" i="5"/>
  <c r="H68" i="5"/>
  <c r="I68" i="5" s="1"/>
  <c r="J68" i="5" s="1"/>
  <c r="H67" i="5"/>
  <c r="I67" i="5" s="1"/>
  <c r="J67" i="5" s="1"/>
  <c r="N66" i="5"/>
  <c r="H66" i="5"/>
  <c r="I66" i="5" s="1"/>
  <c r="J66" i="5" s="1"/>
  <c r="N65" i="5"/>
  <c r="H65" i="5"/>
  <c r="I65" i="5" s="1"/>
  <c r="H62" i="5"/>
  <c r="N61" i="5"/>
  <c r="H61" i="5"/>
  <c r="I61" i="5" s="1"/>
  <c r="H60" i="5"/>
  <c r="I60" i="5" s="1"/>
  <c r="J60" i="5" s="1"/>
  <c r="N59" i="5"/>
  <c r="H59" i="5"/>
  <c r="I59" i="5" s="1"/>
  <c r="H56" i="5"/>
  <c r="I56" i="5" s="1"/>
  <c r="H55" i="5"/>
  <c r="N54" i="5"/>
  <c r="H54" i="5"/>
  <c r="N53" i="5"/>
  <c r="H53" i="5"/>
  <c r="I53" i="5" s="1"/>
  <c r="H50" i="5"/>
  <c r="I50" i="5" s="1"/>
  <c r="J50" i="5" s="1"/>
  <c r="N49" i="5"/>
  <c r="H49" i="5"/>
  <c r="I49" i="5" s="1"/>
  <c r="J49" i="5" s="1"/>
  <c r="H48" i="5"/>
  <c r="I48" i="5" s="1"/>
  <c r="H47" i="5"/>
  <c r="I47" i="5" s="1"/>
  <c r="H44" i="5"/>
  <c r="I44" i="5" s="1"/>
  <c r="J44" i="5" s="1"/>
  <c r="N43" i="5"/>
  <c r="H43" i="5"/>
  <c r="I43" i="5" s="1"/>
  <c r="J43" i="5" s="1"/>
  <c r="H42" i="5"/>
  <c r="I42" i="5" s="1"/>
  <c r="H41" i="5"/>
  <c r="H38" i="5"/>
  <c r="I38" i="5" s="1"/>
  <c r="J38" i="5" s="1"/>
  <c r="N37" i="5"/>
  <c r="H37" i="5"/>
  <c r="I37" i="5" s="1"/>
  <c r="J37" i="5" s="1"/>
  <c r="H36" i="5"/>
  <c r="I36" i="5" s="1"/>
  <c r="H35" i="5"/>
  <c r="H32" i="5"/>
  <c r="I32" i="5" s="1"/>
  <c r="J32" i="5" s="1"/>
  <c r="H31" i="5"/>
  <c r="I31" i="5" s="1"/>
  <c r="H30" i="5"/>
  <c r="H29" i="5"/>
  <c r="I29" i="5" s="1"/>
  <c r="H26" i="5"/>
  <c r="I26" i="5" s="1"/>
  <c r="N25" i="5"/>
  <c r="H25" i="5"/>
  <c r="I25" i="5" s="1"/>
  <c r="H24" i="5"/>
  <c r="N23" i="5"/>
  <c r="H23" i="5"/>
  <c r="N22" i="5"/>
  <c r="H22" i="5"/>
  <c r="H19" i="5"/>
  <c r="I19" i="5" s="1"/>
  <c r="J19" i="5" s="1"/>
  <c r="H18" i="5"/>
  <c r="I18" i="5" s="1"/>
  <c r="H17" i="5"/>
  <c r="H16" i="5"/>
  <c r="I16" i="5" s="1"/>
  <c r="J16" i="5" s="1"/>
  <c r="H15" i="5"/>
  <c r="I15" i="5" s="1"/>
  <c r="J15" i="5" s="1"/>
  <c r="H14" i="5"/>
  <c r="I14" i="5" s="1"/>
  <c r="H13" i="5"/>
  <c r="C10" i="2"/>
  <c r="E10" i="2" s="1"/>
  <c r="D14" i="2"/>
  <c r="C20" i="2"/>
  <c r="D21" i="2" s="1"/>
  <c r="C22" i="2"/>
  <c r="B2" i="2"/>
  <c r="B4" i="2"/>
  <c r="B8" i="2"/>
  <c r="B10" i="2"/>
  <c r="B12" i="2"/>
  <c r="B14" i="2"/>
  <c r="E14" i="2"/>
  <c r="B16" i="2"/>
  <c r="B18" i="2"/>
  <c r="B20" i="2"/>
  <c r="B22" i="2"/>
  <c r="H56" i="6" l="1"/>
  <c r="H93" i="6"/>
  <c r="H38" i="6"/>
  <c r="H26" i="6"/>
  <c r="H32" i="6"/>
  <c r="H69" i="6"/>
  <c r="H87" i="6"/>
  <c r="H99" i="6"/>
  <c r="H44" i="6"/>
  <c r="H50" i="6"/>
  <c r="H62" i="6"/>
  <c r="H75" i="6"/>
  <c r="H19" i="6"/>
  <c r="H81" i="6"/>
  <c r="H106" i="6"/>
  <c r="H113" i="6"/>
  <c r="H27" i="5"/>
  <c r="H70" i="5"/>
  <c r="H107" i="5"/>
  <c r="I114" i="5"/>
  <c r="J109" i="5"/>
  <c r="H114" i="5"/>
  <c r="I106" i="5"/>
  <c r="J106" i="5" s="1"/>
  <c r="I102" i="5"/>
  <c r="H100" i="5"/>
  <c r="I98" i="5"/>
  <c r="J98" i="5" s="1"/>
  <c r="I99" i="5"/>
  <c r="J99" i="5" s="1"/>
  <c r="I96" i="5"/>
  <c r="I97" i="5"/>
  <c r="J97" i="5" s="1"/>
  <c r="H94" i="5"/>
  <c r="I90" i="5"/>
  <c r="J90" i="5" s="1"/>
  <c r="I91" i="5"/>
  <c r="J91" i="5" s="1"/>
  <c r="H31" i="1"/>
  <c r="I85" i="5"/>
  <c r="J85" i="5" s="1"/>
  <c r="I55" i="5"/>
  <c r="J55" i="5" s="1"/>
  <c r="H76" i="5"/>
  <c r="I51" i="5"/>
  <c r="H63" i="5"/>
  <c r="H88" i="5"/>
  <c r="J47" i="5"/>
  <c r="H57" i="5"/>
  <c r="I54" i="5"/>
  <c r="J54" i="5" s="1"/>
  <c r="J61" i="5"/>
  <c r="I62" i="5"/>
  <c r="J62" i="5" s="1"/>
  <c r="I69" i="5"/>
  <c r="J69" i="5" s="1"/>
  <c r="J29" i="5"/>
  <c r="J59" i="5"/>
  <c r="I82" i="5"/>
  <c r="I88" i="5"/>
  <c r="I13" i="5"/>
  <c r="J14" i="5"/>
  <c r="I17" i="5"/>
  <c r="J17" i="5" s="1"/>
  <c r="J18" i="5"/>
  <c r="H20" i="5"/>
  <c r="I22" i="5"/>
  <c r="I23" i="5"/>
  <c r="J23" i="5" s="1"/>
  <c r="I24" i="5"/>
  <c r="J24" i="5" s="1"/>
  <c r="J25" i="5"/>
  <c r="J26" i="5"/>
  <c r="I30" i="5"/>
  <c r="I33" i="5" s="1"/>
  <c r="J31" i="5"/>
  <c r="H33" i="5"/>
  <c r="I35" i="5"/>
  <c r="I39" i="5" s="1"/>
  <c r="J36" i="5"/>
  <c r="H39" i="5"/>
  <c r="I41" i="5"/>
  <c r="I45" i="5" s="1"/>
  <c r="J42" i="5"/>
  <c r="H45" i="5"/>
  <c r="J48" i="5"/>
  <c r="H51" i="5"/>
  <c r="J56" i="5"/>
  <c r="J78" i="5"/>
  <c r="J79" i="5"/>
  <c r="H82" i="5"/>
  <c r="J86" i="5"/>
  <c r="J87" i="5"/>
  <c r="J22" i="5"/>
  <c r="J53" i="5"/>
  <c r="I74" i="5"/>
  <c r="J74" i="5" s="1"/>
  <c r="J76" i="5" s="1"/>
  <c r="J84" i="5"/>
  <c r="J65" i="5"/>
  <c r="F22" i="2"/>
  <c r="F23" i="2" s="1"/>
  <c r="D23" i="2"/>
  <c r="D8" i="2"/>
  <c r="E8" i="2"/>
  <c r="C8" i="2"/>
  <c r="E23" i="2"/>
  <c r="F20" i="2"/>
  <c r="F21" i="2" s="1"/>
  <c r="E11" i="2"/>
  <c r="D11" i="2"/>
  <c r="E21" i="2"/>
  <c r="F10" i="2"/>
  <c r="I107" i="5" l="1"/>
  <c r="J30" i="5"/>
  <c r="J33" i="5" s="1"/>
  <c r="I20" i="5"/>
  <c r="J114" i="5"/>
  <c r="J102" i="5"/>
  <c r="J107" i="5" s="1"/>
  <c r="I100" i="5"/>
  <c r="J96" i="5"/>
  <c r="J100" i="5" s="1"/>
  <c r="J70" i="5"/>
  <c r="J51" i="5"/>
  <c r="I70" i="5"/>
  <c r="J94" i="5"/>
  <c r="I94" i="5"/>
  <c r="J57" i="5"/>
  <c r="J88" i="5"/>
  <c r="J63" i="5"/>
  <c r="I57" i="5"/>
  <c r="I63" i="5"/>
  <c r="J27" i="5"/>
  <c r="J82" i="5"/>
  <c r="J13" i="5"/>
  <c r="J20" i="5" s="1"/>
  <c r="I76" i="5"/>
  <c r="I27" i="5"/>
  <c r="J35" i="5"/>
  <c r="J39" i="5" s="1"/>
  <c r="J41" i="5"/>
  <c r="J45" i="5" s="1"/>
  <c r="D9" i="2"/>
  <c r="E9" i="2"/>
  <c r="F8" i="2"/>
  <c r="F9" i="2" s="1"/>
  <c r="C18" i="2"/>
  <c r="E18" i="2"/>
  <c r="E19" i="2" s="1"/>
  <c r="C16" i="2"/>
  <c r="F16" i="2"/>
  <c r="C14" i="2"/>
  <c r="F11" i="2"/>
  <c r="D17" i="2" l="1"/>
  <c r="E17" i="2"/>
  <c r="E15" i="2"/>
  <c r="D15" i="2"/>
  <c r="F14" i="2"/>
  <c r="C12" i="2"/>
  <c r="D12" i="2"/>
  <c r="D19" i="2"/>
  <c r="F18" i="2"/>
  <c r="F19" i="2" s="1"/>
  <c r="F17" i="2"/>
  <c r="D13" i="2" l="1"/>
  <c r="D25" i="2"/>
  <c r="D27" i="2" s="1"/>
  <c r="F13" i="2"/>
  <c r="E12" i="2"/>
  <c r="C25" i="2"/>
  <c r="F15" i="2"/>
  <c r="F25" i="2"/>
  <c r="C48" i="4"/>
  <c r="K45" i="4"/>
  <c r="K46" i="4" s="1"/>
  <c r="K43" i="4"/>
  <c r="K44" i="4" s="1"/>
  <c r="J43" i="4"/>
  <c r="J44" i="4" s="1"/>
  <c r="K41" i="4"/>
  <c r="K42" i="4" s="1"/>
  <c r="J41" i="4"/>
  <c r="J42" i="4" s="1"/>
  <c r="I39" i="4"/>
  <c r="I40" i="4" s="1"/>
  <c r="H39" i="4"/>
  <c r="H40" i="4" s="1"/>
  <c r="G39" i="4"/>
  <c r="G40" i="4" s="1"/>
  <c r="K37" i="4"/>
  <c r="K38" i="4" s="1"/>
  <c r="J37" i="4"/>
  <c r="J38" i="4" s="1"/>
  <c r="J35" i="4"/>
  <c r="J36" i="4" s="1"/>
  <c r="I35" i="4"/>
  <c r="I36" i="4" s="1"/>
  <c r="H35" i="4"/>
  <c r="H36" i="4" s="1"/>
  <c r="G35" i="4"/>
  <c r="G36" i="4" s="1"/>
  <c r="K33" i="4"/>
  <c r="J33" i="4"/>
  <c r="J34" i="4" s="1"/>
  <c r="J31" i="4"/>
  <c r="J32" i="4" s="1"/>
  <c r="I31" i="4"/>
  <c r="I32" i="4" s="1"/>
  <c r="H31" i="4"/>
  <c r="H32" i="4" s="1"/>
  <c r="G31" i="4"/>
  <c r="G32" i="4" s="1"/>
  <c r="F31" i="4"/>
  <c r="F32" i="4" s="1"/>
  <c r="J29" i="4"/>
  <c r="J30" i="4" s="1"/>
  <c r="I29" i="4"/>
  <c r="I30" i="4" s="1"/>
  <c r="H29" i="4"/>
  <c r="H30" i="4" s="1"/>
  <c r="J27" i="4"/>
  <c r="J28" i="4" s="1"/>
  <c r="I27" i="4"/>
  <c r="I28" i="4" s="1"/>
  <c r="J25" i="4"/>
  <c r="J26" i="4" s="1"/>
  <c r="I25" i="4"/>
  <c r="I26" i="4" s="1"/>
  <c r="H25" i="4"/>
  <c r="H26" i="4" s="1"/>
  <c r="I23" i="4"/>
  <c r="I24" i="4" s="1"/>
  <c r="H23" i="4"/>
  <c r="H24" i="4" s="1"/>
  <c r="G23" i="4"/>
  <c r="G24" i="4" s="1"/>
  <c r="F23" i="4"/>
  <c r="F24" i="4" s="1"/>
  <c r="I21" i="4"/>
  <c r="I22" i="4" s="1"/>
  <c r="H21" i="4"/>
  <c r="H22" i="4" s="1"/>
  <c r="J19" i="4"/>
  <c r="J20" i="4" s="1"/>
  <c r="I19" i="4"/>
  <c r="I20" i="4" s="1"/>
  <c r="H19" i="4"/>
  <c r="H20" i="4" s="1"/>
  <c r="G19" i="4"/>
  <c r="G20" i="4" s="1"/>
  <c r="J17" i="4"/>
  <c r="J48" i="4" s="1"/>
  <c r="I17" i="4"/>
  <c r="I48" i="4" s="1"/>
  <c r="H17" i="4"/>
  <c r="H18" i="4" s="1"/>
  <c r="G17" i="4"/>
  <c r="G18" i="4" s="1"/>
  <c r="H15" i="4"/>
  <c r="H48" i="4" s="1"/>
  <c r="G15" i="4"/>
  <c r="G48" i="4" s="1"/>
  <c r="F15" i="4"/>
  <c r="F16" i="4" s="1"/>
  <c r="F13" i="4"/>
  <c r="E13" i="4"/>
  <c r="E14" i="4" s="1"/>
  <c r="E11" i="4"/>
  <c r="E12" i="4" s="1"/>
  <c r="D11" i="4"/>
  <c r="D12" i="4" s="1"/>
  <c r="E9" i="4"/>
  <c r="D9" i="4"/>
  <c r="D10" i="4" s="1"/>
  <c r="D7" i="4"/>
  <c r="D48" i="4" s="1"/>
  <c r="F27" i="2" l="1"/>
  <c r="E13" i="2"/>
  <c r="E25" i="2"/>
  <c r="E27" i="2" s="1"/>
  <c r="J50" i="4"/>
  <c r="G50" i="4"/>
  <c r="H50" i="4"/>
  <c r="D50" i="4"/>
  <c r="I50" i="4"/>
  <c r="G16" i="4"/>
  <c r="H16" i="4"/>
  <c r="D8" i="4"/>
  <c r="I18" i="4"/>
  <c r="J18" i="4"/>
  <c r="E10" i="4"/>
  <c r="E48" i="4"/>
  <c r="E50" i="4" s="1"/>
  <c r="F48" i="4"/>
  <c r="F50" i="4" s="1"/>
  <c r="F14" i="4"/>
  <c r="K48" i="4"/>
  <c r="K50" i="4" s="1"/>
  <c r="K34" i="4"/>
  <c r="C50" i="4"/>
  <c r="C27" i="2" l="1"/>
</calcChain>
</file>

<file path=xl/sharedStrings.xml><?xml version="1.0" encoding="utf-8"?>
<sst xmlns="http://schemas.openxmlformats.org/spreadsheetml/2006/main" count="686" uniqueCount="238">
  <si>
    <t>PLANILHA ORÇAMENTÁRIA ESTIMATIVA</t>
  </si>
  <si>
    <t>COD.</t>
  </si>
  <si>
    <t>SINAPI</t>
  </si>
  <si>
    <t>DISCRIMINAÇÃO</t>
  </si>
  <si>
    <t>UNID.</t>
  </si>
  <si>
    <t>QUANT.</t>
  </si>
  <si>
    <t>CUSTO</t>
  </si>
  <si>
    <t>B.D.I.</t>
  </si>
  <si>
    <t>PREÇO</t>
  </si>
  <si>
    <t>TOTAL</t>
  </si>
  <si>
    <t>1.1</t>
  </si>
  <si>
    <t>m³</t>
  </si>
  <si>
    <t>1.2</t>
  </si>
  <si>
    <t>m</t>
  </si>
  <si>
    <t>2.1</t>
  </si>
  <si>
    <t>2.2</t>
  </si>
  <si>
    <t>2.3</t>
  </si>
  <si>
    <t>COBERTURA</t>
  </si>
  <si>
    <t>3.1</t>
  </si>
  <si>
    <t>3.2</t>
  </si>
  <si>
    <t>3.3</t>
  </si>
  <si>
    <t>3.4</t>
  </si>
  <si>
    <t>4.1</t>
  </si>
  <si>
    <t>4.3</t>
  </si>
  <si>
    <t>5.1</t>
  </si>
  <si>
    <t>5.2</t>
  </si>
  <si>
    <t>CRONOGRAMA FÍSICO-FINANCEIRO</t>
  </si>
  <si>
    <t>ETAPAS DE 30 DIAS (Mensais)</t>
  </si>
  <si>
    <t>Etapa 01</t>
  </si>
  <si>
    <t>Etapa 02</t>
  </si>
  <si>
    <t>Etapa 03</t>
  </si>
  <si>
    <t>Etapa 04</t>
  </si>
  <si>
    <t>Etapa 05</t>
  </si>
  <si>
    <t>Etapa 06</t>
  </si>
  <si>
    <t>Etapa 07</t>
  </si>
  <si>
    <t>Etapa 08</t>
  </si>
  <si>
    <t>PREÇO GLOBAL (R$)</t>
  </si>
  <si>
    <t>PERCENTAGENS (%)</t>
  </si>
  <si>
    <t>Hospital Santa Teresa - Pelotas/RS</t>
  </si>
  <si>
    <t>Fundação de Apoio à Universidade</t>
  </si>
  <si>
    <t>SERVIÇOS INICIAIS</t>
  </si>
  <si>
    <t>INSTALAÇÃO DE CANTEIRO DE OBRA</t>
  </si>
  <si>
    <t>MOVIMENTO DE TERRA</t>
  </si>
  <si>
    <t>INFRA-ESTRUTURA</t>
  </si>
  <si>
    <t>SUPRA-ESTRUTURA</t>
  </si>
  <si>
    <t>PAREDES E PAINÉIS</t>
  </si>
  <si>
    <t>REVESTIMENTOS</t>
  </si>
  <si>
    <t>IMPERMEABILIZAÇÕES</t>
  </si>
  <si>
    <t>FORROS</t>
  </si>
  <si>
    <t>ESQUADRIAS E VIDROS</t>
  </si>
  <si>
    <t>PISOS</t>
  </si>
  <si>
    <t>INSTALAÇÕES HIDROSSANITÁRIAS</t>
  </si>
  <si>
    <t>LOUÇAS, EQUIPAMENTOS E ACESSÓRIOS</t>
  </si>
  <si>
    <t>INSTALAÇÕES ELÉTRICAS</t>
  </si>
  <si>
    <t>SISTEMA DE CLIMATIZAÇÃO E VENTILAÇÃO</t>
  </si>
  <si>
    <t>INSTALAÇÕES ESPECIAIS</t>
  </si>
  <si>
    <t>PINTURA</t>
  </si>
  <si>
    <t>ÁREA EXTERNA E SERVIÇOS COMPLEMENTARES</t>
  </si>
  <si>
    <t>ENTREGA DA OBRA</t>
  </si>
  <si>
    <t>M</t>
  </si>
  <si>
    <t>CHP</t>
  </si>
  <si>
    <t>unid</t>
  </si>
  <si>
    <t>9.2</t>
  </si>
  <si>
    <t>9.3</t>
  </si>
  <si>
    <t>9.4</t>
  </si>
  <si>
    <t>AUXILIAR DE ELETRICISTA</t>
  </si>
  <si>
    <t>h</t>
  </si>
  <si>
    <t>7.1</t>
  </si>
  <si>
    <t>7.2</t>
  </si>
  <si>
    <t>7.3</t>
  </si>
  <si>
    <t>8.1</t>
  </si>
  <si>
    <t>88309</t>
  </si>
  <si>
    <t>7.5</t>
  </si>
  <si>
    <t>2.4</t>
  </si>
  <si>
    <t>2.5</t>
  </si>
  <si>
    <t>6.1</t>
  </si>
  <si>
    <t>4.2</t>
  </si>
  <si>
    <t>Eng. Civil - CREA RS 126796</t>
  </si>
  <si>
    <t xml:space="preserve">   Emerson C. Buchmann</t>
  </si>
  <si>
    <t>MUNICÍPIO DE IGREJINHA</t>
  </si>
  <si>
    <t>8.2</t>
  </si>
  <si>
    <t>6.2</t>
  </si>
  <si>
    <t>1.3</t>
  </si>
  <si>
    <t>1.4</t>
  </si>
  <si>
    <t>SINAPI REFERÊNCIA - Janeiro de 2026</t>
  </si>
  <si>
    <t xml:space="preserve"> Leandro Marciano Horlle</t>
  </si>
  <si>
    <t>Prefeito Municipal</t>
  </si>
  <si>
    <t xml:space="preserve">Igrejinha, 19 de fevereiro de 2026         </t>
  </si>
  <si>
    <t>ARRUELA LISA, REDONDA, DE LATAO POLIDO, DIAMETRO NOMINAL 5/8", DIAMETRO EXTERNO = 34 MM, DIAMETRO DO FURO = 17 MM, ESPESSURA = *2,5* MM</t>
  </si>
  <si>
    <t>ARMACAO VERTICAL COM HASTE E CONTRA-PINO, EM CHAPA DE ACO GALVANIZADO 3/16", COM 1 ESTRIBO E 1 ISOLADO</t>
  </si>
  <si>
    <t>VERGALHAO ZINCADO ROSCA TOTAL, 1/4 " (6,3 MM)</t>
  </si>
  <si>
    <t>ARMAÇÃO SECUNDÁRIA COM 1 ESTRIBO E 1 ISOLADOR - FORNECIMENTO E INSTALAÇÃO</t>
  </si>
  <si>
    <t>PORCA ZINCADA, SEXTAVADA, DIAMETRO 1/4"</t>
  </si>
  <si>
    <t>ELETRICISTA</t>
  </si>
  <si>
    <t>1.5</t>
  </si>
  <si>
    <t>1.6</t>
  </si>
  <si>
    <t>HASTE DE ATERRAMENTO EM AÇO COM 3,00M DE COMPRIMENTO E DN=3/4", REVESTIDA COM BAIXA CAMADA DE COBRE, SEM CONECTOR</t>
  </si>
  <si>
    <t>GRAMPO METÁLICO TIPO U PARA HASTE DE ATERRAMENTO DE ATÉ 3/4", CONDUTOR DE 10 a 25mm2</t>
  </si>
  <si>
    <t>GUINDAUTO HIDRÁULICO, CAPACIDADE MÁXIMA DE CARGA 6200 KG, MOMENTO MÁXIMO DE CARGA 11,7
TM, ALCANCE MÁXIMO HORIZONTAL 9,70 M,INCLUSIVE CAMINHÃO TOCO PBT 16.000 KG,POTÊNCIA DE
189 CV - CHP DIURNO. AF_06/2014</t>
  </si>
  <si>
    <t>HASTE DE ATERRAMENTO 3/4" PARA SPDA - FORNECIMENTO E INSTALAÇÃO</t>
  </si>
  <si>
    <t>1.7</t>
  </si>
  <si>
    <t>CABO DE COBRE NÚ 16mm2 MEIO DURO - FORNECIMENTO E INSTALAÇÃO</t>
  </si>
  <si>
    <t>CINTA CIRCULAR EM ACO GALVANIZADO DE 210 MM DE DIAMETRO PARA INSTALACAO DE TRANSFORMADOR EM POSTE DE CONCRETO</t>
  </si>
  <si>
    <t>CINTA PARA POSTE CIRCULAR - FORNECIMENTO E INSTALAÇÃO</t>
  </si>
  <si>
    <t>CONECTOR PERFURANTE PARA CABO MULTIPLEXADO - FORNECIMENTO E INSTALAÇÃO</t>
  </si>
  <si>
    <t>GRAMPO PARALELO METÁLICO PARA CABO DE 6 a 50mm2 COM 2 PARAFUSOS</t>
  </si>
  <si>
    <t>4.4</t>
  </si>
  <si>
    <t>5.3</t>
  </si>
  <si>
    <t>5.4</t>
  </si>
  <si>
    <t>LUMINÁRIA EM LED PARA ILUMINAÇÃO PÚBLICA, 100W, BIVOLT, SELO A INMETRO, CORPO EM ALUMINIO INJ, FP 0,97, PROT. DPS 10KV. IP66, IK 09, TEMP. DE COR 5000k, IRC=70%, VIDA ÚTIL 50.000 h, 130 LM/W.GAR.5 ANOS, modelo gl216 g-LIGHT OU SIMILAR VER.01 - FORNECIMENTO E INSTALAÇÃO</t>
  </si>
  <si>
    <t>SERVENTE</t>
  </si>
  <si>
    <t>6.3</t>
  </si>
  <si>
    <t>6.4</t>
  </si>
  <si>
    <t>BASE PARA RELE COM SUPORTE METALICO</t>
  </si>
  <si>
    <t>RELÉ FOTOELÉTRICO INTERNO E EXTERNO BIVOLT 1000W, DE CONECTOR, SEM BASE</t>
  </si>
  <si>
    <t>RELÉ FOTOELÉTRICO 1000W - FORNECIMENTO E INSTALAÇÃO</t>
  </si>
  <si>
    <t>2510</t>
  </si>
  <si>
    <t>39380</t>
  </si>
  <si>
    <t>8.3</t>
  </si>
  <si>
    <t>8.4</t>
  </si>
  <si>
    <t>34602</t>
  </si>
  <si>
    <t>POSTE DE FERRO GALVANIZADO CÔNICO DE 9m - FORNECIMENTO E INSTALAÇÃO</t>
  </si>
  <si>
    <t>POSTE CÔNICO CONTÍNUO EM AÇO GALVANIZADO, CURVO, BRAÇO DUPLO, FLANGEADO, H=9m DIÂMETRO INFERIOR=135mm</t>
  </si>
  <si>
    <t>CONCRETO USINADO CONVENCIONAL (NÃO BOMBEÁVEL) CLASSE DE RESISTÊNCIA C15, COM BRITA 1 E 2, SLUMP=80mm +- 10mm (NBR 8953)</t>
  </si>
  <si>
    <t>9.1</t>
  </si>
  <si>
    <t>14163</t>
  </si>
  <si>
    <t>1523</t>
  </si>
  <si>
    <t>ALÇA PREFORMADA DE DISTRIBUIÇÃO, EM AÇO GALVANIZADO, AWG 1 - FORNECIMENTO E INSTALAÇÃO</t>
  </si>
  <si>
    <t>10.1</t>
  </si>
  <si>
    <t>10.2</t>
  </si>
  <si>
    <t>10.3</t>
  </si>
  <si>
    <t>10.4</t>
  </si>
  <si>
    <t>ALÇA PREFORMADA DE DISTRIBUIÇÃO, EM AÇO GALVANIZADO, PARA CONDUTORES DE ALUMÍNIO AWG 1/0 (CAA 6/1 OU CA 7 FIOS)</t>
  </si>
  <si>
    <t>CABO DE ALUMÍNIO 2X16mm2 MULTIPLEXADO - FORNECIMENTO E INSTALAÇÃO</t>
  </si>
  <si>
    <t>CABO DE COBRE FLEXÍVEL, CLASSE 4 OU 5, ISOLAÇÃO EM PVC/A, ANTICHAMA BWF-B, COBERTURA PVC ST1, ANTICHAMA BWF-B, 1 CONDUTOR, 0,6/1KV, SEÇÃO NOMINAL 16mm2</t>
  </si>
  <si>
    <t>995</t>
  </si>
  <si>
    <t>12.1</t>
  </si>
  <si>
    <t>12.2</t>
  </si>
  <si>
    <t>12.3</t>
  </si>
  <si>
    <t>12.4</t>
  </si>
  <si>
    <t>11.1</t>
  </si>
  <si>
    <t>11.2</t>
  </si>
  <si>
    <t>11.3</t>
  </si>
  <si>
    <t>11.4</t>
  </si>
  <si>
    <t>CAIXA DE COMANDO - FORNECIMENTO E INSTALAÇÃO</t>
  </si>
  <si>
    <t>CAIXA DE PASSAGEM/LUZ/TELEFONIA, DE SOBREPOR, EM CHAPA DE AÇO GALVANIZADO, DIMENSÕES 80X80X12 CM (PADRÃO CONCESSIONÁRIA LOCAL)</t>
  </si>
  <si>
    <t>11256</t>
  </si>
  <si>
    <t>Alessandra Regina de Azambuja</t>
  </si>
  <si>
    <t>MUNICÍPIO DE IGREJINHA -09 de abril de 2026</t>
  </si>
  <si>
    <t>RUAS E ESTRADAS DO MUNICÍPIO</t>
  </si>
  <si>
    <t>CUSTOS UNITÁRIOS POR COMPOSIÇÃO DE CADA ITEM/PRODUTO:</t>
  </si>
  <si>
    <t xml:space="preserve">MATERIAL E MÃO DE OBRA PARA INSTALAÇÃO DE POSTES COM ILUMINAÇÃO PÚBLICA EM RUAS E ESTRADAS DO MUNICÍPIO </t>
  </si>
  <si>
    <t>CABO DE COBRE PP CORDPLAST 2x2,50mm2, 450/750V - FORNECIMENTO E INSTALAÇÃO</t>
  </si>
  <si>
    <t>CABO DE COBRE, FLEXIVEL, CLASSE 4 OU 5, ISOLACAO EM PVC/A, ANTICHAMA BWF-B, 1 CONDUTOR, 450/750 V, SECAO NOMINAL 2,5 MM2</t>
  </si>
  <si>
    <t>LUMINARIA DE LED PARA ILUMINACAO PUBLICA, DE 138 W ATE 180 W, INVOLUCRO EM ALUMINIO OU ACO INOX</t>
  </si>
  <si>
    <t>Igrejinha, 09 de abril de 2026.</t>
  </si>
  <si>
    <t>Willian da Silva Procksch</t>
  </si>
  <si>
    <t>Secretário de Planejamento e Meio Ambiente</t>
  </si>
  <si>
    <t>Téc. Eletr. 660.453.800-10</t>
  </si>
  <si>
    <t xml:space="preserve">                 ESTADO DO RIO GRANDE DO SUL</t>
  </si>
  <si>
    <t xml:space="preserve">MUNICÍPIO DE IGREJINHA </t>
  </si>
  <si>
    <t>Secretaria de Planejamento e Meio Ambiente</t>
  </si>
  <si>
    <t>PLANILHA ORÇAMENTÁRIA</t>
  </si>
  <si>
    <t>Cliente: Município de Igrejinha-RS</t>
  </si>
  <si>
    <t>BDI</t>
  </si>
  <si>
    <t>Serviço: extensão de rede para iluminação pública</t>
  </si>
  <si>
    <t>SINAPI RS</t>
  </si>
  <si>
    <t>Elaborado por: Alessandra Regina de Azambuja</t>
  </si>
  <si>
    <t>ORSE</t>
  </si>
  <si>
    <t>Data: 13/05/2026</t>
  </si>
  <si>
    <t>MATERIAIS</t>
  </si>
  <si>
    <t>Referência</t>
  </si>
  <si>
    <t>Discriminação do Insumo</t>
  </si>
  <si>
    <t>Unid.</t>
  </si>
  <si>
    <t>Quant.</t>
  </si>
  <si>
    <t>Custo Unit. s/BDI</t>
  </si>
  <si>
    <t>Valor Unit. c/BDI</t>
  </si>
  <si>
    <t>Valor total s/BDI</t>
  </si>
  <si>
    <t>Valor total c/BDI</t>
  </si>
  <si>
    <t>Composição 1</t>
  </si>
  <si>
    <t>Composição 2</t>
  </si>
  <si>
    <t>HASTE DE ATERRAMENTO 3/4 PARA SPDA - FORNECIMENTO E INSTALAÇÃO</t>
  </si>
  <si>
    <t>Composição 3</t>
  </si>
  <si>
    <t>Composição 4</t>
  </si>
  <si>
    <t>Composição 5</t>
  </si>
  <si>
    <t>Composição 6</t>
  </si>
  <si>
    <t>LUMINÁRIA DE LED PARA ILUMINAÇÃO PÚBLICA COM POTÊNCIA MÁXIMA DE 150W, COM FLUXO LUMINOSO MÍNIMO DE 21.750 LUMENS, EFICIÊNCIA LUMINOSA MÍNIMA DE 145 LM/W, GARANTIA DE 5 ANOS CONTRA DEFEITO DE FABRICAÇÃO COM TECNOLOGIA LED SMD, TEMPERATURA DE COR 4000K - FORNECIMENTO E INSTALAÇÃO</t>
  </si>
  <si>
    <t>Composição 7</t>
  </si>
  <si>
    <t>Composição 8</t>
  </si>
  <si>
    <t>Composição 9</t>
  </si>
  <si>
    <t>POSTE DE FIBRA DE VIDRO 10 METROS 300 DAN - FORNECIMENTO E INSTALAÇÃO</t>
  </si>
  <si>
    <t>Composição 10</t>
  </si>
  <si>
    <t>Composição 11</t>
  </si>
  <si>
    <t>Composição 12</t>
  </si>
  <si>
    <t>CAIXA COMANDO - FORNECIMENTO E INSTALAÇÃO</t>
  </si>
  <si>
    <t>Composição 13</t>
  </si>
  <si>
    <t>DISPOSITIVO RELÉ DE TELEGESTÃO PARA CONTROLE REMOTO DE LUMINÁRIAS DE ILUMINAÇÃO PÚBLICA, COM COORDENADORES/GATEWAYS INCLUSOS, HOMOLOGADO PELA ANATEL - FORNECIMENTO E INSTALAÇÃO</t>
  </si>
  <si>
    <t>Composição 14</t>
  </si>
  <si>
    <t>LUMINÁRIA LED SOLAR INTEGRADA PARA POSTE, COM SUPORTE PARA FIXAÇÃO - FORNECIMENTO E INSTALAÇÃO</t>
  </si>
  <si>
    <t>Composição 15</t>
  </si>
  <si>
    <t>POSTE DE CONCRETO ARMADO DE SEÇÃO DUPLO T, EXTENSÃO DE 9,00m, RESISTÊNCIA DE 150 DAN - FORNECIMENTO E INSTALAÇÃO</t>
  </si>
  <si>
    <t>Composição 16</t>
  </si>
  <si>
    <t>BRAÇO CURVO EM AÇO GALVANIZADO A FOGO, COM SAPATA DE 48x3000mm - FORNECIMENTO E INSTALAÇÃO</t>
  </si>
  <si>
    <t>DISPOSITIVO/RELÉ DE TELEGESTÃO PARA CONTROLE REMOTO DE LUMINÁRIAS DE ILUMINAÇÃO PÚNLICA</t>
  </si>
  <si>
    <t>PNCP</t>
  </si>
  <si>
    <t>DISPOSITIVO/RELÉ DE TELEGESTÃO PARA CONTROLE REMOTO DE LUMINÁRIAS DE ILUMINAÇÃO PÚBLICA, COM COORDENADORES/GATEWAYS INCLUSOS, HOMOLOGADO PELA ANATEL - REFERÊNCIA MUNICÍPIO DE CARPINA/PE, PREGÃO ELETRÔNICO Nº 032/2025, PROCESSO LICITATÓRIO Nº 085/2025, ITEM 10.2, COMP. PRÓPRIA 33 - R$580,00/UNIDADE. Eletrônico nº 032/2025, processo licitatório nº 085/2025, item 10.2</t>
  </si>
  <si>
    <t>13.1</t>
  </si>
  <si>
    <t>13.2</t>
  </si>
  <si>
    <t>13.3</t>
  </si>
  <si>
    <t>13.4</t>
  </si>
  <si>
    <t>14.1</t>
  </si>
  <si>
    <t>14.2</t>
  </si>
  <si>
    <t>14.3</t>
  </si>
  <si>
    <t>14.4</t>
  </si>
  <si>
    <t>P.15000.034200/CPOS</t>
  </si>
  <si>
    <t>LUMINÁRIA LED SOLAR INTEGRADA PARA POSOTE, COM SUPORTE PARA FIXAÇÃO, RED. LINHA SAHY CLS-UF80 DA CONEXLED, ATLAS ALL IN ONE 80W DA FOTOVOLT, EIF-80W DA LIGHTSOLAR OU EQUIVALENTE</t>
  </si>
  <si>
    <t>15.1</t>
  </si>
  <si>
    <t>15.2</t>
  </si>
  <si>
    <t>15.3</t>
  </si>
  <si>
    <t>15.4</t>
  </si>
  <si>
    <t>41196</t>
  </si>
  <si>
    <t>CONCRETO SIMPLES FABRICADO NA OBRA. FCK=13,5 Mpa (b1/b2), SEM LANÇAMENTO E ADENSAMENTO</t>
  </si>
  <si>
    <t>124/ORSE</t>
  </si>
  <si>
    <t>PEDREIRO</t>
  </si>
  <si>
    <t>11273</t>
  </si>
  <si>
    <t>15.5</t>
  </si>
  <si>
    <t>M3</t>
  </si>
  <si>
    <t>16.1</t>
  </si>
  <si>
    <t>16.2</t>
  </si>
  <si>
    <t>16.3</t>
  </si>
  <si>
    <t>16.4</t>
  </si>
  <si>
    <t>PARAFUSO M16 EM AÇO GALVANIZADO, COMPRIMENTO = 300mm, DIÂMETRO = 16mm, ROSCA MÁQUINA, CABEÇA QUADRADA</t>
  </si>
  <si>
    <t>13801/ORSE</t>
  </si>
  <si>
    <t>439</t>
  </si>
  <si>
    <t>16.5</t>
  </si>
  <si>
    <t>GUINDAUTO HIDRÁULICO, CAPACIDADE MÁXIMA DE CARGA 6200 KG, MOMENTO MÁXIMO DE CARGA 11,7 TM, ALCANCE MÁXIMO HORIZONTAL 9,70 M,INCLUSIVE CAMINHÃO TOCO PBT 16.000 KG,POTÊNCIA DE 189 CV - CHP DIURNO. AF_06/2014</t>
  </si>
  <si>
    <t xml:space="preserve">MATERIAL E MÃO DE OBRA PARA INSTALAÇÃO DE POSTES COM ILUMINAÇÃO PÚBLICA EM RUAS E ESTRADAS DO </t>
  </si>
  <si>
    <t>MUNICÍPIO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</si>
</sst>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* #,##0.00\ ;* \(#,##0.00\);* \-#\ ;@\ "/>
    <numFmt numFmtId="165" formatCode="* #,##0.00\ ;\-* #,##0.00\ ;* \-#\ ;@\ "/>
    <numFmt numFmtId="168" formatCode="&quot;R$&quot;\ #,##0.00"/>
    <numFmt numFmtId="170" formatCode="&quot;R$ &quot;\ #,##0.00"/>
    <numFmt numFmtId="171" formatCode="&quot;R$ &quot;#,##0.00"/>
  </numFmts>
  <fonts count="35" x14ac:knownFonts="1">
    <font>
      <sz val="10"/>
      <name val="Arial"/>
      <family val="2"/>
      <charset val="1"/>
    </font>
    <font>
      <sz val="11"/>
      <name val="Arial"/>
      <family val="2"/>
      <charset val="1"/>
    </font>
    <font>
      <b/>
      <sz val="14"/>
      <name val="Arial"/>
      <family val="2"/>
      <charset val="1"/>
    </font>
    <font>
      <i/>
      <sz val="11"/>
      <name val="Arial"/>
      <family val="2"/>
      <charset val="1"/>
    </font>
    <font>
      <b/>
      <sz val="11"/>
      <name val="Arial"/>
      <family val="2"/>
      <charset val="1"/>
    </font>
    <font>
      <i/>
      <sz val="13"/>
      <name val="Arial"/>
      <family val="2"/>
      <charset val="1"/>
    </font>
    <font>
      <sz val="13"/>
      <name val="Arial"/>
      <family val="2"/>
      <charset val="1"/>
    </font>
    <font>
      <b/>
      <sz val="13"/>
      <name val="Arial"/>
      <family val="2"/>
      <charset val="1"/>
    </font>
    <font>
      <b/>
      <sz val="12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sz val="14"/>
      <name val="Arial"/>
      <family val="2"/>
      <charset val="1"/>
    </font>
    <font>
      <b/>
      <i/>
      <sz val="14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name val="Arial"/>
      <family val="2"/>
      <charset val="1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  <charset val="1"/>
    </font>
    <font>
      <b/>
      <sz val="1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i/>
      <sz val="13"/>
      <name val="Arial"/>
      <family val="2"/>
    </font>
    <font>
      <b/>
      <sz val="10"/>
      <name val="Arial"/>
      <family val="2"/>
    </font>
    <font>
      <b/>
      <sz val="13"/>
      <name val="Arial"/>
      <family val="2"/>
    </font>
    <font>
      <sz val="11"/>
      <color rgb="FF000000"/>
      <name val="Arial"/>
      <family val="2"/>
      <charset val="1"/>
    </font>
    <font>
      <b/>
      <sz val="20"/>
      <name val="Arial"/>
      <family val="2"/>
    </font>
    <font>
      <sz val="20"/>
      <name val="Arial"/>
      <family val="2"/>
    </font>
    <font>
      <b/>
      <i/>
      <sz val="14"/>
      <name val="Arial"/>
      <family val="2"/>
    </font>
    <font>
      <i/>
      <sz val="10"/>
      <name val="Arial"/>
      <family val="2"/>
    </font>
    <font>
      <sz val="11"/>
      <color rgb="FFFF0000"/>
      <name val="Arial"/>
      <family val="2"/>
      <charset val="1"/>
    </font>
    <font>
      <b/>
      <sz val="11"/>
      <color rgb="FFFF0000"/>
      <name val="Arial"/>
      <family val="2"/>
      <charset val="1"/>
    </font>
    <font>
      <sz val="11"/>
      <color indexed="8"/>
      <name val="Arial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A6A6A6"/>
        <bgColor rgb="FFB2B2B2"/>
      </patternFill>
    </fill>
    <fill>
      <patternFill patternType="solid">
        <fgColor rgb="FFBFBFBF"/>
        <bgColor rgb="FFC0C0C0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EAEAEA"/>
      </patternFill>
    </fill>
    <fill>
      <patternFill patternType="solid">
        <fgColor rgb="FF969696"/>
        <bgColor rgb="FFA6A6A6"/>
      </patternFill>
    </fill>
    <fill>
      <patternFill patternType="solid">
        <fgColor rgb="FFC0C0C0"/>
        <bgColor rgb="FFBFBFBF"/>
      </patternFill>
    </fill>
    <fill>
      <patternFill patternType="solid">
        <fgColor rgb="FFEAEAEA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AEAEA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B2B2B2"/>
      </patternFill>
    </fill>
  </fills>
  <borders count="4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5" fillId="0" borderId="0" applyBorder="0" applyProtection="0"/>
    <xf numFmtId="9" fontId="15" fillId="0" borderId="0" applyBorder="0" applyProtection="0"/>
    <xf numFmtId="44" fontId="15" fillId="0" borderId="0" applyFont="0" applyFill="0" applyBorder="0" applyAlignment="0" applyProtection="0"/>
  </cellStyleXfs>
  <cellXfs count="265">
    <xf numFmtId="0" fontId="0" fillId="0" borderId="0" xfId="0"/>
    <xf numFmtId="0" fontId="1" fillId="0" borderId="0" xfId="0" applyFont="1"/>
    <xf numFmtId="164" fontId="1" fillId="0" borderId="0" xfId="1" applyFont="1" applyBorder="1" applyProtection="1"/>
    <xf numFmtId="0" fontId="1" fillId="0" borderId="1" xfId="0" applyFont="1" applyBorder="1"/>
    <xf numFmtId="0" fontId="2" fillId="0" borderId="2" xfId="0" applyFont="1" applyBorder="1"/>
    <xf numFmtId="0" fontId="1" fillId="0" borderId="2" xfId="0" applyFont="1" applyBorder="1" applyAlignment="1">
      <alignment horizontal="left"/>
    </xf>
    <xf numFmtId="164" fontId="1" fillId="0" borderId="2" xfId="1" applyFont="1" applyBorder="1" applyProtection="1"/>
    <xf numFmtId="164" fontId="1" fillId="0" borderId="3" xfId="1" applyFont="1" applyBorder="1" applyProtection="1"/>
    <xf numFmtId="0" fontId="3" fillId="0" borderId="4" xfId="0" applyFont="1" applyBorder="1"/>
    <xf numFmtId="0" fontId="1" fillId="0" borderId="0" xfId="0" applyFont="1" applyAlignment="1">
      <alignment horizontal="left"/>
    </xf>
    <xf numFmtId="164" fontId="1" fillId="0" borderId="5" xfId="1" applyFont="1" applyBorder="1" applyProtection="1"/>
    <xf numFmtId="10" fontId="1" fillId="0" borderId="0" xfId="0" applyNumberFormat="1" applyFont="1"/>
    <xf numFmtId="164" fontId="7" fillId="0" borderId="6" xfId="1" applyFont="1" applyBorder="1" applyProtection="1"/>
    <xf numFmtId="0" fontId="0" fillId="5" borderId="12" xfId="0" applyFill="1" applyBorder="1" applyAlignment="1">
      <alignment vertical="center"/>
    </xf>
    <xf numFmtId="0" fontId="8" fillId="5" borderId="13" xfId="0" applyFont="1" applyFill="1" applyBorder="1" applyAlignment="1">
      <alignment vertical="center"/>
    </xf>
    <xf numFmtId="0" fontId="0" fillId="5" borderId="13" xfId="0" applyFill="1" applyBorder="1" applyAlignment="1">
      <alignment horizontal="center" vertical="center"/>
    </xf>
    <xf numFmtId="164" fontId="10" fillId="5" borderId="13" xfId="1" applyFont="1" applyFill="1" applyBorder="1" applyAlignment="1" applyProtection="1">
      <alignment vertical="center"/>
    </xf>
    <xf numFmtId="165" fontId="0" fillId="0" borderId="0" xfId="0" applyNumberFormat="1"/>
    <xf numFmtId="0" fontId="1" fillId="0" borderId="0" xfId="0" applyFont="1" applyAlignment="1">
      <alignment horizontal="left" vertical="center"/>
    </xf>
    <xf numFmtId="0" fontId="12" fillId="4" borderId="0" xfId="0" applyFont="1" applyFill="1"/>
    <xf numFmtId="0" fontId="3" fillId="4" borderId="0" xfId="0" applyFont="1" applyFill="1" applyAlignment="1">
      <alignment horizontal="center"/>
    </xf>
    <xf numFmtId="164" fontId="1" fillId="4" borderId="0" xfId="1" applyFont="1" applyFill="1" applyBorder="1" applyProtection="1"/>
    <xf numFmtId="17" fontId="5" fillId="0" borderId="0" xfId="0" applyNumberFormat="1" applyFont="1"/>
    <xf numFmtId="164" fontId="4" fillId="6" borderId="19" xfId="1" applyFont="1" applyFill="1" applyBorder="1" applyAlignment="1" applyProtection="1">
      <alignment horizontal="center"/>
    </xf>
    <xf numFmtId="0" fontId="4" fillId="6" borderId="9" xfId="0" applyFont="1" applyFill="1" applyBorder="1" applyAlignment="1">
      <alignment horizontal="center" vertical="center"/>
    </xf>
    <xf numFmtId="164" fontId="4" fillId="6" borderId="9" xfId="1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4" fillId="3" borderId="9" xfId="0" applyFont="1" applyFill="1" applyBorder="1"/>
    <xf numFmtId="164" fontId="4" fillId="3" borderId="9" xfId="1" applyFont="1" applyFill="1" applyBorder="1" applyProtection="1"/>
    <xf numFmtId="164" fontId="13" fillId="3" borderId="9" xfId="1" applyFont="1" applyFill="1" applyBorder="1" applyProtection="1"/>
    <xf numFmtId="0" fontId="1" fillId="4" borderId="9" xfId="0" applyFont="1" applyFill="1" applyBorder="1"/>
    <xf numFmtId="164" fontId="1" fillId="4" borderId="9" xfId="1" applyFont="1" applyFill="1" applyBorder="1" applyProtection="1"/>
    <xf numFmtId="10" fontId="0" fillId="4" borderId="9" xfId="2" applyNumberFormat="1" applyFont="1" applyFill="1" applyBorder="1" applyProtection="1"/>
    <xf numFmtId="9" fontId="0" fillId="0" borderId="0" xfId="2" applyFont="1" applyBorder="1" applyProtection="1"/>
    <xf numFmtId="0" fontId="4" fillId="0" borderId="9" xfId="0" applyFont="1" applyBorder="1" applyAlignment="1">
      <alignment horizontal="center"/>
    </xf>
    <xf numFmtId="0" fontId="11" fillId="7" borderId="9" xfId="0" applyFont="1" applyFill="1" applyBorder="1"/>
    <xf numFmtId="0" fontId="2" fillId="7" borderId="9" xfId="0" applyFont="1" applyFill="1" applyBorder="1"/>
    <xf numFmtId="164" fontId="2" fillId="7" borderId="9" xfId="1" applyFont="1" applyFill="1" applyBorder="1" applyProtection="1"/>
    <xf numFmtId="164" fontId="8" fillId="7" borderId="9" xfId="1" applyFont="1" applyFill="1" applyBorder="1" applyProtection="1"/>
    <xf numFmtId="0" fontId="1" fillId="0" borderId="0" xfId="0" applyFont="1" applyAlignment="1">
      <alignment horizontal="center"/>
    </xf>
    <xf numFmtId="164" fontId="0" fillId="0" borderId="0" xfId="1" applyFont="1" applyBorder="1" applyProtection="1"/>
    <xf numFmtId="164" fontId="6" fillId="0" borderId="0" xfId="1" applyFont="1" applyBorder="1" applyProtection="1"/>
    <xf numFmtId="164" fontId="7" fillId="0" borderId="0" xfId="1" applyFont="1" applyBorder="1" applyProtection="1"/>
    <xf numFmtId="0" fontId="1" fillId="4" borderId="1" xfId="0" applyFont="1" applyFill="1" applyBorder="1"/>
    <xf numFmtId="0" fontId="2" fillId="4" borderId="2" xfId="0" applyFont="1" applyFill="1" applyBorder="1"/>
    <xf numFmtId="0" fontId="1" fillId="4" borderId="2" xfId="0" applyFont="1" applyFill="1" applyBorder="1" applyAlignment="1">
      <alignment horizontal="center"/>
    </xf>
    <xf numFmtId="164" fontId="1" fillId="4" borderId="2" xfId="1" applyFont="1" applyFill="1" applyBorder="1" applyProtection="1"/>
    <xf numFmtId="0" fontId="1" fillId="0" borderId="3" xfId="0" applyFont="1" applyBorder="1"/>
    <xf numFmtId="0" fontId="3" fillId="4" borderId="4" xfId="0" applyFont="1" applyFill="1" applyBorder="1"/>
    <xf numFmtId="164" fontId="4" fillId="4" borderId="0" xfId="1" applyFont="1" applyFill="1" applyBorder="1" applyProtection="1"/>
    <xf numFmtId="0" fontId="1" fillId="0" borderId="5" xfId="0" applyFont="1" applyBorder="1"/>
    <xf numFmtId="0" fontId="3" fillId="4" borderId="6" xfId="0" applyFont="1" applyFill="1" applyBorder="1"/>
    <xf numFmtId="0" fontId="5" fillId="4" borderId="6" xfId="0" applyFont="1" applyFill="1" applyBorder="1"/>
    <xf numFmtId="164" fontId="7" fillId="4" borderId="6" xfId="1" applyFont="1" applyFill="1" applyBorder="1" applyProtection="1"/>
    <xf numFmtId="164" fontId="6" fillId="4" borderId="6" xfId="1" applyFont="1" applyFill="1" applyBorder="1" applyProtection="1"/>
    <xf numFmtId="0" fontId="6" fillId="0" borderId="8" xfId="0" applyFont="1" applyBorder="1"/>
    <xf numFmtId="0" fontId="1" fillId="6" borderId="7" xfId="0" applyFont="1" applyFill="1" applyBorder="1"/>
    <xf numFmtId="0" fontId="8" fillId="6" borderId="6" xfId="0" applyFont="1" applyFill="1" applyBorder="1"/>
    <xf numFmtId="164" fontId="1" fillId="6" borderId="6" xfId="1" applyFont="1" applyFill="1" applyBorder="1" applyProtection="1"/>
    <xf numFmtId="164" fontId="4" fillId="6" borderId="12" xfId="1" applyFont="1" applyFill="1" applyBorder="1" applyAlignment="1" applyProtection="1">
      <alignment horizontal="left"/>
    </xf>
    <xf numFmtId="164" fontId="4" fillId="6" borderId="13" xfId="1" applyFont="1" applyFill="1" applyBorder="1" applyAlignment="1" applyProtection="1">
      <alignment horizontal="center"/>
    </xf>
    <xf numFmtId="164" fontId="2" fillId="6" borderId="13" xfId="1" applyFont="1" applyFill="1" applyBorder="1" applyAlignment="1" applyProtection="1">
      <alignment horizontal="center"/>
    </xf>
    <xf numFmtId="164" fontId="2" fillId="6" borderId="14" xfId="1" applyFont="1" applyFill="1" applyBorder="1" applyAlignment="1" applyProtection="1">
      <alignment horizontal="center"/>
    </xf>
    <xf numFmtId="0" fontId="4" fillId="7" borderId="20" xfId="0" applyFont="1" applyFill="1" applyBorder="1" applyAlignment="1">
      <alignment horizontal="center"/>
    </xf>
    <xf numFmtId="0" fontId="4" fillId="7" borderId="21" xfId="0" applyFont="1" applyFill="1" applyBorder="1"/>
    <xf numFmtId="164" fontId="4" fillId="7" borderId="22" xfId="1" applyFont="1" applyFill="1" applyBorder="1" applyProtection="1"/>
    <xf numFmtId="164" fontId="13" fillId="7" borderId="23" xfId="1" applyFont="1" applyFill="1" applyBorder="1" applyProtection="1"/>
    <xf numFmtId="164" fontId="13" fillId="7" borderId="24" xfId="1" applyFont="1" applyFill="1" applyBorder="1" applyProtection="1"/>
    <xf numFmtId="164" fontId="13" fillId="7" borderId="25" xfId="1" applyFont="1" applyFill="1" applyBorder="1" applyProtection="1"/>
    <xf numFmtId="0" fontId="1" fillId="4" borderId="26" xfId="0" applyFont="1" applyFill="1" applyBorder="1"/>
    <xf numFmtId="0" fontId="1" fillId="4" borderId="27" xfId="0" applyFont="1" applyFill="1" applyBorder="1"/>
    <xf numFmtId="164" fontId="1" fillId="4" borderId="28" xfId="1" applyFont="1" applyFill="1" applyBorder="1" applyProtection="1"/>
    <xf numFmtId="10" fontId="14" fillId="6" borderId="29" xfId="2" applyNumberFormat="1" applyFont="1" applyFill="1" applyBorder="1" applyProtection="1"/>
    <xf numFmtId="164" fontId="0" fillId="4" borderId="15" xfId="1" applyFont="1" applyFill="1" applyBorder="1" applyProtection="1"/>
    <xf numFmtId="164" fontId="0" fillId="4" borderId="30" xfId="1" applyFont="1" applyFill="1" applyBorder="1" applyProtection="1"/>
    <xf numFmtId="10" fontId="14" fillId="6" borderId="15" xfId="2" applyNumberFormat="1" applyFont="1" applyFill="1" applyBorder="1" applyProtection="1"/>
    <xf numFmtId="164" fontId="13" fillId="8" borderId="23" xfId="1" applyFont="1" applyFill="1" applyBorder="1" applyProtection="1"/>
    <xf numFmtId="164" fontId="13" fillId="8" borderId="24" xfId="1" applyFont="1" applyFill="1" applyBorder="1" applyProtection="1"/>
    <xf numFmtId="164" fontId="13" fillId="8" borderId="25" xfId="1" applyFont="1" applyFill="1" applyBorder="1" applyProtection="1"/>
    <xf numFmtId="164" fontId="0" fillId="4" borderId="29" xfId="1" applyFont="1" applyFill="1" applyBorder="1" applyProtection="1"/>
    <xf numFmtId="10" fontId="14" fillId="6" borderId="30" xfId="2" applyNumberFormat="1" applyFont="1" applyFill="1" applyBorder="1" applyProtection="1"/>
    <xf numFmtId="164" fontId="0" fillId="4" borderId="31" xfId="1" applyFont="1" applyFill="1" applyBorder="1" applyProtection="1"/>
    <xf numFmtId="0" fontId="4" fillId="7" borderId="2" xfId="0" applyFont="1" applyFill="1" applyBorder="1"/>
    <xf numFmtId="164" fontId="4" fillId="7" borderId="10" xfId="1" applyFont="1" applyFill="1" applyBorder="1" applyProtection="1"/>
    <xf numFmtId="0" fontId="1" fillId="4" borderId="32" xfId="0" applyFont="1" applyFill="1" applyBorder="1"/>
    <xf numFmtId="0" fontId="1" fillId="4" borderId="33" xfId="0" applyFont="1" applyFill="1" applyBorder="1"/>
    <xf numFmtId="164" fontId="1" fillId="4" borderId="34" xfId="1" applyFont="1" applyFill="1" applyBorder="1" applyProtection="1"/>
    <xf numFmtId="164" fontId="0" fillId="4" borderId="35" xfId="1" applyFont="1" applyFill="1" applyBorder="1" applyProtection="1"/>
    <xf numFmtId="10" fontId="14" fillId="6" borderId="36" xfId="2" applyNumberFormat="1" applyFont="1" applyFill="1" applyBorder="1" applyProtection="1"/>
    <xf numFmtId="0" fontId="11" fillId="7" borderId="12" xfId="0" applyFont="1" applyFill="1" applyBorder="1"/>
    <xf numFmtId="0" fontId="2" fillId="7" borderId="13" xfId="0" applyFont="1" applyFill="1" applyBorder="1"/>
    <xf numFmtId="164" fontId="8" fillId="7" borderId="37" xfId="1" applyFont="1" applyFill="1" applyBorder="1" applyProtection="1"/>
    <xf numFmtId="164" fontId="8" fillId="7" borderId="38" xfId="1" applyFont="1" applyFill="1" applyBorder="1" applyProtection="1"/>
    <xf numFmtId="164" fontId="8" fillId="7" borderId="39" xfId="1" applyFont="1" applyFill="1" applyBorder="1" applyProtection="1"/>
    <xf numFmtId="10" fontId="7" fillId="7" borderId="9" xfId="2" applyNumberFormat="1" applyFont="1" applyFill="1" applyBorder="1" applyAlignment="1" applyProtection="1">
      <alignment horizontal="center"/>
    </xf>
    <xf numFmtId="10" fontId="8" fillId="7" borderId="37" xfId="2" applyNumberFormat="1" applyFont="1" applyFill="1" applyBorder="1" applyAlignment="1" applyProtection="1">
      <alignment horizontal="center"/>
    </xf>
    <xf numFmtId="10" fontId="8" fillId="7" borderId="38" xfId="2" applyNumberFormat="1" applyFont="1" applyFill="1" applyBorder="1" applyAlignment="1" applyProtection="1">
      <alignment horizontal="center"/>
    </xf>
    <xf numFmtId="10" fontId="8" fillId="7" borderId="39" xfId="2" applyNumberFormat="1" applyFont="1" applyFill="1" applyBorder="1" applyAlignment="1" applyProtection="1">
      <alignment horizontal="center"/>
    </xf>
    <xf numFmtId="168" fontId="0" fillId="0" borderId="11" xfId="1" applyNumberFormat="1" applyFont="1" applyBorder="1" applyAlignment="1" applyProtection="1">
      <alignment horizontal="right" vertical="center"/>
    </xf>
    <xf numFmtId="168" fontId="0" fillId="5" borderId="13" xfId="1" applyNumberFormat="1" applyFont="1" applyFill="1" applyBorder="1" applyAlignment="1" applyProtection="1">
      <alignment horizontal="right" vertical="center"/>
    </xf>
    <xf numFmtId="168" fontId="8" fillId="5" borderId="14" xfId="1" applyNumberFormat="1" applyFont="1" applyFill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left" vertical="center" wrapText="1"/>
      <protection locked="0"/>
    </xf>
    <xf numFmtId="0" fontId="16" fillId="0" borderId="0" xfId="0" applyFont="1"/>
    <xf numFmtId="164" fontId="0" fillId="0" borderId="11" xfId="1" applyFont="1" applyBorder="1" applyAlignment="1" applyProtection="1">
      <alignment horizontal="right" vertical="center"/>
    </xf>
    <xf numFmtId="43" fontId="0" fillId="0" borderId="0" xfId="0" applyNumberFormat="1"/>
    <xf numFmtId="4" fontId="9" fillId="0" borderId="9" xfId="0" applyNumberFormat="1" applyFont="1" applyBorder="1" applyAlignment="1" applyProtection="1">
      <alignment horizontal="right" vertical="center"/>
      <protection locked="0"/>
    </xf>
    <xf numFmtId="0" fontId="6" fillId="0" borderId="5" xfId="0" applyFont="1" applyBorder="1"/>
    <xf numFmtId="164" fontId="4" fillId="6" borderId="41" xfId="1" applyFont="1" applyFill="1" applyBorder="1" applyAlignment="1" applyProtection="1">
      <alignment horizontal="center"/>
    </xf>
    <xf numFmtId="0" fontId="1" fillId="0" borderId="4" xfId="0" applyFont="1" applyBorder="1"/>
    <xf numFmtId="10" fontId="8" fillId="7" borderId="9" xfId="2" applyNumberFormat="1" applyFont="1" applyFill="1" applyBorder="1" applyAlignment="1" applyProtection="1">
      <alignment horizontal="center"/>
    </xf>
    <xf numFmtId="0" fontId="0" fillId="0" borderId="9" xfId="0" applyBorder="1" applyAlignment="1">
      <alignment vertical="justify"/>
    </xf>
    <xf numFmtId="4" fontId="21" fillId="0" borderId="0" xfId="0" applyNumberFormat="1" applyFont="1" applyAlignment="1" applyProtection="1">
      <alignment horizontal="center" vertical="center"/>
      <protection locked="0"/>
    </xf>
    <xf numFmtId="4" fontId="21" fillId="0" borderId="0" xfId="0" applyNumberFormat="1" applyFont="1" applyAlignment="1" applyProtection="1">
      <alignment horizontal="right" vertical="center"/>
      <protection locked="0"/>
    </xf>
    <xf numFmtId="164" fontId="4" fillId="6" borderId="40" xfId="1" applyFont="1" applyFill="1" applyBorder="1" applyAlignment="1" applyProtection="1">
      <alignment horizontal="left"/>
    </xf>
    <xf numFmtId="0" fontId="3" fillId="0" borderId="0" xfId="0" applyFont="1" applyAlignment="1">
      <alignment horizontal="left"/>
    </xf>
    <xf numFmtId="168" fontId="22" fillId="0" borderId="9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0" fillId="10" borderId="0" xfId="0" applyFill="1"/>
    <xf numFmtId="0" fontId="5" fillId="0" borderId="4" xfId="0" applyFont="1" applyBorder="1"/>
    <xf numFmtId="0" fontId="5" fillId="0" borderId="0" xfId="0" applyFont="1" applyBorder="1" applyAlignment="1">
      <alignment horizontal="left"/>
    </xf>
    <xf numFmtId="17" fontId="17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164" fontId="6" fillId="0" borderId="5" xfId="1" applyFont="1" applyBorder="1" applyProtection="1"/>
    <xf numFmtId="0" fontId="0" fillId="11" borderId="0" xfId="0" applyFill="1" applyBorder="1" applyAlignment="1">
      <alignment vertical="center"/>
    </xf>
    <xf numFmtId="0" fontId="8" fillId="11" borderId="0" xfId="0" applyFont="1" applyFill="1" applyBorder="1" applyAlignment="1">
      <alignment vertical="center"/>
    </xf>
    <xf numFmtId="0" fontId="0" fillId="11" borderId="0" xfId="0" applyFill="1" applyBorder="1" applyAlignment="1">
      <alignment horizontal="center" vertical="center"/>
    </xf>
    <xf numFmtId="164" fontId="10" fillId="11" borderId="0" xfId="1" applyFont="1" applyFill="1" applyBorder="1" applyAlignment="1" applyProtection="1">
      <alignment vertical="center"/>
    </xf>
    <xf numFmtId="168" fontId="0" fillId="11" borderId="0" xfId="1" applyNumberFormat="1" applyFont="1" applyFill="1" applyBorder="1" applyAlignment="1" applyProtection="1">
      <alignment horizontal="right" vertical="center"/>
    </xf>
    <xf numFmtId="168" fontId="8" fillId="11" borderId="0" xfId="1" applyNumberFormat="1" applyFont="1" applyFill="1" applyBorder="1" applyAlignment="1" applyProtection="1">
      <alignment horizontal="right" vertical="center"/>
    </xf>
    <xf numFmtId="165" fontId="0" fillId="10" borderId="0" xfId="0" applyNumberFormat="1" applyFill="1"/>
    <xf numFmtId="0" fontId="24" fillId="9" borderId="16" xfId="0" applyFont="1" applyFill="1" applyBorder="1"/>
    <xf numFmtId="0" fontId="24" fillId="9" borderId="17" xfId="0" applyFont="1" applyFill="1" applyBorder="1" applyAlignment="1">
      <alignment horizontal="left"/>
    </xf>
    <xf numFmtId="17" fontId="17" fillId="9" borderId="17" xfId="0" applyNumberFormat="1" applyFont="1" applyFill="1" applyBorder="1" applyAlignment="1">
      <alignment horizontal="left"/>
    </xf>
    <xf numFmtId="0" fontId="24" fillId="9" borderId="17" xfId="0" applyFont="1" applyFill="1" applyBorder="1" applyAlignment="1">
      <alignment horizontal="center"/>
    </xf>
    <xf numFmtId="164" fontId="25" fillId="9" borderId="17" xfId="1" applyFont="1" applyFill="1" applyBorder="1" applyProtection="1"/>
    <xf numFmtId="164" fontId="26" fillId="9" borderId="17" xfId="1" applyFont="1" applyFill="1" applyBorder="1" applyProtection="1"/>
    <xf numFmtId="164" fontId="26" fillId="9" borderId="18" xfId="1" applyFont="1" applyFill="1" applyBorder="1" applyProtection="1"/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Border="1"/>
    <xf numFmtId="4" fontId="20" fillId="0" borderId="0" xfId="0" applyNumberFormat="1" applyFont="1" applyAlignment="1" applyProtection="1">
      <alignment horizontal="left" vertical="center" wrapText="1"/>
      <protection locked="0"/>
    </xf>
    <xf numFmtId="0" fontId="25" fillId="0" borderId="0" xfId="0" applyFont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9" fillId="0" borderId="5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1" fillId="0" borderId="5" xfId="0" applyFont="1" applyBorder="1" applyAlignment="1">
      <alignment horizontal="center"/>
    </xf>
    <xf numFmtId="17" fontId="17" fillId="12" borderId="12" xfId="0" applyNumberFormat="1" applyFont="1" applyFill="1" applyBorder="1" applyAlignment="1">
      <alignment horizontal="center"/>
    </xf>
    <xf numFmtId="0" fontId="20" fillId="12" borderId="13" xfId="0" applyFont="1" applyFill="1" applyBorder="1" applyAlignment="1">
      <alignment horizontal="center"/>
    </xf>
    <xf numFmtId="0" fontId="20" fillId="12" borderId="14" xfId="0" applyFont="1" applyFill="1" applyBorder="1" applyAlignment="1">
      <alignment horizontal="center"/>
    </xf>
    <xf numFmtId="0" fontId="4" fillId="0" borderId="12" xfId="0" applyFont="1" applyBorder="1" applyAlignment="1"/>
    <xf numFmtId="0" fontId="4" fillId="0" borderId="13" xfId="0" applyFont="1" applyBorder="1" applyAlignment="1"/>
    <xf numFmtId="0" fontId="4" fillId="0" borderId="14" xfId="0" applyFont="1" applyBorder="1" applyAlignment="1"/>
    <xf numFmtId="164" fontId="4" fillId="0" borderId="9" xfId="1" applyFont="1" applyBorder="1" applyAlignment="1" applyProtection="1">
      <alignment horizontal="center"/>
    </xf>
    <xf numFmtId="10" fontId="4" fillId="0" borderId="9" xfId="1" applyNumberFormat="1" applyFont="1" applyBorder="1" applyAlignment="1" applyProtection="1">
      <alignment horizontal="center"/>
    </xf>
    <xf numFmtId="0" fontId="1" fillId="10" borderId="0" xfId="0" applyFont="1" applyFill="1"/>
    <xf numFmtId="17" fontId="4" fillId="0" borderId="9" xfId="1" applyNumberFormat="1" applyFont="1" applyBorder="1" applyAlignment="1" applyProtection="1">
      <alignment horizontal="center"/>
    </xf>
    <xf numFmtId="0" fontId="4" fillId="0" borderId="9" xfId="1" applyNumberFormat="1" applyFont="1" applyBorder="1" applyAlignment="1" applyProtection="1">
      <alignment horizontal="center"/>
    </xf>
    <xf numFmtId="0" fontId="4" fillId="0" borderId="4" xfId="0" applyFont="1" applyBorder="1" applyAlignment="1"/>
    <xf numFmtId="0" fontId="4" fillId="0" borderId="0" xfId="0" applyFont="1" applyBorder="1" applyAlignment="1"/>
    <xf numFmtId="0" fontId="4" fillId="0" borderId="6" xfId="0" applyFont="1" applyBorder="1" applyAlignment="1"/>
    <xf numFmtId="164" fontId="4" fillId="0" borderId="0" xfId="1" applyFont="1" applyBorder="1" applyAlignment="1" applyProtection="1">
      <alignment horizontal="center"/>
    </xf>
    <xf numFmtId="0" fontId="4" fillId="0" borderId="5" xfId="1" applyNumberFormat="1" applyFont="1" applyBorder="1" applyAlignment="1" applyProtection="1">
      <alignment horizontal="center"/>
    </xf>
    <xf numFmtId="0" fontId="19" fillId="13" borderId="11" xfId="0" applyFont="1" applyFill="1" applyBorder="1" applyAlignment="1">
      <alignment horizontal="center" vertical="center"/>
    </xf>
    <xf numFmtId="164" fontId="19" fillId="13" borderId="11" xfId="1" applyFont="1" applyFill="1" applyBorder="1" applyAlignment="1" applyProtection="1">
      <alignment horizontal="center" vertical="center"/>
    </xf>
    <xf numFmtId="164" fontId="19" fillId="13" borderId="9" xfId="1" applyFont="1" applyFill="1" applyBorder="1" applyAlignment="1" applyProtection="1">
      <alignment horizontal="center" vertical="center"/>
    </xf>
    <xf numFmtId="10" fontId="19" fillId="13" borderId="11" xfId="2" applyNumberFormat="1" applyFont="1" applyFill="1" applyBorder="1" applyAlignment="1" applyProtection="1">
      <alignment horizontal="center" vertical="center"/>
    </xf>
    <xf numFmtId="0" fontId="1" fillId="10" borderId="0" xfId="0" applyFont="1" applyFill="1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9" xfId="0" applyFont="1" applyBorder="1" applyAlignment="1">
      <alignment vertical="justify"/>
    </xf>
    <xf numFmtId="4" fontId="27" fillId="0" borderId="9" xfId="0" applyNumberFormat="1" applyFont="1" applyBorder="1" applyAlignment="1" applyProtection="1">
      <alignment horizontal="right" vertical="center"/>
      <protection locked="0"/>
    </xf>
    <xf numFmtId="4" fontId="27" fillId="0" borderId="13" xfId="0" applyNumberFormat="1" applyFont="1" applyBorder="1" applyAlignment="1" applyProtection="1">
      <alignment horizontal="right" vertical="center"/>
      <protection locked="0"/>
    </xf>
    <xf numFmtId="168" fontId="27" fillId="0" borderId="9" xfId="0" applyNumberFormat="1" applyFont="1" applyBorder="1" applyAlignment="1">
      <alignment horizontal="right" vertical="center"/>
    </xf>
    <xf numFmtId="168" fontId="1" fillId="0" borderId="11" xfId="1" applyNumberFormat="1" applyFont="1" applyBorder="1" applyAlignment="1" applyProtection="1">
      <alignment horizontal="right" vertical="center"/>
    </xf>
    <xf numFmtId="0" fontId="1" fillId="0" borderId="9" xfId="0" applyFont="1" applyBorder="1" applyAlignment="1">
      <alignment horizontal="justify" vertical="justify"/>
    </xf>
    <xf numFmtId="0" fontId="27" fillId="0" borderId="11" xfId="0" applyFont="1" applyBorder="1" applyAlignment="1" applyProtection="1">
      <alignment horizontal="left" vertical="center" wrapText="1"/>
      <protection locked="0"/>
    </xf>
    <xf numFmtId="164" fontId="1" fillId="0" borderId="11" xfId="1" applyFont="1" applyBorder="1" applyAlignment="1" applyProtection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164" fontId="4" fillId="2" borderId="10" xfId="1" applyFont="1" applyFill="1" applyBorder="1" applyAlignment="1" applyProtection="1">
      <alignment horizontal="center" vertical="center"/>
    </xf>
    <xf numFmtId="164" fontId="4" fillId="2" borderId="14" xfId="1" applyFont="1" applyFill="1" applyBorder="1" applyAlignment="1" applyProtection="1">
      <alignment horizontal="center" vertical="center"/>
    </xf>
    <xf numFmtId="164" fontId="4" fillId="2" borderId="10" xfId="1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64" fontId="4" fillId="2" borderId="11" xfId="1" applyFont="1" applyFill="1" applyBorder="1" applyAlignment="1" applyProtection="1">
      <alignment horizontal="center" vertical="center"/>
    </xf>
    <xf numFmtId="164" fontId="4" fillId="2" borderId="9" xfId="1" applyFont="1" applyFill="1" applyBorder="1" applyAlignment="1" applyProtection="1">
      <alignment horizontal="center" vertical="center"/>
    </xf>
    <xf numFmtId="164" fontId="4" fillId="2" borderId="11" xfId="1" applyFont="1" applyFill="1" applyBorder="1" applyAlignment="1" applyProtection="1">
      <alignment horizontal="center" vertical="center"/>
    </xf>
    <xf numFmtId="10" fontId="4" fillId="2" borderId="11" xfId="2" applyNumberFormat="1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164" fontId="4" fillId="3" borderId="13" xfId="1" applyFont="1" applyFill="1" applyBorder="1" applyAlignment="1" applyProtection="1">
      <alignment vertical="center"/>
    </xf>
    <xf numFmtId="164" fontId="4" fillId="3" borderId="14" xfId="1" applyFont="1" applyFill="1" applyBorder="1" applyAlignment="1" applyProtection="1">
      <alignment vertical="center"/>
    </xf>
    <xf numFmtId="0" fontId="27" fillId="4" borderId="9" xfId="0" applyFont="1" applyFill="1" applyBorder="1" applyAlignment="1">
      <alignment horizontal="left" vertical="center"/>
    </xf>
    <xf numFmtId="0" fontId="1" fillId="5" borderId="12" xfId="0" applyFont="1" applyFill="1" applyBorder="1" applyAlignment="1">
      <alignment vertical="center"/>
    </xf>
    <xf numFmtId="0" fontId="1" fillId="5" borderId="13" xfId="0" applyFont="1" applyFill="1" applyBorder="1" applyAlignment="1">
      <alignment horizontal="left" vertical="center"/>
    </xf>
    <xf numFmtId="0" fontId="4" fillId="5" borderId="13" xfId="0" applyFont="1" applyFill="1" applyBorder="1" applyAlignment="1">
      <alignment vertical="center"/>
    </xf>
    <xf numFmtId="0" fontId="1" fillId="5" borderId="13" xfId="0" applyFont="1" applyFill="1" applyBorder="1" applyAlignment="1">
      <alignment horizontal="center" vertical="center"/>
    </xf>
    <xf numFmtId="164" fontId="32" fillId="5" borderId="13" xfId="1" applyFont="1" applyFill="1" applyBorder="1" applyAlignment="1" applyProtection="1">
      <alignment vertical="center"/>
    </xf>
    <xf numFmtId="168" fontId="1" fillId="5" borderId="13" xfId="1" applyNumberFormat="1" applyFont="1" applyFill="1" applyBorder="1" applyAlignment="1" applyProtection="1">
      <alignment vertical="center"/>
    </xf>
    <xf numFmtId="168" fontId="4" fillId="5" borderId="14" xfId="1" applyNumberFormat="1" applyFont="1" applyFill="1" applyBorder="1" applyAlignment="1" applyProtection="1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164" fontId="33" fillId="3" borderId="6" xfId="1" applyFont="1" applyFill="1" applyBorder="1" applyAlignment="1" applyProtection="1">
      <alignment vertical="center"/>
    </xf>
    <xf numFmtId="164" fontId="4" fillId="3" borderId="6" xfId="1" applyFont="1" applyFill="1" applyBorder="1" applyAlignment="1" applyProtection="1">
      <alignment vertical="center"/>
    </xf>
    <xf numFmtId="164" fontId="4" fillId="3" borderId="8" xfId="1" applyFont="1" applyFill="1" applyBorder="1" applyAlignment="1" applyProtection="1">
      <alignment vertical="center"/>
    </xf>
    <xf numFmtId="164" fontId="1" fillId="10" borderId="0" xfId="0" applyNumberFormat="1" applyFont="1" applyFill="1"/>
    <xf numFmtId="0" fontId="1" fillId="0" borderId="11" xfId="0" applyFont="1" applyBorder="1" applyAlignment="1">
      <alignment horizontal="left" vertical="center" wrapText="1"/>
    </xf>
    <xf numFmtId="4" fontId="27" fillId="0" borderId="9" xfId="0" applyNumberFormat="1" applyFont="1" applyBorder="1" applyAlignment="1">
      <alignment horizontal="right" vertical="center"/>
    </xf>
    <xf numFmtId="165" fontId="1" fillId="0" borderId="0" xfId="0" applyNumberFormat="1" applyFont="1"/>
    <xf numFmtId="164" fontId="32" fillId="5" borderId="13" xfId="1" applyFont="1" applyFill="1" applyBorder="1" applyAlignment="1" applyProtection="1">
      <alignment horizontal="right" vertical="center"/>
    </xf>
    <xf numFmtId="168" fontId="1" fillId="5" borderId="13" xfId="1" applyNumberFormat="1" applyFont="1" applyFill="1" applyBorder="1" applyAlignment="1" applyProtection="1">
      <alignment horizontal="right" vertical="center"/>
    </xf>
    <xf numFmtId="168" fontId="4" fillId="5" borderId="14" xfId="1" applyNumberFormat="1" applyFont="1" applyFill="1" applyBorder="1" applyAlignment="1" applyProtection="1">
      <alignment horizontal="right" vertical="center"/>
    </xf>
    <xf numFmtId="0" fontId="4" fillId="3" borderId="15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168" fontId="1" fillId="0" borderId="11" xfId="1" applyNumberFormat="1" applyFont="1" applyFill="1" applyBorder="1" applyAlignment="1" applyProtection="1">
      <alignment horizontal="right" vertical="center"/>
    </xf>
    <xf numFmtId="8" fontId="1" fillId="10" borderId="0" xfId="0" applyNumberFormat="1" applyFont="1" applyFill="1" applyAlignment="1">
      <alignment horizontal="right" vertical="center"/>
    </xf>
    <xf numFmtId="0" fontId="27" fillId="0" borderId="9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>
      <alignment horizontal="left" vertical="center"/>
    </xf>
    <xf numFmtId="0" fontId="1" fillId="0" borderId="0" xfId="0" applyFont="1" applyAlignment="1">
      <alignment vertical="justify"/>
    </xf>
    <xf numFmtId="0" fontId="4" fillId="3" borderId="15" xfId="0" applyFont="1" applyFill="1" applyBorder="1" applyAlignment="1">
      <alignment horizontal="center" vertical="justify"/>
    </xf>
    <xf numFmtId="0" fontId="4" fillId="3" borderId="6" xfId="0" applyFont="1" applyFill="1" applyBorder="1" applyAlignment="1">
      <alignment horizontal="left" vertical="justify"/>
    </xf>
    <xf numFmtId="0" fontId="4" fillId="3" borderId="13" xfId="0" applyFont="1" applyFill="1" applyBorder="1" applyAlignment="1">
      <alignment vertical="justify"/>
    </xf>
    <xf numFmtId="0" fontId="4" fillId="3" borderId="14" xfId="0" applyFont="1" applyFill="1" applyBorder="1" applyAlignment="1">
      <alignment vertical="justify"/>
    </xf>
    <xf numFmtId="0" fontId="1" fillId="10" borderId="0" xfId="0" applyFont="1" applyFill="1" applyAlignment="1">
      <alignment vertical="justify"/>
    </xf>
    <xf numFmtId="164" fontId="4" fillId="3" borderId="6" xfId="1" applyFont="1" applyFill="1" applyBorder="1" applyAlignment="1" applyProtection="1">
      <alignment vertical="justify"/>
    </xf>
    <xf numFmtId="165" fontId="1" fillId="0" borderId="0" xfId="0" applyNumberFormat="1" applyFont="1" applyAlignment="1">
      <alignment vertical="justify"/>
    </xf>
    <xf numFmtId="0" fontId="1" fillId="0" borderId="9" xfId="0" applyFont="1" applyBorder="1" applyAlignment="1">
      <alignment horizontal="left" vertical="center"/>
    </xf>
    <xf numFmtId="0" fontId="1" fillId="0" borderId="0" xfId="0" applyFont="1" applyAlignment="1">
      <alignment vertical="justify" wrapText="1"/>
    </xf>
    <xf numFmtId="0" fontId="27" fillId="0" borderId="9" xfId="0" applyFont="1" applyBorder="1" applyAlignment="1">
      <alignment horizontal="right" vertical="center"/>
    </xf>
    <xf numFmtId="171" fontId="1" fillId="0" borderId="11" xfId="3" applyNumberFormat="1" applyFont="1" applyBorder="1" applyAlignment="1" applyProtection="1">
      <alignment vertical="center"/>
    </xf>
    <xf numFmtId="49" fontId="1" fillId="0" borderId="9" xfId="0" applyNumberFormat="1" applyFont="1" applyBorder="1" applyAlignment="1">
      <alignment horizontal="left"/>
    </xf>
    <xf numFmtId="170" fontId="1" fillId="0" borderId="9" xfId="0" applyNumberFormat="1" applyFont="1" applyBorder="1" applyAlignment="1">
      <alignment vertical="justify"/>
    </xf>
    <xf numFmtId="170" fontId="1" fillId="0" borderId="10" xfId="0" applyNumberFormat="1" applyFont="1" applyBorder="1"/>
    <xf numFmtId="4" fontId="1" fillId="0" borderId="9" xfId="0" applyNumberFormat="1" applyFont="1" applyBorder="1"/>
    <xf numFmtId="4" fontId="1" fillId="0" borderId="10" xfId="0" applyNumberFormat="1" applyFont="1" applyFill="1" applyBorder="1"/>
    <xf numFmtId="44" fontId="27" fillId="0" borderId="9" xfId="3" applyFont="1" applyFill="1" applyBorder="1" applyAlignment="1" applyProtection="1">
      <alignment horizontal="center" vertical="center"/>
    </xf>
    <xf numFmtId="4" fontId="1" fillId="0" borderId="10" xfId="0" applyNumberFormat="1" applyFont="1" applyBorder="1"/>
    <xf numFmtId="44" fontId="27" fillId="0" borderId="9" xfId="3" applyFont="1" applyBorder="1" applyAlignment="1" applyProtection="1">
      <alignment horizontal="center" vertical="center"/>
    </xf>
    <xf numFmtId="4" fontId="1" fillId="0" borderId="9" xfId="0" applyNumberFormat="1" applyFont="1" applyFill="1" applyBorder="1"/>
    <xf numFmtId="164" fontId="1" fillId="0" borderId="9" xfId="1" applyFont="1" applyBorder="1" applyAlignment="1" applyProtection="1">
      <alignment horizontal="right" vertical="center"/>
    </xf>
    <xf numFmtId="168" fontId="1" fillId="0" borderId="9" xfId="1" applyNumberFormat="1" applyFont="1" applyBorder="1" applyAlignment="1" applyProtection="1">
      <alignment horizontal="right" vertical="center"/>
    </xf>
    <xf numFmtId="0" fontId="1" fillId="11" borderId="0" xfId="0" applyFont="1" applyFill="1" applyBorder="1" applyAlignment="1">
      <alignment vertical="center"/>
    </xf>
    <xf numFmtId="0" fontId="1" fillId="11" borderId="0" xfId="0" applyFont="1" applyFill="1" applyBorder="1" applyAlignment="1">
      <alignment horizontal="left" vertical="center"/>
    </xf>
    <xf numFmtId="0" fontId="4" fillId="11" borderId="0" xfId="0" applyFont="1" applyFill="1" applyBorder="1" applyAlignment="1">
      <alignment vertical="center"/>
    </xf>
    <xf numFmtId="0" fontId="1" fillId="11" borderId="0" xfId="0" applyFont="1" applyFill="1" applyBorder="1" applyAlignment="1">
      <alignment horizontal="center" vertical="center"/>
    </xf>
    <xf numFmtId="164" fontId="32" fillId="11" borderId="0" xfId="1" applyFont="1" applyFill="1" applyBorder="1" applyAlignment="1" applyProtection="1">
      <alignment vertical="center"/>
    </xf>
    <xf numFmtId="168" fontId="1" fillId="11" borderId="0" xfId="1" applyNumberFormat="1" applyFont="1" applyFill="1" applyBorder="1" applyAlignment="1" applyProtection="1">
      <alignment horizontal="right" vertical="center"/>
    </xf>
    <xf numFmtId="168" fontId="4" fillId="11" borderId="0" xfId="1" applyNumberFormat="1" applyFont="1" applyFill="1" applyBorder="1" applyAlignment="1" applyProtection="1">
      <alignment horizontal="right" vertical="center"/>
    </xf>
    <xf numFmtId="165" fontId="1" fillId="10" borderId="0" xfId="0" applyNumberFormat="1" applyFont="1" applyFill="1"/>
    <xf numFmtId="0" fontId="34" fillId="0" borderId="0" xfId="0" applyFont="1" applyAlignment="1">
      <alignment horizontal="left" vertical="center"/>
    </xf>
    <xf numFmtId="4" fontId="1" fillId="0" borderId="0" xfId="0" applyNumberFormat="1" applyFont="1" applyAlignment="1" applyProtection="1">
      <alignment horizontal="left" vertical="center" wrapText="1"/>
      <protection locked="0"/>
    </xf>
    <xf numFmtId="4" fontId="34" fillId="0" borderId="0" xfId="0" applyNumberFormat="1" applyFont="1" applyAlignment="1" applyProtection="1">
      <alignment horizontal="center" vertical="center"/>
      <protection locked="0"/>
    </xf>
    <xf numFmtId="4" fontId="34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/>
    <xf numFmtId="0" fontId="1" fillId="0" borderId="9" xfId="0" applyFont="1" applyBorder="1" applyAlignment="1">
      <alignment vertical="justify" wrapText="1"/>
    </xf>
    <xf numFmtId="0" fontId="1" fillId="0" borderId="7" xfId="0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/>
    </xf>
    <xf numFmtId="4" fontId="1" fillId="0" borderId="11" xfId="0" applyNumberFormat="1" applyFont="1" applyBorder="1"/>
    <xf numFmtId="4" fontId="1" fillId="0" borderId="11" xfId="0" applyNumberFormat="1" applyFont="1" applyFill="1" applyBorder="1"/>
    <xf numFmtId="4" fontId="1" fillId="0" borderId="42" xfId="0" applyNumberFormat="1" applyFont="1" applyBorder="1"/>
  </cellXfs>
  <cellStyles count="4">
    <cellStyle name="Moeda" xfId="3" builtinId="4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A6A6A6"/>
      <rgbColor rgb="FF993366"/>
      <rgbColor rgb="FFF2F2F2"/>
      <rgbColor rgb="FFEAEAEA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B2B2B2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60324</xdr:colOff>
      <xdr:row>0</xdr:row>
      <xdr:rowOff>1</xdr:rowOff>
    </xdr:from>
    <xdr:to>
      <xdr:col>2</xdr:col>
      <xdr:colOff>84667</xdr:colOff>
      <xdr:row>5</xdr:row>
      <xdr:rowOff>158751</xdr:rowOff>
    </xdr:to>
    <xdr:pic>
      <xdr:nvPicPr>
        <xdr:cNvPr id="5" name="Imagem 4" descr="Brazao1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91" y="1"/>
          <a:ext cx="1347259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388408</xdr:colOff>
      <xdr:row>0</xdr:row>
      <xdr:rowOff>0</xdr:rowOff>
    </xdr:from>
    <xdr:to>
      <xdr:col>2</xdr:col>
      <xdr:colOff>862542</xdr:colOff>
      <xdr:row>4</xdr:row>
      <xdr:rowOff>209550</xdr:rowOff>
    </xdr:to>
    <xdr:pic>
      <xdr:nvPicPr>
        <xdr:cNvPr id="3" name="Imagem 2" descr="Brazao1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958" y="0"/>
          <a:ext cx="1064684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388408</xdr:colOff>
      <xdr:row>0</xdr:row>
      <xdr:rowOff>0</xdr:rowOff>
    </xdr:from>
    <xdr:to>
      <xdr:col>2</xdr:col>
      <xdr:colOff>862542</xdr:colOff>
      <xdr:row>4</xdr:row>
      <xdr:rowOff>209550</xdr:rowOff>
    </xdr:to>
    <xdr:pic>
      <xdr:nvPicPr>
        <xdr:cNvPr id="4" name="Imagem 3" descr="Brazao10%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158" y="0"/>
          <a:ext cx="1064684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osi&#231;&#245;es%20materiais%20el&#233;tricos%20I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ma Sintética"/>
      <sheetName val="Cronograma"/>
      <sheetName val="Orçamentos fora Sinapi"/>
      <sheetName val="Grama Sintética versão antiga"/>
      <sheetName val="CRONOGRAMA (em construção)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D61"/>
  <sheetViews>
    <sheetView tabSelected="1" topLeftCell="A25" zoomScale="90" zoomScaleNormal="90" workbookViewId="0">
      <selection activeCell="C25" sqref="C25"/>
    </sheetView>
  </sheetViews>
  <sheetFormatPr defaultColWidth="8.85546875" defaultRowHeight="12.75" x14ac:dyDescent="0.2"/>
  <cols>
    <col min="2" max="2" width="19.85546875" customWidth="1"/>
    <col min="3" max="3" width="75" customWidth="1"/>
    <col min="5" max="5" width="10" customWidth="1"/>
    <col min="6" max="6" width="20.42578125" customWidth="1"/>
    <col min="7" max="7" width="21.140625" customWidth="1"/>
    <col min="8" max="8" width="19.140625" customWidth="1"/>
    <col min="9" max="9" width="19.7109375" bestFit="1" customWidth="1"/>
    <col min="10" max="10" width="7" customWidth="1"/>
    <col min="11" max="11" width="14.7109375" style="117" customWidth="1"/>
    <col min="12" max="12" width="8.85546875" style="117"/>
    <col min="13" max="13" width="15.140625" customWidth="1"/>
  </cols>
  <sheetData>
    <row r="2" spans="2:56" ht="18" x14ac:dyDescent="0.25">
      <c r="B2" s="3"/>
      <c r="C2" s="142" t="s">
        <v>159</v>
      </c>
      <c r="D2" s="143"/>
      <c r="E2" s="143"/>
      <c r="F2" s="143"/>
      <c r="G2" s="143"/>
      <c r="H2" s="143"/>
      <c r="I2" s="7"/>
    </row>
    <row r="3" spans="2:56" ht="26.25" x14ac:dyDescent="0.4">
      <c r="B3" s="8"/>
      <c r="C3" s="144" t="s">
        <v>160</v>
      </c>
      <c r="D3" s="145"/>
      <c r="E3" s="145"/>
      <c r="F3" s="145"/>
      <c r="G3" s="145"/>
      <c r="H3" s="145"/>
      <c r="I3" s="146"/>
      <c r="J3" s="11"/>
    </row>
    <row r="4" spans="2:56" ht="18.75" x14ac:dyDescent="0.3">
      <c r="B4" s="8"/>
      <c r="C4" s="147" t="s">
        <v>161</v>
      </c>
      <c r="D4" s="148"/>
      <c r="E4" s="148"/>
      <c r="F4" s="148"/>
      <c r="G4" s="148"/>
      <c r="H4" s="148"/>
      <c r="I4" s="149"/>
      <c r="J4" s="11"/>
    </row>
    <row r="5" spans="2:56" ht="15.75" x14ac:dyDescent="0.25">
      <c r="B5" s="8"/>
      <c r="C5" s="120"/>
      <c r="D5" s="138"/>
      <c r="E5" s="2"/>
      <c r="F5" s="2"/>
      <c r="G5" s="2"/>
      <c r="H5" s="2"/>
      <c r="I5" s="10"/>
      <c r="J5" s="11"/>
    </row>
    <row r="6" spans="2:56" ht="16.5" x14ac:dyDescent="0.25">
      <c r="B6" s="139"/>
      <c r="C6" s="120"/>
      <c r="D6" s="121"/>
      <c r="E6" s="40"/>
      <c r="F6" s="42"/>
      <c r="G6" s="41"/>
      <c r="H6" s="42"/>
      <c r="I6" s="41"/>
    </row>
    <row r="7" spans="2:56" ht="15.75" x14ac:dyDescent="0.25">
      <c r="B7" s="150" t="s">
        <v>162</v>
      </c>
      <c r="C7" s="151"/>
      <c r="D7" s="151"/>
      <c r="E7" s="151"/>
      <c r="F7" s="151"/>
      <c r="G7" s="151"/>
      <c r="H7" s="151"/>
      <c r="I7" s="152"/>
    </row>
    <row r="8" spans="2:56" s="1" customFormat="1" ht="15" x14ac:dyDescent="0.25">
      <c r="B8" s="153" t="s">
        <v>163</v>
      </c>
      <c r="C8" s="154"/>
      <c r="D8" s="154"/>
      <c r="E8" s="154"/>
      <c r="F8" s="154"/>
      <c r="G8" s="155"/>
      <c r="H8" s="156" t="s">
        <v>164</v>
      </c>
      <c r="I8" s="157">
        <v>0.21</v>
      </c>
      <c r="K8" s="158"/>
      <c r="L8" s="158"/>
    </row>
    <row r="9" spans="2:56" s="1" customFormat="1" ht="15" x14ac:dyDescent="0.25">
      <c r="B9" s="153" t="s">
        <v>165</v>
      </c>
      <c r="C9" s="154"/>
      <c r="D9" s="154"/>
      <c r="E9" s="154"/>
      <c r="F9" s="154"/>
      <c r="G9" s="155"/>
      <c r="H9" s="156" t="s">
        <v>166</v>
      </c>
      <c r="I9" s="159">
        <v>46082</v>
      </c>
      <c r="K9" s="158"/>
      <c r="L9" s="158"/>
    </row>
    <row r="10" spans="2:56" s="1" customFormat="1" ht="15" x14ac:dyDescent="0.25">
      <c r="B10" s="153" t="s">
        <v>167</v>
      </c>
      <c r="C10" s="154"/>
      <c r="D10" s="154"/>
      <c r="E10" s="154"/>
      <c r="F10" s="154"/>
      <c r="G10" s="155"/>
      <c r="H10" s="156" t="s">
        <v>168</v>
      </c>
      <c r="I10" s="159">
        <v>46054</v>
      </c>
      <c r="K10" s="158"/>
      <c r="L10" s="158"/>
    </row>
    <row r="11" spans="2:56" s="1" customFormat="1" ht="15" x14ac:dyDescent="0.25">
      <c r="B11" s="153" t="s">
        <v>169</v>
      </c>
      <c r="C11" s="154"/>
      <c r="D11" s="154"/>
      <c r="E11" s="154"/>
      <c r="F11" s="154"/>
      <c r="G11" s="155"/>
      <c r="H11" s="156"/>
      <c r="I11" s="160"/>
      <c r="K11" s="158"/>
      <c r="L11" s="158"/>
    </row>
    <row r="12" spans="2:56" s="1" customFormat="1" ht="15" x14ac:dyDescent="0.25">
      <c r="B12" s="161"/>
      <c r="C12" s="162"/>
      <c r="D12" s="162"/>
      <c r="E12" s="162"/>
      <c r="F12" s="163"/>
      <c r="G12" s="162"/>
      <c r="H12" s="164"/>
      <c r="I12" s="165"/>
      <c r="K12" s="158"/>
      <c r="L12" s="158"/>
    </row>
    <row r="13" spans="2:56" ht="15.75" x14ac:dyDescent="0.25">
      <c r="B13" s="150" t="s">
        <v>170</v>
      </c>
      <c r="C13" s="151"/>
      <c r="D13" s="151"/>
      <c r="E13" s="151"/>
      <c r="F13" s="151"/>
      <c r="G13" s="151"/>
      <c r="H13" s="151"/>
      <c r="I13" s="152"/>
    </row>
    <row r="14" spans="2:56" s="1" customFormat="1" ht="25.5" customHeight="1" x14ac:dyDescent="0.2">
      <c r="B14" s="166" t="s">
        <v>171</v>
      </c>
      <c r="C14" s="166" t="s">
        <v>172</v>
      </c>
      <c r="D14" s="166" t="s">
        <v>173</v>
      </c>
      <c r="E14" s="167" t="s">
        <v>174</v>
      </c>
      <c r="F14" s="168" t="s">
        <v>175</v>
      </c>
      <c r="G14" s="167" t="s">
        <v>176</v>
      </c>
      <c r="H14" s="169" t="s">
        <v>177</v>
      </c>
      <c r="I14" s="167" t="s">
        <v>178</v>
      </c>
      <c r="J14" s="39"/>
      <c r="K14" s="170"/>
      <c r="L14" s="170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</row>
    <row r="15" spans="2:56" s="1" customFormat="1" ht="28.5" x14ac:dyDescent="0.2">
      <c r="B15" s="171" t="s">
        <v>179</v>
      </c>
      <c r="C15" s="172" t="s">
        <v>91</v>
      </c>
      <c r="D15" s="173" t="s">
        <v>61</v>
      </c>
      <c r="E15" s="174">
        <v>150</v>
      </c>
      <c r="F15" s="175">
        <v>49.04</v>
      </c>
      <c r="G15" s="176">
        <v>59.65</v>
      </c>
      <c r="H15" s="176">
        <f>E15*F15</f>
        <v>7356</v>
      </c>
      <c r="I15" s="176">
        <f>E15*G15</f>
        <v>8947.5</v>
      </c>
      <c r="K15" s="158"/>
      <c r="L15" s="158"/>
      <c r="M15" s="175">
        <v>52.96</v>
      </c>
    </row>
    <row r="16" spans="2:56" s="1" customFormat="1" ht="28.5" x14ac:dyDescent="0.2">
      <c r="B16" s="171" t="s">
        <v>180</v>
      </c>
      <c r="C16" s="177" t="s">
        <v>181</v>
      </c>
      <c r="D16" s="173" t="s">
        <v>61</v>
      </c>
      <c r="E16" s="174">
        <v>25</v>
      </c>
      <c r="F16" s="175">
        <v>231.67</v>
      </c>
      <c r="G16" s="176">
        <v>276.20999999999998</v>
      </c>
      <c r="H16" s="176">
        <f t="shared" ref="H16:H30" si="0">E16*F16</f>
        <v>5791.75</v>
      </c>
      <c r="I16" s="176">
        <f t="shared" ref="I16:I30" si="1">E16*G16</f>
        <v>6905.2499999999991</v>
      </c>
      <c r="K16" s="158"/>
      <c r="L16" s="158"/>
      <c r="M16" s="175">
        <v>455.47</v>
      </c>
    </row>
    <row r="17" spans="2:16" s="1" customFormat="1" ht="28.5" x14ac:dyDescent="0.2">
      <c r="B17" s="171" t="s">
        <v>182</v>
      </c>
      <c r="C17" s="172" t="s">
        <v>101</v>
      </c>
      <c r="D17" s="173" t="s">
        <v>13</v>
      </c>
      <c r="E17" s="174">
        <v>500</v>
      </c>
      <c r="F17" s="175">
        <v>32.22</v>
      </c>
      <c r="G17" s="176">
        <v>46.4</v>
      </c>
      <c r="H17" s="176">
        <f t="shared" si="0"/>
        <v>16110</v>
      </c>
      <c r="I17" s="176">
        <f t="shared" si="1"/>
        <v>23200</v>
      </c>
      <c r="K17" s="158"/>
      <c r="L17" s="158"/>
      <c r="M17" s="175"/>
    </row>
    <row r="18" spans="2:16" s="1" customFormat="1" ht="14.25" x14ac:dyDescent="0.2">
      <c r="B18" s="171" t="s">
        <v>183</v>
      </c>
      <c r="C18" s="172" t="s">
        <v>103</v>
      </c>
      <c r="D18" s="173" t="s">
        <v>61</v>
      </c>
      <c r="E18" s="174">
        <v>280</v>
      </c>
      <c r="F18" s="175">
        <v>47.12</v>
      </c>
      <c r="G18" s="176">
        <v>58.04</v>
      </c>
      <c r="H18" s="176">
        <f t="shared" si="0"/>
        <v>13193.599999999999</v>
      </c>
      <c r="I18" s="176">
        <f t="shared" si="1"/>
        <v>16251.199999999999</v>
      </c>
      <c r="K18" s="158"/>
      <c r="L18" s="158"/>
      <c r="M18" s="175"/>
    </row>
    <row r="19" spans="2:16" s="1" customFormat="1" ht="28.5" x14ac:dyDescent="0.2">
      <c r="B19" s="171" t="s">
        <v>184</v>
      </c>
      <c r="C19" s="178" t="s">
        <v>104</v>
      </c>
      <c r="D19" s="173" t="s">
        <v>61</v>
      </c>
      <c r="E19" s="179">
        <v>300</v>
      </c>
      <c r="F19" s="176">
        <v>24.58</v>
      </c>
      <c r="G19" s="176">
        <v>28.97</v>
      </c>
      <c r="H19" s="176">
        <f t="shared" si="0"/>
        <v>7373.9999999999991</v>
      </c>
      <c r="I19" s="176">
        <f t="shared" si="1"/>
        <v>8691</v>
      </c>
      <c r="K19" s="158"/>
      <c r="L19" s="158"/>
      <c r="M19" s="175"/>
    </row>
    <row r="20" spans="2:16" s="1" customFormat="1" ht="71.25" x14ac:dyDescent="0.2">
      <c r="B20" s="171" t="s">
        <v>185</v>
      </c>
      <c r="C20" s="172" t="s">
        <v>186</v>
      </c>
      <c r="D20" s="173" t="s">
        <v>61</v>
      </c>
      <c r="E20" s="173">
        <v>150</v>
      </c>
      <c r="F20" s="175">
        <v>525.42999999999995</v>
      </c>
      <c r="G20" s="176">
        <v>867.43</v>
      </c>
      <c r="H20" s="176">
        <f t="shared" si="0"/>
        <v>78814.499999999985</v>
      </c>
      <c r="I20" s="176">
        <f t="shared" si="1"/>
        <v>130114.49999999999</v>
      </c>
      <c r="K20" s="158"/>
      <c r="L20" s="158"/>
      <c r="M20" s="175">
        <v>25</v>
      </c>
    </row>
    <row r="21" spans="2:16" s="1" customFormat="1" ht="14.25" x14ac:dyDescent="0.2">
      <c r="B21" s="171" t="s">
        <v>187</v>
      </c>
      <c r="C21" s="172" t="s">
        <v>115</v>
      </c>
      <c r="D21" s="173" t="s">
        <v>61</v>
      </c>
      <c r="E21" s="173">
        <v>150</v>
      </c>
      <c r="F21" s="175">
        <v>97.9</v>
      </c>
      <c r="G21" s="176">
        <v>109.64</v>
      </c>
      <c r="H21" s="176">
        <f t="shared" si="0"/>
        <v>14685</v>
      </c>
      <c r="I21" s="176">
        <f t="shared" si="1"/>
        <v>16446</v>
      </c>
      <c r="K21" s="158"/>
      <c r="L21" s="158"/>
      <c r="M21" s="175">
        <v>27.51</v>
      </c>
    </row>
    <row r="22" spans="2:16" s="1" customFormat="1" ht="28.5" x14ac:dyDescent="0.2">
      <c r="B22" s="171" t="s">
        <v>188</v>
      </c>
      <c r="C22" s="178" t="s">
        <v>152</v>
      </c>
      <c r="D22" s="173" t="s">
        <v>13</v>
      </c>
      <c r="E22" s="179">
        <v>700</v>
      </c>
      <c r="F22" s="176">
        <v>8.02</v>
      </c>
      <c r="G22" s="176">
        <v>13.9</v>
      </c>
      <c r="H22" s="176">
        <f t="shared" si="0"/>
        <v>5614</v>
      </c>
      <c r="I22" s="176">
        <f t="shared" si="1"/>
        <v>9730</v>
      </c>
      <c r="K22" s="158"/>
      <c r="L22" s="158"/>
      <c r="M22" s="176">
        <f>'[1]Orçamentos fora Sinapi'!S27</f>
        <v>0</v>
      </c>
    </row>
    <row r="23" spans="2:16" s="1" customFormat="1" ht="28.5" x14ac:dyDescent="0.2">
      <c r="B23" s="171" t="s">
        <v>189</v>
      </c>
      <c r="C23" s="178" t="s">
        <v>190</v>
      </c>
      <c r="D23" s="173" t="s">
        <v>61</v>
      </c>
      <c r="E23" s="179">
        <v>30</v>
      </c>
      <c r="F23" s="176">
        <v>3919.05</v>
      </c>
      <c r="G23" s="176">
        <v>4077.71</v>
      </c>
      <c r="H23" s="176">
        <f t="shared" si="0"/>
        <v>117571.5</v>
      </c>
      <c r="I23" s="176">
        <f t="shared" si="1"/>
        <v>122331.3</v>
      </c>
      <c r="K23" s="158"/>
      <c r="L23" s="158"/>
      <c r="M23" s="176">
        <f>'[1]Orçamentos fora Sinapi'!O168</f>
        <v>0</v>
      </c>
    </row>
    <row r="24" spans="2:16" s="1" customFormat="1" ht="28.5" x14ac:dyDescent="0.2">
      <c r="B24" s="171" t="s">
        <v>191</v>
      </c>
      <c r="C24" s="178" t="s">
        <v>127</v>
      </c>
      <c r="D24" s="173" t="s">
        <v>61</v>
      </c>
      <c r="E24" s="179">
        <v>100</v>
      </c>
      <c r="F24" s="176">
        <v>18.170000000000002</v>
      </c>
      <c r="G24" s="176">
        <v>22.34</v>
      </c>
      <c r="H24" s="176">
        <f t="shared" si="0"/>
        <v>1817.0000000000002</v>
      </c>
      <c r="I24" s="176">
        <f t="shared" si="1"/>
        <v>2234</v>
      </c>
      <c r="K24" s="158"/>
      <c r="L24" s="158"/>
      <c r="M24" s="176"/>
    </row>
    <row r="25" spans="2:16" ht="14.25" x14ac:dyDescent="0.2">
      <c r="B25" s="171" t="s">
        <v>192</v>
      </c>
      <c r="C25" s="110" t="s">
        <v>133</v>
      </c>
      <c r="D25" s="105" t="s">
        <v>13</v>
      </c>
      <c r="E25" s="105">
        <v>7500</v>
      </c>
      <c r="F25" s="98">
        <v>30.7</v>
      </c>
      <c r="G25" s="98">
        <v>26.52</v>
      </c>
      <c r="H25" s="176">
        <f t="shared" si="0"/>
        <v>230250</v>
      </c>
      <c r="I25" s="176">
        <f t="shared" si="1"/>
        <v>198900</v>
      </c>
      <c r="M25" s="98">
        <v>45.51</v>
      </c>
    </row>
    <row r="26" spans="2:16" ht="14.25" x14ac:dyDescent="0.2">
      <c r="B26" s="171" t="s">
        <v>193</v>
      </c>
      <c r="C26" s="101" t="s">
        <v>194</v>
      </c>
      <c r="D26" s="105" t="s">
        <v>61</v>
      </c>
      <c r="E26" s="103">
        <v>15</v>
      </c>
      <c r="F26" s="98">
        <v>587.42999999999995</v>
      </c>
      <c r="G26" s="98">
        <v>462.85</v>
      </c>
      <c r="H26" s="176">
        <f t="shared" si="0"/>
        <v>8811.4499999999989</v>
      </c>
      <c r="I26" s="176">
        <f t="shared" si="1"/>
        <v>6942.75</v>
      </c>
      <c r="M26" s="98">
        <v>12.47</v>
      </c>
      <c r="P26" s="17"/>
    </row>
    <row r="27" spans="2:16" ht="38.25" x14ac:dyDescent="0.2">
      <c r="B27" s="171" t="s">
        <v>195</v>
      </c>
      <c r="C27" s="101" t="s">
        <v>196</v>
      </c>
      <c r="D27" s="105" t="s">
        <v>61</v>
      </c>
      <c r="E27" s="103">
        <v>300</v>
      </c>
      <c r="F27" s="98">
        <v>621.15</v>
      </c>
      <c r="G27" s="98">
        <v>755.86</v>
      </c>
      <c r="H27" s="176">
        <f t="shared" si="0"/>
        <v>186345</v>
      </c>
      <c r="I27" s="176">
        <f t="shared" si="1"/>
        <v>226758</v>
      </c>
      <c r="M27" s="98">
        <v>22.21</v>
      </c>
      <c r="P27" s="17"/>
    </row>
    <row r="28" spans="2:16" ht="25.9" customHeight="1" x14ac:dyDescent="0.2">
      <c r="B28" s="171" t="s">
        <v>197</v>
      </c>
      <c r="C28" s="110" t="s">
        <v>198</v>
      </c>
      <c r="D28" s="105" t="s">
        <v>61</v>
      </c>
      <c r="E28" s="105">
        <v>50</v>
      </c>
      <c r="F28" s="115">
        <v>7710.94</v>
      </c>
      <c r="G28" s="98">
        <v>9340.89</v>
      </c>
      <c r="H28" s="176">
        <f t="shared" si="0"/>
        <v>385547</v>
      </c>
      <c r="I28" s="176">
        <f t="shared" si="1"/>
        <v>467044.5</v>
      </c>
      <c r="M28" s="98">
        <v>26.49</v>
      </c>
      <c r="P28" s="17"/>
    </row>
    <row r="29" spans="2:16" ht="25.5" x14ac:dyDescent="0.2">
      <c r="B29" s="171" t="s">
        <v>199</v>
      </c>
      <c r="C29" s="110" t="s">
        <v>200</v>
      </c>
      <c r="D29" s="105" t="s">
        <v>61</v>
      </c>
      <c r="E29" s="105">
        <v>80</v>
      </c>
      <c r="F29" s="98">
        <v>1363.24</v>
      </c>
      <c r="G29" s="98">
        <v>1685.02</v>
      </c>
      <c r="H29" s="176">
        <f t="shared" si="0"/>
        <v>109059.2</v>
      </c>
      <c r="I29" s="176">
        <f t="shared" si="1"/>
        <v>134801.60000000001</v>
      </c>
      <c r="M29" s="98">
        <v>163.35</v>
      </c>
      <c r="P29" s="17"/>
    </row>
    <row r="30" spans="2:16" ht="25.5" x14ac:dyDescent="0.2">
      <c r="B30" s="171" t="s">
        <v>201</v>
      </c>
      <c r="C30" s="110" t="s">
        <v>202</v>
      </c>
      <c r="D30" s="105" t="s">
        <v>61</v>
      </c>
      <c r="E30" s="105">
        <v>150</v>
      </c>
      <c r="F30" s="98">
        <v>539.51</v>
      </c>
      <c r="G30" s="98">
        <v>673.34</v>
      </c>
      <c r="H30" s="176">
        <f t="shared" si="0"/>
        <v>80926.5</v>
      </c>
      <c r="I30" s="176">
        <f t="shared" si="1"/>
        <v>101001</v>
      </c>
      <c r="M30" s="98">
        <v>163.35</v>
      </c>
      <c r="P30" s="17"/>
    </row>
    <row r="31" spans="2:16" ht="15.75" x14ac:dyDescent="0.2">
      <c r="B31" s="13"/>
      <c r="C31" s="14" t="s">
        <v>9</v>
      </c>
      <c r="D31" s="15"/>
      <c r="E31" s="16"/>
      <c r="F31" s="99"/>
      <c r="G31" s="100"/>
      <c r="H31" s="100">
        <f>SUM(H15:H30)</f>
        <v>1269266.5</v>
      </c>
      <c r="I31" s="100">
        <f>SUM(I15:I30)</f>
        <v>1480298.6</v>
      </c>
      <c r="M31" s="99"/>
      <c r="P31" s="17"/>
    </row>
    <row r="32" spans="2:16" s="117" customFormat="1" ht="10.5" customHeight="1" x14ac:dyDescent="0.2">
      <c r="B32" s="123"/>
      <c r="C32" s="124"/>
      <c r="D32" s="125"/>
      <c r="E32" s="126"/>
      <c r="F32" s="127"/>
      <c r="G32" s="128"/>
      <c r="H32" s="128"/>
      <c r="I32" s="128"/>
      <c r="M32" s="127"/>
      <c r="P32" s="129"/>
    </row>
    <row r="33" spans="2:16" s="117" customFormat="1" ht="10.5" customHeight="1" x14ac:dyDescent="0.2">
      <c r="B33" s="123"/>
      <c r="C33" s="124"/>
      <c r="D33" s="125"/>
      <c r="E33" s="126"/>
      <c r="F33" s="127"/>
      <c r="G33" s="128"/>
      <c r="H33" s="128"/>
      <c r="I33" s="128"/>
      <c r="M33" s="127"/>
      <c r="P33" s="129"/>
    </row>
    <row r="34" spans="2:16" s="117" customFormat="1" ht="10.5" customHeight="1" x14ac:dyDescent="0.2">
      <c r="B34" s="123"/>
      <c r="C34" s="124"/>
      <c r="D34" s="125"/>
      <c r="E34" s="126"/>
      <c r="F34" s="127"/>
      <c r="G34" s="128"/>
      <c r="H34" s="128"/>
      <c r="I34" s="128"/>
      <c r="M34" s="127"/>
      <c r="P34" s="129"/>
    </row>
    <row r="35" spans="2:16" s="117" customFormat="1" ht="10.5" customHeight="1" x14ac:dyDescent="0.2">
      <c r="B35" s="123"/>
      <c r="C35" s="124"/>
      <c r="D35" s="125"/>
      <c r="E35" s="126"/>
      <c r="F35" s="127"/>
      <c r="G35" s="128"/>
      <c r="H35" s="128"/>
      <c r="I35" s="128"/>
      <c r="M35" s="127"/>
      <c r="P35" s="129"/>
    </row>
    <row r="36" spans="2:16" s="117" customFormat="1" ht="10.5" customHeight="1" x14ac:dyDescent="0.2">
      <c r="B36" s="123"/>
      <c r="C36" s="124"/>
      <c r="D36" s="125"/>
      <c r="E36" s="126"/>
      <c r="F36" s="127"/>
      <c r="G36" s="128"/>
      <c r="H36" s="128"/>
      <c r="I36" s="128"/>
      <c r="M36" s="127"/>
      <c r="P36" s="129"/>
    </row>
    <row r="37" spans="2:16" x14ac:dyDescent="0.2">
      <c r="C37" s="140" t="s">
        <v>155</v>
      </c>
      <c r="D37" s="111"/>
      <c r="E37" s="112"/>
    </row>
    <row r="41" spans="2:16" x14ac:dyDescent="0.2">
      <c r="C41" s="141" t="s">
        <v>156</v>
      </c>
      <c r="D41" s="141" t="s">
        <v>147</v>
      </c>
      <c r="E41" s="141"/>
      <c r="F41" s="141"/>
    </row>
    <row r="42" spans="2:16" x14ac:dyDescent="0.2">
      <c r="C42" t="s">
        <v>157</v>
      </c>
      <c r="D42" t="s">
        <v>158</v>
      </c>
    </row>
    <row r="44" spans="2:16" s="117" customFormat="1" ht="10.5" customHeight="1" x14ac:dyDescent="0.2">
      <c r="B44" s="123"/>
      <c r="C44" s="124"/>
      <c r="D44" s="125"/>
      <c r="E44" s="126"/>
      <c r="F44" s="127"/>
      <c r="G44" s="128"/>
      <c r="H44" s="128"/>
      <c r="I44" s="128"/>
      <c r="M44" s="127"/>
      <c r="P44" s="129"/>
    </row>
    <row r="45" spans="2:16" s="117" customFormat="1" ht="10.5" customHeight="1" x14ac:dyDescent="0.2">
      <c r="B45" s="123"/>
      <c r="C45" s="124"/>
      <c r="D45" s="125"/>
      <c r="E45" s="126"/>
      <c r="F45" s="127"/>
      <c r="G45" s="128"/>
      <c r="H45" s="128"/>
      <c r="I45" s="128"/>
      <c r="M45" s="127"/>
      <c r="P45" s="129"/>
    </row>
    <row r="46" spans="2:16" s="117" customFormat="1" ht="10.5" customHeight="1" x14ac:dyDescent="0.2">
      <c r="B46" s="123"/>
      <c r="C46" s="124"/>
      <c r="D46" s="125"/>
      <c r="E46" s="126"/>
      <c r="F46" s="127"/>
      <c r="G46" s="128"/>
      <c r="H46" s="128"/>
      <c r="I46" s="128"/>
      <c r="M46" s="127"/>
      <c r="P46" s="129"/>
    </row>
    <row r="47" spans="2:16" s="117" customFormat="1" ht="10.5" customHeight="1" x14ac:dyDescent="0.2">
      <c r="B47" s="123"/>
      <c r="C47" s="124"/>
      <c r="D47" s="125"/>
      <c r="E47" s="126"/>
      <c r="F47" s="127"/>
      <c r="G47" s="128"/>
      <c r="H47" s="128"/>
      <c r="I47" s="128"/>
      <c r="M47" s="127"/>
      <c r="P47" s="129"/>
    </row>
    <row r="48" spans="2:16" s="117" customFormat="1" ht="10.5" customHeight="1" x14ac:dyDescent="0.2">
      <c r="B48" s="123"/>
      <c r="C48" s="124"/>
      <c r="D48" s="125"/>
      <c r="E48" s="126"/>
      <c r="F48" s="127"/>
      <c r="G48" s="128"/>
      <c r="H48" s="128"/>
      <c r="I48" s="128"/>
      <c r="M48" s="127"/>
      <c r="P48" s="129"/>
    </row>
    <row r="49" spans="2:16" s="117" customFormat="1" ht="10.5" customHeight="1" x14ac:dyDescent="0.2">
      <c r="B49" s="123"/>
      <c r="C49" s="124"/>
      <c r="D49" s="125"/>
      <c r="E49" s="126"/>
      <c r="F49" s="127"/>
      <c r="G49" s="128"/>
      <c r="H49" s="128"/>
      <c r="I49" s="128"/>
      <c r="M49" s="127"/>
      <c r="P49" s="129"/>
    </row>
    <row r="50" spans="2:16" s="117" customFormat="1" ht="10.5" customHeight="1" x14ac:dyDescent="0.2">
      <c r="B50" s="123"/>
      <c r="C50" s="124"/>
      <c r="D50" s="125"/>
      <c r="E50" s="126"/>
      <c r="F50" s="127"/>
      <c r="G50" s="128"/>
      <c r="H50" s="128"/>
      <c r="I50" s="128"/>
      <c r="M50" s="127"/>
      <c r="P50" s="129"/>
    </row>
    <row r="51" spans="2:16" s="117" customFormat="1" ht="10.5" customHeight="1" x14ac:dyDescent="0.2">
      <c r="B51" s="123"/>
      <c r="C51" s="124"/>
      <c r="D51" s="125"/>
      <c r="E51" s="126"/>
      <c r="F51" s="127"/>
      <c r="G51" s="128"/>
      <c r="H51" s="128"/>
      <c r="I51" s="128"/>
      <c r="M51" s="127"/>
      <c r="P51" s="129"/>
    </row>
    <row r="52" spans="2:16" s="117" customFormat="1" ht="10.5" customHeight="1" x14ac:dyDescent="0.2">
      <c r="B52" s="123"/>
      <c r="C52" s="124"/>
      <c r="D52" s="125"/>
      <c r="E52" s="126"/>
      <c r="F52" s="127"/>
      <c r="G52" s="128"/>
      <c r="H52" s="128"/>
      <c r="I52" s="128"/>
      <c r="M52" s="127"/>
      <c r="P52" s="129"/>
    </row>
    <row r="53" spans="2:16" s="117" customFormat="1" ht="10.5" customHeight="1" x14ac:dyDescent="0.2">
      <c r="B53" s="123"/>
      <c r="C53" s="124"/>
      <c r="D53" s="125"/>
      <c r="E53" s="126"/>
      <c r="F53" s="127"/>
      <c r="G53" s="128"/>
      <c r="H53" s="128"/>
      <c r="I53" s="128"/>
      <c r="M53" s="127"/>
      <c r="P53" s="129"/>
    </row>
    <row r="54" spans="2:16" s="117" customFormat="1" ht="10.5" customHeight="1" x14ac:dyDescent="0.2">
      <c r="B54" s="123"/>
      <c r="C54" s="124"/>
      <c r="D54" s="125"/>
      <c r="E54" s="126"/>
      <c r="F54" s="127"/>
      <c r="G54" s="128"/>
      <c r="H54" s="128"/>
      <c r="I54" s="128"/>
      <c r="M54" s="127"/>
      <c r="P54" s="129"/>
    </row>
    <row r="55" spans="2:16" s="117" customFormat="1" ht="10.5" customHeight="1" x14ac:dyDescent="0.2">
      <c r="B55" s="123"/>
      <c r="C55" s="124"/>
      <c r="D55" s="125"/>
      <c r="E55" s="126"/>
      <c r="F55" s="127"/>
      <c r="G55" s="128"/>
      <c r="H55" s="128"/>
      <c r="I55" s="128"/>
      <c r="M55" s="127"/>
      <c r="P55" s="129"/>
    </row>
    <row r="56" spans="2:16" s="117" customFormat="1" ht="10.5" customHeight="1" x14ac:dyDescent="0.2">
      <c r="B56" s="123"/>
      <c r="C56" s="124"/>
      <c r="D56" s="125"/>
      <c r="E56" s="126"/>
      <c r="F56" s="127"/>
      <c r="G56" s="128"/>
      <c r="H56" s="128"/>
      <c r="I56" s="128"/>
      <c r="M56" s="127"/>
      <c r="P56" s="129"/>
    </row>
    <row r="57" spans="2:16" s="117" customFormat="1" ht="10.5" customHeight="1" x14ac:dyDescent="0.2">
      <c r="B57" s="123"/>
      <c r="C57" s="124"/>
      <c r="D57" s="125"/>
      <c r="E57" s="126"/>
      <c r="F57" s="127"/>
      <c r="G57" s="128"/>
      <c r="H57" s="128"/>
      <c r="I57" s="128"/>
      <c r="M57" s="127"/>
      <c r="P57" s="129"/>
    </row>
    <row r="58" spans="2:16" s="117" customFormat="1" ht="10.5" customHeight="1" x14ac:dyDescent="0.2">
      <c r="B58" s="123"/>
      <c r="C58" s="124"/>
      <c r="D58" s="125"/>
      <c r="E58" s="126"/>
      <c r="F58" s="127"/>
      <c r="G58" s="128"/>
      <c r="H58" s="128"/>
      <c r="I58" s="128"/>
      <c r="M58" s="127"/>
      <c r="P58" s="129"/>
    </row>
    <row r="59" spans="2:16" s="117" customFormat="1" ht="10.5" customHeight="1" x14ac:dyDescent="0.2">
      <c r="B59" s="123"/>
      <c r="C59" s="124"/>
      <c r="D59" s="125"/>
      <c r="E59" s="126"/>
      <c r="F59" s="127"/>
      <c r="G59" s="128"/>
      <c r="H59" s="128"/>
      <c r="I59" s="128"/>
      <c r="M59" s="127"/>
      <c r="P59" s="129"/>
    </row>
    <row r="60" spans="2:16" s="117" customFormat="1" ht="10.5" customHeight="1" x14ac:dyDescent="0.2">
      <c r="B60" s="123"/>
      <c r="C60" s="124"/>
      <c r="D60" s="125"/>
      <c r="E60" s="126"/>
      <c r="F60" s="127"/>
      <c r="G60" s="128"/>
      <c r="H60" s="128"/>
      <c r="I60" s="128"/>
      <c r="M60" s="127"/>
      <c r="P60" s="129"/>
    </row>
    <row r="61" spans="2:16" s="117" customFormat="1" ht="10.5" customHeight="1" x14ac:dyDescent="0.2">
      <c r="B61" s="123"/>
      <c r="C61" s="124"/>
      <c r="D61" s="125"/>
      <c r="E61" s="126"/>
      <c r="F61" s="127"/>
      <c r="G61" s="128"/>
      <c r="H61" s="128"/>
      <c r="I61" s="128"/>
      <c r="M61" s="127"/>
      <c r="P61" s="129"/>
    </row>
  </sheetData>
  <mergeCells count="9">
    <mergeCell ref="B9:G9"/>
    <mergeCell ref="B10:G10"/>
    <mergeCell ref="B11:G11"/>
    <mergeCell ref="B13:I13"/>
    <mergeCell ref="C2:H2"/>
    <mergeCell ref="C3:I3"/>
    <mergeCell ref="C4:I4"/>
    <mergeCell ref="B7:I7"/>
    <mergeCell ref="B8:G8"/>
  </mergeCells>
  <phoneticPr fontId="18" type="noConversion"/>
  <pageMargins left="0.25" right="0.25" top="0.75" bottom="0.75" header="0.3" footer="0.3"/>
  <pageSetup paperSize="9" scale="60" firstPageNumber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zoomScale="85" zoomScaleNormal="85" workbookViewId="0">
      <selection activeCell="D28" sqref="D28"/>
    </sheetView>
  </sheetViews>
  <sheetFormatPr defaultColWidth="8.85546875" defaultRowHeight="12.75" x14ac:dyDescent="0.2"/>
  <cols>
    <col min="2" max="2" width="55" customWidth="1"/>
    <col min="3" max="3" width="15.85546875" customWidth="1"/>
    <col min="4" max="5" width="32.28515625" customWidth="1"/>
    <col min="6" max="6" width="33" customWidth="1"/>
    <col min="7" max="7" width="19.140625" customWidth="1"/>
    <col min="8" max="8" width="10.7109375" bestFit="1" customWidth="1"/>
    <col min="9" max="9" width="11.7109375" bestFit="1" customWidth="1"/>
    <col min="10" max="10" width="13.7109375" customWidth="1"/>
  </cols>
  <sheetData>
    <row r="1" spans="1:9" ht="18" x14ac:dyDescent="0.25">
      <c r="A1" s="43"/>
      <c r="B1" s="44" t="s">
        <v>26</v>
      </c>
      <c r="C1" s="45"/>
      <c r="D1" s="46"/>
      <c r="E1" s="46"/>
      <c r="F1" s="47"/>
    </row>
    <row r="2" spans="1:9" ht="18.75" x14ac:dyDescent="0.3">
      <c r="A2" s="48"/>
      <c r="B2" s="19">
        <f>Orçamento!D2</f>
        <v>0</v>
      </c>
      <c r="C2" s="20"/>
      <c r="D2" s="21"/>
      <c r="E2" s="21"/>
      <c r="F2" s="50"/>
    </row>
    <row r="3" spans="1:9" ht="18.75" x14ac:dyDescent="0.3">
      <c r="A3" s="48"/>
      <c r="B3" s="19" t="s">
        <v>79</v>
      </c>
      <c r="C3" s="20"/>
      <c r="D3" s="21"/>
      <c r="E3" s="21"/>
      <c r="F3" s="50"/>
    </row>
    <row r="4" spans="1:9" ht="17.25" thickBot="1" x14ac:dyDescent="0.3">
      <c r="A4" s="48"/>
      <c r="B4" s="22">
        <f>Orçamento!D5</f>
        <v>0</v>
      </c>
      <c r="C4" s="20"/>
      <c r="D4" s="21"/>
      <c r="E4" s="21"/>
      <c r="F4" s="106"/>
    </row>
    <row r="5" spans="1:9" ht="15" x14ac:dyDescent="0.25">
      <c r="A5" s="113" t="s">
        <v>27</v>
      </c>
      <c r="B5" s="23"/>
      <c r="C5" s="23"/>
      <c r="D5" s="23"/>
      <c r="E5" s="23"/>
      <c r="F5" s="107"/>
    </row>
    <row r="6" spans="1:9" ht="15" x14ac:dyDescent="0.2">
      <c r="A6" s="24" t="s">
        <v>1</v>
      </c>
      <c r="B6" s="24" t="s">
        <v>3</v>
      </c>
      <c r="C6" s="25" t="s">
        <v>8</v>
      </c>
      <c r="D6" s="25" t="s">
        <v>28</v>
      </c>
      <c r="E6" s="25" t="s">
        <v>29</v>
      </c>
      <c r="F6" s="25" t="s">
        <v>30</v>
      </c>
    </row>
    <row r="7" spans="1:9" ht="15" x14ac:dyDescent="0.2">
      <c r="A7" s="24"/>
      <c r="B7" s="24"/>
      <c r="C7" s="25"/>
      <c r="D7" s="25"/>
      <c r="E7" s="25"/>
      <c r="F7" s="25"/>
    </row>
    <row r="8" spans="1:9" ht="15" x14ac:dyDescent="0.25">
      <c r="A8" s="26">
        <v>1</v>
      </c>
      <c r="B8" s="27">
        <f>Orçamento!D12</f>
        <v>0</v>
      </c>
      <c r="C8" s="28">
        <f>Orçamento!J20</f>
        <v>0</v>
      </c>
      <c r="D8" s="29">
        <f>Orçamento!J13+(Orçamento!J14/3)</f>
        <v>0</v>
      </c>
      <c r="E8" s="29">
        <f>(Orçamento!J14/3)+(Orçamento!J18/2)+Orçamento!J19/2</f>
        <v>0</v>
      </c>
      <c r="F8" s="29">
        <f>C8-D8-E8</f>
        <v>0</v>
      </c>
      <c r="G8" s="17"/>
      <c r="H8" s="17"/>
      <c r="I8" s="104"/>
    </row>
    <row r="9" spans="1:9" ht="14.25" x14ac:dyDescent="0.2">
      <c r="A9" s="30"/>
      <c r="B9" s="30"/>
      <c r="C9" s="31"/>
      <c r="D9" s="32" t="e">
        <f>D8/$C$8</f>
        <v>#DIV/0!</v>
      </c>
      <c r="E9" s="32" t="e">
        <f>E8/$C$8</f>
        <v>#DIV/0!</v>
      </c>
      <c r="F9" s="32" t="e">
        <f>F8/$C$8</f>
        <v>#DIV/0!</v>
      </c>
      <c r="G9" s="33"/>
      <c r="H9" s="17"/>
    </row>
    <row r="10" spans="1:9" ht="15" x14ac:dyDescent="0.25">
      <c r="A10" s="26">
        <v>2</v>
      </c>
      <c r="B10" s="27" t="str">
        <f>Orçamento!D21</f>
        <v>unid</v>
      </c>
      <c r="C10" s="28">
        <f>Orçamento!J27</f>
        <v>0</v>
      </c>
      <c r="D10" s="29">
        <v>0</v>
      </c>
      <c r="E10" s="29">
        <f>C10/2</f>
        <v>0</v>
      </c>
      <c r="F10" s="29">
        <f>C10-E10</f>
        <v>0</v>
      </c>
      <c r="G10" s="33"/>
      <c r="H10" s="17"/>
      <c r="I10" s="104"/>
    </row>
    <row r="11" spans="1:9" ht="14.25" x14ac:dyDescent="0.2">
      <c r="A11" s="30"/>
      <c r="B11" s="30"/>
      <c r="C11" s="31"/>
      <c r="D11" s="32" t="e">
        <f>D10/$C$10</f>
        <v>#DIV/0!</v>
      </c>
      <c r="E11" s="32" t="e">
        <f>E10/$C$10</f>
        <v>#DIV/0!</v>
      </c>
      <c r="F11" s="32" t="e">
        <f>F10/$C$10</f>
        <v>#DIV/0!</v>
      </c>
      <c r="G11" s="33"/>
      <c r="H11" s="17"/>
    </row>
    <row r="12" spans="1:9" ht="15" x14ac:dyDescent="0.25">
      <c r="A12" s="26">
        <v>3</v>
      </c>
      <c r="B12" s="27" t="str">
        <f>Orçamento!D28</f>
        <v>unid</v>
      </c>
      <c r="C12" s="28">
        <f>Orçamento!J33</f>
        <v>0</v>
      </c>
      <c r="D12" s="29">
        <f>Orçamento!J33</f>
        <v>0</v>
      </c>
      <c r="E12" s="29">
        <f>C12-D12</f>
        <v>0</v>
      </c>
      <c r="F12" s="29"/>
      <c r="G12" s="33"/>
      <c r="H12" s="17"/>
      <c r="I12" s="104"/>
    </row>
    <row r="13" spans="1:9" ht="15" x14ac:dyDescent="0.25">
      <c r="A13" s="34"/>
      <c r="B13" s="30"/>
      <c r="C13" s="31"/>
      <c r="D13" s="32" t="e">
        <f>D12/$C$12</f>
        <v>#DIV/0!</v>
      </c>
      <c r="E13" s="32" t="e">
        <f>E12/$C$12</f>
        <v>#DIV/0!</v>
      </c>
      <c r="F13" s="32" t="e">
        <f>F12/$C$12</f>
        <v>#DIV/0!</v>
      </c>
      <c r="G13" s="33"/>
      <c r="H13" s="17"/>
    </row>
    <row r="14" spans="1:9" ht="15" x14ac:dyDescent="0.25">
      <c r="A14" s="26">
        <v>4</v>
      </c>
      <c r="B14" s="27">
        <f>Orçamento!D34</f>
        <v>0</v>
      </c>
      <c r="C14" s="28">
        <f>Orçamento!J39</f>
        <v>0</v>
      </c>
      <c r="D14" s="29">
        <f>Orçamento!J35</f>
        <v>0</v>
      </c>
      <c r="E14" s="29" t="e">
        <f>Orçamento!#REF!*0.8</f>
        <v>#REF!</v>
      </c>
      <c r="F14" s="29" t="e">
        <f>C14-D14-E14</f>
        <v>#REF!</v>
      </c>
      <c r="G14" s="33"/>
      <c r="H14" s="17"/>
      <c r="I14" s="104"/>
    </row>
    <row r="15" spans="1:9" ht="14.25" x14ac:dyDescent="0.2">
      <c r="A15" s="30"/>
      <c r="B15" s="30"/>
      <c r="C15" s="31"/>
      <c r="D15" s="32" t="e">
        <f>D14/$C$14</f>
        <v>#DIV/0!</v>
      </c>
      <c r="E15" s="32" t="e">
        <f>E14/$C$14</f>
        <v>#REF!</v>
      </c>
      <c r="F15" s="32" t="e">
        <f>F14/$C$14</f>
        <v>#REF!</v>
      </c>
      <c r="G15" s="33"/>
      <c r="H15" s="17"/>
    </row>
    <row r="16" spans="1:9" ht="15" x14ac:dyDescent="0.25">
      <c r="A16" s="26">
        <v>5</v>
      </c>
      <c r="B16" s="27">
        <f>Orçamento!D40</f>
        <v>0</v>
      </c>
      <c r="C16" s="28">
        <f>Orçamento!J45</f>
        <v>0</v>
      </c>
      <c r="D16" s="29"/>
      <c r="E16" s="29"/>
      <c r="F16" s="29">
        <f>Orçamento!J45</f>
        <v>0</v>
      </c>
      <c r="G16" s="33"/>
      <c r="H16" s="17"/>
      <c r="I16" s="104"/>
    </row>
    <row r="17" spans="1:9" ht="14.25" x14ac:dyDescent="0.2">
      <c r="A17" s="30"/>
      <c r="B17" s="30"/>
      <c r="C17" s="31"/>
      <c r="D17" s="32" t="e">
        <f>D16/$C$16</f>
        <v>#DIV/0!</v>
      </c>
      <c r="E17" s="32" t="e">
        <f>E16/$C$16</f>
        <v>#DIV/0!</v>
      </c>
      <c r="F17" s="32" t="e">
        <f>F16/$C$16</f>
        <v>#DIV/0!</v>
      </c>
      <c r="G17" s="33"/>
      <c r="H17" s="17"/>
    </row>
    <row r="18" spans="1:9" ht="15" x14ac:dyDescent="0.25">
      <c r="A18" s="26">
        <v>6</v>
      </c>
      <c r="B18" s="27">
        <f>Orçamento!D46</f>
        <v>0</v>
      </c>
      <c r="C18" s="28">
        <f>Orçamento!J51</f>
        <v>0</v>
      </c>
      <c r="D18" s="29">
        <v>0</v>
      </c>
      <c r="E18" s="29">
        <f>Orçamento!J51/2</f>
        <v>0</v>
      </c>
      <c r="F18" s="29">
        <f>C18-D18-E18</f>
        <v>0</v>
      </c>
      <c r="G18" s="33"/>
      <c r="H18" s="17"/>
      <c r="I18" s="104"/>
    </row>
    <row r="19" spans="1:9" ht="15" x14ac:dyDescent="0.25">
      <c r="A19" s="34"/>
      <c r="B19" s="30"/>
      <c r="C19" s="31"/>
      <c r="D19" s="32" t="e">
        <f>D18/$C$18</f>
        <v>#DIV/0!</v>
      </c>
      <c r="E19" s="32" t="e">
        <f>E18/$C$18</f>
        <v>#DIV/0!</v>
      </c>
      <c r="F19" s="32" t="e">
        <f>F18/$C$18</f>
        <v>#DIV/0!</v>
      </c>
      <c r="G19" s="33"/>
      <c r="H19" s="17"/>
    </row>
    <row r="20" spans="1:9" ht="15" x14ac:dyDescent="0.25">
      <c r="A20" s="26">
        <v>7</v>
      </c>
      <c r="B20" s="27">
        <f>Orçamento!D52</f>
        <v>0</v>
      </c>
      <c r="C20" s="28">
        <f>Orçamento!J57</f>
        <v>0</v>
      </c>
      <c r="D20" s="29"/>
      <c r="E20" s="29"/>
      <c r="F20" s="29">
        <f>C20</f>
        <v>0</v>
      </c>
      <c r="G20" s="33"/>
      <c r="H20" s="17"/>
      <c r="I20" s="104"/>
    </row>
    <row r="21" spans="1:9" ht="14.25" x14ac:dyDescent="0.2">
      <c r="A21" s="30"/>
      <c r="B21" s="30"/>
      <c r="C21" s="31"/>
      <c r="D21" s="32" t="e">
        <f>D20/$C$20</f>
        <v>#DIV/0!</v>
      </c>
      <c r="E21" s="32" t="e">
        <f>E20/$C$20</f>
        <v>#DIV/0!</v>
      </c>
      <c r="F21" s="32" t="e">
        <f>F20/$C$20</f>
        <v>#DIV/0!</v>
      </c>
      <c r="G21" s="33"/>
      <c r="H21" s="17"/>
    </row>
    <row r="22" spans="1:9" ht="15" x14ac:dyDescent="0.25">
      <c r="A22" s="26">
        <v>8</v>
      </c>
      <c r="B22" s="27">
        <f>Orçamento!D58</f>
        <v>0</v>
      </c>
      <c r="C22" s="28">
        <f>Orçamento!J61</f>
        <v>0</v>
      </c>
      <c r="D22" s="29">
        <v>0</v>
      </c>
      <c r="E22" s="29">
        <v>0</v>
      </c>
      <c r="F22" s="29">
        <f>C22</f>
        <v>0</v>
      </c>
      <c r="G22" s="33"/>
      <c r="H22" s="17"/>
      <c r="I22" s="104"/>
    </row>
    <row r="23" spans="1:9" ht="14.25" x14ac:dyDescent="0.2">
      <c r="A23" s="30"/>
      <c r="B23" s="30"/>
      <c r="C23" s="31"/>
      <c r="D23" s="32" t="e">
        <f>D22/$C$22</f>
        <v>#DIV/0!</v>
      </c>
      <c r="E23" s="32" t="e">
        <f>E22/$C$22</f>
        <v>#DIV/0!</v>
      </c>
      <c r="F23" s="32" t="e">
        <f>F22/$C$22</f>
        <v>#DIV/0!</v>
      </c>
      <c r="G23" s="33"/>
      <c r="H23" s="17"/>
    </row>
    <row r="24" spans="1:9" ht="14.25" x14ac:dyDescent="0.2">
      <c r="A24" s="30"/>
      <c r="B24" s="30"/>
      <c r="C24" s="31"/>
      <c r="D24" s="32"/>
      <c r="E24" s="32"/>
      <c r="F24" s="32"/>
      <c r="G24" s="33"/>
      <c r="H24" s="17"/>
      <c r="I24" s="104"/>
    </row>
    <row r="25" spans="1:9" ht="18" x14ac:dyDescent="0.25">
      <c r="A25" s="35"/>
      <c r="B25" s="36" t="s">
        <v>36</v>
      </c>
      <c r="C25" s="37">
        <f>SUM(C8:C23)</f>
        <v>0</v>
      </c>
      <c r="D25" s="38">
        <f>D10+D12+D14+D16+D18+D20+D22+D8</f>
        <v>0</v>
      </c>
      <c r="E25" s="38" t="e">
        <f t="shared" ref="E25:F25" si="0">E10+E12+E14+E16+E18+E20+E22+E8</f>
        <v>#REF!</v>
      </c>
      <c r="F25" s="38" t="e">
        <f t="shared" si="0"/>
        <v>#REF!</v>
      </c>
      <c r="G25" s="17"/>
      <c r="H25" s="17"/>
      <c r="I25" s="104"/>
    </row>
    <row r="26" spans="1:9" ht="14.25" x14ac:dyDescent="0.2">
      <c r="A26" s="108"/>
      <c r="B26" s="1"/>
      <c r="C26" s="2"/>
      <c r="D26" s="2"/>
      <c r="E26" s="10"/>
      <c r="F26" s="10"/>
      <c r="I26" s="104"/>
    </row>
    <row r="27" spans="1:9" ht="18" x14ac:dyDescent="0.25">
      <c r="A27" s="89"/>
      <c r="B27" s="90" t="s">
        <v>37</v>
      </c>
      <c r="C27" s="94" t="e">
        <f>SUM(D25:F25)/$C$25</f>
        <v>#REF!</v>
      </c>
      <c r="D27" s="109" t="e">
        <f>D$25/$C$25</f>
        <v>#DIV/0!</v>
      </c>
      <c r="E27" s="109" t="e">
        <f>E$25/$C$25</f>
        <v>#REF!</v>
      </c>
      <c r="F27" s="109" t="e">
        <f>F$25/$C$25</f>
        <v>#REF!</v>
      </c>
      <c r="G27" s="33"/>
    </row>
    <row r="29" spans="1:9" ht="75.599999999999994" customHeight="1" x14ac:dyDescent="0.2">
      <c r="A29" t="s">
        <v>87</v>
      </c>
    </row>
    <row r="30" spans="1:9" ht="14.25" x14ac:dyDescent="0.2">
      <c r="A30" s="1"/>
      <c r="B30" s="1"/>
      <c r="C30" s="116" t="s">
        <v>85</v>
      </c>
      <c r="D30" s="1"/>
      <c r="E30" s="1" t="s">
        <v>78</v>
      </c>
    </row>
    <row r="31" spans="1:9" ht="14.25" x14ac:dyDescent="0.2">
      <c r="A31" s="1"/>
      <c r="C31" s="18" t="s">
        <v>86</v>
      </c>
      <c r="D31" s="1"/>
      <c r="E31" s="1" t="s">
        <v>77</v>
      </c>
    </row>
  </sheetData>
  <pageMargins left="0.51181102362204722" right="0.51181102362204722" top="0.78740157480314965" bottom="0.78740157480314965" header="0.51181102362204722" footer="0.51181102362204722"/>
  <pageSetup paperSize="9" scale="78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E125"/>
  <sheetViews>
    <sheetView zoomScaleNormal="100" workbookViewId="0">
      <selection activeCell="D17" sqref="D17"/>
    </sheetView>
  </sheetViews>
  <sheetFormatPr defaultColWidth="8.85546875" defaultRowHeight="12.75" x14ac:dyDescent="0.2"/>
  <cols>
    <col min="1" max="1" width="4.28515625" customWidth="1"/>
    <col min="3" max="3" width="22.7109375" customWidth="1"/>
    <col min="4" max="4" width="128.7109375" customWidth="1"/>
    <col min="6" max="6" width="10" customWidth="1"/>
    <col min="7" max="7" width="18.28515625" customWidth="1"/>
    <col min="8" max="8" width="14.7109375" customWidth="1"/>
    <col min="9" max="9" width="14.42578125" customWidth="1"/>
    <col min="10" max="10" width="18.7109375" bestFit="1" customWidth="1"/>
    <col min="11" max="11" width="17.28515625" bestFit="1" customWidth="1"/>
    <col min="12" max="12" width="19.7109375" bestFit="1" customWidth="1"/>
    <col min="13" max="13" width="7" customWidth="1"/>
    <col min="14" max="14" width="14.7109375" customWidth="1"/>
  </cols>
  <sheetData>
    <row r="1" spans="2:57" ht="18" x14ac:dyDescent="0.25">
      <c r="B1" s="3"/>
      <c r="C1" s="5"/>
      <c r="D1" s="4" t="s">
        <v>0</v>
      </c>
      <c r="E1" s="5"/>
      <c r="F1" s="6"/>
      <c r="G1" s="6"/>
      <c r="H1" s="6"/>
      <c r="I1" s="6"/>
      <c r="J1" s="7"/>
      <c r="L1" s="117"/>
      <c r="M1" s="117"/>
    </row>
    <row r="2" spans="2:57" ht="18" x14ac:dyDescent="0.25">
      <c r="B2" s="8"/>
      <c r="C2" s="114"/>
      <c r="D2" s="102" t="s">
        <v>151</v>
      </c>
      <c r="E2" s="9"/>
      <c r="F2" s="2"/>
      <c r="G2" s="2"/>
      <c r="H2" s="2"/>
      <c r="I2" s="2"/>
      <c r="J2" s="10"/>
      <c r="K2" s="11"/>
      <c r="L2" s="117"/>
      <c r="M2" s="117"/>
    </row>
    <row r="3" spans="2:57" ht="18" x14ac:dyDescent="0.25">
      <c r="B3" s="8"/>
      <c r="C3" s="114"/>
      <c r="D3" s="102" t="s">
        <v>149</v>
      </c>
      <c r="E3" s="9"/>
      <c r="F3" s="2"/>
      <c r="G3" s="2"/>
      <c r="H3" s="2"/>
      <c r="I3" s="2"/>
      <c r="J3" s="10"/>
      <c r="K3" s="11"/>
      <c r="L3" s="117"/>
      <c r="M3" s="117"/>
    </row>
    <row r="4" spans="2:57" ht="15.75" x14ac:dyDescent="0.25">
      <c r="B4" s="8"/>
      <c r="C4" s="137"/>
      <c r="D4" s="120" t="s">
        <v>148</v>
      </c>
      <c r="E4" s="138"/>
      <c r="F4" s="2"/>
      <c r="G4" s="2"/>
      <c r="H4" s="2"/>
      <c r="I4" s="2"/>
      <c r="J4" s="10">
        <v>21</v>
      </c>
      <c r="K4" s="11"/>
      <c r="L4" s="117"/>
      <c r="M4" s="117"/>
    </row>
    <row r="5" spans="2:57" ht="16.5" x14ac:dyDescent="0.25">
      <c r="B5" s="139"/>
      <c r="C5" s="119"/>
      <c r="D5" s="120" t="s">
        <v>84</v>
      </c>
      <c r="E5" s="121"/>
      <c r="F5" s="40"/>
      <c r="G5" s="42"/>
      <c r="H5" s="41"/>
      <c r="I5" s="42"/>
      <c r="J5" s="41"/>
      <c r="L5" s="117"/>
      <c r="M5" s="117"/>
    </row>
    <row r="6" spans="2:57" ht="16.5" x14ac:dyDescent="0.25">
      <c r="B6" s="139"/>
      <c r="C6" s="119"/>
      <c r="D6" s="120"/>
      <c r="E6" s="121"/>
      <c r="F6" s="40"/>
      <c r="G6" s="42"/>
      <c r="H6" s="41"/>
      <c r="I6" s="42"/>
      <c r="J6" s="41"/>
      <c r="L6" s="117"/>
      <c r="M6" s="117"/>
    </row>
    <row r="7" spans="2:57" ht="17.25" thickBot="1" x14ac:dyDescent="0.3">
      <c r="B7" s="118"/>
      <c r="C7" s="119"/>
      <c r="D7" s="120"/>
      <c r="E7" s="121"/>
      <c r="F7" s="40"/>
      <c r="G7" s="42"/>
      <c r="H7" s="41"/>
      <c r="I7" s="42"/>
      <c r="J7" s="122"/>
      <c r="L7" s="117"/>
      <c r="M7" s="117"/>
    </row>
    <row r="8" spans="2:57" ht="17.25" thickBot="1" x14ac:dyDescent="0.3">
      <c r="B8" s="130" t="s">
        <v>150</v>
      </c>
      <c r="C8" s="131"/>
      <c r="D8" s="132"/>
      <c r="E8" s="133"/>
      <c r="F8" s="134"/>
      <c r="G8" s="135"/>
      <c r="H8" s="135"/>
      <c r="I8" s="135"/>
      <c r="J8" s="136"/>
      <c r="L8" s="117"/>
      <c r="M8" s="117"/>
    </row>
    <row r="9" spans="2:57" ht="16.5" x14ac:dyDescent="0.25">
      <c r="B9" s="118"/>
      <c r="C9" s="119"/>
      <c r="D9" s="120"/>
      <c r="E9" s="121"/>
      <c r="F9" s="40"/>
      <c r="G9" s="12"/>
      <c r="H9" s="41"/>
      <c r="I9" s="42"/>
      <c r="J9" s="122"/>
      <c r="L9" s="117"/>
      <c r="M9" s="117"/>
    </row>
    <row r="10" spans="2:57" s="1" customFormat="1" ht="15" x14ac:dyDescent="0.2">
      <c r="B10" s="180" t="s">
        <v>1</v>
      </c>
      <c r="C10" s="180" t="s">
        <v>2</v>
      </c>
      <c r="D10" s="180" t="s">
        <v>3</v>
      </c>
      <c r="E10" s="180" t="s">
        <v>4</v>
      </c>
      <c r="F10" s="181" t="s">
        <v>5</v>
      </c>
      <c r="G10" s="182"/>
      <c r="H10" s="183" t="s">
        <v>6</v>
      </c>
      <c r="I10" s="183" t="s">
        <v>7</v>
      </c>
      <c r="J10" s="183" t="s">
        <v>8</v>
      </c>
      <c r="K10" s="39"/>
      <c r="L10" s="158"/>
      <c r="M10" s="158"/>
    </row>
    <row r="11" spans="2:57" s="1" customFormat="1" ht="16.149999999999999" customHeight="1" x14ac:dyDescent="0.2">
      <c r="B11" s="184"/>
      <c r="C11" s="184"/>
      <c r="D11" s="184"/>
      <c r="E11" s="184"/>
      <c r="F11" s="185"/>
      <c r="G11" s="186" t="s">
        <v>9</v>
      </c>
      <c r="H11" s="187" t="s">
        <v>9</v>
      </c>
      <c r="I11" s="188">
        <v>0.21</v>
      </c>
      <c r="J11" s="187" t="s">
        <v>9</v>
      </c>
      <c r="K11" s="39"/>
      <c r="L11" s="170"/>
      <c r="M11" s="170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</row>
    <row r="12" spans="2:57" s="1" customFormat="1" ht="15" x14ac:dyDescent="0.2">
      <c r="B12" s="189">
        <v>1</v>
      </c>
      <c r="C12" s="190"/>
      <c r="D12" s="191" t="s">
        <v>91</v>
      </c>
      <c r="E12" s="192"/>
      <c r="F12" s="193"/>
      <c r="G12" s="193"/>
      <c r="H12" s="193"/>
      <c r="I12" s="193"/>
      <c r="J12" s="194"/>
      <c r="L12" s="158"/>
      <c r="M12" s="158"/>
    </row>
    <row r="13" spans="2:57" s="1" customFormat="1" ht="14.25" x14ac:dyDescent="0.2">
      <c r="B13" s="171" t="s">
        <v>10</v>
      </c>
      <c r="C13" s="195">
        <v>1091</v>
      </c>
      <c r="D13" s="172" t="s">
        <v>89</v>
      </c>
      <c r="E13" s="173" t="s">
        <v>61</v>
      </c>
      <c r="F13" s="174">
        <v>1</v>
      </c>
      <c r="G13" s="175">
        <v>26.08</v>
      </c>
      <c r="H13" s="176">
        <f t="shared" ref="H13:H19" si="0">F13*G13</f>
        <v>26.08</v>
      </c>
      <c r="I13" s="176">
        <f>H13*$I$11</f>
        <v>5.476799999999999</v>
      </c>
      <c r="J13" s="176">
        <f>H13+I13</f>
        <v>31.556799999999996</v>
      </c>
      <c r="L13" s="158"/>
      <c r="M13" s="158"/>
      <c r="N13" s="175">
        <v>52.96</v>
      </c>
    </row>
    <row r="14" spans="2:57" s="1" customFormat="1" ht="28.5" x14ac:dyDescent="0.2">
      <c r="B14" s="171" t="s">
        <v>12</v>
      </c>
      <c r="C14" s="195">
        <v>11267</v>
      </c>
      <c r="D14" s="177" t="s">
        <v>88</v>
      </c>
      <c r="E14" s="173" t="s">
        <v>61</v>
      </c>
      <c r="F14" s="174">
        <v>2</v>
      </c>
      <c r="G14" s="175">
        <v>1.43</v>
      </c>
      <c r="H14" s="176">
        <f t="shared" si="0"/>
        <v>2.86</v>
      </c>
      <c r="I14" s="176">
        <f>H14*$I$11</f>
        <v>0.60059999999999991</v>
      </c>
      <c r="J14" s="176">
        <f>H14+I14</f>
        <v>3.4605999999999999</v>
      </c>
      <c r="L14" s="158"/>
      <c r="M14" s="158"/>
      <c r="N14" s="175">
        <v>455.47</v>
      </c>
    </row>
    <row r="15" spans="2:57" s="1" customFormat="1" ht="14.25" x14ac:dyDescent="0.2">
      <c r="B15" s="171" t="s">
        <v>82</v>
      </c>
      <c r="C15" s="195">
        <v>39996</v>
      </c>
      <c r="D15" s="172" t="s">
        <v>90</v>
      </c>
      <c r="E15" s="173" t="s">
        <v>61</v>
      </c>
      <c r="F15" s="174">
        <v>0.17</v>
      </c>
      <c r="G15" s="175">
        <v>3.85</v>
      </c>
      <c r="H15" s="176">
        <f t="shared" si="0"/>
        <v>0.65450000000000008</v>
      </c>
      <c r="I15" s="176">
        <f t="shared" ref="I15:I17" si="1">H15*$I$11</f>
        <v>0.13744500000000001</v>
      </c>
      <c r="J15" s="176">
        <f t="shared" ref="J15:J17" si="2">H15+I15</f>
        <v>0.79194500000000012</v>
      </c>
      <c r="L15" s="158"/>
      <c r="M15" s="158"/>
      <c r="N15" s="175"/>
    </row>
    <row r="16" spans="2:57" s="1" customFormat="1" ht="14.25" x14ac:dyDescent="0.2">
      <c r="B16" s="171" t="s">
        <v>83</v>
      </c>
      <c r="C16" s="195">
        <v>39997</v>
      </c>
      <c r="D16" s="172" t="s">
        <v>92</v>
      </c>
      <c r="E16" s="173" t="s">
        <v>61</v>
      </c>
      <c r="F16" s="174">
        <v>2</v>
      </c>
      <c r="G16" s="175">
        <v>0.33</v>
      </c>
      <c r="H16" s="176">
        <f t="shared" si="0"/>
        <v>0.66</v>
      </c>
      <c r="I16" s="176">
        <f t="shared" si="1"/>
        <v>0.1386</v>
      </c>
      <c r="J16" s="176">
        <f t="shared" si="2"/>
        <v>0.79859999999999998</v>
      </c>
      <c r="L16" s="158"/>
      <c r="M16" s="158"/>
      <c r="N16" s="175"/>
    </row>
    <row r="17" spans="2:17" s="1" customFormat="1" ht="42.75" x14ac:dyDescent="0.2">
      <c r="B17" s="171" t="s">
        <v>94</v>
      </c>
      <c r="C17" s="195">
        <v>5928</v>
      </c>
      <c r="D17" s="178" t="s">
        <v>98</v>
      </c>
      <c r="E17" s="173" t="s">
        <v>60</v>
      </c>
      <c r="F17" s="179">
        <v>0.02</v>
      </c>
      <c r="G17" s="176">
        <v>294.05</v>
      </c>
      <c r="H17" s="176">
        <f t="shared" si="0"/>
        <v>5.8810000000000002</v>
      </c>
      <c r="I17" s="176">
        <f t="shared" si="1"/>
        <v>1.2350099999999999</v>
      </c>
      <c r="J17" s="176">
        <f t="shared" si="2"/>
        <v>7.1160100000000002</v>
      </c>
      <c r="L17" s="158"/>
      <c r="M17" s="158"/>
      <c r="N17" s="175"/>
    </row>
    <row r="18" spans="2:17" s="1" customFormat="1" ht="14.25" x14ac:dyDescent="0.2">
      <c r="B18" s="171" t="s">
        <v>95</v>
      </c>
      <c r="C18" s="195">
        <v>88247</v>
      </c>
      <c r="D18" s="172" t="s">
        <v>65</v>
      </c>
      <c r="E18" s="173" t="s">
        <v>66</v>
      </c>
      <c r="F18" s="173">
        <v>0.04</v>
      </c>
      <c r="G18" s="175">
        <v>26.69</v>
      </c>
      <c r="H18" s="176">
        <f t="shared" si="0"/>
        <v>1.0676000000000001</v>
      </c>
      <c r="I18" s="176">
        <f>H18*$I$11</f>
        <v>0.22419600000000001</v>
      </c>
      <c r="J18" s="176">
        <f>H18+I18</f>
        <v>1.2917960000000002</v>
      </c>
      <c r="L18" s="158"/>
      <c r="M18" s="158"/>
      <c r="N18" s="175">
        <v>25</v>
      </c>
    </row>
    <row r="19" spans="2:17" s="1" customFormat="1" ht="14.25" x14ac:dyDescent="0.2">
      <c r="B19" s="171" t="s">
        <v>100</v>
      </c>
      <c r="C19" s="195">
        <v>88264</v>
      </c>
      <c r="D19" s="172" t="s">
        <v>93</v>
      </c>
      <c r="E19" s="173" t="s">
        <v>66</v>
      </c>
      <c r="F19" s="173">
        <v>0.37</v>
      </c>
      <c r="G19" s="175">
        <v>31.99</v>
      </c>
      <c r="H19" s="176">
        <f t="shared" si="0"/>
        <v>11.8363</v>
      </c>
      <c r="I19" s="176">
        <f>H19*$I$11</f>
        <v>2.4856229999999999</v>
      </c>
      <c r="J19" s="176">
        <f>H19+I19</f>
        <v>14.321923</v>
      </c>
      <c r="L19" s="158"/>
      <c r="M19" s="158"/>
      <c r="N19" s="175">
        <v>27.51</v>
      </c>
    </row>
    <row r="20" spans="2:17" s="1" customFormat="1" ht="15" x14ac:dyDescent="0.2">
      <c r="B20" s="196"/>
      <c r="C20" s="197"/>
      <c r="D20" s="198" t="s">
        <v>9</v>
      </c>
      <c r="E20" s="199"/>
      <c r="F20" s="200"/>
      <c r="G20" s="201"/>
      <c r="H20" s="202">
        <f t="shared" ref="H20:I20" si="3">SUM(H13:H19)</f>
        <v>49.039399999999993</v>
      </c>
      <c r="I20" s="202">
        <f t="shared" si="3"/>
        <v>10.298273999999999</v>
      </c>
      <c r="J20" s="202">
        <f>SUM(J13:J19)</f>
        <v>59.337673999999993</v>
      </c>
      <c r="L20" s="158"/>
      <c r="M20" s="158"/>
      <c r="N20" s="201"/>
    </row>
    <row r="21" spans="2:17" s="1" customFormat="1" ht="15" x14ac:dyDescent="0.2">
      <c r="B21" s="203">
        <v>2</v>
      </c>
      <c r="C21" s="204"/>
      <c r="D21" s="205" t="s">
        <v>99</v>
      </c>
      <c r="E21" s="206"/>
      <c r="F21" s="207"/>
      <c r="G21" s="208"/>
      <c r="H21" s="208"/>
      <c r="I21" s="208"/>
      <c r="J21" s="209"/>
      <c r="L21" s="210"/>
      <c r="M21" s="210"/>
      <c r="N21" s="208"/>
    </row>
    <row r="22" spans="2:17" s="1" customFormat="1" ht="28.5" x14ac:dyDescent="0.2">
      <c r="B22" s="171" t="s">
        <v>14</v>
      </c>
      <c r="C22" s="171">
        <v>3378</v>
      </c>
      <c r="D22" s="178" t="s">
        <v>96</v>
      </c>
      <c r="E22" s="173" t="s">
        <v>61</v>
      </c>
      <c r="F22" s="179">
        <v>1</v>
      </c>
      <c r="G22" s="176">
        <v>136.47999999999999</v>
      </c>
      <c r="H22" s="176">
        <f>F22*G22</f>
        <v>136.47999999999999</v>
      </c>
      <c r="I22" s="176">
        <f>H22*$I$11</f>
        <v>28.660799999999998</v>
      </c>
      <c r="J22" s="176">
        <f>H22+I22</f>
        <v>165.14079999999998</v>
      </c>
      <c r="L22" s="158"/>
      <c r="M22" s="158"/>
      <c r="N22" s="176" t="e">
        <f>#REF!</f>
        <v>#REF!</v>
      </c>
    </row>
    <row r="23" spans="2:17" s="1" customFormat="1" ht="14.25" x14ac:dyDescent="0.2">
      <c r="B23" s="171" t="s">
        <v>15</v>
      </c>
      <c r="C23" s="211">
        <v>426</v>
      </c>
      <c r="D23" s="178" t="s">
        <v>97</v>
      </c>
      <c r="E23" s="173" t="s">
        <v>61</v>
      </c>
      <c r="F23" s="179">
        <v>1</v>
      </c>
      <c r="G23" s="176">
        <v>48.19</v>
      </c>
      <c r="H23" s="176">
        <f>F23*G23</f>
        <v>48.19</v>
      </c>
      <c r="I23" s="176">
        <f>H23*$I$11</f>
        <v>10.119899999999999</v>
      </c>
      <c r="J23" s="176">
        <f>H23+I23</f>
        <v>58.309899999999999</v>
      </c>
      <c r="L23" s="158"/>
      <c r="M23" s="158"/>
      <c r="N23" s="176" t="e">
        <f>#REF!</f>
        <v>#REF!</v>
      </c>
    </row>
    <row r="24" spans="2:17" s="1" customFormat="1" ht="42.75" x14ac:dyDescent="0.2">
      <c r="B24" s="171" t="s">
        <v>16</v>
      </c>
      <c r="C24" s="211">
        <v>5928</v>
      </c>
      <c r="D24" s="178" t="s">
        <v>98</v>
      </c>
      <c r="E24" s="173" t="s">
        <v>60</v>
      </c>
      <c r="F24" s="179">
        <v>0.08</v>
      </c>
      <c r="G24" s="176">
        <v>294.05</v>
      </c>
      <c r="H24" s="176">
        <f>F24*G24</f>
        <v>23.524000000000001</v>
      </c>
      <c r="I24" s="176">
        <f>H24*$I$11</f>
        <v>4.9400399999999998</v>
      </c>
      <c r="J24" s="176">
        <f>H24+I24</f>
        <v>28.464040000000001</v>
      </c>
      <c r="L24" s="158"/>
      <c r="M24" s="158"/>
      <c r="N24" s="176"/>
    </row>
    <row r="25" spans="2:17" s="1" customFormat="1" ht="16.5" customHeight="1" x14ac:dyDescent="0.2">
      <c r="B25" s="171" t="s">
        <v>73</v>
      </c>
      <c r="C25" s="195">
        <v>88247</v>
      </c>
      <c r="D25" s="172" t="s">
        <v>65</v>
      </c>
      <c r="E25" s="173" t="s">
        <v>66</v>
      </c>
      <c r="F25" s="173">
        <v>0.4</v>
      </c>
      <c r="G25" s="175">
        <v>26.69</v>
      </c>
      <c r="H25" s="176">
        <f>F25*G25</f>
        <v>10.676000000000002</v>
      </c>
      <c r="I25" s="176">
        <f>H25*$I$11</f>
        <v>2.2419600000000002</v>
      </c>
      <c r="J25" s="176">
        <f>H25+I25</f>
        <v>12.917960000000003</v>
      </c>
      <c r="L25" s="158"/>
      <c r="M25" s="158"/>
      <c r="N25" s="212" t="e">
        <f>#REF!</f>
        <v>#REF!</v>
      </c>
    </row>
    <row r="26" spans="2:17" s="1" customFormat="1" ht="14.25" x14ac:dyDescent="0.2">
      <c r="B26" s="171" t="s">
        <v>74</v>
      </c>
      <c r="C26" s="195">
        <v>88264</v>
      </c>
      <c r="D26" s="172" t="s">
        <v>93</v>
      </c>
      <c r="E26" s="173" t="s">
        <v>66</v>
      </c>
      <c r="F26" s="173">
        <v>0.4</v>
      </c>
      <c r="G26" s="176">
        <v>31.99</v>
      </c>
      <c r="H26" s="176">
        <f>F26*G26</f>
        <v>12.795999999999999</v>
      </c>
      <c r="I26" s="176">
        <f>H26*$I$11</f>
        <v>2.6871599999999995</v>
      </c>
      <c r="J26" s="176">
        <f>H26+I26</f>
        <v>15.483159999999998</v>
      </c>
      <c r="L26" s="158"/>
      <c r="M26" s="158"/>
      <c r="N26" s="176">
        <v>45.51</v>
      </c>
    </row>
    <row r="27" spans="2:17" s="1" customFormat="1" ht="15" x14ac:dyDescent="0.2">
      <c r="B27" s="196"/>
      <c r="C27" s="197"/>
      <c r="D27" s="198" t="s">
        <v>9</v>
      </c>
      <c r="E27" s="199"/>
      <c r="F27" s="200"/>
      <c r="G27" s="201"/>
      <c r="H27" s="202">
        <f>SUM(H22:H26)</f>
        <v>231.666</v>
      </c>
      <c r="I27" s="202">
        <f>SUM(I22:I26)</f>
        <v>48.64985999999999</v>
      </c>
      <c r="J27" s="202">
        <f>SUM(J22:J26)</f>
        <v>280.31585999999999</v>
      </c>
      <c r="L27" s="158"/>
      <c r="M27" s="158"/>
      <c r="N27" s="201"/>
      <c r="Q27" s="213"/>
    </row>
    <row r="28" spans="2:17" s="1" customFormat="1" ht="15" x14ac:dyDescent="0.2">
      <c r="B28" s="203">
        <v>3</v>
      </c>
      <c r="C28" s="204"/>
      <c r="D28" s="205" t="s">
        <v>101</v>
      </c>
      <c r="E28" s="206"/>
      <c r="F28" s="207"/>
      <c r="G28" s="208"/>
      <c r="H28" s="208"/>
      <c r="I28" s="208"/>
      <c r="J28" s="209"/>
      <c r="L28" s="158"/>
      <c r="M28" s="158"/>
      <c r="N28" s="208"/>
      <c r="Q28" s="213"/>
    </row>
    <row r="29" spans="2:17" s="1" customFormat="1" ht="14.25" x14ac:dyDescent="0.2">
      <c r="B29" s="171" t="s">
        <v>18</v>
      </c>
      <c r="C29" s="171">
        <v>857</v>
      </c>
      <c r="D29" s="178" t="s">
        <v>101</v>
      </c>
      <c r="E29" s="173" t="s">
        <v>59</v>
      </c>
      <c r="F29" s="179">
        <v>1</v>
      </c>
      <c r="G29" s="176">
        <v>17.54</v>
      </c>
      <c r="H29" s="176">
        <f>F29*G29</f>
        <v>17.54</v>
      </c>
      <c r="I29" s="176">
        <f t="shared" ref="I29:I32" si="4">H29*$I$11</f>
        <v>3.6833999999999998</v>
      </c>
      <c r="J29" s="176">
        <f t="shared" ref="J29:J32" si="5">H29+I29</f>
        <v>21.223399999999998</v>
      </c>
      <c r="L29" s="158"/>
      <c r="M29" s="158"/>
      <c r="N29" s="176">
        <v>12.47</v>
      </c>
      <c r="Q29" s="213"/>
    </row>
    <row r="30" spans="2:17" s="1" customFormat="1" ht="42.75" x14ac:dyDescent="0.2">
      <c r="B30" s="171" t="s">
        <v>19</v>
      </c>
      <c r="C30" s="211">
        <v>5928</v>
      </c>
      <c r="D30" s="178" t="s">
        <v>98</v>
      </c>
      <c r="E30" s="173" t="s">
        <v>60</v>
      </c>
      <c r="F30" s="179">
        <v>0.01</v>
      </c>
      <c r="G30" s="176">
        <v>294.05</v>
      </c>
      <c r="H30" s="176">
        <f>F30*G30</f>
        <v>2.9405000000000001</v>
      </c>
      <c r="I30" s="176">
        <f t="shared" si="4"/>
        <v>0.61750499999999997</v>
      </c>
      <c r="J30" s="176">
        <f t="shared" si="5"/>
        <v>3.5580050000000001</v>
      </c>
      <c r="L30" s="158"/>
      <c r="M30" s="158"/>
      <c r="N30" s="176">
        <v>22.21</v>
      </c>
      <c r="Q30" s="213"/>
    </row>
    <row r="31" spans="2:17" s="1" customFormat="1" ht="25.9" customHeight="1" x14ac:dyDescent="0.2">
      <c r="B31" s="171" t="s">
        <v>20</v>
      </c>
      <c r="C31" s="195">
        <v>88247</v>
      </c>
      <c r="D31" s="172" t="s">
        <v>65</v>
      </c>
      <c r="E31" s="173" t="s">
        <v>66</v>
      </c>
      <c r="F31" s="173">
        <v>0.2</v>
      </c>
      <c r="G31" s="175">
        <v>26.69</v>
      </c>
      <c r="H31" s="176">
        <f>F31*G31</f>
        <v>5.338000000000001</v>
      </c>
      <c r="I31" s="176">
        <f t="shared" si="4"/>
        <v>1.1209800000000001</v>
      </c>
      <c r="J31" s="176">
        <f t="shared" si="5"/>
        <v>6.4589800000000013</v>
      </c>
      <c r="L31" s="158"/>
      <c r="M31" s="158"/>
      <c r="N31" s="176">
        <v>26.49</v>
      </c>
      <c r="Q31" s="213"/>
    </row>
    <row r="32" spans="2:17" s="1" customFormat="1" ht="14.25" x14ac:dyDescent="0.2">
      <c r="B32" s="171" t="s">
        <v>21</v>
      </c>
      <c r="C32" s="195">
        <v>88264</v>
      </c>
      <c r="D32" s="172" t="s">
        <v>93</v>
      </c>
      <c r="E32" s="173" t="s">
        <v>66</v>
      </c>
      <c r="F32" s="173">
        <v>0.2</v>
      </c>
      <c r="G32" s="176">
        <v>31.99</v>
      </c>
      <c r="H32" s="176">
        <f>F32*G32</f>
        <v>6.3979999999999997</v>
      </c>
      <c r="I32" s="176">
        <f t="shared" si="4"/>
        <v>1.3435799999999998</v>
      </c>
      <c r="J32" s="176">
        <f t="shared" si="5"/>
        <v>7.741579999999999</v>
      </c>
      <c r="L32" s="158"/>
      <c r="M32" s="158"/>
      <c r="N32" s="176">
        <v>163.35</v>
      </c>
      <c r="Q32" s="213"/>
    </row>
    <row r="33" spans="2:17" s="1" customFormat="1" ht="15" x14ac:dyDescent="0.2">
      <c r="B33" s="196"/>
      <c r="C33" s="197"/>
      <c r="D33" s="198" t="s">
        <v>9</v>
      </c>
      <c r="E33" s="199"/>
      <c r="F33" s="214"/>
      <c r="G33" s="215"/>
      <c r="H33" s="216">
        <f>SUM(H29:H32)</f>
        <v>32.216499999999996</v>
      </c>
      <c r="I33" s="216">
        <f>SUM(I29:I32)</f>
        <v>6.7654650000000007</v>
      </c>
      <c r="J33" s="216">
        <f>SUM(J29:J32)</f>
        <v>38.981965000000002</v>
      </c>
      <c r="L33" s="158"/>
      <c r="M33" s="158"/>
      <c r="N33" s="215"/>
      <c r="Q33" s="213"/>
    </row>
    <row r="34" spans="2:17" s="1" customFormat="1" ht="15" x14ac:dyDescent="0.2">
      <c r="B34" s="217">
        <v>4</v>
      </c>
      <c r="C34" s="204"/>
      <c r="D34" s="205" t="s">
        <v>103</v>
      </c>
      <c r="E34" s="206"/>
      <c r="F34" s="207"/>
      <c r="G34" s="208"/>
      <c r="H34" s="208"/>
      <c r="I34" s="208"/>
      <c r="J34" s="209"/>
      <c r="L34" s="158"/>
      <c r="M34" s="158"/>
      <c r="N34" s="208"/>
      <c r="Q34" s="213"/>
    </row>
    <row r="35" spans="2:17" s="1" customFormat="1" ht="27" customHeight="1" x14ac:dyDescent="0.2">
      <c r="B35" s="171" t="s">
        <v>22</v>
      </c>
      <c r="C35" s="171">
        <v>12327</v>
      </c>
      <c r="D35" s="172" t="s">
        <v>102</v>
      </c>
      <c r="E35" s="218" t="s">
        <v>11</v>
      </c>
      <c r="F35" s="179">
        <v>1</v>
      </c>
      <c r="G35" s="219">
        <v>32.4</v>
      </c>
      <c r="H35" s="176">
        <f>F35*G35</f>
        <v>32.4</v>
      </c>
      <c r="I35" s="176">
        <f>H35*$I$11</f>
        <v>6.8039999999999994</v>
      </c>
      <c r="J35" s="176">
        <f>H35+I35</f>
        <v>39.204000000000001</v>
      </c>
      <c r="L35" s="220"/>
      <c r="M35" s="158"/>
      <c r="N35" s="176">
        <v>157.76</v>
      </c>
      <c r="Q35" s="213"/>
    </row>
    <row r="36" spans="2:17" s="1" customFormat="1" ht="42.75" x14ac:dyDescent="0.2">
      <c r="B36" s="171" t="s">
        <v>76</v>
      </c>
      <c r="C36" s="211">
        <v>5928</v>
      </c>
      <c r="D36" s="221" t="s">
        <v>98</v>
      </c>
      <c r="E36" s="173" t="s">
        <v>60</v>
      </c>
      <c r="F36" s="179">
        <v>0.03</v>
      </c>
      <c r="G36" s="176">
        <v>294.05</v>
      </c>
      <c r="H36" s="176">
        <f>F36*G36</f>
        <v>8.8215000000000003</v>
      </c>
      <c r="I36" s="176">
        <f>H36*$I$11</f>
        <v>1.8525149999999999</v>
      </c>
      <c r="J36" s="176">
        <f>H36+I36</f>
        <v>10.674015000000001</v>
      </c>
      <c r="L36" s="158"/>
      <c r="M36" s="158"/>
      <c r="N36" s="176"/>
    </row>
    <row r="37" spans="2:17" s="1" customFormat="1" ht="16.5" customHeight="1" x14ac:dyDescent="0.2">
      <c r="B37" s="171" t="s">
        <v>23</v>
      </c>
      <c r="C37" s="195">
        <v>88247</v>
      </c>
      <c r="D37" s="172" t="s">
        <v>65</v>
      </c>
      <c r="E37" s="173" t="s">
        <v>66</v>
      </c>
      <c r="F37" s="173">
        <v>0.1</v>
      </c>
      <c r="G37" s="175">
        <v>26.99</v>
      </c>
      <c r="H37" s="176">
        <f>F37*G37</f>
        <v>2.6989999999999998</v>
      </c>
      <c r="I37" s="176">
        <f>H37*$I$11</f>
        <v>0.56678999999999991</v>
      </c>
      <c r="J37" s="176">
        <f>H37+I37</f>
        <v>3.26579</v>
      </c>
      <c r="L37" s="158"/>
      <c r="M37" s="158"/>
      <c r="N37" s="212" t="e">
        <f>#REF!</f>
        <v>#REF!</v>
      </c>
    </row>
    <row r="38" spans="2:17" s="1" customFormat="1" ht="14.25" x14ac:dyDescent="0.2">
      <c r="B38" s="171" t="s">
        <v>106</v>
      </c>
      <c r="C38" s="195">
        <v>88264</v>
      </c>
      <c r="D38" s="172" t="s">
        <v>93</v>
      </c>
      <c r="E38" s="173" t="s">
        <v>66</v>
      </c>
      <c r="F38" s="173">
        <v>0.1</v>
      </c>
      <c r="G38" s="176">
        <v>31.99</v>
      </c>
      <c r="H38" s="176">
        <f>F38*G38</f>
        <v>3.1989999999999998</v>
      </c>
      <c r="I38" s="176">
        <f>H38*$I$11</f>
        <v>0.67178999999999989</v>
      </c>
      <c r="J38" s="176">
        <f>H38+I38</f>
        <v>3.8707899999999995</v>
      </c>
      <c r="L38" s="158"/>
      <c r="M38" s="158"/>
      <c r="N38" s="176">
        <v>45.51</v>
      </c>
    </row>
    <row r="39" spans="2:17" s="1" customFormat="1" ht="15" x14ac:dyDescent="0.2">
      <c r="B39" s="196"/>
      <c r="C39" s="197"/>
      <c r="D39" s="198" t="s">
        <v>9</v>
      </c>
      <c r="E39" s="199"/>
      <c r="F39" s="200"/>
      <c r="G39" s="215"/>
      <c r="H39" s="216">
        <f>SUM(H35:H38)</f>
        <v>47.119499999999995</v>
      </c>
      <c r="I39" s="216">
        <f>SUM(I35:I38)</f>
        <v>9.8950949999999978</v>
      </c>
      <c r="J39" s="216">
        <f>SUM(J35:J38)</f>
        <v>57.014595000000007</v>
      </c>
      <c r="L39" s="158"/>
      <c r="M39" s="158"/>
      <c r="N39" s="215"/>
      <c r="Q39" s="213"/>
    </row>
    <row r="40" spans="2:17" s="1" customFormat="1" ht="15" x14ac:dyDescent="0.2">
      <c r="B40" s="217">
        <v>5</v>
      </c>
      <c r="C40" s="204"/>
      <c r="D40" s="205" t="s">
        <v>104</v>
      </c>
      <c r="E40" s="206"/>
      <c r="F40" s="207"/>
      <c r="G40" s="208"/>
      <c r="H40" s="208"/>
      <c r="I40" s="208"/>
      <c r="J40" s="209"/>
      <c r="L40" s="158"/>
      <c r="M40" s="158"/>
      <c r="N40" s="208"/>
      <c r="Q40" s="213"/>
    </row>
    <row r="41" spans="2:17" s="1" customFormat="1" ht="14.25" x14ac:dyDescent="0.2">
      <c r="B41" s="222" t="s">
        <v>24</v>
      </c>
      <c r="C41" s="171">
        <v>1564</v>
      </c>
      <c r="D41" s="178" t="s">
        <v>105</v>
      </c>
      <c r="E41" s="218" t="s">
        <v>61</v>
      </c>
      <c r="F41" s="179">
        <v>1</v>
      </c>
      <c r="G41" s="176">
        <v>18.329999999999998</v>
      </c>
      <c r="H41" s="176">
        <f>F41*G41</f>
        <v>18.329999999999998</v>
      </c>
      <c r="I41" s="176">
        <f>H41*$I$11</f>
        <v>3.8492999999999995</v>
      </c>
      <c r="J41" s="176">
        <f>H41+I41</f>
        <v>22.179299999999998</v>
      </c>
      <c r="L41" s="158"/>
      <c r="M41" s="158"/>
      <c r="N41" s="176"/>
      <c r="Q41" s="213"/>
    </row>
    <row r="42" spans="2:17" s="1" customFormat="1" ht="42.75" x14ac:dyDescent="0.2">
      <c r="B42" s="171" t="s">
        <v>25</v>
      </c>
      <c r="C42" s="211">
        <v>5928</v>
      </c>
      <c r="D42" s="221" t="s">
        <v>98</v>
      </c>
      <c r="E42" s="173" t="s">
        <v>60</v>
      </c>
      <c r="F42" s="179">
        <v>0.01</v>
      </c>
      <c r="G42" s="176">
        <v>294.05</v>
      </c>
      <c r="H42" s="176">
        <f>F42*G42</f>
        <v>2.9405000000000001</v>
      </c>
      <c r="I42" s="176">
        <f>H42*$I$11</f>
        <v>0.61750499999999997</v>
      </c>
      <c r="J42" s="176">
        <f>H42+I42</f>
        <v>3.5580050000000001</v>
      </c>
      <c r="L42" s="158"/>
      <c r="M42" s="158"/>
      <c r="N42" s="176"/>
    </row>
    <row r="43" spans="2:17" s="1" customFormat="1" ht="16.5" customHeight="1" x14ac:dyDescent="0.2">
      <c r="B43" s="171" t="s">
        <v>107</v>
      </c>
      <c r="C43" s="195">
        <v>88247</v>
      </c>
      <c r="D43" s="172" t="s">
        <v>65</v>
      </c>
      <c r="E43" s="173" t="s">
        <v>66</v>
      </c>
      <c r="F43" s="173">
        <v>0.04</v>
      </c>
      <c r="G43" s="175">
        <v>26.69</v>
      </c>
      <c r="H43" s="176">
        <f>F43*G43</f>
        <v>1.0676000000000001</v>
      </c>
      <c r="I43" s="176">
        <f>H43*$I$11</f>
        <v>0.22419600000000001</v>
      </c>
      <c r="J43" s="176">
        <f>H43+I43</f>
        <v>1.2917960000000002</v>
      </c>
      <c r="L43" s="158"/>
      <c r="M43" s="158"/>
      <c r="N43" s="212" t="e">
        <f>#REF!</f>
        <v>#REF!</v>
      </c>
    </row>
    <row r="44" spans="2:17" s="1" customFormat="1" ht="14.25" x14ac:dyDescent="0.2">
      <c r="B44" s="171" t="s">
        <v>108</v>
      </c>
      <c r="C44" s="195">
        <v>88264</v>
      </c>
      <c r="D44" s="172" t="s">
        <v>93</v>
      </c>
      <c r="E44" s="173" t="s">
        <v>66</v>
      </c>
      <c r="F44" s="173">
        <v>7.0000000000000007E-2</v>
      </c>
      <c r="G44" s="176">
        <v>31.99</v>
      </c>
      <c r="H44" s="176">
        <f>F44*G44</f>
        <v>2.2393000000000001</v>
      </c>
      <c r="I44" s="176">
        <f>H44*$I$11</f>
        <v>0.47025299999999998</v>
      </c>
      <c r="J44" s="176">
        <f>H44+I44</f>
        <v>2.7095530000000001</v>
      </c>
      <c r="L44" s="158"/>
      <c r="M44" s="158"/>
      <c r="N44" s="176">
        <v>45.51</v>
      </c>
    </row>
    <row r="45" spans="2:17" s="1" customFormat="1" ht="15" x14ac:dyDescent="0.2">
      <c r="B45" s="196"/>
      <c r="C45" s="197"/>
      <c r="D45" s="198" t="s">
        <v>9</v>
      </c>
      <c r="E45" s="199"/>
      <c r="F45" s="200"/>
      <c r="G45" s="215"/>
      <c r="H45" s="216">
        <f>SUM(H41:H44)</f>
        <v>24.577399999999997</v>
      </c>
      <c r="I45" s="216">
        <f>SUM(I41:I44)</f>
        <v>5.1612539999999987</v>
      </c>
      <c r="J45" s="216">
        <f>SUM(J41:J44)</f>
        <v>29.738654</v>
      </c>
      <c r="L45" s="158"/>
      <c r="M45" s="158"/>
      <c r="N45" s="215"/>
      <c r="Q45" s="213"/>
    </row>
    <row r="46" spans="2:17" s="223" customFormat="1" ht="30.75" customHeight="1" x14ac:dyDescent="0.2">
      <c r="B46" s="224">
        <v>6</v>
      </c>
      <c r="C46" s="225"/>
      <c r="D46" s="226" t="s">
        <v>109</v>
      </c>
      <c r="E46" s="226"/>
      <c r="F46" s="226"/>
      <c r="G46" s="226"/>
      <c r="H46" s="226"/>
      <c r="I46" s="226"/>
      <c r="J46" s="227"/>
      <c r="L46" s="228"/>
      <c r="M46" s="228"/>
      <c r="N46" s="229"/>
      <c r="Q46" s="230"/>
    </row>
    <row r="47" spans="2:17" s="1" customFormat="1" ht="14.25" x14ac:dyDescent="0.2">
      <c r="B47" s="222" t="s">
        <v>75</v>
      </c>
      <c r="C47" s="231">
        <v>42247</v>
      </c>
      <c r="D47" s="232" t="s">
        <v>154</v>
      </c>
      <c r="E47" s="233" t="s">
        <v>61</v>
      </c>
      <c r="F47" s="179">
        <v>1</v>
      </c>
      <c r="G47" s="234">
        <v>420.17</v>
      </c>
      <c r="H47" s="234">
        <f>F47*G47</f>
        <v>420.17</v>
      </c>
      <c r="I47" s="234">
        <f>H47*$I$11</f>
        <v>88.235699999999994</v>
      </c>
      <c r="J47" s="234">
        <f t="shared" ref="J47" si="6">H47+I47</f>
        <v>508.40570000000002</v>
      </c>
      <c r="L47" s="158"/>
      <c r="M47" s="158"/>
      <c r="N47" s="234">
        <v>22.72</v>
      </c>
      <c r="Q47" s="213"/>
    </row>
    <row r="48" spans="2:17" s="1" customFormat="1" ht="42.75" x14ac:dyDescent="0.2">
      <c r="B48" s="171" t="s">
        <v>81</v>
      </c>
      <c r="C48" s="211">
        <v>5928</v>
      </c>
      <c r="D48" s="221" t="s">
        <v>98</v>
      </c>
      <c r="E48" s="173" t="s">
        <v>60</v>
      </c>
      <c r="F48" s="179">
        <v>0.3</v>
      </c>
      <c r="G48" s="176">
        <v>294.05</v>
      </c>
      <c r="H48" s="176">
        <f>F48*G48</f>
        <v>88.215000000000003</v>
      </c>
      <c r="I48" s="176">
        <f>H48*$I$11</f>
        <v>18.52515</v>
      </c>
      <c r="J48" s="176">
        <f>H48+I48</f>
        <v>106.74015</v>
      </c>
      <c r="L48" s="158"/>
      <c r="M48" s="158"/>
      <c r="N48" s="176"/>
    </row>
    <row r="49" spans="2:17" s="1" customFormat="1" ht="16.5" customHeight="1" x14ac:dyDescent="0.2">
      <c r="B49" s="171" t="s">
        <v>111</v>
      </c>
      <c r="C49" s="195">
        <v>88316</v>
      </c>
      <c r="D49" s="172" t="s">
        <v>110</v>
      </c>
      <c r="E49" s="173" t="s">
        <v>66</v>
      </c>
      <c r="F49" s="173">
        <v>0.3</v>
      </c>
      <c r="G49" s="175">
        <v>24.83</v>
      </c>
      <c r="H49" s="176">
        <f>F49*G49</f>
        <v>7.448999999999999</v>
      </c>
      <c r="I49" s="176">
        <f>H49*$I$11</f>
        <v>1.5642899999999997</v>
      </c>
      <c r="J49" s="176">
        <f>H49+I49</f>
        <v>9.0132899999999978</v>
      </c>
      <c r="L49" s="158"/>
      <c r="M49" s="158"/>
      <c r="N49" s="212" t="e">
        <f>#REF!</f>
        <v>#REF!</v>
      </c>
    </row>
    <row r="50" spans="2:17" s="1" customFormat="1" ht="14.25" x14ac:dyDescent="0.2">
      <c r="B50" s="171" t="s">
        <v>112</v>
      </c>
      <c r="C50" s="195">
        <v>88264</v>
      </c>
      <c r="D50" s="172" t="s">
        <v>93</v>
      </c>
      <c r="E50" s="173" t="s">
        <v>66</v>
      </c>
      <c r="F50" s="173">
        <v>0.3</v>
      </c>
      <c r="G50" s="176">
        <v>31.99</v>
      </c>
      <c r="H50" s="176">
        <f>F50*G50</f>
        <v>9.5969999999999995</v>
      </c>
      <c r="I50" s="176">
        <f>H50*$I$11</f>
        <v>2.0153699999999999</v>
      </c>
      <c r="J50" s="176">
        <f>H50+I50</f>
        <v>11.612369999999999</v>
      </c>
      <c r="L50" s="158"/>
      <c r="M50" s="158"/>
      <c r="N50" s="176">
        <v>45.51</v>
      </c>
    </row>
    <row r="51" spans="2:17" s="1" customFormat="1" ht="15" x14ac:dyDescent="0.2">
      <c r="B51" s="196"/>
      <c r="C51" s="197"/>
      <c r="D51" s="198" t="s">
        <v>9</v>
      </c>
      <c r="E51" s="199"/>
      <c r="F51" s="200"/>
      <c r="G51" s="215"/>
      <c r="H51" s="216">
        <f>SUM(H47:H50)</f>
        <v>525.43099999999993</v>
      </c>
      <c r="I51" s="216">
        <f>SUM(I47:I50)</f>
        <v>110.34050999999999</v>
      </c>
      <c r="J51" s="216">
        <f>SUM(J47:J50)</f>
        <v>635.77151000000003</v>
      </c>
      <c r="L51" s="158"/>
      <c r="M51" s="158"/>
      <c r="N51" s="215"/>
      <c r="Q51" s="213"/>
    </row>
    <row r="52" spans="2:17" s="1" customFormat="1" ht="15" x14ac:dyDescent="0.2">
      <c r="B52" s="217">
        <v>7</v>
      </c>
      <c r="C52" s="204"/>
      <c r="D52" s="205" t="s">
        <v>115</v>
      </c>
      <c r="E52" s="206"/>
      <c r="F52" s="207"/>
      <c r="G52" s="208"/>
      <c r="H52" s="208"/>
      <c r="I52" s="208"/>
      <c r="J52" s="209"/>
      <c r="L52" s="158"/>
      <c r="M52" s="158"/>
      <c r="N52" s="208"/>
      <c r="Q52" s="213"/>
    </row>
    <row r="53" spans="2:17" s="1" customFormat="1" ht="14.25" x14ac:dyDescent="0.2">
      <c r="B53" s="222" t="s">
        <v>67</v>
      </c>
      <c r="C53" s="235" t="s">
        <v>116</v>
      </c>
      <c r="D53" s="236" t="s">
        <v>114</v>
      </c>
      <c r="E53" s="237" t="s">
        <v>4</v>
      </c>
      <c r="F53" s="238">
        <v>1</v>
      </c>
      <c r="G53" s="239">
        <v>35.46</v>
      </c>
      <c r="H53" s="240">
        <f>F53*G53</f>
        <v>35.46</v>
      </c>
      <c r="I53" s="240">
        <f t="shared" ref="I53:I56" si="7">H53*$I$11</f>
        <v>7.4466000000000001</v>
      </c>
      <c r="J53" s="240">
        <f t="shared" ref="J53:J56" si="8">H53+I53</f>
        <v>42.906599999999997</v>
      </c>
      <c r="L53" s="158"/>
      <c r="M53" s="158"/>
      <c r="N53" s="241" t="e">
        <f>#REF!</f>
        <v>#REF!</v>
      </c>
      <c r="Q53" s="213"/>
    </row>
    <row r="54" spans="2:17" s="1" customFormat="1" ht="14.25" x14ac:dyDescent="0.2">
      <c r="B54" s="222" t="s">
        <v>68</v>
      </c>
      <c r="C54" s="235" t="s">
        <v>117</v>
      </c>
      <c r="D54" s="1" t="s">
        <v>113</v>
      </c>
      <c r="E54" s="237" t="s">
        <v>4</v>
      </c>
      <c r="F54" s="238">
        <v>2</v>
      </c>
      <c r="G54" s="239">
        <v>20.28</v>
      </c>
      <c r="H54" s="240">
        <f>F54*G54</f>
        <v>40.56</v>
      </c>
      <c r="I54" s="240">
        <f t="shared" si="7"/>
        <v>8.5175999999999998</v>
      </c>
      <c r="J54" s="240">
        <f t="shared" si="8"/>
        <v>49.077600000000004</v>
      </c>
      <c r="L54" s="158"/>
      <c r="M54" s="158"/>
      <c r="N54" s="241" t="e">
        <f>#REF!</f>
        <v>#REF!</v>
      </c>
      <c r="Q54" s="213"/>
    </row>
    <row r="55" spans="2:17" s="1" customFormat="1" ht="42.75" x14ac:dyDescent="0.2">
      <c r="B55" s="222" t="s">
        <v>69</v>
      </c>
      <c r="C55" s="211">
        <v>5928</v>
      </c>
      <c r="D55" s="221" t="s">
        <v>98</v>
      </c>
      <c r="E55" s="173" t="s">
        <v>60</v>
      </c>
      <c r="F55" s="179">
        <v>0.02</v>
      </c>
      <c r="G55" s="176">
        <v>294.05</v>
      </c>
      <c r="H55" s="242">
        <f>F55*G55</f>
        <v>5.8810000000000002</v>
      </c>
      <c r="I55" s="242">
        <f t="shared" si="7"/>
        <v>1.2350099999999999</v>
      </c>
      <c r="J55" s="242">
        <f t="shared" si="8"/>
        <v>7.1160100000000002</v>
      </c>
      <c r="L55" s="158"/>
      <c r="M55" s="158"/>
      <c r="N55" s="241">
        <v>25</v>
      </c>
      <c r="Q55" s="213"/>
    </row>
    <row r="56" spans="2:17" s="1" customFormat="1" ht="14.25" x14ac:dyDescent="0.2">
      <c r="B56" s="222" t="s">
        <v>72</v>
      </c>
      <c r="C56" s="195">
        <v>88264</v>
      </c>
      <c r="D56" s="172" t="s">
        <v>93</v>
      </c>
      <c r="E56" s="173" t="s">
        <v>66</v>
      </c>
      <c r="F56" s="173">
        <v>0.5</v>
      </c>
      <c r="G56" s="176">
        <v>31.99</v>
      </c>
      <c r="H56" s="242">
        <f>F56*G56</f>
        <v>15.994999999999999</v>
      </c>
      <c r="I56" s="242">
        <f t="shared" si="7"/>
        <v>3.3589499999999997</v>
      </c>
      <c r="J56" s="242">
        <f t="shared" si="8"/>
        <v>19.353949999999998</v>
      </c>
      <c r="L56" s="158"/>
      <c r="M56" s="158"/>
      <c r="N56" s="241">
        <v>1.65</v>
      </c>
      <c r="Q56" s="213"/>
    </row>
    <row r="57" spans="2:17" s="1" customFormat="1" ht="15" x14ac:dyDescent="0.2">
      <c r="B57" s="196"/>
      <c r="C57" s="197"/>
      <c r="D57" s="198" t="s">
        <v>9</v>
      </c>
      <c r="E57" s="199"/>
      <c r="F57" s="200"/>
      <c r="G57" s="215"/>
      <c r="H57" s="216">
        <f>SUM(H53:H56)</f>
        <v>97.896000000000015</v>
      </c>
      <c r="I57" s="216">
        <f>SUM(I53:I56)</f>
        <v>20.558160000000001</v>
      </c>
      <c r="J57" s="216">
        <f>SUM(J53:J56)</f>
        <v>118.45416</v>
      </c>
      <c r="L57" s="158"/>
      <c r="M57" s="158"/>
      <c r="N57" s="215"/>
      <c r="Q57" s="213"/>
    </row>
    <row r="58" spans="2:17" s="1" customFormat="1" ht="15" x14ac:dyDescent="0.2">
      <c r="B58" s="217">
        <v>8</v>
      </c>
      <c r="C58" s="204"/>
      <c r="D58" s="205" t="s">
        <v>152</v>
      </c>
      <c r="E58" s="206"/>
      <c r="F58" s="207"/>
      <c r="G58" s="208"/>
      <c r="H58" s="208"/>
      <c r="I58" s="208"/>
      <c r="J58" s="209"/>
      <c r="L58" s="158"/>
      <c r="M58" s="158"/>
      <c r="N58" s="208"/>
      <c r="Q58" s="213"/>
    </row>
    <row r="59" spans="2:17" s="1" customFormat="1" ht="28.5" x14ac:dyDescent="0.2">
      <c r="B59" s="222" t="s">
        <v>70</v>
      </c>
      <c r="C59" s="235" t="s">
        <v>120</v>
      </c>
      <c r="D59" s="223" t="s">
        <v>153</v>
      </c>
      <c r="E59" s="237" t="s">
        <v>13</v>
      </c>
      <c r="F59" s="238">
        <v>1</v>
      </c>
      <c r="G59" s="243">
        <v>2.31</v>
      </c>
      <c r="H59" s="240">
        <f>F59*G59</f>
        <v>2.31</v>
      </c>
      <c r="I59" s="240">
        <f>H59*$I$11</f>
        <v>0.48509999999999998</v>
      </c>
      <c r="J59" s="240">
        <f t="shared" ref="J59" si="9">H59+I59</f>
        <v>2.7951000000000001</v>
      </c>
      <c r="L59" s="158"/>
      <c r="M59" s="158"/>
      <c r="N59" s="241" t="e">
        <f>#REF!</f>
        <v>#REF!</v>
      </c>
      <c r="Q59" s="213"/>
    </row>
    <row r="60" spans="2:17" s="1" customFormat="1" ht="42.75" x14ac:dyDescent="0.2">
      <c r="B60" s="171" t="s">
        <v>80</v>
      </c>
      <c r="C60" s="211">
        <v>5928</v>
      </c>
      <c r="D60" s="221" t="s">
        <v>98</v>
      </c>
      <c r="E60" s="173" t="s">
        <v>60</v>
      </c>
      <c r="F60" s="179">
        <v>0.01</v>
      </c>
      <c r="G60" s="176">
        <v>294.05</v>
      </c>
      <c r="H60" s="176">
        <f>F60*G60</f>
        <v>2.9405000000000001</v>
      </c>
      <c r="I60" s="176">
        <f>H60*$I$11</f>
        <v>0.61750499999999997</v>
      </c>
      <c r="J60" s="176">
        <f>H60+I60</f>
        <v>3.5580050000000001</v>
      </c>
      <c r="L60" s="158"/>
      <c r="M60" s="158"/>
      <c r="N60" s="176"/>
    </row>
    <row r="61" spans="2:17" s="1" customFormat="1" ht="16.5" customHeight="1" x14ac:dyDescent="0.2">
      <c r="B61" s="171" t="s">
        <v>118</v>
      </c>
      <c r="C61" s="195">
        <v>88247</v>
      </c>
      <c r="D61" s="172" t="s">
        <v>65</v>
      </c>
      <c r="E61" s="173" t="s">
        <v>66</v>
      </c>
      <c r="F61" s="173">
        <v>0.02</v>
      </c>
      <c r="G61" s="175">
        <v>26.69</v>
      </c>
      <c r="H61" s="176">
        <f>F61*G61</f>
        <v>0.53380000000000005</v>
      </c>
      <c r="I61" s="176">
        <f>H61*$I$11</f>
        <v>0.112098</v>
      </c>
      <c r="J61" s="176">
        <f>H61+I61</f>
        <v>0.64589800000000008</v>
      </c>
      <c r="L61" s="158"/>
      <c r="M61" s="158"/>
      <c r="N61" s="212" t="e">
        <f>#REF!</f>
        <v>#REF!</v>
      </c>
    </row>
    <row r="62" spans="2:17" s="1" customFormat="1" ht="14.25" x14ac:dyDescent="0.2">
      <c r="B62" s="171" t="s">
        <v>119</v>
      </c>
      <c r="C62" s="195">
        <v>88264</v>
      </c>
      <c r="D62" s="172" t="s">
        <v>93</v>
      </c>
      <c r="E62" s="173" t="s">
        <v>66</v>
      </c>
      <c r="F62" s="173">
        <v>7.0000000000000007E-2</v>
      </c>
      <c r="G62" s="176">
        <v>31.99</v>
      </c>
      <c r="H62" s="176">
        <f>F62*G62</f>
        <v>2.2393000000000001</v>
      </c>
      <c r="I62" s="176">
        <f>H62*$I$11</f>
        <v>0.47025299999999998</v>
      </c>
      <c r="J62" s="176">
        <f>H62+I62</f>
        <v>2.7095530000000001</v>
      </c>
      <c r="L62" s="158"/>
      <c r="M62" s="158"/>
      <c r="N62" s="176">
        <v>45.51</v>
      </c>
    </row>
    <row r="63" spans="2:17" s="1" customFormat="1" ht="15" x14ac:dyDescent="0.2">
      <c r="B63" s="196"/>
      <c r="C63" s="197"/>
      <c r="D63" s="198" t="s">
        <v>9</v>
      </c>
      <c r="E63" s="199"/>
      <c r="F63" s="200"/>
      <c r="G63" s="215"/>
      <c r="H63" s="216">
        <f>SUM(H59:H62)</f>
        <v>8.0236000000000018</v>
      </c>
      <c r="I63" s="216">
        <f>SUM(I59:I62)</f>
        <v>1.6849560000000001</v>
      </c>
      <c r="J63" s="216">
        <f>SUM(J59:J62)</f>
        <v>9.7085559999999997</v>
      </c>
      <c r="L63" s="158"/>
      <c r="M63" s="158"/>
      <c r="N63" s="215"/>
      <c r="Q63" s="213"/>
    </row>
    <row r="64" spans="2:17" s="1" customFormat="1" ht="15" x14ac:dyDescent="0.2">
      <c r="B64" s="217">
        <v>9</v>
      </c>
      <c r="C64" s="204"/>
      <c r="D64" s="205" t="s">
        <v>121</v>
      </c>
      <c r="E64" s="206"/>
      <c r="F64" s="207"/>
      <c r="G64" s="208"/>
      <c r="H64" s="208"/>
      <c r="I64" s="208"/>
      <c r="J64" s="209"/>
      <c r="L64" s="158"/>
      <c r="M64" s="158"/>
      <c r="N64" s="208"/>
      <c r="Q64" s="213"/>
    </row>
    <row r="65" spans="2:17" s="1" customFormat="1" ht="28.5" x14ac:dyDescent="0.2">
      <c r="B65" s="222" t="s">
        <v>124</v>
      </c>
      <c r="C65" s="235" t="s">
        <v>125</v>
      </c>
      <c r="D65" s="236" t="s">
        <v>122</v>
      </c>
      <c r="E65" s="237" t="s">
        <v>4</v>
      </c>
      <c r="F65" s="238">
        <v>1</v>
      </c>
      <c r="G65" s="243">
        <v>2483.98</v>
      </c>
      <c r="H65" s="240">
        <f>F65*G65</f>
        <v>2483.98</v>
      </c>
      <c r="I65" s="240">
        <f t="shared" ref="I65:I69" si="10">H65*$I$11</f>
        <v>521.63580000000002</v>
      </c>
      <c r="J65" s="240">
        <f t="shared" ref="J65:J69" si="11">H65+I65</f>
        <v>3005.6158</v>
      </c>
      <c r="L65" s="158"/>
      <c r="M65" s="158"/>
      <c r="N65" s="241" t="e">
        <f>#REF!</f>
        <v>#REF!</v>
      </c>
      <c r="Q65" s="213"/>
    </row>
    <row r="66" spans="2:17" s="1" customFormat="1" ht="28.5" x14ac:dyDescent="0.2">
      <c r="B66" s="222" t="s">
        <v>62</v>
      </c>
      <c r="C66" s="235" t="s">
        <v>126</v>
      </c>
      <c r="D66" s="223" t="s">
        <v>123</v>
      </c>
      <c r="E66" s="237" t="s">
        <v>4</v>
      </c>
      <c r="F66" s="238">
        <v>2</v>
      </c>
      <c r="G66" s="243">
        <v>515.79999999999995</v>
      </c>
      <c r="H66" s="240">
        <f>F66*G66</f>
        <v>1031.5999999999999</v>
      </c>
      <c r="I66" s="240">
        <f t="shared" si="10"/>
        <v>216.63599999999997</v>
      </c>
      <c r="J66" s="240">
        <f t="shared" si="11"/>
        <v>1248.2359999999999</v>
      </c>
      <c r="L66" s="158"/>
      <c r="M66" s="158"/>
      <c r="N66" s="241" t="e">
        <f>#REF!</f>
        <v>#REF!</v>
      </c>
      <c r="Q66" s="213"/>
    </row>
    <row r="67" spans="2:17" s="1" customFormat="1" ht="42.75" x14ac:dyDescent="0.2">
      <c r="B67" s="222" t="s">
        <v>63</v>
      </c>
      <c r="C67" s="211">
        <v>5928</v>
      </c>
      <c r="D67" s="221" t="s">
        <v>98</v>
      </c>
      <c r="E67" s="173" t="s">
        <v>60</v>
      </c>
      <c r="F67" s="244">
        <v>1</v>
      </c>
      <c r="G67" s="245">
        <v>294.05</v>
      </c>
      <c r="H67" s="242">
        <f>F67*G67</f>
        <v>294.05</v>
      </c>
      <c r="I67" s="242">
        <f t="shared" si="10"/>
        <v>61.750500000000002</v>
      </c>
      <c r="J67" s="242">
        <f t="shared" si="11"/>
        <v>355.8005</v>
      </c>
      <c r="L67" s="158"/>
      <c r="M67" s="158"/>
      <c r="N67" s="241">
        <v>25</v>
      </c>
      <c r="Q67" s="213"/>
    </row>
    <row r="68" spans="2:17" s="1" customFormat="1" ht="14.25" x14ac:dyDescent="0.2">
      <c r="B68" s="222"/>
      <c r="C68" s="211">
        <v>88309</v>
      </c>
      <c r="D68" s="221" t="s">
        <v>223</v>
      </c>
      <c r="E68" s="173" t="s">
        <v>66</v>
      </c>
      <c r="F68" s="244">
        <v>2</v>
      </c>
      <c r="G68" s="245">
        <v>29.88</v>
      </c>
      <c r="H68" s="242">
        <f>F68*G68</f>
        <v>59.76</v>
      </c>
      <c r="I68" s="242">
        <f t="shared" si="10"/>
        <v>12.5496</v>
      </c>
      <c r="J68" s="242">
        <f t="shared" si="11"/>
        <v>72.309600000000003</v>
      </c>
      <c r="L68" s="158"/>
      <c r="M68" s="158"/>
      <c r="N68" s="241"/>
      <c r="Q68" s="213"/>
    </row>
    <row r="69" spans="2:17" s="1" customFormat="1" ht="14.25" x14ac:dyDescent="0.2">
      <c r="B69" s="222" t="s">
        <v>64</v>
      </c>
      <c r="C69" s="195">
        <v>88316</v>
      </c>
      <c r="D69" s="172" t="s">
        <v>110</v>
      </c>
      <c r="E69" s="173" t="s">
        <v>66</v>
      </c>
      <c r="F69" s="173">
        <v>2</v>
      </c>
      <c r="G69" s="176">
        <v>24.83</v>
      </c>
      <c r="H69" s="242">
        <f>F69*G69</f>
        <v>49.66</v>
      </c>
      <c r="I69" s="242">
        <f t="shared" si="10"/>
        <v>10.428599999999999</v>
      </c>
      <c r="J69" s="242">
        <f t="shared" si="11"/>
        <v>60.0886</v>
      </c>
      <c r="L69" s="158"/>
      <c r="M69" s="158"/>
      <c r="N69" s="241">
        <v>1.65</v>
      </c>
      <c r="Q69" s="213"/>
    </row>
    <row r="70" spans="2:17" s="1" customFormat="1" ht="15" x14ac:dyDescent="0.2">
      <c r="B70" s="196"/>
      <c r="C70" s="197"/>
      <c r="D70" s="198" t="s">
        <v>9</v>
      </c>
      <c r="E70" s="199"/>
      <c r="F70" s="200"/>
      <c r="G70" s="215"/>
      <c r="H70" s="216">
        <f>SUM(H65:H69)</f>
        <v>3919.05</v>
      </c>
      <c r="I70" s="216">
        <f>SUM(I65:I69)</f>
        <v>823.00049999999999</v>
      </c>
      <c r="J70" s="216">
        <f>SUM(J65:J69)</f>
        <v>4742.0505000000003</v>
      </c>
      <c r="L70" s="158"/>
      <c r="M70" s="158"/>
      <c r="N70" s="215"/>
      <c r="Q70" s="213"/>
    </row>
    <row r="71" spans="2:17" s="1" customFormat="1" ht="15" x14ac:dyDescent="0.2">
      <c r="B71" s="217">
        <v>10</v>
      </c>
      <c r="C71" s="204"/>
      <c r="D71" s="205" t="s">
        <v>127</v>
      </c>
      <c r="E71" s="206"/>
      <c r="F71" s="207"/>
      <c r="G71" s="208"/>
      <c r="H71" s="208"/>
      <c r="I71" s="208"/>
      <c r="J71" s="209"/>
      <c r="L71" s="158"/>
      <c r="M71" s="158"/>
      <c r="N71" s="208"/>
      <c r="Q71" s="213"/>
    </row>
    <row r="72" spans="2:17" s="1" customFormat="1" ht="28.5" x14ac:dyDescent="0.2">
      <c r="B72" s="222" t="s">
        <v>128</v>
      </c>
      <c r="C72" s="235" t="s">
        <v>224</v>
      </c>
      <c r="D72" s="236" t="s">
        <v>132</v>
      </c>
      <c r="E72" s="237" t="s">
        <v>61</v>
      </c>
      <c r="F72" s="238">
        <v>1</v>
      </c>
      <c r="G72" s="243">
        <v>9.58</v>
      </c>
      <c r="H72" s="240">
        <f>F72*G72</f>
        <v>9.58</v>
      </c>
      <c r="I72" s="240">
        <f t="shared" ref="I72" si="12">H72*$I$11</f>
        <v>2.0118</v>
      </c>
      <c r="J72" s="240">
        <f t="shared" ref="J72" si="13">H72+I72</f>
        <v>11.591799999999999</v>
      </c>
      <c r="L72" s="158"/>
      <c r="M72" s="158"/>
      <c r="N72" s="241" t="e">
        <f>#REF!</f>
        <v>#REF!</v>
      </c>
      <c r="Q72" s="213"/>
    </row>
    <row r="73" spans="2:17" s="1" customFormat="1" ht="42.75" x14ac:dyDescent="0.2">
      <c r="B73" s="171" t="s">
        <v>129</v>
      </c>
      <c r="C73" s="211">
        <v>5928</v>
      </c>
      <c r="D73" s="221" t="s">
        <v>98</v>
      </c>
      <c r="E73" s="173" t="s">
        <v>60</v>
      </c>
      <c r="F73" s="179">
        <v>0.01</v>
      </c>
      <c r="G73" s="176">
        <v>294.05</v>
      </c>
      <c r="H73" s="176">
        <f>F73*G73</f>
        <v>2.9405000000000001</v>
      </c>
      <c r="I73" s="176">
        <f>H73*$I$11</f>
        <v>0.61750499999999997</v>
      </c>
      <c r="J73" s="176">
        <f>H73+I73</f>
        <v>3.5580050000000001</v>
      </c>
      <c r="L73" s="158"/>
      <c r="M73" s="158"/>
      <c r="N73" s="176"/>
    </row>
    <row r="74" spans="2:17" s="1" customFormat="1" ht="16.5" customHeight="1" x14ac:dyDescent="0.2">
      <c r="B74" s="171" t="s">
        <v>130</v>
      </c>
      <c r="C74" s="195">
        <v>88247</v>
      </c>
      <c r="D74" s="172" t="s">
        <v>65</v>
      </c>
      <c r="E74" s="173" t="s">
        <v>66</v>
      </c>
      <c r="F74" s="173">
        <v>0.02</v>
      </c>
      <c r="G74" s="175">
        <v>26.69</v>
      </c>
      <c r="H74" s="176">
        <f>F74*G74</f>
        <v>0.53380000000000005</v>
      </c>
      <c r="I74" s="176">
        <f>H74*$I$11</f>
        <v>0.112098</v>
      </c>
      <c r="J74" s="176">
        <f>H74+I74</f>
        <v>0.64589800000000008</v>
      </c>
      <c r="L74" s="158"/>
      <c r="M74" s="158"/>
      <c r="N74" s="212" t="e">
        <f>#REF!</f>
        <v>#REF!</v>
      </c>
    </row>
    <row r="75" spans="2:17" s="1" customFormat="1" ht="14.25" x14ac:dyDescent="0.2">
      <c r="B75" s="171" t="s">
        <v>131</v>
      </c>
      <c r="C75" s="195">
        <v>88264</v>
      </c>
      <c r="D75" s="172" t="s">
        <v>93</v>
      </c>
      <c r="E75" s="173" t="s">
        <v>66</v>
      </c>
      <c r="F75" s="173">
        <v>0.16</v>
      </c>
      <c r="G75" s="176">
        <v>31.99</v>
      </c>
      <c r="H75" s="176">
        <f>F75*G75</f>
        <v>5.1184000000000003</v>
      </c>
      <c r="I75" s="176">
        <f>H75*$I$11</f>
        <v>1.074864</v>
      </c>
      <c r="J75" s="176">
        <f>H75+I75</f>
        <v>6.1932640000000001</v>
      </c>
      <c r="L75" s="158"/>
      <c r="M75" s="158"/>
      <c r="N75" s="176">
        <v>45.51</v>
      </c>
    </row>
    <row r="76" spans="2:17" s="1" customFormat="1" ht="15" x14ac:dyDescent="0.2">
      <c r="B76" s="196"/>
      <c r="C76" s="197"/>
      <c r="D76" s="198" t="s">
        <v>9</v>
      </c>
      <c r="E76" s="199"/>
      <c r="F76" s="200"/>
      <c r="G76" s="215"/>
      <c r="H76" s="216">
        <f>SUM(H72:H75)</f>
        <v>18.172699999999999</v>
      </c>
      <c r="I76" s="216">
        <f>SUM(I72:I75)</f>
        <v>3.8162669999999999</v>
      </c>
      <c r="J76" s="216">
        <f>SUM(J72:J75)</f>
        <v>21.988966999999999</v>
      </c>
      <c r="L76" s="158"/>
      <c r="M76" s="158"/>
      <c r="N76" s="215"/>
      <c r="Q76" s="213"/>
    </row>
    <row r="77" spans="2:17" s="1" customFormat="1" ht="15" x14ac:dyDescent="0.2">
      <c r="B77" s="217">
        <v>11</v>
      </c>
      <c r="C77" s="204"/>
      <c r="D77" s="205" t="s">
        <v>133</v>
      </c>
      <c r="E77" s="206"/>
      <c r="F77" s="207"/>
      <c r="G77" s="208"/>
      <c r="H77" s="208"/>
      <c r="I77" s="208"/>
      <c r="J77" s="209"/>
      <c r="L77" s="158"/>
      <c r="M77" s="158"/>
      <c r="N77" s="208"/>
      <c r="Q77" s="213"/>
    </row>
    <row r="78" spans="2:17" s="1" customFormat="1" ht="30.75" customHeight="1" x14ac:dyDescent="0.2">
      <c r="B78" s="222" t="s">
        <v>140</v>
      </c>
      <c r="C78" s="235" t="s">
        <v>135</v>
      </c>
      <c r="D78" s="236" t="s">
        <v>134</v>
      </c>
      <c r="E78" s="237" t="s">
        <v>13</v>
      </c>
      <c r="F78" s="238">
        <v>1</v>
      </c>
      <c r="G78" s="243">
        <v>16.02</v>
      </c>
      <c r="H78" s="240">
        <f>F78*G78</f>
        <v>16.02</v>
      </c>
      <c r="I78" s="240">
        <f t="shared" ref="I78" si="14">H78*$I$11</f>
        <v>3.3641999999999999</v>
      </c>
      <c r="J78" s="240">
        <f t="shared" ref="J78" si="15">H78+I78</f>
        <v>19.3842</v>
      </c>
      <c r="L78" s="158"/>
      <c r="M78" s="158"/>
      <c r="N78" s="241" t="e">
        <f>#REF!</f>
        <v>#REF!</v>
      </c>
      <c r="Q78" s="213"/>
    </row>
    <row r="79" spans="2:17" s="1" customFormat="1" ht="42.75" x14ac:dyDescent="0.2">
      <c r="B79" s="171" t="s">
        <v>141</v>
      </c>
      <c r="C79" s="211">
        <v>5928</v>
      </c>
      <c r="D79" s="221" t="s">
        <v>98</v>
      </c>
      <c r="E79" s="173" t="s">
        <v>60</v>
      </c>
      <c r="F79" s="179">
        <v>0.01</v>
      </c>
      <c r="G79" s="176">
        <v>294.05</v>
      </c>
      <c r="H79" s="176">
        <f>F79*G79</f>
        <v>2.9405000000000001</v>
      </c>
      <c r="I79" s="176">
        <f>H79*$I$11</f>
        <v>0.61750499999999997</v>
      </c>
      <c r="J79" s="176">
        <f>H79+I79</f>
        <v>3.5580050000000001</v>
      </c>
      <c r="L79" s="158"/>
      <c r="M79" s="158"/>
      <c r="N79" s="176"/>
    </row>
    <row r="80" spans="2:17" s="1" customFormat="1" ht="16.5" customHeight="1" x14ac:dyDescent="0.2">
      <c r="B80" s="171" t="s">
        <v>142</v>
      </c>
      <c r="C80" s="195">
        <v>88247</v>
      </c>
      <c r="D80" s="172" t="s">
        <v>65</v>
      </c>
      <c r="E80" s="173" t="s">
        <v>66</v>
      </c>
      <c r="F80" s="173">
        <v>0.2</v>
      </c>
      <c r="G80" s="175">
        <v>26.69</v>
      </c>
      <c r="H80" s="176">
        <f>F80*G80</f>
        <v>5.338000000000001</v>
      </c>
      <c r="I80" s="176">
        <f>H80*$I$11</f>
        <v>1.1209800000000001</v>
      </c>
      <c r="J80" s="176">
        <f>H80+I80</f>
        <v>6.4589800000000013</v>
      </c>
      <c r="L80" s="158"/>
      <c r="M80" s="158"/>
      <c r="N80" s="212" t="e">
        <f>#REF!</f>
        <v>#REF!</v>
      </c>
    </row>
    <row r="81" spans="2:17" s="1" customFormat="1" ht="14.25" x14ac:dyDescent="0.2">
      <c r="B81" s="171" t="s">
        <v>143</v>
      </c>
      <c r="C81" s="195">
        <v>88264</v>
      </c>
      <c r="D81" s="172" t="s">
        <v>93</v>
      </c>
      <c r="E81" s="173" t="s">
        <v>66</v>
      </c>
      <c r="F81" s="173">
        <v>0.2</v>
      </c>
      <c r="G81" s="176">
        <v>31.99</v>
      </c>
      <c r="H81" s="176">
        <f>F81*G81</f>
        <v>6.3979999999999997</v>
      </c>
      <c r="I81" s="176">
        <f>H81*$I$11</f>
        <v>1.3435799999999998</v>
      </c>
      <c r="J81" s="176">
        <f>H81+I81</f>
        <v>7.741579999999999</v>
      </c>
      <c r="L81" s="158"/>
      <c r="M81" s="158"/>
      <c r="N81" s="176">
        <v>45.51</v>
      </c>
    </row>
    <row r="82" spans="2:17" s="1" customFormat="1" ht="15" x14ac:dyDescent="0.2">
      <c r="B82" s="196"/>
      <c r="C82" s="197"/>
      <c r="D82" s="198" t="s">
        <v>9</v>
      </c>
      <c r="E82" s="199"/>
      <c r="F82" s="200"/>
      <c r="G82" s="215"/>
      <c r="H82" s="216">
        <f>SUM(H78:H81)</f>
        <v>30.6965</v>
      </c>
      <c r="I82" s="216">
        <f>SUM(I78:I81)</f>
        <v>6.4462650000000004</v>
      </c>
      <c r="J82" s="216">
        <f>SUM(J78:J81)</f>
        <v>37.142764999999997</v>
      </c>
      <c r="L82" s="158"/>
      <c r="M82" s="158"/>
      <c r="N82" s="215"/>
      <c r="Q82" s="213"/>
    </row>
    <row r="83" spans="2:17" s="1" customFormat="1" ht="15" x14ac:dyDescent="0.2">
      <c r="B83" s="217">
        <v>12</v>
      </c>
      <c r="C83" s="204"/>
      <c r="D83" s="205" t="s">
        <v>144</v>
      </c>
      <c r="E83" s="206"/>
      <c r="F83" s="207"/>
      <c r="G83" s="208"/>
      <c r="H83" s="208"/>
      <c r="I83" s="208"/>
      <c r="J83" s="209"/>
      <c r="L83" s="158"/>
      <c r="M83" s="158"/>
      <c r="N83" s="208"/>
      <c r="Q83" s="213"/>
    </row>
    <row r="84" spans="2:17" s="1" customFormat="1" ht="30.75" customHeight="1" x14ac:dyDescent="0.2">
      <c r="B84" s="222" t="s">
        <v>136</v>
      </c>
      <c r="C84" s="235" t="s">
        <v>146</v>
      </c>
      <c r="D84" s="236" t="s">
        <v>145</v>
      </c>
      <c r="E84" s="237" t="s">
        <v>61</v>
      </c>
      <c r="F84" s="238">
        <v>1</v>
      </c>
      <c r="G84" s="243">
        <v>439.31</v>
      </c>
      <c r="H84" s="240">
        <f>F84*G84</f>
        <v>439.31</v>
      </c>
      <c r="I84" s="240">
        <f t="shared" ref="I84" si="16">H84*$I$11</f>
        <v>92.255099999999999</v>
      </c>
      <c r="J84" s="240">
        <f t="shared" ref="J84" si="17">H84+I84</f>
        <v>531.56510000000003</v>
      </c>
      <c r="L84" s="158"/>
      <c r="M84" s="158"/>
      <c r="N84" s="241" t="e">
        <f>#REF!</f>
        <v>#REF!</v>
      </c>
      <c r="Q84" s="213"/>
    </row>
    <row r="85" spans="2:17" s="1" customFormat="1" ht="42.75" x14ac:dyDescent="0.2">
      <c r="B85" s="171" t="s">
        <v>137</v>
      </c>
      <c r="C85" s="211">
        <v>5928</v>
      </c>
      <c r="D85" s="221" t="s">
        <v>98</v>
      </c>
      <c r="E85" s="173" t="s">
        <v>60</v>
      </c>
      <c r="F85" s="179">
        <v>0.15</v>
      </c>
      <c r="G85" s="176">
        <v>294.05</v>
      </c>
      <c r="H85" s="176">
        <f>F85*G85</f>
        <v>44.107500000000002</v>
      </c>
      <c r="I85" s="176">
        <f>H85*$I$11</f>
        <v>9.262575</v>
      </c>
      <c r="J85" s="176">
        <f>H85+I85</f>
        <v>53.370075</v>
      </c>
      <c r="L85" s="158"/>
      <c r="M85" s="158"/>
      <c r="N85" s="176"/>
    </row>
    <row r="86" spans="2:17" s="1" customFormat="1" ht="16.5" customHeight="1" x14ac:dyDescent="0.2">
      <c r="B86" s="171" t="s">
        <v>138</v>
      </c>
      <c r="C86" s="195">
        <v>88247</v>
      </c>
      <c r="D86" s="172" t="s">
        <v>65</v>
      </c>
      <c r="E86" s="173" t="s">
        <v>66</v>
      </c>
      <c r="F86" s="173">
        <v>1.5</v>
      </c>
      <c r="G86" s="175">
        <v>26.69</v>
      </c>
      <c r="H86" s="176">
        <f>F86*G86</f>
        <v>40.035000000000004</v>
      </c>
      <c r="I86" s="176">
        <f>H86*$I$11</f>
        <v>8.407350000000001</v>
      </c>
      <c r="J86" s="176">
        <f>H86+I86</f>
        <v>48.442350000000005</v>
      </c>
      <c r="L86" s="158"/>
      <c r="M86" s="158"/>
      <c r="N86" s="212" t="e">
        <f>#REF!</f>
        <v>#REF!</v>
      </c>
    </row>
    <row r="87" spans="2:17" s="1" customFormat="1" ht="14.25" x14ac:dyDescent="0.2">
      <c r="B87" s="171" t="s">
        <v>139</v>
      </c>
      <c r="C87" s="195">
        <v>88264</v>
      </c>
      <c r="D87" s="172" t="s">
        <v>93</v>
      </c>
      <c r="E87" s="173" t="s">
        <v>66</v>
      </c>
      <c r="F87" s="173">
        <v>2</v>
      </c>
      <c r="G87" s="176">
        <v>31.99</v>
      </c>
      <c r="H87" s="176">
        <f>F87*G87</f>
        <v>63.98</v>
      </c>
      <c r="I87" s="176">
        <f>H87*$I$11</f>
        <v>13.435799999999999</v>
      </c>
      <c r="J87" s="176">
        <f>H87+I87</f>
        <v>77.41579999999999</v>
      </c>
      <c r="L87" s="158"/>
      <c r="M87" s="158"/>
      <c r="N87" s="176">
        <v>45.51</v>
      </c>
    </row>
    <row r="88" spans="2:17" s="1" customFormat="1" ht="15" x14ac:dyDescent="0.2">
      <c r="B88" s="196"/>
      <c r="C88" s="197"/>
      <c r="D88" s="198" t="s">
        <v>9</v>
      </c>
      <c r="E88" s="199"/>
      <c r="F88" s="200"/>
      <c r="G88" s="215"/>
      <c r="H88" s="216">
        <f>SUM(H84:H87)</f>
        <v>587.4325</v>
      </c>
      <c r="I88" s="216">
        <f>SUM(I84:I87)</f>
        <v>123.36082500000001</v>
      </c>
      <c r="J88" s="216">
        <f>SUM(J84:J87)</f>
        <v>710.7933250000001</v>
      </c>
      <c r="L88" s="158"/>
      <c r="M88" s="158"/>
      <c r="N88" s="215"/>
      <c r="Q88" s="213"/>
    </row>
    <row r="89" spans="2:17" s="1" customFormat="1" ht="15" x14ac:dyDescent="0.2">
      <c r="B89" s="217">
        <v>13</v>
      </c>
      <c r="C89" s="204"/>
      <c r="D89" s="205" t="s">
        <v>203</v>
      </c>
      <c r="E89" s="206"/>
      <c r="F89" s="207"/>
      <c r="G89" s="208"/>
      <c r="H89" s="208"/>
      <c r="I89" s="208"/>
      <c r="J89" s="209"/>
      <c r="L89" s="158"/>
      <c r="M89" s="158"/>
      <c r="N89" s="208"/>
      <c r="Q89" s="213"/>
    </row>
    <row r="90" spans="2:17" s="1" customFormat="1" ht="60.75" customHeight="1" x14ac:dyDescent="0.2">
      <c r="B90" s="222" t="s">
        <v>206</v>
      </c>
      <c r="C90" s="235" t="s">
        <v>204</v>
      </c>
      <c r="D90" s="236" t="s">
        <v>205</v>
      </c>
      <c r="E90" s="237" t="s">
        <v>61</v>
      </c>
      <c r="F90" s="238">
        <v>1</v>
      </c>
      <c r="G90" s="243">
        <v>580</v>
      </c>
      <c r="H90" s="240">
        <f>F90*G90</f>
        <v>580</v>
      </c>
      <c r="I90" s="240">
        <f t="shared" ref="I90" si="18">H90*$I$11</f>
        <v>121.8</v>
      </c>
      <c r="J90" s="240">
        <f t="shared" ref="J90" si="19">H90+I90</f>
        <v>701.8</v>
      </c>
      <c r="L90" s="158"/>
      <c r="M90" s="158"/>
      <c r="N90" s="241" t="e">
        <f>#REF!</f>
        <v>#REF!</v>
      </c>
      <c r="Q90" s="213"/>
    </row>
    <row r="91" spans="2:17" s="1" customFormat="1" ht="42.75" x14ac:dyDescent="0.2">
      <c r="B91" s="171" t="s">
        <v>207</v>
      </c>
      <c r="C91" s="211">
        <v>5928</v>
      </c>
      <c r="D91" s="221" t="s">
        <v>98</v>
      </c>
      <c r="E91" s="173" t="s">
        <v>60</v>
      </c>
      <c r="F91" s="179">
        <v>0.12</v>
      </c>
      <c r="G91" s="176">
        <v>294.05</v>
      </c>
      <c r="H91" s="176">
        <f>F91*G91</f>
        <v>35.286000000000001</v>
      </c>
      <c r="I91" s="176">
        <f>H91*$I$11</f>
        <v>7.4100599999999996</v>
      </c>
      <c r="J91" s="176">
        <f>H91+I91</f>
        <v>42.696060000000003</v>
      </c>
      <c r="L91" s="158"/>
      <c r="M91" s="158"/>
      <c r="N91" s="176"/>
    </row>
    <row r="92" spans="2:17" s="1" customFormat="1" ht="16.5" customHeight="1" x14ac:dyDescent="0.2">
      <c r="B92" s="171" t="s">
        <v>208</v>
      </c>
      <c r="C92" s="195">
        <v>88247</v>
      </c>
      <c r="D92" s="172" t="s">
        <v>65</v>
      </c>
      <c r="E92" s="173" t="s">
        <v>66</v>
      </c>
      <c r="F92" s="173">
        <v>0.1</v>
      </c>
      <c r="G92" s="175">
        <v>26.69</v>
      </c>
      <c r="H92" s="176">
        <f>F92*G92</f>
        <v>2.6690000000000005</v>
      </c>
      <c r="I92" s="176">
        <f>H92*$I$11</f>
        <v>0.56049000000000004</v>
      </c>
      <c r="J92" s="176">
        <f>H92+I92</f>
        <v>3.2294900000000006</v>
      </c>
      <c r="L92" s="158"/>
      <c r="M92" s="158"/>
      <c r="N92" s="212" t="e">
        <f>#REF!</f>
        <v>#REF!</v>
      </c>
    </row>
    <row r="93" spans="2:17" s="1" customFormat="1" ht="14.25" x14ac:dyDescent="0.2">
      <c r="B93" s="171" t="s">
        <v>209</v>
      </c>
      <c r="C93" s="195">
        <v>88264</v>
      </c>
      <c r="D93" s="172" t="s">
        <v>93</v>
      </c>
      <c r="E93" s="173" t="s">
        <v>66</v>
      </c>
      <c r="F93" s="173">
        <v>0.1</v>
      </c>
      <c r="G93" s="176">
        <v>31.99</v>
      </c>
      <c r="H93" s="176">
        <f>F93*G93</f>
        <v>3.1989999999999998</v>
      </c>
      <c r="I93" s="176">
        <f>H93*$I$11</f>
        <v>0.67178999999999989</v>
      </c>
      <c r="J93" s="176">
        <f>H93+I93</f>
        <v>3.8707899999999995</v>
      </c>
      <c r="L93" s="158"/>
      <c r="M93" s="158"/>
      <c r="N93" s="176">
        <v>45.51</v>
      </c>
    </row>
    <row r="94" spans="2:17" s="1" customFormat="1" ht="15" x14ac:dyDescent="0.2">
      <c r="B94" s="196"/>
      <c r="C94" s="197"/>
      <c r="D94" s="198" t="s">
        <v>9</v>
      </c>
      <c r="E94" s="199"/>
      <c r="F94" s="200"/>
      <c r="G94" s="215"/>
      <c r="H94" s="216">
        <f>SUM(H90:H93)</f>
        <v>621.154</v>
      </c>
      <c r="I94" s="216">
        <f>SUM(I90:I93)</f>
        <v>130.44233999999997</v>
      </c>
      <c r="J94" s="216">
        <f>SUM(J90:J93)</f>
        <v>751.59634000000005</v>
      </c>
      <c r="L94" s="158"/>
      <c r="M94" s="158"/>
      <c r="N94" s="215"/>
      <c r="Q94" s="213"/>
    </row>
    <row r="95" spans="2:17" s="1" customFormat="1" ht="15" x14ac:dyDescent="0.2">
      <c r="B95" s="217">
        <v>14</v>
      </c>
      <c r="C95" s="204"/>
      <c r="D95" s="205" t="s">
        <v>198</v>
      </c>
      <c r="E95" s="206"/>
      <c r="F95" s="207"/>
      <c r="G95" s="208"/>
      <c r="H95" s="208"/>
      <c r="I95" s="208"/>
      <c r="J95" s="209"/>
      <c r="L95" s="158"/>
      <c r="M95" s="158"/>
      <c r="N95" s="208"/>
      <c r="Q95" s="213"/>
    </row>
    <row r="96" spans="2:17" s="1" customFormat="1" ht="30.75" customHeight="1" x14ac:dyDescent="0.2">
      <c r="B96" s="222" t="s">
        <v>210</v>
      </c>
      <c r="C96" s="235" t="s">
        <v>214</v>
      </c>
      <c r="D96" s="236" t="s">
        <v>215</v>
      </c>
      <c r="E96" s="237" t="s">
        <v>61</v>
      </c>
      <c r="F96" s="238">
        <v>1</v>
      </c>
      <c r="G96" s="243">
        <v>7605.68</v>
      </c>
      <c r="H96" s="240">
        <f>F96*G96</f>
        <v>7605.68</v>
      </c>
      <c r="I96" s="240">
        <f t="shared" ref="I96" si="20">H96*$I$11</f>
        <v>1597.1928</v>
      </c>
      <c r="J96" s="240">
        <f t="shared" ref="J96" si="21">H96+I96</f>
        <v>9202.872800000001</v>
      </c>
      <c r="L96" s="158"/>
      <c r="M96" s="158"/>
      <c r="N96" s="241" t="e">
        <f>#REF!</f>
        <v>#REF!</v>
      </c>
      <c r="Q96" s="213"/>
    </row>
    <row r="97" spans="2:17" s="1" customFormat="1" ht="14.25" x14ac:dyDescent="0.2">
      <c r="B97" s="171" t="s">
        <v>211</v>
      </c>
      <c r="C97" s="195">
        <v>88316</v>
      </c>
      <c r="D97" s="172" t="s">
        <v>110</v>
      </c>
      <c r="E97" s="173" t="s">
        <v>66</v>
      </c>
      <c r="F97" s="179">
        <v>0.3</v>
      </c>
      <c r="G97" s="176">
        <v>24.83</v>
      </c>
      <c r="H97" s="176">
        <f>F97*G97</f>
        <v>7.448999999999999</v>
      </c>
      <c r="I97" s="176">
        <f>H97*$I$11</f>
        <v>1.5642899999999997</v>
      </c>
      <c r="J97" s="176">
        <f>H97+I97</f>
        <v>9.0132899999999978</v>
      </c>
      <c r="L97" s="158"/>
      <c r="M97" s="158"/>
      <c r="N97" s="176"/>
    </row>
    <row r="98" spans="2:17" s="1" customFormat="1" ht="16.5" customHeight="1" x14ac:dyDescent="0.2">
      <c r="B98" s="171" t="s">
        <v>212</v>
      </c>
      <c r="C98" s="195">
        <v>88264</v>
      </c>
      <c r="D98" s="172" t="s">
        <v>93</v>
      </c>
      <c r="E98" s="173" t="s">
        <v>66</v>
      </c>
      <c r="F98" s="173">
        <v>0.3</v>
      </c>
      <c r="G98" s="175">
        <v>31.99</v>
      </c>
      <c r="H98" s="176">
        <f>F98*G98</f>
        <v>9.5969999999999995</v>
      </c>
      <c r="I98" s="176">
        <f>H98*$I$11</f>
        <v>2.0153699999999999</v>
      </c>
      <c r="J98" s="176">
        <f>H98+I98</f>
        <v>11.612369999999999</v>
      </c>
      <c r="L98" s="158"/>
      <c r="M98" s="158"/>
      <c r="N98" s="212" t="e">
        <f>#REF!</f>
        <v>#REF!</v>
      </c>
    </row>
    <row r="99" spans="2:17" s="1" customFormat="1" ht="42.75" x14ac:dyDescent="0.2">
      <c r="B99" s="171" t="s">
        <v>213</v>
      </c>
      <c r="C99" s="195">
        <v>5928</v>
      </c>
      <c r="D99" s="259" t="s">
        <v>98</v>
      </c>
      <c r="E99" s="173" t="s">
        <v>60</v>
      </c>
      <c r="F99" s="173">
        <v>0.3</v>
      </c>
      <c r="G99" s="176">
        <v>294.05</v>
      </c>
      <c r="H99" s="176">
        <f>F99*G99</f>
        <v>88.215000000000003</v>
      </c>
      <c r="I99" s="176">
        <f>H99*$I$11</f>
        <v>18.52515</v>
      </c>
      <c r="J99" s="176">
        <f>H99+I99</f>
        <v>106.74015</v>
      </c>
      <c r="L99" s="158"/>
      <c r="M99" s="158"/>
      <c r="N99" s="176">
        <v>45.51</v>
      </c>
    </row>
    <row r="100" spans="2:17" s="1" customFormat="1" ht="15" x14ac:dyDescent="0.2">
      <c r="B100" s="196"/>
      <c r="C100" s="197"/>
      <c r="D100" s="198" t="s">
        <v>9</v>
      </c>
      <c r="E100" s="199"/>
      <c r="F100" s="200"/>
      <c r="G100" s="215"/>
      <c r="H100" s="216">
        <f>SUM(H96:H99)</f>
        <v>7710.9409999999998</v>
      </c>
      <c r="I100" s="216">
        <f>SUM(I96:I99)</f>
        <v>1619.2976100000001</v>
      </c>
      <c r="J100" s="216">
        <f>SUM(J96:J99)</f>
        <v>9330.2386100000022</v>
      </c>
      <c r="L100" s="158"/>
      <c r="M100" s="158"/>
      <c r="N100" s="215"/>
      <c r="Q100" s="213"/>
    </row>
    <row r="101" spans="2:17" s="1" customFormat="1" ht="15" x14ac:dyDescent="0.2">
      <c r="B101" s="217">
        <v>15</v>
      </c>
      <c r="C101" s="204"/>
      <c r="D101" s="205" t="s">
        <v>200</v>
      </c>
      <c r="E101" s="206"/>
      <c r="F101" s="207"/>
      <c r="G101" s="208"/>
      <c r="H101" s="208"/>
      <c r="I101" s="208"/>
      <c r="J101" s="209"/>
      <c r="L101" s="158"/>
      <c r="M101" s="158"/>
      <c r="N101" s="208"/>
      <c r="Q101" s="213"/>
    </row>
    <row r="102" spans="2:17" s="1" customFormat="1" ht="30.75" customHeight="1" x14ac:dyDescent="0.2">
      <c r="B102" s="222" t="s">
        <v>216</v>
      </c>
      <c r="C102" s="235" t="s">
        <v>220</v>
      </c>
      <c r="D102" s="236" t="s">
        <v>200</v>
      </c>
      <c r="E102" s="237" t="s">
        <v>61</v>
      </c>
      <c r="F102" s="238">
        <v>1</v>
      </c>
      <c r="G102" s="243">
        <v>822.57</v>
      </c>
      <c r="H102" s="240">
        <f>F102*G102</f>
        <v>822.57</v>
      </c>
      <c r="I102" s="240">
        <f t="shared" ref="I102:I105" si="22">H102*$I$11</f>
        <v>172.7397</v>
      </c>
      <c r="J102" s="240">
        <f t="shared" ref="J102:J105" si="23">H102+I102</f>
        <v>995.30970000000002</v>
      </c>
      <c r="L102" s="158"/>
      <c r="M102" s="158"/>
      <c r="N102" s="241" t="e">
        <f>#REF!</f>
        <v>#REF!</v>
      </c>
      <c r="Q102" s="213"/>
    </row>
    <row r="103" spans="2:17" s="1" customFormat="1" ht="18" customHeight="1" x14ac:dyDescent="0.2">
      <c r="B103" s="260" t="s">
        <v>217</v>
      </c>
      <c r="C103" s="261" t="s">
        <v>222</v>
      </c>
      <c r="D103" s="236" t="s">
        <v>221</v>
      </c>
      <c r="E103" s="237" t="s">
        <v>226</v>
      </c>
      <c r="F103" s="262">
        <v>0.25</v>
      </c>
      <c r="G103" s="263">
        <v>548.79999999999995</v>
      </c>
      <c r="H103" s="240">
        <f t="shared" ref="H103:H105" si="24">F103*G103</f>
        <v>137.19999999999999</v>
      </c>
      <c r="I103" s="240">
        <f t="shared" si="22"/>
        <v>28.811999999999998</v>
      </c>
      <c r="J103" s="240">
        <f t="shared" si="23"/>
        <v>166.012</v>
      </c>
      <c r="L103" s="158"/>
      <c r="M103" s="158"/>
      <c r="N103" s="264"/>
      <c r="Q103" s="213"/>
    </row>
    <row r="104" spans="2:17" s="1" customFormat="1" ht="18" customHeight="1" x14ac:dyDescent="0.2">
      <c r="B104" s="260" t="s">
        <v>218</v>
      </c>
      <c r="C104" s="261" t="s">
        <v>71</v>
      </c>
      <c r="D104" s="236" t="s">
        <v>223</v>
      </c>
      <c r="E104" s="237" t="s">
        <v>66</v>
      </c>
      <c r="F104" s="262">
        <v>2</v>
      </c>
      <c r="G104" s="263">
        <v>29.88</v>
      </c>
      <c r="H104" s="240">
        <f t="shared" si="24"/>
        <v>59.76</v>
      </c>
      <c r="I104" s="240">
        <f t="shared" si="22"/>
        <v>12.5496</v>
      </c>
      <c r="J104" s="240">
        <f t="shared" si="23"/>
        <v>72.309600000000003</v>
      </c>
      <c r="L104" s="158"/>
      <c r="M104" s="158"/>
      <c r="N104" s="264"/>
      <c r="Q104" s="213"/>
    </row>
    <row r="105" spans="2:17" s="1" customFormat="1" ht="14.25" x14ac:dyDescent="0.2">
      <c r="B105" s="171" t="s">
        <v>219</v>
      </c>
      <c r="C105" s="195">
        <v>88316</v>
      </c>
      <c r="D105" s="172" t="s">
        <v>110</v>
      </c>
      <c r="E105" s="173" t="s">
        <v>66</v>
      </c>
      <c r="F105" s="179">
        <v>2</v>
      </c>
      <c r="G105" s="176">
        <v>24.83</v>
      </c>
      <c r="H105" s="240">
        <f t="shared" si="24"/>
        <v>49.66</v>
      </c>
      <c r="I105" s="240">
        <f t="shared" si="22"/>
        <v>10.428599999999999</v>
      </c>
      <c r="J105" s="240">
        <f t="shared" si="23"/>
        <v>60.0886</v>
      </c>
      <c r="L105" s="158"/>
      <c r="M105" s="158"/>
      <c r="N105" s="176"/>
    </row>
    <row r="106" spans="2:17" s="1" customFormat="1" ht="42.75" x14ac:dyDescent="0.2">
      <c r="B106" s="171" t="s">
        <v>225</v>
      </c>
      <c r="C106" s="195">
        <v>5928</v>
      </c>
      <c r="D106" s="259" t="s">
        <v>98</v>
      </c>
      <c r="E106" s="173" t="s">
        <v>60</v>
      </c>
      <c r="F106" s="173">
        <v>1</v>
      </c>
      <c r="G106" s="176">
        <v>294.05</v>
      </c>
      <c r="H106" s="176">
        <f>F106*G106</f>
        <v>294.05</v>
      </c>
      <c r="I106" s="176">
        <f>H106*$I$11</f>
        <v>61.750500000000002</v>
      </c>
      <c r="J106" s="176">
        <f>H106+I106</f>
        <v>355.8005</v>
      </c>
      <c r="L106" s="158"/>
      <c r="M106" s="158"/>
      <c r="N106" s="176">
        <v>45.51</v>
      </c>
    </row>
    <row r="107" spans="2:17" s="1" customFormat="1" ht="15" x14ac:dyDescent="0.2">
      <c r="B107" s="196"/>
      <c r="C107" s="197"/>
      <c r="D107" s="198" t="s">
        <v>9</v>
      </c>
      <c r="E107" s="199"/>
      <c r="F107" s="200"/>
      <c r="G107" s="215"/>
      <c r="H107" s="216">
        <f>SUM(H102:H106)</f>
        <v>1363.24</v>
      </c>
      <c r="I107" s="216">
        <f>SUM(I102:I106)</f>
        <v>286.28039999999999</v>
      </c>
      <c r="J107" s="216">
        <f>SUM(J102:J106)</f>
        <v>1649.5204000000001</v>
      </c>
      <c r="L107" s="158"/>
      <c r="M107" s="158"/>
      <c r="N107" s="215"/>
      <c r="Q107" s="213"/>
    </row>
    <row r="108" spans="2:17" s="1" customFormat="1" ht="15" x14ac:dyDescent="0.2">
      <c r="B108" s="217">
        <v>16</v>
      </c>
      <c r="C108" s="204"/>
      <c r="D108" s="205" t="s">
        <v>202</v>
      </c>
      <c r="E108" s="206"/>
      <c r="F108" s="207"/>
      <c r="G108" s="208"/>
      <c r="H108" s="208"/>
      <c r="I108" s="208"/>
      <c r="J108" s="209"/>
      <c r="L108" s="158"/>
      <c r="M108" s="158"/>
      <c r="N108" s="208"/>
      <c r="Q108" s="213"/>
    </row>
    <row r="109" spans="2:17" s="1" customFormat="1" ht="30.75" customHeight="1" x14ac:dyDescent="0.2">
      <c r="B109" s="222" t="s">
        <v>227</v>
      </c>
      <c r="C109" s="235" t="s">
        <v>232</v>
      </c>
      <c r="D109" s="236" t="s">
        <v>202</v>
      </c>
      <c r="E109" s="237" t="s">
        <v>61</v>
      </c>
      <c r="F109" s="238">
        <v>1</v>
      </c>
      <c r="G109" s="243">
        <v>7605.68</v>
      </c>
      <c r="H109" s="240">
        <f>F109*G109</f>
        <v>7605.68</v>
      </c>
      <c r="I109" s="240">
        <f t="shared" ref="I109:I112" si="25">H109*$I$11</f>
        <v>1597.1928</v>
      </c>
      <c r="J109" s="240">
        <f t="shared" ref="J109:J112" si="26">H109+I109</f>
        <v>9202.872800000001</v>
      </c>
      <c r="L109" s="158"/>
      <c r="M109" s="158"/>
      <c r="N109" s="241" t="e">
        <f>#REF!</f>
        <v>#REF!</v>
      </c>
      <c r="Q109" s="213"/>
    </row>
    <row r="110" spans="2:17" s="1" customFormat="1" ht="30.75" customHeight="1" x14ac:dyDescent="0.2">
      <c r="B110" s="260" t="s">
        <v>228</v>
      </c>
      <c r="C110" s="235" t="s">
        <v>233</v>
      </c>
      <c r="D110" s="236" t="s">
        <v>231</v>
      </c>
      <c r="E110" s="237" t="s">
        <v>61</v>
      </c>
      <c r="F110" s="262">
        <v>2</v>
      </c>
      <c r="G110" s="263">
        <v>16.489999999999998</v>
      </c>
      <c r="H110" s="240">
        <f t="shared" ref="H110:H111" si="27">F110*G110</f>
        <v>32.979999999999997</v>
      </c>
      <c r="I110" s="240">
        <f t="shared" si="25"/>
        <v>6.9257999999999988</v>
      </c>
      <c r="J110" s="240">
        <f t="shared" si="26"/>
        <v>39.905799999999999</v>
      </c>
      <c r="L110" s="158"/>
      <c r="M110" s="158"/>
      <c r="N110" s="264"/>
      <c r="Q110" s="213"/>
    </row>
    <row r="111" spans="2:17" s="1" customFormat="1" ht="14.25" x14ac:dyDescent="0.2">
      <c r="B111" s="171" t="s">
        <v>229</v>
      </c>
      <c r="C111" s="195">
        <v>88247</v>
      </c>
      <c r="D111" s="172" t="s">
        <v>65</v>
      </c>
      <c r="E111" s="173" t="s">
        <v>66</v>
      </c>
      <c r="F111" s="179">
        <v>1.0487</v>
      </c>
      <c r="G111" s="176">
        <v>24.83</v>
      </c>
      <c r="H111" s="240">
        <f t="shared" si="27"/>
        <v>26.039220999999998</v>
      </c>
      <c r="I111" s="240">
        <f t="shared" si="25"/>
        <v>5.4682364099999994</v>
      </c>
      <c r="J111" s="240">
        <f t="shared" si="26"/>
        <v>31.507457409999997</v>
      </c>
      <c r="L111" s="158"/>
      <c r="M111" s="158"/>
      <c r="N111" s="176"/>
    </row>
    <row r="112" spans="2:17" s="1" customFormat="1" ht="16.5" customHeight="1" x14ac:dyDescent="0.2">
      <c r="B112" s="171" t="s">
        <v>230</v>
      </c>
      <c r="C112" s="195">
        <v>88264</v>
      </c>
      <c r="D112" s="172" t="s">
        <v>93</v>
      </c>
      <c r="E112" s="173" t="s">
        <v>66</v>
      </c>
      <c r="F112" s="173">
        <v>1.0487</v>
      </c>
      <c r="G112" s="175">
        <v>24.35</v>
      </c>
      <c r="H112" s="176">
        <f>F112*G112</f>
        <v>25.535845000000002</v>
      </c>
      <c r="I112" s="240">
        <f t="shared" si="25"/>
        <v>5.36252745</v>
      </c>
      <c r="J112" s="240">
        <f t="shared" si="26"/>
        <v>30.898372450000004</v>
      </c>
      <c r="L112" s="158"/>
      <c r="M112" s="158"/>
      <c r="N112" s="212" t="e">
        <f>#REF!</f>
        <v>#REF!</v>
      </c>
    </row>
    <row r="113" spans="2:17" s="1" customFormat="1" ht="42.75" x14ac:dyDescent="0.2">
      <c r="B113" s="171" t="s">
        <v>234</v>
      </c>
      <c r="C113" s="195">
        <v>5928</v>
      </c>
      <c r="D113" s="259" t="s">
        <v>98</v>
      </c>
      <c r="E113" s="173" t="s">
        <v>60</v>
      </c>
      <c r="F113" s="173">
        <v>0.23880000000000001</v>
      </c>
      <c r="G113" s="176">
        <v>294.05</v>
      </c>
      <c r="H113" s="176">
        <f>F113*G113</f>
        <v>70.21914000000001</v>
      </c>
      <c r="I113" s="176">
        <f>H113*$I$11</f>
        <v>14.746019400000002</v>
      </c>
      <c r="J113" s="176">
        <f>H113+I113</f>
        <v>84.965159400000005</v>
      </c>
      <c r="L113" s="158"/>
      <c r="M113" s="158"/>
      <c r="N113" s="176">
        <v>45.51</v>
      </c>
    </row>
    <row r="114" spans="2:17" s="1" customFormat="1" ht="15" x14ac:dyDescent="0.2">
      <c r="B114" s="196"/>
      <c r="C114" s="197"/>
      <c r="D114" s="198" t="s">
        <v>9</v>
      </c>
      <c r="E114" s="199"/>
      <c r="F114" s="200"/>
      <c r="G114" s="215"/>
      <c r="H114" s="216">
        <f>SUM(H109:H113)</f>
        <v>7760.4542060000003</v>
      </c>
      <c r="I114" s="216">
        <f>SUM(I109:I113)</f>
        <v>1629.69538326</v>
      </c>
      <c r="J114" s="216">
        <f>SUM(J109:J113)</f>
        <v>9390.1495892600014</v>
      </c>
      <c r="L114" s="158"/>
      <c r="M114" s="158"/>
      <c r="N114" s="215"/>
      <c r="Q114" s="213"/>
    </row>
    <row r="115" spans="2:17" s="158" customFormat="1" ht="10.5" customHeight="1" x14ac:dyDescent="0.2">
      <c r="B115" s="246"/>
      <c r="C115" s="247"/>
      <c r="D115" s="248"/>
      <c r="E115" s="249"/>
      <c r="F115" s="250"/>
      <c r="G115" s="251"/>
      <c r="H115" s="252"/>
      <c r="I115" s="252"/>
      <c r="J115" s="252"/>
      <c r="N115" s="251"/>
      <c r="Q115" s="253"/>
    </row>
    <row r="116" spans="2:17" s="1" customFormat="1" ht="14.25" x14ac:dyDescent="0.2">
      <c r="C116" s="254"/>
      <c r="D116" s="255" t="s">
        <v>155</v>
      </c>
      <c r="E116" s="256"/>
      <c r="F116" s="257"/>
      <c r="L116" s="158"/>
      <c r="M116" s="158"/>
    </row>
    <row r="117" spans="2:17" s="1" customFormat="1" ht="14.25" x14ac:dyDescent="0.2">
      <c r="C117" s="9"/>
      <c r="L117" s="158"/>
      <c r="M117" s="158"/>
    </row>
    <row r="118" spans="2:17" s="1" customFormat="1" ht="14.25" x14ac:dyDescent="0.2">
      <c r="C118" s="9"/>
      <c r="L118" s="158"/>
      <c r="M118" s="158"/>
    </row>
    <row r="119" spans="2:17" s="1" customFormat="1" ht="14.25" x14ac:dyDescent="0.2">
      <c r="C119" s="9"/>
      <c r="L119" s="158"/>
      <c r="M119" s="158"/>
    </row>
    <row r="120" spans="2:17" s="1" customFormat="1" ht="15" x14ac:dyDescent="0.25">
      <c r="C120" s="9"/>
      <c r="D120" s="258" t="s">
        <v>156</v>
      </c>
      <c r="E120" s="258" t="s">
        <v>147</v>
      </c>
      <c r="F120" s="258"/>
      <c r="G120" s="258"/>
      <c r="L120" s="158"/>
      <c r="M120" s="158"/>
    </row>
    <row r="121" spans="2:17" s="1" customFormat="1" ht="14.25" x14ac:dyDescent="0.2">
      <c r="C121" s="9"/>
      <c r="D121" s="1" t="s">
        <v>157</v>
      </c>
      <c r="E121" s="1" t="s">
        <v>158</v>
      </c>
      <c r="L121" s="158"/>
      <c r="M121" s="158"/>
    </row>
    <row r="122" spans="2:17" s="1" customFormat="1" ht="14.25" x14ac:dyDescent="0.2">
      <c r="C122" s="9"/>
      <c r="L122" s="158"/>
      <c r="M122" s="158"/>
    </row>
    <row r="123" spans="2:17" s="1" customFormat="1" ht="14.25" x14ac:dyDescent="0.2"/>
    <row r="124" spans="2:17" s="1" customFormat="1" ht="14.25" x14ac:dyDescent="0.2"/>
    <row r="125" spans="2:17" s="1" customFormat="1" ht="14.25" x14ac:dyDescent="0.2"/>
  </sheetData>
  <mergeCells count="6">
    <mergeCell ref="B10:B11"/>
    <mergeCell ref="C10:C11"/>
    <mergeCell ref="D10:D11"/>
    <mergeCell ref="E10:E11"/>
    <mergeCell ref="F10:F11"/>
    <mergeCell ref="D46:J46"/>
  </mergeCells>
  <pageMargins left="0.39370078740157483" right="0.19685039370078741" top="0.98425196850393704" bottom="0.59055118110236227" header="0" footer="0"/>
  <pageSetup paperSize="9" scale="47" firstPageNumber="0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B124"/>
  <sheetViews>
    <sheetView topLeftCell="A98" workbookViewId="0">
      <selection activeCell="D102" sqref="D102"/>
    </sheetView>
  </sheetViews>
  <sheetFormatPr defaultColWidth="8.85546875" defaultRowHeight="12.75" x14ac:dyDescent="0.2"/>
  <cols>
    <col min="1" max="1" width="4.28515625" customWidth="1"/>
    <col min="3" max="3" width="20" customWidth="1"/>
    <col min="4" max="4" width="101" customWidth="1"/>
    <col min="6" max="6" width="10" customWidth="1"/>
    <col min="7" max="7" width="18.28515625" customWidth="1"/>
    <col min="8" max="8" width="17.85546875" customWidth="1"/>
    <col min="9" max="9" width="17.28515625" bestFit="1" customWidth="1"/>
    <col min="10" max="10" width="7" customWidth="1"/>
    <col min="11" max="11" width="14.7109375" customWidth="1"/>
  </cols>
  <sheetData>
    <row r="1" spans="2:54" ht="18" x14ac:dyDescent="0.25">
      <c r="B1" s="3"/>
      <c r="C1" s="5"/>
      <c r="D1" s="4" t="s">
        <v>0</v>
      </c>
      <c r="E1" s="5"/>
      <c r="F1" s="6"/>
      <c r="G1" s="6"/>
      <c r="H1" s="6"/>
      <c r="J1" s="117"/>
    </row>
    <row r="2" spans="2:54" ht="18" x14ac:dyDescent="0.25">
      <c r="B2" s="8"/>
      <c r="C2" s="114"/>
      <c r="D2" s="102" t="s">
        <v>236</v>
      </c>
      <c r="E2" s="9"/>
      <c r="F2" s="2"/>
      <c r="G2" s="2"/>
      <c r="H2" s="2"/>
      <c r="I2" s="11"/>
      <c r="J2" s="117"/>
    </row>
    <row r="3" spans="2:54" ht="18" x14ac:dyDescent="0.25">
      <c r="B3" s="8"/>
      <c r="C3" s="114"/>
      <c r="D3" s="102" t="s">
        <v>237</v>
      </c>
      <c r="E3" s="9"/>
      <c r="F3" s="2"/>
      <c r="G3" s="2"/>
      <c r="H3" s="2"/>
      <c r="I3" s="11"/>
      <c r="J3" s="117"/>
    </row>
    <row r="4" spans="2:54" ht="15.75" x14ac:dyDescent="0.25">
      <c r="B4" s="8"/>
      <c r="C4" s="137"/>
      <c r="D4" s="120" t="s">
        <v>148</v>
      </c>
      <c r="E4" s="138"/>
      <c r="F4" s="2"/>
      <c r="G4" s="2"/>
      <c r="H4" s="2"/>
      <c r="I4" s="11"/>
      <c r="J4" s="117"/>
    </row>
    <row r="5" spans="2:54" ht="16.5" x14ac:dyDescent="0.25">
      <c r="B5" s="139"/>
      <c r="C5" s="119"/>
      <c r="D5" s="120" t="s">
        <v>84</v>
      </c>
      <c r="E5" s="121"/>
      <c r="F5" s="40"/>
      <c r="G5" s="42"/>
      <c r="H5" s="41"/>
      <c r="J5" s="117"/>
    </row>
    <row r="6" spans="2:54" ht="17.25" thickBot="1" x14ac:dyDescent="0.3">
      <c r="B6" s="118"/>
      <c r="C6" s="119"/>
      <c r="D6" s="120"/>
      <c r="E6" s="121"/>
      <c r="F6" s="40"/>
      <c r="G6" s="42"/>
      <c r="H6" s="41"/>
      <c r="J6" s="117"/>
    </row>
    <row r="7" spans="2:54" ht="17.25" thickBot="1" x14ac:dyDescent="0.3">
      <c r="B7" s="130" t="s">
        <v>150</v>
      </c>
      <c r="C7" s="131"/>
      <c r="D7" s="132"/>
      <c r="E7" s="133"/>
      <c r="F7" s="134"/>
      <c r="G7" s="135"/>
      <c r="H7" s="135"/>
      <c r="J7" s="117"/>
    </row>
    <row r="8" spans="2:54" ht="16.5" x14ac:dyDescent="0.25">
      <c r="B8" s="118"/>
      <c r="C8" s="119"/>
      <c r="D8" s="120"/>
      <c r="E8" s="121"/>
      <c r="F8" s="40"/>
      <c r="G8" s="12"/>
      <c r="H8" s="41"/>
      <c r="J8" s="117"/>
    </row>
    <row r="9" spans="2:54" s="1" customFormat="1" ht="15" x14ac:dyDescent="0.2">
      <c r="B9" s="180" t="s">
        <v>1</v>
      </c>
      <c r="C9" s="180" t="s">
        <v>2</v>
      </c>
      <c r="D9" s="180" t="s">
        <v>3</v>
      </c>
      <c r="E9" s="180" t="s">
        <v>4</v>
      </c>
      <c r="F9" s="181" t="s">
        <v>5</v>
      </c>
      <c r="G9" s="182"/>
      <c r="H9" s="183" t="s">
        <v>6</v>
      </c>
      <c r="I9" s="39"/>
      <c r="J9" s="158"/>
    </row>
    <row r="10" spans="2:54" s="1" customFormat="1" ht="16.149999999999999" customHeight="1" x14ac:dyDescent="0.2">
      <c r="B10" s="184"/>
      <c r="C10" s="184"/>
      <c r="D10" s="184"/>
      <c r="E10" s="184"/>
      <c r="F10" s="185"/>
      <c r="G10" s="186" t="s">
        <v>9</v>
      </c>
      <c r="H10" s="187" t="s">
        <v>9</v>
      </c>
      <c r="I10" s="39"/>
      <c r="J10" s="170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</row>
    <row r="11" spans="2:54" s="1" customFormat="1" ht="15" x14ac:dyDescent="0.2">
      <c r="B11" s="189">
        <v>1</v>
      </c>
      <c r="C11" s="190"/>
      <c r="D11" s="191" t="s">
        <v>91</v>
      </c>
      <c r="E11" s="192"/>
      <c r="F11" s="193"/>
      <c r="G11" s="193"/>
      <c r="H11" s="193"/>
      <c r="J11" s="158"/>
    </row>
    <row r="12" spans="2:54" s="1" customFormat="1" ht="28.5" x14ac:dyDescent="0.2">
      <c r="B12" s="171" t="s">
        <v>10</v>
      </c>
      <c r="C12" s="195">
        <v>1091</v>
      </c>
      <c r="D12" s="172" t="s">
        <v>89</v>
      </c>
      <c r="E12" s="173" t="s">
        <v>61</v>
      </c>
      <c r="F12" s="174">
        <v>1</v>
      </c>
      <c r="G12" s="175">
        <v>26.08</v>
      </c>
      <c r="H12" s="176">
        <f t="shared" ref="H12:H18" si="0">F12*G12</f>
        <v>26.08</v>
      </c>
      <c r="J12" s="158"/>
      <c r="K12" s="175">
        <v>52.96</v>
      </c>
    </row>
    <row r="13" spans="2:54" s="1" customFormat="1" ht="28.5" x14ac:dyDescent="0.2">
      <c r="B13" s="171" t="s">
        <v>12</v>
      </c>
      <c r="C13" s="195">
        <v>11267</v>
      </c>
      <c r="D13" s="177" t="s">
        <v>88</v>
      </c>
      <c r="E13" s="173" t="s">
        <v>61</v>
      </c>
      <c r="F13" s="174">
        <v>2</v>
      </c>
      <c r="G13" s="175">
        <v>1.43</v>
      </c>
      <c r="H13" s="176">
        <f t="shared" si="0"/>
        <v>2.86</v>
      </c>
      <c r="J13" s="158"/>
      <c r="K13" s="175">
        <v>455.47</v>
      </c>
    </row>
    <row r="14" spans="2:54" s="1" customFormat="1" ht="14.25" x14ac:dyDescent="0.2">
      <c r="B14" s="171" t="s">
        <v>82</v>
      </c>
      <c r="C14" s="195">
        <v>39996</v>
      </c>
      <c r="D14" s="172" t="s">
        <v>90</v>
      </c>
      <c r="E14" s="173" t="s">
        <v>61</v>
      </c>
      <c r="F14" s="174">
        <v>0.17</v>
      </c>
      <c r="G14" s="175">
        <v>3.85</v>
      </c>
      <c r="H14" s="176">
        <f t="shared" si="0"/>
        <v>0.65450000000000008</v>
      </c>
      <c r="J14" s="158"/>
      <c r="K14" s="175"/>
    </row>
    <row r="15" spans="2:54" s="1" customFormat="1" ht="14.25" x14ac:dyDescent="0.2">
      <c r="B15" s="171" t="s">
        <v>83</v>
      </c>
      <c r="C15" s="195">
        <v>39997</v>
      </c>
      <c r="D15" s="172" t="s">
        <v>92</v>
      </c>
      <c r="E15" s="173" t="s">
        <v>61</v>
      </c>
      <c r="F15" s="174">
        <v>2</v>
      </c>
      <c r="G15" s="175">
        <v>0.33</v>
      </c>
      <c r="H15" s="176">
        <f t="shared" si="0"/>
        <v>0.66</v>
      </c>
      <c r="J15" s="158"/>
      <c r="K15" s="175"/>
    </row>
    <row r="16" spans="2:54" s="1" customFormat="1" ht="42.75" x14ac:dyDescent="0.2">
      <c r="B16" s="171" t="s">
        <v>94</v>
      </c>
      <c r="C16" s="195">
        <v>5928</v>
      </c>
      <c r="D16" s="178" t="s">
        <v>235</v>
      </c>
      <c r="E16" s="173" t="s">
        <v>60</v>
      </c>
      <c r="F16" s="179">
        <v>0.02</v>
      </c>
      <c r="G16" s="176">
        <v>294.05</v>
      </c>
      <c r="H16" s="176">
        <f t="shared" si="0"/>
        <v>5.8810000000000002</v>
      </c>
      <c r="J16" s="158"/>
      <c r="K16" s="175"/>
    </row>
    <row r="17" spans="2:14" s="1" customFormat="1" ht="14.25" x14ac:dyDescent="0.2">
      <c r="B17" s="171" t="s">
        <v>95</v>
      </c>
      <c r="C17" s="195">
        <v>88247</v>
      </c>
      <c r="D17" s="172" t="s">
        <v>65</v>
      </c>
      <c r="E17" s="173" t="s">
        <v>66</v>
      </c>
      <c r="F17" s="173">
        <v>0.04</v>
      </c>
      <c r="G17" s="175">
        <v>26.69</v>
      </c>
      <c r="H17" s="176">
        <f t="shared" si="0"/>
        <v>1.0676000000000001</v>
      </c>
      <c r="J17" s="158"/>
      <c r="K17" s="175">
        <v>25</v>
      </c>
    </row>
    <row r="18" spans="2:14" s="1" customFormat="1" ht="14.25" x14ac:dyDescent="0.2">
      <c r="B18" s="171" t="s">
        <v>100</v>
      </c>
      <c r="C18" s="195">
        <v>88264</v>
      </c>
      <c r="D18" s="172" t="s">
        <v>93</v>
      </c>
      <c r="E18" s="173" t="s">
        <v>66</v>
      </c>
      <c r="F18" s="173">
        <v>0.37</v>
      </c>
      <c r="G18" s="175">
        <v>31.99</v>
      </c>
      <c r="H18" s="176">
        <f t="shared" si="0"/>
        <v>11.8363</v>
      </c>
      <c r="J18" s="158"/>
      <c r="K18" s="175">
        <v>27.51</v>
      </c>
    </row>
    <row r="19" spans="2:14" s="1" customFormat="1" ht="15" x14ac:dyDescent="0.2">
      <c r="B19" s="196"/>
      <c r="C19" s="197"/>
      <c r="D19" s="198" t="s">
        <v>9</v>
      </c>
      <c r="E19" s="199"/>
      <c r="F19" s="200"/>
      <c r="G19" s="201"/>
      <c r="H19" s="202">
        <f t="shared" ref="H19" si="1">SUM(H12:H18)</f>
        <v>49.039399999999993</v>
      </c>
      <c r="J19" s="158"/>
      <c r="K19" s="201"/>
    </row>
    <row r="20" spans="2:14" s="1" customFormat="1" ht="15" x14ac:dyDescent="0.2">
      <c r="B20" s="203">
        <v>2</v>
      </c>
      <c r="C20" s="204"/>
      <c r="D20" s="205" t="s">
        <v>99</v>
      </c>
      <c r="E20" s="206"/>
      <c r="F20" s="207"/>
      <c r="G20" s="208"/>
      <c r="H20" s="208"/>
      <c r="J20" s="210"/>
      <c r="K20" s="208"/>
    </row>
    <row r="21" spans="2:14" s="1" customFormat="1" ht="28.5" x14ac:dyDescent="0.2">
      <c r="B21" s="171" t="s">
        <v>14</v>
      </c>
      <c r="C21" s="171">
        <v>3378</v>
      </c>
      <c r="D21" s="178" t="s">
        <v>96</v>
      </c>
      <c r="E21" s="173" t="s">
        <v>61</v>
      </c>
      <c r="F21" s="179">
        <v>1</v>
      </c>
      <c r="G21" s="176">
        <v>136.47999999999999</v>
      </c>
      <c r="H21" s="176">
        <f>F21*G21</f>
        <v>136.47999999999999</v>
      </c>
      <c r="J21" s="158"/>
      <c r="K21" s="176" t="e">
        <f>#REF!</f>
        <v>#REF!</v>
      </c>
    </row>
    <row r="22" spans="2:14" s="1" customFormat="1" ht="28.5" x14ac:dyDescent="0.2">
      <c r="B22" s="171" t="s">
        <v>15</v>
      </c>
      <c r="C22" s="211">
        <v>426</v>
      </c>
      <c r="D22" s="178" t="s">
        <v>97</v>
      </c>
      <c r="E22" s="173" t="s">
        <v>61</v>
      </c>
      <c r="F22" s="179">
        <v>1</v>
      </c>
      <c r="G22" s="176">
        <v>48.19</v>
      </c>
      <c r="H22" s="176">
        <f>F22*G22</f>
        <v>48.19</v>
      </c>
      <c r="J22" s="158"/>
      <c r="K22" s="176" t="e">
        <f>#REF!</f>
        <v>#REF!</v>
      </c>
    </row>
    <row r="23" spans="2:14" s="1" customFormat="1" ht="42.75" x14ac:dyDescent="0.2">
      <c r="B23" s="171" t="s">
        <v>16</v>
      </c>
      <c r="C23" s="211">
        <v>5928</v>
      </c>
      <c r="D23" s="178" t="s">
        <v>235</v>
      </c>
      <c r="E23" s="173" t="s">
        <v>60</v>
      </c>
      <c r="F23" s="179">
        <v>0.08</v>
      </c>
      <c r="G23" s="176">
        <v>294.05</v>
      </c>
      <c r="H23" s="176">
        <f>F23*G23</f>
        <v>23.524000000000001</v>
      </c>
      <c r="J23" s="158"/>
      <c r="K23" s="176"/>
    </row>
    <row r="24" spans="2:14" s="1" customFormat="1" ht="16.5" customHeight="1" x14ac:dyDescent="0.2">
      <c r="B24" s="171" t="s">
        <v>73</v>
      </c>
      <c r="C24" s="195">
        <v>88247</v>
      </c>
      <c r="D24" s="172" t="s">
        <v>65</v>
      </c>
      <c r="E24" s="173" t="s">
        <v>66</v>
      </c>
      <c r="F24" s="173">
        <v>0.4</v>
      </c>
      <c r="G24" s="175">
        <v>26.69</v>
      </c>
      <c r="H24" s="176">
        <f>F24*G24</f>
        <v>10.676000000000002</v>
      </c>
      <c r="J24" s="158"/>
      <c r="K24" s="212" t="e">
        <f>#REF!</f>
        <v>#REF!</v>
      </c>
    </row>
    <row r="25" spans="2:14" s="1" customFormat="1" ht="14.25" x14ac:dyDescent="0.2">
      <c r="B25" s="171" t="s">
        <v>74</v>
      </c>
      <c r="C25" s="195">
        <v>88264</v>
      </c>
      <c r="D25" s="172" t="s">
        <v>93</v>
      </c>
      <c r="E25" s="173" t="s">
        <v>66</v>
      </c>
      <c r="F25" s="173">
        <v>0.4</v>
      </c>
      <c r="G25" s="176">
        <v>31.99</v>
      </c>
      <c r="H25" s="176">
        <f>F25*G25</f>
        <v>12.795999999999999</v>
      </c>
      <c r="J25" s="158"/>
      <c r="K25" s="176">
        <v>45.51</v>
      </c>
    </row>
    <row r="26" spans="2:14" s="1" customFormat="1" ht="15" x14ac:dyDescent="0.2">
      <c r="B26" s="196"/>
      <c r="C26" s="197"/>
      <c r="D26" s="198" t="s">
        <v>9</v>
      </c>
      <c r="E26" s="199"/>
      <c r="F26" s="200"/>
      <c r="G26" s="201"/>
      <c r="H26" s="202">
        <f>SUM(H21:H25)</f>
        <v>231.666</v>
      </c>
      <c r="J26" s="158"/>
      <c r="K26" s="201"/>
      <c r="N26" s="213"/>
    </row>
    <row r="27" spans="2:14" s="1" customFormat="1" ht="15" x14ac:dyDescent="0.2">
      <c r="B27" s="203">
        <v>3</v>
      </c>
      <c r="C27" s="204"/>
      <c r="D27" s="205" t="s">
        <v>101</v>
      </c>
      <c r="E27" s="206"/>
      <c r="F27" s="207"/>
      <c r="G27" s="208"/>
      <c r="H27" s="208"/>
      <c r="J27" s="158"/>
      <c r="K27" s="208"/>
      <c r="N27" s="213"/>
    </row>
    <row r="28" spans="2:14" s="1" customFormat="1" ht="14.25" x14ac:dyDescent="0.2">
      <c r="B28" s="171" t="s">
        <v>18</v>
      </c>
      <c r="C28" s="171">
        <v>857</v>
      </c>
      <c r="D28" s="178" t="s">
        <v>101</v>
      </c>
      <c r="E28" s="173" t="s">
        <v>59</v>
      </c>
      <c r="F28" s="179">
        <v>1</v>
      </c>
      <c r="G28" s="176">
        <v>17.54</v>
      </c>
      <c r="H28" s="176">
        <f>F28*G28</f>
        <v>17.54</v>
      </c>
      <c r="J28" s="158"/>
      <c r="K28" s="176">
        <v>12.47</v>
      </c>
      <c r="N28" s="213"/>
    </row>
    <row r="29" spans="2:14" s="1" customFormat="1" ht="42.75" x14ac:dyDescent="0.2">
      <c r="B29" s="171" t="s">
        <v>19</v>
      </c>
      <c r="C29" s="211">
        <v>5928</v>
      </c>
      <c r="D29" s="178" t="s">
        <v>235</v>
      </c>
      <c r="E29" s="173" t="s">
        <v>60</v>
      </c>
      <c r="F29" s="179">
        <v>0.01</v>
      </c>
      <c r="G29" s="176">
        <v>294.05</v>
      </c>
      <c r="H29" s="176">
        <f>F29*G29</f>
        <v>2.9405000000000001</v>
      </c>
      <c r="J29" s="158"/>
      <c r="K29" s="176">
        <v>22.21</v>
      </c>
      <c r="N29" s="213"/>
    </row>
    <row r="30" spans="2:14" s="1" customFormat="1" ht="25.9" customHeight="1" x14ac:dyDescent="0.2">
      <c r="B30" s="171" t="s">
        <v>20</v>
      </c>
      <c r="C30" s="195">
        <v>88247</v>
      </c>
      <c r="D30" s="172" t="s">
        <v>65</v>
      </c>
      <c r="E30" s="173" t="s">
        <v>66</v>
      </c>
      <c r="F30" s="173">
        <v>0.2</v>
      </c>
      <c r="G30" s="175">
        <v>26.69</v>
      </c>
      <c r="H30" s="176">
        <f>F30*G30</f>
        <v>5.338000000000001</v>
      </c>
      <c r="J30" s="158"/>
      <c r="K30" s="176">
        <v>26.49</v>
      </c>
      <c r="N30" s="213"/>
    </row>
    <row r="31" spans="2:14" s="1" customFormat="1" ht="14.25" x14ac:dyDescent="0.2">
      <c r="B31" s="171" t="s">
        <v>21</v>
      </c>
      <c r="C31" s="195">
        <v>88264</v>
      </c>
      <c r="D31" s="172" t="s">
        <v>93</v>
      </c>
      <c r="E31" s="173" t="s">
        <v>66</v>
      </c>
      <c r="F31" s="173">
        <v>0.2</v>
      </c>
      <c r="G31" s="176">
        <v>31.99</v>
      </c>
      <c r="H31" s="176">
        <f>F31*G31</f>
        <v>6.3979999999999997</v>
      </c>
      <c r="J31" s="158"/>
      <c r="K31" s="176">
        <v>163.35</v>
      </c>
      <c r="N31" s="213"/>
    </row>
    <row r="32" spans="2:14" s="1" customFormat="1" ht="15" x14ac:dyDescent="0.2">
      <c r="B32" s="196"/>
      <c r="C32" s="197"/>
      <c r="D32" s="198" t="s">
        <v>9</v>
      </c>
      <c r="E32" s="199"/>
      <c r="F32" s="214"/>
      <c r="G32" s="215"/>
      <c r="H32" s="216">
        <f>SUM(H28:H31)</f>
        <v>32.216499999999996</v>
      </c>
      <c r="J32" s="158"/>
      <c r="K32" s="215"/>
      <c r="N32" s="213"/>
    </row>
    <row r="33" spans="2:14" s="1" customFormat="1" ht="15" x14ac:dyDescent="0.2">
      <c r="B33" s="217">
        <v>4</v>
      </c>
      <c r="C33" s="204"/>
      <c r="D33" s="205" t="s">
        <v>103</v>
      </c>
      <c r="E33" s="206"/>
      <c r="F33" s="207"/>
      <c r="G33" s="208"/>
      <c r="H33" s="208"/>
      <c r="J33" s="158"/>
      <c r="K33" s="208"/>
      <c r="N33" s="213"/>
    </row>
    <row r="34" spans="2:14" s="1" customFormat="1" ht="27" customHeight="1" x14ac:dyDescent="0.2">
      <c r="B34" s="171" t="s">
        <v>22</v>
      </c>
      <c r="C34" s="171">
        <v>12327</v>
      </c>
      <c r="D34" s="172" t="s">
        <v>102</v>
      </c>
      <c r="E34" s="218" t="s">
        <v>11</v>
      </c>
      <c r="F34" s="179">
        <v>1</v>
      </c>
      <c r="G34" s="219">
        <v>32.4</v>
      </c>
      <c r="H34" s="176">
        <f>F34*G34</f>
        <v>32.4</v>
      </c>
      <c r="J34" s="158"/>
      <c r="K34" s="176">
        <v>157.76</v>
      </c>
      <c r="N34" s="213"/>
    </row>
    <row r="35" spans="2:14" s="1" customFormat="1" ht="42.75" x14ac:dyDescent="0.2">
      <c r="B35" s="171" t="s">
        <v>76</v>
      </c>
      <c r="C35" s="211">
        <v>5928</v>
      </c>
      <c r="D35" s="178" t="s">
        <v>235</v>
      </c>
      <c r="E35" s="173" t="s">
        <v>60</v>
      </c>
      <c r="F35" s="179">
        <v>0.03</v>
      </c>
      <c r="G35" s="176">
        <v>294.05</v>
      </c>
      <c r="H35" s="176">
        <f>F35*G35</f>
        <v>8.8215000000000003</v>
      </c>
      <c r="J35" s="158"/>
      <c r="K35" s="176"/>
    </row>
    <row r="36" spans="2:14" s="1" customFormat="1" ht="16.5" customHeight="1" x14ac:dyDescent="0.2">
      <c r="B36" s="171" t="s">
        <v>23</v>
      </c>
      <c r="C36" s="195">
        <v>88247</v>
      </c>
      <c r="D36" s="172" t="s">
        <v>65</v>
      </c>
      <c r="E36" s="173" t="s">
        <v>66</v>
      </c>
      <c r="F36" s="173">
        <v>0.1</v>
      </c>
      <c r="G36" s="175">
        <v>26.99</v>
      </c>
      <c r="H36" s="176">
        <f>F36*G36</f>
        <v>2.6989999999999998</v>
      </c>
      <c r="J36" s="158"/>
      <c r="K36" s="212" t="e">
        <f>#REF!</f>
        <v>#REF!</v>
      </c>
    </row>
    <row r="37" spans="2:14" s="1" customFormat="1" ht="14.25" x14ac:dyDescent="0.2">
      <c r="B37" s="171" t="s">
        <v>106</v>
      </c>
      <c r="C37" s="195">
        <v>88264</v>
      </c>
      <c r="D37" s="172" t="s">
        <v>93</v>
      </c>
      <c r="E37" s="173" t="s">
        <v>66</v>
      </c>
      <c r="F37" s="173">
        <v>0.1</v>
      </c>
      <c r="G37" s="176">
        <v>31.99</v>
      </c>
      <c r="H37" s="176">
        <f>F37*G37</f>
        <v>3.1989999999999998</v>
      </c>
      <c r="J37" s="158"/>
      <c r="K37" s="176">
        <v>45.51</v>
      </c>
    </row>
    <row r="38" spans="2:14" s="1" customFormat="1" ht="15" x14ac:dyDescent="0.2">
      <c r="B38" s="196"/>
      <c r="C38" s="197"/>
      <c r="D38" s="198" t="s">
        <v>9</v>
      </c>
      <c r="E38" s="199"/>
      <c r="F38" s="200"/>
      <c r="G38" s="215"/>
      <c r="H38" s="216">
        <f>SUM(H34:H37)</f>
        <v>47.119499999999995</v>
      </c>
      <c r="J38" s="158"/>
      <c r="K38" s="215"/>
      <c r="N38" s="213"/>
    </row>
    <row r="39" spans="2:14" s="1" customFormat="1" ht="15" x14ac:dyDescent="0.2">
      <c r="B39" s="217">
        <v>5</v>
      </c>
      <c r="C39" s="204"/>
      <c r="D39" s="205" t="s">
        <v>104</v>
      </c>
      <c r="E39" s="206"/>
      <c r="F39" s="207"/>
      <c r="G39" s="208"/>
      <c r="H39" s="208"/>
      <c r="J39" s="158"/>
      <c r="K39" s="208"/>
      <c r="N39" s="213"/>
    </row>
    <row r="40" spans="2:14" s="1" customFormat="1" ht="14.25" x14ac:dyDescent="0.2">
      <c r="B40" s="222" t="s">
        <v>24</v>
      </c>
      <c r="C40" s="171">
        <v>1564</v>
      </c>
      <c r="D40" s="178" t="s">
        <v>105</v>
      </c>
      <c r="E40" s="218" t="s">
        <v>61</v>
      </c>
      <c r="F40" s="179">
        <v>1</v>
      </c>
      <c r="G40" s="176">
        <v>18.329999999999998</v>
      </c>
      <c r="H40" s="176">
        <f>F40*G40</f>
        <v>18.329999999999998</v>
      </c>
      <c r="J40" s="158"/>
      <c r="K40" s="176"/>
      <c r="N40" s="213"/>
    </row>
    <row r="41" spans="2:14" s="1" customFormat="1" ht="42.75" x14ac:dyDescent="0.2">
      <c r="B41" s="171" t="s">
        <v>25</v>
      </c>
      <c r="C41" s="211">
        <v>5928</v>
      </c>
      <c r="D41" s="178" t="s">
        <v>235</v>
      </c>
      <c r="E41" s="173" t="s">
        <v>60</v>
      </c>
      <c r="F41" s="179">
        <v>0.01</v>
      </c>
      <c r="G41" s="176">
        <v>294.05</v>
      </c>
      <c r="H41" s="176">
        <f>F41*G41</f>
        <v>2.9405000000000001</v>
      </c>
      <c r="J41" s="158"/>
      <c r="K41" s="176"/>
    </row>
    <row r="42" spans="2:14" s="1" customFormat="1" ht="16.5" customHeight="1" x14ac:dyDescent="0.2">
      <c r="B42" s="171" t="s">
        <v>107</v>
      </c>
      <c r="C42" s="195">
        <v>88247</v>
      </c>
      <c r="D42" s="172" t="s">
        <v>65</v>
      </c>
      <c r="E42" s="173" t="s">
        <v>66</v>
      </c>
      <c r="F42" s="173">
        <v>0.04</v>
      </c>
      <c r="G42" s="175">
        <v>26.69</v>
      </c>
      <c r="H42" s="176">
        <f>F42*G42</f>
        <v>1.0676000000000001</v>
      </c>
      <c r="J42" s="158"/>
      <c r="K42" s="212" t="e">
        <f>#REF!</f>
        <v>#REF!</v>
      </c>
    </row>
    <row r="43" spans="2:14" s="1" customFormat="1" ht="14.25" x14ac:dyDescent="0.2">
      <c r="B43" s="171" t="s">
        <v>108</v>
      </c>
      <c r="C43" s="195">
        <v>88264</v>
      </c>
      <c r="D43" s="172" t="s">
        <v>93</v>
      </c>
      <c r="E43" s="173" t="s">
        <v>66</v>
      </c>
      <c r="F43" s="173">
        <v>7.0000000000000007E-2</v>
      </c>
      <c r="G43" s="176">
        <v>31.99</v>
      </c>
      <c r="H43" s="176">
        <f>F43*G43</f>
        <v>2.2393000000000001</v>
      </c>
      <c r="J43" s="158"/>
      <c r="K43" s="176">
        <v>45.51</v>
      </c>
    </row>
    <row r="44" spans="2:14" s="1" customFormat="1" ht="15" x14ac:dyDescent="0.2">
      <c r="B44" s="196"/>
      <c r="C44" s="197"/>
      <c r="D44" s="198" t="s">
        <v>9</v>
      </c>
      <c r="E44" s="199"/>
      <c r="F44" s="200"/>
      <c r="G44" s="215"/>
      <c r="H44" s="216">
        <f>SUM(H40:H43)</f>
        <v>24.577399999999997</v>
      </c>
      <c r="J44" s="158"/>
      <c r="K44" s="215"/>
      <c r="N44" s="213"/>
    </row>
    <row r="45" spans="2:14" s="223" customFormat="1" ht="30.75" customHeight="1" x14ac:dyDescent="0.2">
      <c r="B45" s="224">
        <v>6</v>
      </c>
      <c r="C45" s="225"/>
      <c r="D45" s="226" t="s">
        <v>109</v>
      </c>
      <c r="E45" s="226"/>
      <c r="F45" s="226"/>
      <c r="G45" s="226"/>
      <c r="H45" s="226"/>
      <c r="J45" s="228"/>
      <c r="K45" s="229"/>
      <c r="N45" s="230"/>
    </row>
    <row r="46" spans="2:14" s="1" customFormat="1" ht="28.5" x14ac:dyDescent="0.2">
      <c r="B46" s="222" t="s">
        <v>75</v>
      </c>
      <c r="C46" s="231">
        <v>42247</v>
      </c>
      <c r="D46" s="232" t="s">
        <v>154</v>
      </c>
      <c r="E46" s="233" t="s">
        <v>61</v>
      </c>
      <c r="F46" s="179">
        <v>1</v>
      </c>
      <c r="G46" s="234">
        <v>420.17</v>
      </c>
      <c r="H46" s="234">
        <f>F46*G46</f>
        <v>420.17</v>
      </c>
      <c r="J46" s="158"/>
      <c r="K46" s="234">
        <v>22.72</v>
      </c>
      <c r="N46" s="213"/>
    </row>
    <row r="47" spans="2:14" s="1" customFormat="1" ht="42.75" x14ac:dyDescent="0.2">
      <c r="B47" s="171" t="s">
        <v>81</v>
      </c>
      <c r="C47" s="211">
        <v>5928</v>
      </c>
      <c r="D47" s="178" t="s">
        <v>235</v>
      </c>
      <c r="E47" s="173" t="s">
        <v>60</v>
      </c>
      <c r="F47" s="179">
        <v>0.3</v>
      </c>
      <c r="G47" s="176">
        <v>294.05</v>
      </c>
      <c r="H47" s="176">
        <f>F47*G47</f>
        <v>88.215000000000003</v>
      </c>
      <c r="J47" s="158"/>
      <c r="K47" s="176"/>
    </row>
    <row r="48" spans="2:14" s="1" customFormat="1" ht="16.5" customHeight="1" x14ac:dyDescent="0.2">
      <c r="B48" s="171" t="s">
        <v>111</v>
      </c>
      <c r="C48" s="195">
        <v>88316</v>
      </c>
      <c r="D48" s="172" t="s">
        <v>110</v>
      </c>
      <c r="E48" s="173" t="s">
        <v>66</v>
      </c>
      <c r="F48" s="173">
        <v>0.3</v>
      </c>
      <c r="G48" s="175">
        <v>24.83</v>
      </c>
      <c r="H48" s="176">
        <f>F48*G48</f>
        <v>7.448999999999999</v>
      </c>
      <c r="J48" s="158"/>
      <c r="K48" s="212" t="e">
        <f>#REF!</f>
        <v>#REF!</v>
      </c>
    </row>
    <row r="49" spans="2:14" s="1" customFormat="1" ht="14.25" x14ac:dyDescent="0.2">
      <c r="B49" s="171" t="s">
        <v>112</v>
      </c>
      <c r="C49" s="195">
        <v>88264</v>
      </c>
      <c r="D49" s="172" t="s">
        <v>93</v>
      </c>
      <c r="E49" s="173" t="s">
        <v>66</v>
      </c>
      <c r="F49" s="173">
        <v>0.3</v>
      </c>
      <c r="G49" s="176">
        <v>31.99</v>
      </c>
      <c r="H49" s="176">
        <f>F49*G49</f>
        <v>9.5969999999999995</v>
      </c>
      <c r="J49" s="158"/>
      <c r="K49" s="176">
        <v>45.51</v>
      </c>
    </row>
    <row r="50" spans="2:14" s="1" customFormat="1" ht="15" x14ac:dyDescent="0.2">
      <c r="B50" s="196"/>
      <c r="C50" s="197"/>
      <c r="D50" s="198" t="s">
        <v>9</v>
      </c>
      <c r="E50" s="199"/>
      <c r="F50" s="200"/>
      <c r="G50" s="215"/>
      <c r="H50" s="216">
        <f>SUM(H46:H49)</f>
        <v>525.43099999999993</v>
      </c>
      <c r="J50" s="158"/>
      <c r="K50" s="215"/>
      <c r="N50" s="213"/>
    </row>
    <row r="51" spans="2:14" s="1" customFormat="1" ht="15" x14ac:dyDescent="0.2">
      <c r="B51" s="217">
        <v>7</v>
      </c>
      <c r="C51" s="204"/>
      <c r="D51" s="205" t="s">
        <v>115</v>
      </c>
      <c r="E51" s="206"/>
      <c r="F51" s="207"/>
      <c r="G51" s="208"/>
      <c r="H51" s="208"/>
      <c r="J51" s="158"/>
      <c r="K51" s="208"/>
      <c r="N51" s="213"/>
    </row>
    <row r="52" spans="2:14" s="1" customFormat="1" ht="14.25" x14ac:dyDescent="0.2">
      <c r="B52" s="222" t="s">
        <v>67</v>
      </c>
      <c r="C52" s="235" t="s">
        <v>116</v>
      </c>
      <c r="D52" s="236" t="s">
        <v>114</v>
      </c>
      <c r="E52" s="237" t="s">
        <v>4</v>
      </c>
      <c r="F52" s="238">
        <v>1</v>
      </c>
      <c r="G52" s="239">
        <v>35.46</v>
      </c>
      <c r="H52" s="240">
        <f>F52*G52</f>
        <v>35.46</v>
      </c>
      <c r="J52" s="158"/>
      <c r="K52" s="241" t="e">
        <f>#REF!</f>
        <v>#REF!</v>
      </c>
      <c r="N52" s="213"/>
    </row>
    <row r="53" spans="2:14" s="1" customFormat="1" ht="14.25" x14ac:dyDescent="0.2">
      <c r="B53" s="222" t="s">
        <v>68</v>
      </c>
      <c r="C53" s="235" t="s">
        <v>117</v>
      </c>
      <c r="D53" s="1" t="s">
        <v>113</v>
      </c>
      <c r="E53" s="237" t="s">
        <v>4</v>
      </c>
      <c r="F53" s="238">
        <v>2</v>
      </c>
      <c r="G53" s="239">
        <v>20.28</v>
      </c>
      <c r="H53" s="240">
        <f>F53*G53</f>
        <v>40.56</v>
      </c>
      <c r="J53" s="158"/>
      <c r="K53" s="241" t="e">
        <f>#REF!</f>
        <v>#REF!</v>
      </c>
      <c r="N53" s="213"/>
    </row>
    <row r="54" spans="2:14" s="1" customFormat="1" ht="42.75" x14ac:dyDescent="0.2">
      <c r="B54" s="222" t="s">
        <v>69</v>
      </c>
      <c r="C54" s="211">
        <v>5928</v>
      </c>
      <c r="D54" s="178" t="s">
        <v>235</v>
      </c>
      <c r="E54" s="173" t="s">
        <v>60</v>
      </c>
      <c r="F54" s="179">
        <v>0.02</v>
      </c>
      <c r="G54" s="176">
        <v>294.05</v>
      </c>
      <c r="H54" s="242">
        <f>F54*G54</f>
        <v>5.8810000000000002</v>
      </c>
      <c r="J54" s="158"/>
      <c r="K54" s="241">
        <v>25</v>
      </c>
      <c r="N54" s="213"/>
    </row>
    <row r="55" spans="2:14" s="1" customFormat="1" ht="14.25" x14ac:dyDescent="0.2">
      <c r="B55" s="222" t="s">
        <v>72</v>
      </c>
      <c r="C55" s="195">
        <v>88264</v>
      </c>
      <c r="D55" s="172" t="s">
        <v>93</v>
      </c>
      <c r="E55" s="173" t="s">
        <v>66</v>
      </c>
      <c r="F55" s="173">
        <v>0.5</v>
      </c>
      <c r="G55" s="176">
        <v>31.99</v>
      </c>
      <c r="H55" s="242">
        <f>F55*G55</f>
        <v>15.994999999999999</v>
      </c>
      <c r="J55" s="158"/>
      <c r="K55" s="241">
        <v>1.65</v>
      </c>
      <c r="N55" s="213"/>
    </row>
    <row r="56" spans="2:14" s="1" customFormat="1" ht="15" x14ac:dyDescent="0.2">
      <c r="B56" s="196"/>
      <c r="C56" s="197"/>
      <c r="D56" s="198" t="s">
        <v>9</v>
      </c>
      <c r="E56" s="199"/>
      <c r="F56" s="200"/>
      <c r="G56" s="215"/>
      <c r="H56" s="216">
        <f>SUM(H52:H55)</f>
        <v>97.896000000000015</v>
      </c>
      <c r="J56" s="158"/>
      <c r="K56" s="215"/>
      <c r="N56" s="213"/>
    </row>
    <row r="57" spans="2:14" s="1" customFormat="1" ht="15" x14ac:dyDescent="0.2">
      <c r="B57" s="217">
        <v>8</v>
      </c>
      <c r="C57" s="204"/>
      <c r="D57" s="205" t="s">
        <v>152</v>
      </c>
      <c r="E57" s="206"/>
      <c r="F57" s="207"/>
      <c r="G57" s="208"/>
      <c r="H57" s="208"/>
      <c r="J57" s="158"/>
      <c r="K57" s="208"/>
      <c r="N57" s="213"/>
    </row>
    <row r="58" spans="2:14" s="1" customFormat="1" ht="28.5" x14ac:dyDescent="0.2">
      <c r="B58" s="222" t="s">
        <v>70</v>
      </c>
      <c r="C58" s="235" t="s">
        <v>120</v>
      </c>
      <c r="D58" s="223" t="s">
        <v>153</v>
      </c>
      <c r="E58" s="237" t="s">
        <v>13</v>
      </c>
      <c r="F58" s="238">
        <v>1</v>
      </c>
      <c r="G58" s="243">
        <v>2.31</v>
      </c>
      <c r="H58" s="240">
        <f>F58*G58</f>
        <v>2.31</v>
      </c>
      <c r="J58" s="158"/>
      <c r="K58" s="241" t="e">
        <f>#REF!</f>
        <v>#REF!</v>
      </c>
      <c r="N58" s="213"/>
    </row>
    <row r="59" spans="2:14" s="1" customFormat="1" ht="42.75" x14ac:dyDescent="0.2">
      <c r="B59" s="171" t="s">
        <v>80</v>
      </c>
      <c r="C59" s="211">
        <v>5928</v>
      </c>
      <c r="D59" s="178" t="s">
        <v>235</v>
      </c>
      <c r="E59" s="173" t="s">
        <v>60</v>
      </c>
      <c r="F59" s="179">
        <v>0.01</v>
      </c>
      <c r="G59" s="176">
        <v>294.05</v>
      </c>
      <c r="H59" s="176">
        <f>F59*G59</f>
        <v>2.9405000000000001</v>
      </c>
      <c r="J59" s="158"/>
      <c r="K59" s="176"/>
    </row>
    <row r="60" spans="2:14" s="1" customFormat="1" ht="16.5" customHeight="1" x14ac:dyDescent="0.2">
      <c r="B60" s="171" t="s">
        <v>118</v>
      </c>
      <c r="C60" s="195">
        <v>88247</v>
      </c>
      <c r="D60" s="172" t="s">
        <v>65</v>
      </c>
      <c r="E60" s="173" t="s">
        <v>66</v>
      </c>
      <c r="F60" s="173">
        <v>0.02</v>
      </c>
      <c r="G60" s="175">
        <v>26.69</v>
      </c>
      <c r="H60" s="176">
        <f>F60*G60</f>
        <v>0.53380000000000005</v>
      </c>
      <c r="J60" s="158"/>
      <c r="K60" s="212" t="e">
        <f>#REF!</f>
        <v>#REF!</v>
      </c>
    </row>
    <row r="61" spans="2:14" s="1" customFormat="1" ht="14.25" x14ac:dyDescent="0.2">
      <c r="B61" s="171" t="s">
        <v>119</v>
      </c>
      <c r="C61" s="195">
        <v>88264</v>
      </c>
      <c r="D61" s="172" t="s">
        <v>93</v>
      </c>
      <c r="E61" s="173" t="s">
        <v>66</v>
      </c>
      <c r="F61" s="173">
        <v>7.0000000000000007E-2</v>
      </c>
      <c r="G61" s="176">
        <v>31.99</v>
      </c>
      <c r="H61" s="176">
        <f>F61*G61</f>
        <v>2.2393000000000001</v>
      </c>
      <c r="J61" s="158"/>
      <c r="K61" s="176">
        <v>45.51</v>
      </c>
    </row>
    <row r="62" spans="2:14" s="1" customFormat="1" ht="15" x14ac:dyDescent="0.2">
      <c r="B62" s="196"/>
      <c r="C62" s="197"/>
      <c r="D62" s="198" t="s">
        <v>9</v>
      </c>
      <c r="E62" s="199"/>
      <c r="F62" s="200"/>
      <c r="G62" s="215"/>
      <c r="H62" s="216">
        <f>SUM(H58:H61)</f>
        <v>8.0236000000000018</v>
      </c>
      <c r="J62" s="158"/>
      <c r="K62" s="215"/>
      <c r="N62" s="213"/>
    </row>
    <row r="63" spans="2:14" s="1" customFormat="1" ht="15" x14ac:dyDescent="0.2">
      <c r="B63" s="217">
        <v>9</v>
      </c>
      <c r="C63" s="204"/>
      <c r="D63" s="205" t="s">
        <v>121</v>
      </c>
      <c r="E63" s="206"/>
      <c r="F63" s="207"/>
      <c r="G63" s="208"/>
      <c r="H63" s="208"/>
      <c r="J63" s="158"/>
      <c r="K63" s="208"/>
      <c r="N63" s="213"/>
    </row>
    <row r="64" spans="2:14" s="1" customFormat="1" ht="28.5" x14ac:dyDescent="0.2">
      <c r="B64" s="222" t="s">
        <v>124</v>
      </c>
      <c r="C64" s="235" t="s">
        <v>125</v>
      </c>
      <c r="D64" s="236" t="s">
        <v>122</v>
      </c>
      <c r="E64" s="237" t="s">
        <v>4</v>
      </c>
      <c r="F64" s="238">
        <v>1</v>
      </c>
      <c r="G64" s="243">
        <v>2483.98</v>
      </c>
      <c r="H64" s="240">
        <f>F64*G64</f>
        <v>2483.98</v>
      </c>
      <c r="J64" s="158"/>
      <c r="K64" s="241" t="e">
        <f>#REF!</f>
        <v>#REF!</v>
      </c>
      <c r="N64" s="213"/>
    </row>
    <row r="65" spans="2:14" s="1" customFormat="1" ht="28.5" x14ac:dyDescent="0.2">
      <c r="B65" s="222" t="s">
        <v>62</v>
      </c>
      <c r="C65" s="235" t="s">
        <v>126</v>
      </c>
      <c r="D65" s="223" t="s">
        <v>123</v>
      </c>
      <c r="E65" s="237" t="s">
        <v>4</v>
      </c>
      <c r="F65" s="238">
        <v>2</v>
      </c>
      <c r="G65" s="243">
        <v>515.79999999999995</v>
      </c>
      <c r="H65" s="240">
        <f>F65*G65</f>
        <v>1031.5999999999999</v>
      </c>
      <c r="J65" s="158"/>
      <c r="K65" s="241" t="e">
        <f>#REF!</f>
        <v>#REF!</v>
      </c>
      <c r="N65" s="213"/>
    </row>
    <row r="66" spans="2:14" s="1" customFormat="1" ht="42.75" x14ac:dyDescent="0.2">
      <c r="B66" s="222" t="s">
        <v>63</v>
      </c>
      <c r="C66" s="211">
        <v>5928</v>
      </c>
      <c r="D66" s="178" t="s">
        <v>235</v>
      </c>
      <c r="E66" s="173" t="s">
        <v>60</v>
      </c>
      <c r="F66" s="244">
        <v>1</v>
      </c>
      <c r="G66" s="245">
        <v>294.05</v>
      </c>
      <c r="H66" s="242">
        <f>F66*G66</f>
        <v>294.05</v>
      </c>
      <c r="J66" s="158"/>
      <c r="K66" s="241">
        <v>25</v>
      </c>
      <c r="N66" s="213"/>
    </row>
    <row r="67" spans="2:14" s="1" customFormat="1" ht="14.25" x14ac:dyDescent="0.2">
      <c r="B67" s="222"/>
      <c r="C67" s="211">
        <v>88309</v>
      </c>
      <c r="D67" s="221" t="s">
        <v>223</v>
      </c>
      <c r="E67" s="173" t="s">
        <v>66</v>
      </c>
      <c r="F67" s="244">
        <v>2</v>
      </c>
      <c r="G67" s="245">
        <v>29.88</v>
      </c>
      <c r="H67" s="242">
        <f>F67*G67</f>
        <v>59.76</v>
      </c>
      <c r="J67" s="158"/>
      <c r="K67" s="241"/>
      <c r="N67" s="213"/>
    </row>
    <row r="68" spans="2:14" s="1" customFormat="1" ht="14.25" x14ac:dyDescent="0.2">
      <c r="B68" s="222" t="s">
        <v>64</v>
      </c>
      <c r="C68" s="195">
        <v>88316</v>
      </c>
      <c r="D68" s="172" t="s">
        <v>110</v>
      </c>
      <c r="E68" s="173" t="s">
        <v>66</v>
      </c>
      <c r="F68" s="173">
        <v>2</v>
      </c>
      <c r="G68" s="176">
        <v>24.83</v>
      </c>
      <c r="H68" s="242">
        <f>F68*G68</f>
        <v>49.66</v>
      </c>
      <c r="J68" s="158"/>
      <c r="K68" s="241">
        <v>1.65</v>
      </c>
      <c r="N68" s="213"/>
    </row>
    <row r="69" spans="2:14" s="1" customFormat="1" ht="15" x14ac:dyDescent="0.2">
      <c r="B69" s="196"/>
      <c r="C69" s="197"/>
      <c r="D69" s="198" t="s">
        <v>9</v>
      </c>
      <c r="E69" s="199"/>
      <c r="F69" s="200"/>
      <c r="G69" s="215"/>
      <c r="H69" s="216">
        <f>SUM(H64:H68)</f>
        <v>3919.05</v>
      </c>
      <c r="J69" s="158"/>
      <c r="K69" s="215"/>
      <c r="N69" s="213"/>
    </row>
    <row r="70" spans="2:14" s="1" customFormat="1" ht="15" x14ac:dyDescent="0.2">
      <c r="B70" s="217">
        <v>10</v>
      </c>
      <c r="C70" s="204"/>
      <c r="D70" s="205" t="s">
        <v>127</v>
      </c>
      <c r="E70" s="206"/>
      <c r="F70" s="207"/>
      <c r="G70" s="208"/>
      <c r="H70" s="208"/>
      <c r="J70" s="158"/>
      <c r="K70" s="208"/>
      <c r="N70" s="213"/>
    </row>
    <row r="71" spans="2:14" s="1" customFormat="1" ht="28.5" x14ac:dyDescent="0.2">
      <c r="B71" s="222" t="s">
        <v>128</v>
      </c>
      <c r="C71" s="235" t="s">
        <v>224</v>
      </c>
      <c r="D71" s="236" t="s">
        <v>132</v>
      </c>
      <c r="E71" s="237" t="s">
        <v>61</v>
      </c>
      <c r="F71" s="238">
        <v>1</v>
      </c>
      <c r="G71" s="243">
        <v>9.58</v>
      </c>
      <c r="H71" s="240">
        <f>F71*G71</f>
        <v>9.58</v>
      </c>
      <c r="J71" s="158"/>
      <c r="K71" s="241" t="e">
        <f>#REF!</f>
        <v>#REF!</v>
      </c>
      <c r="N71" s="213"/>
    </row>
    <row r="72" spans="2:14" s="1" customFormat="1" ht="42.75" x14ac:dyDescent="0.2">
      <c r="B72" s="171" t="s">
        <v>129</v>
      </c>
      <c r="C72" s="211">
        <v>5928</v>
      </c>
      <c r="D72" s="178" t="s">
        <v>235</v>
      </c>
      <c r="E72" s="173" t="s">
        <v>60</v>
      </c>
      <c r="F72" s="179">
        <v>0.01</v>
      </c>
      <c r="G72" s="176">
        <v>294.05</v>
      </c>
      <c r="H72" s="176">
        <f>F72*G72</f>
        <v>2.9405000000000001</v>
      </c>
      <c r="J72" s="158"/>
      <c r="K72" s="176"/>
    </row>
    <row r="73" spans="2:14" s="1" customFormat="1" ht="16.5" customHeight="1" x14ac:dyDescent="0.2">
      <c r="B73" s="171" t="s">
        <v>130</v>
      </c>
      <c r="C73" s="195">
        <v>88247</v>
      </c>
      <c r="D73" s="172" t="s">
        <v>65</v>
      </c>
      <c r="E73" s="173" t="s">
        <v>66</v>
      </c>
      <c r="F73" s="173">
        <v>0.02</v>
      </c>
      <c r="G73" s="175">
        <v>26.69</v>
      </c>
      <c r="H73" s="176">
        <f>F73*G73</f>
        <v>0.53380000000000005</v>
      </c>
      <c r="J73" s="158"/>
      <c r="K73" s="212" t="e">
        <f>#REF!</f>
        <v>#REF!</v>
      </c>
    </row>
    <row r="74" spans="2:14" s="1" customFormat="1" ht="14.25" x14ac:dyDescent="0.2">
      <c r="B74" s="171" t="s">
        <v>131</v>
      </c>
      <c r="C74" s="195">
        <v>88264</v>
      </c>
      <c r="D74" s="172" t="s">
        <v>93</v>
      </c>
      <c r="E74" s="173" t="s">
        <v>66</v>
      </c>
      <c r="F74" s="173">
        <v>0.16</v>
      </c>
      <c r="G74" s="176">
        <v>31.99</v>
      </c>
      <c r="H74" s="176">
        <f>F74*G74</f>
        <v>5.1184000000000003</v>
      </c>
      <c r="J74" s="158"/>
      <c r="K74" s="176">
        <v>45.51</v>
      </c>
    </row>
    <row r="75" spans="2:14" s="1" customFormat="1" ht="15" x14ac:dyDescent="0.2">
      <c r="B75" s="196"/>
      <c r="C75" s="197"/>
      <c r="D75" s="198" t="s">
        <v>9</v>
      </c>
      <c r="E75" s="199"/>
      <c r="F75" s="200"/>
      <c r="G75" s="215"/>
      <c r="H75" s="216">
        <f>SUM(H71:H74)</f>
        <v>18.172699999999999</v>
      </c>
      <c r="J75" s="158"/>
      <c r="K75" s="215"/>
      <c r="N75" s="213"/>
    </row>
    <row r="76" spans="2:14" s="1" customFormat="1" ht="15" x14ac:dyDescent="0.2">
      <c r="B76" s="217">
        <v>11</v>
      </c>
      <c r="C76" s="204"/>
      <c r="D76" s="205" t="s">
        <v>133</v>
      </c>
      <c r="E76" s="206"/>
      <c r="F76" s="207"/>
      <c r="G76" s="208"/>
      <c r="H76" s="208"/>
      <c r="J76" s="158"/>
      <c r="K76" s="208"/>
      <c r="N76" s="213"/>
    </row>
    <row r="77" spans="2:14" s="1" customFormat="1" ht="30.75" customHeight="1" x14ac:dyDescent="0.2">
      <c r="B77" s="222" t="s">
        <v>140</v>
      </c>
      <c r="C77" s="235" t="s">
        <v>135</v>
      </c>
      <c r="D77" s="236" t="s">
        <v>134</v>
      </c>
      <c r="E77" s="237" t="s">
        <v>13</v>
      </c>
      <c r="F77" s="238">
        <v>1</v>
      </c>
      <c r="G77" s="243">
        <v>16.02</v>
      </c>
      <c r="H77" s="240">
        <f>F77*G77</f>
        <v>16.02</v>
      </c>
      <c r="J77" s="158"/>
      <c r="K77" s="241" t="e">
        <f>#REF!</f>
        <v>#REF!</v>
      </c>
      <c r="N77" s="213"/>
    </row>
    <row r="78" spans="2:14" s="1" customFormat="1" ht="42.75" x14ac:dyDescent="0.2">
      <c r="B78" s="171" t="s">
        <v>141</v>
      </c>
      <c r="C78" s="211">
        <v>5928</v>
      </c>
      <c r="D78" s="178" t="s">
        <v>235</v>
      </c>
      <c r="E78" s="173" t="s">
        <v>60</v>
      </c>
      <c r="F78" s="179">
        <v>0.01</v>
      </c>
      <c r="G78" s="176">
        <v>294.05</v>
      </c>
      <c r="H78" s="176">
        <f>F78*G78</f>
        <v>2.9405000000000001</v>
      </c>
      <c r="J78" s="158"/>
      <c r="K78" s="176"/>
    </row>
    <row r="79" spans="2:14" s="1" customFormat="1" ht="16.5" customHeight="1" x14ac:dyDescent="0.2">
      <c r="B79" s="171" t="s">
        <v>142</v>
      </c>
      <c r="C79" s="195">
        <v>88247</v>
      </c>
      <c r="D79" s="172" t="s">
        <v>65</v>
      </c>
      <c r="E79" s="173" t="s">
        <v>66</v>
      </c>
      <c r="F79" s="173">
        <v>0.2</v>
      </c>
      <c r="G79" s="175">
        <v>26.69</v>
      </c>
      <c r="H79" s="176">
        <f>F79*G79</f>
        <v>5.338000000000001</v>
      </c>
      <c r="J79" s="158"/>
      <c r="K79" s="212" t="e">
        <f>#REF!</f>
        <v>#REF!</v>
      </c>
    </row>
    <row r="80" spans="2:14" s="1" customFormat="1" ht="14.25" x14ac:dyDescent="0.2">
      <c r="B80" s="171" t="s">
        <v>143</v>
      </c>
      <c r="C80" s="195">
        <v>88264</v>
      </c>
      <c r="D80" s="172" t="s">
        <v>93</v>
      </c>
      <c r="E80" s="173" t="s">
        <v>66</v>
      </c>
      <c r="F80" s="173">
        <v>0.2</v>
      </c>
      <c r="G80" s="176">
        <v>31.99</v>
      </c>
      <c r="H80" s="176">
        <f>F80*G80</f>
        <v>6.3979999999999997</v>
      </c>
      <c r="J80" s="158"/>
      <c r="K80" s="176">
        <v>45.51</v>
      </c>
    </row>
    <row r="81" spans="2:14" s="1" customFormat="1" ht="15" x14ac:dyDescent="0.2">
      <c r="B81" s="196"/>
      <c r="C81" s="197"/>
      <c r="D81" s="198" t="s">
        <v>9</v>
      </c>
      <c r="E81" s="199"/>
      <c r="F81" s="200"/>
      <c r="G81" s="215"/>
      <c r="H81" s="216">
        <f>SUM(H77:H80)</f>
        <v>30.6965</v>
      </c>
      <c r="J81" s="158"/>
      <c r="K81" s="215"/>
      <c r="N81" s="213"/>
    </row>
    <row r="82" spans="2:14" s="1" customFormat="1" ht="15" x14ac:dyDescent="0.2">
      <c r="B82" s="217">
        <v>12</v>
      </c>
      <c r="C82" s="204"/>
      <c r="D82" s="205" t="s">
        <v>144</v>
      </c>
      <c r="E82" s="206"/>
      <c r="F82" s="207"/>
      <c r="G82" s="208"/>
      <c r="H82" s="208"/>
      <c r="J82" s="158"/>
      <c r="K82" s="208"/>
      <c r="N82" s="213"/>
    </row>
    <row r="83" spans="2:14" s="1" customFormat="1" ht="30.75" customHeight="1" x14ac:dyDescent="0.2">
      <c r="B83" s="222" t="s">
        <v>136</v>
      </c>
      <c r="C83" s="235" t="s">
        <v>146</v>
      </c>
      <c r="D83" s="236" t="s">
        <v>145</v>
      </c>
      <c r="E83" s="237" t="s">
        <v>61</v>
      </c>
      <c r="F83" s="238">
        <v>1</v>
      </c>
      <c r="G83" s="243">
        <v>439.31</v>
      </c>
      <c r="H83" s="240">
        <f>F83*G83</f>
        <v>439.31</v>
      </c>
      <c r="J83" s="158"/>
      <c r="K83" s="241" t="e">
        <f>#REF!</f>
        <v>#REF!</v>
      </c>
      <c r="N83" s="213"/>
    </row>
    <row r="84" spans="2:14" s="1" customFormat="1" ht="42.75" x14ac:dyDescent="0.2">
      <c r="B84" s="171" t="s">
        <v>137</v>
      </c>
      <c r="C84" s="211">
        <v>5928</v>
      </c>
      <c r="D84" s="178" t="s">
        <v>235</v>
      </c>
      <c r="E84" s="173" t="s">
        <v>60</v>
      </c>
      <c r="F84" s="179">
        <v>0.15</v>
      </c>
      <c r="G84" s="176">
        <v>294.05</v>
      </c>
      <c r="H84" s="176">
        <f>F84*G84</f>
        <v>44.107500000000002</v>
      </c>
      <c r="J84" s="158"/>
      <c r="K84" s="176"/>
    </row>
    <row r="85" spans="2:14" s="1" customFormat="1" ht="16.5" customHeight="1" x14ac:dyDescent="0.2">
      <c r="B85" s="171" t="s">
        <v>138</v>
      </c>
      <c r="C85" s="195">
        <v>88247</v>
      </c>
      <c r="D85" s="172" t="s">
        <v>65</v>
      </c>
      <c r="E85" s="173" t="s">
        <v>66</v>
      </c>
      <c r="F85" s="173">
        <v>1.5</v>
      </c>
      <c r="G85" s="175">
        <v>26.69</v>
      </c>
      <c r="H85" s="176">
        <f>F85*G85</f>
        <v>40.035000000000004</v>
      </c>
      <c r="J85" s="158"/>
      <c r="K85" s="212" t="e">
        <f>#REF!</f>
        <v>#REF!</v>
      </c>
    </row>
    <row r="86" spans="2:14" s="1" customFormat="1" ht="14.25" x14ac:dyDescent="0.2">
      <c r="B86" s="171" t="s">
        <v>139</v>
      </c>
      <c r="C86" s="195">
        <v>88264</v>
      </c>
      <c r="D86" s="172" t="s">
        <v>93</v>
      </c>
      <c r="E86" s="173" t="s">
        <v>66</v>
      </c>
      <c r="F86" s="173">
        <v>2</v>
      </c>
      <c r="G86" s="176">
        <v>31.99</v>
      </c>
      <c r="H86" s="176">
        <f>F86*G86</f>
        <v>63.98</v>
      </c>
      <c r="J86" s="158"/>
      <c r="K86" s="176">
        <v>45.51</v>
      </c>
    </row>
    <row r="87" spans="2:14" s="1" customFormat="1" ht="15" x14ac:dyDescent="0.2">
      <c r="B87" s="196"/>
      <c r="C87" s="197"/>
      <c r="D87" s="198" t="s">
        <v>9</v>
      </c>
      <c r="E87" s="199"/>
      <c r="F87" s="200"/>
      <c r="G87" s="215"/>
      <c r="H87" s="216">
        <f>SUM(H83:H86)</f>
        <v>587.4325</v>
      </c>
      <c r="J87" s="158"/>
      <c r="K87" s="215"/>
      <c r="N87" s="213"/>
    </row>
    <row r="88" spans="2:14" s="1" customFormat="1" ht="15" x14ac:dyDescent="0.2">
      <c r="B88" s="217">
        <v>13</v>
      </c>
      <c r="C88" s="204"/>
      <c r="D88" s="205" t="s">
        <v>203</v>
      </c>
      <c r="E88" s="206"/>
      <c r="F88" s="207"/>
      <c r="G88" s="208"/>
      <c r="H88" s="208"/>
      <c r="J88" s="158"/>
      <c r="K88" s="208"/>
      <c r="N88" s="213"/>
    </row>
    <row r="89" spans="2:14" s="1" customFormat="1" ht="60.75" customHeight="1" x14ac:dyDescent="0.2">
      <c r="B89" s="222" t="s">
        <v>206</v>
      </c>
      <c r="C89" s="235" t="s">
        <v>204</v>
      </c>
      <c r="D89" s="236" t="s">
        <v>205</v>
      </c>
      <c r="E89" s="237" t="s">
        <v>61</v>
      </c>
      <c r="F89" s="238">
        <v>1</v>
      </c>
      <c r="G89" s="243">
        <v>580</v>
      </c>
      <c r="H89" s="240">
        <f>F89*G89</f>
        <v>580</v>
      </c>
      <c r="J89" s="158"/>
      <c r="K89" s="241" t="e">
        <f>#REF!</f>
        <v>#REF!</v>
      </c>
      <c r="N89" s="213"/>
    </row>
    <row r="90" spans="2:14" s="1" customFormat="1" ht="42.75" x14ac:dyDescent="0.2">
      <c r="B90" s="171" t="s">
        <v>207</v>
      </c>
      <c r="C90" s="211">
        <v>5928</v>
      </c>
      <c r="D90" s="178" t="s">
        <v>235</v>
      </c>
      <c r="E90" s="173" t="s">
        <v>60</v>
      </c>
      <c r="F90" s="179">
        <v>0.12</v>
      </c>
      <c r="G90" s="176">
        <v>294.05</v>
      </c>
      <c r="H90" s="176">
        <f>F90*G90</f>
        <v>35.286000000000001</v>
      </c>
      <c r="J90" s="158"/>
      <c r="K90" s="176"/>
    </row>
    <row r="91" spans="2:14" s="1" customFormat="1" ht="16.5" customHeight="1" x14ac:dyDescent="0.2">
      <c r="B91" s="171" t="s">
        <v>208</v>
      </c>
      <c r="C91" s="195">
        <v>88247</v>
      </c>
      <c r="D91" s="172" t="s">
        <v>65</v>
      </c>
      <c r="E91" s="173" t="s">
        <v>66</v>
      </c>
      <c r="F91" s="173">
        <v>0.1</v>
      </c>
      <c r="G91" s="175">
        <v>26.69</v>
      </c>
      <c r="H91" s="176">
        <f>F91*G91</f>
        <v>2.6690000000000005</v>
      </c>
      <c r="J91" s="158"/>
      <c r="K91" s="212" t="e">
        <f>#REF!</f>
        <v>#REF!</v>
      </c>
    </row>
    <row r="92" spans="2:14" s="1" customFormat="1" ht="14.25" x14ac:dyDescent="0.2">
      <c r="B92" s="171" t="s">
        <v>209</v>
      </c>
      <c r="C92" s="195">
        <v>88264</v>
      </c>
      <c r="D92" s="172" t="s">
        <v>93</v>
      </c>
      <c r="E92" s="173" t="s">
        <v>66</v>
      </c>
      <c r="F92" s="173">
        <v>0.1</v>
      </c>
      <c r="G92" s="176">
        <v>31.99</v>
      </c>
      <c r="H92" s="176">
        <f>F92*G92</f>
        <v>3.1989999999999998</v>
      </c>
      <c r="J92" s="158"/>
      <c r="K92" s="176">
        <v>45.51</v>
      </c>
    </row>
    <row r="93" spans="2:14" s="1" customFormat="1" ht="15" x14ac:dyDescent="0.2">
      <c r="B93" s="196"/>
      <c r="C93" s="197"/>
      <c r="D93" s="198" t="s">
        <v>9</v>
      </c>
      <c r="E93" s="199"/>
      <c r="F93" s="200"/>
      <c r="G93" s="215"/>
      <c r="H93" s="216">
        <f>SUM(H89:H92)</f>
        <v>621.154</v>
      </c>
      <c r="J93" s="158"/>
      <c r="K93" s="215"/>
      <c r="N93" s="213"/>
    </row>
    <row r="94" spans="2:14" s="1" customFormat="1" ht="15" x14ac:dyDescent="0.2">
      <c r="B94" s="217">
        <v>14</v>
      </c>
      <c r="C94" s="204"/>
      <c r="D94" s="205" t="s">
        <v>198</v>
      </c>
      <c r="E94" s="206"/>
      <c r="F94" s="207"/>
      <c r="G94" s="208"/>
      <c r="H94" s="208"/>
      <c r="J94" s="158"/>
      <c r="K94" s="208"/>
      <c r="N94" s="213"/>
    </row>
    <row r="95" spans="2:14" s="1" customFormat="1" ht="30.75" customHeight="1" x14ac:dyDescent="0.2">
      <c r="B95" s="222" t="s">
        <v>210</v>
      </c>
      <c r="C95" s="235" t="s">
        <v>214</v>
      </c>
      <c r="D95" s="236" t="s">
        <v>215</v>
      </c>
      <c r="E95" s="237" t="s">
        <v>61</v>
      </c>
      <c r="F95" s="238">
        <v>1</v>
      </c>
      <c r="G95" s="243">
        <v>7605.68</v>
      </c>
      <c r="H95" s="240">
        <f>F95*G95</f>
        <v>7605.68</v>
      </c>
      <c r="J95" s="158"/>
      <c r="K95" s="241" t="e">
        <f>#REF!</f>
        <v>#REF!</v>
      </c>
      <c r="N95" s="213"/>
    </row>
    <row r="96" spans="2:14" s="1" customFormat="1" ht="14.25" x14ac:dyDescent="0.2">
      <c r="B96" s="171" t="s">
        <v>211</v>
      </c>
      <c r="C96" s="195">
        <v>88316</v>
      </c>
      <c r="D96" s="172" t="s">
        <v>110</v>
      </c>
      <c r="E96" s="173" t="s">
        <v>66</v>
      </c>
      <c r="F96" s="179">
        <v>0.3</v>
      </c>
      <c r="G96" s="176">
        <v>24.83</v>
      </c>
      <c r="H96" s="176">
        <f>F96*G96</f>
        <v>7.448999999999999</v>
      </c>
      <c r="J96" s="158"/>
      <c r="K96" s="176"/>
    </row>
    <row r="97" spans="2:14" s="1" customFormat="1" ht="16.5" customHeight="1" x14ac:dyDescent="0.2">
      <c r="B97" s="171" t="s">
        <v>212</v>
      </c>
      <c r="C97" s="195">
        <v>88264</v>
      </c>
      <c r="D97" s="172" t="s">
        <v>93</v>
      </c>
      <c r="E97" s="173" t="s">
        <v>66</v>
      </c>
      <c r="F97" s="173">
        <v>0.3</v>
      </c>
      <c r="G97" s="175">
        <v>31.99</v>
      </c>
      <c r="H97" s="176">
        <f>F97*G97</f>
        <v>9.5969999999999995</v>
      </c>
      <c r="J97" s="158"/>
      <c r="K97" s="212" t="e">
        <f>#REF!</f>
        <v>#REF!</v>
      </c>
    </row>
    <row r="98" spans="2:14" s="1" customFormat="1" ht="42.75" x14ac:dyDescent="0.2">
      <c r="B98" s="171" t="s">
        <v>213</v>
      </c>
      <c r="C98" s="195">
        <v>5928</v>
      </c>
      <c r="D98" s="178" t="s">
        <v>235</v>
      </c>
      <c r="E98" s="173" t="s">
        <v>60</v>
      </c>
      <c r="F98" s="173">
        <v>0.3</v>
      </c>
      <c r="G98" s="176">
        <v>294.05</v>
      </c>
      <c r="H98" s="176">
        <f>F98*G98</f>
        <v>88.215000000000003</v>
      </c>
      <c r="J98" s="158"/>
      <c r="K98" s="176">
        <v>45.51</v>
      </c>
    </row>
    <row r="99" spans="2:14" s="1" customFormat="1" ht="15" x14ac:dyDescent="0.2">
      <c r="B99" s="196"/>
      <c r="C99" s="197"/>
      <c r="D99" s="198" t="s">
        <v>9</v>
      </c>
      <c r="E99" s="199"/>
      <c r="F99" s="200"/>
      <c r="G99" s="215"/>
      <c r="H99" s="216">
        <f>SUM(H95:H98)</f>
        <v>7710.9409999999998</v>
      </c>
      <c r="J99" s="158"/>
      <c r="K99" s="215"/>
      <c r="N99" s="213"/>
    </row>
    <row r="100" spans="2:14" s="1" customFormat="1" ht="15" x14ac:dyDescent="0.2">
      <c r="B100" s="217">
        <v>15</v>
      </c>
      <c r="C100" s="204"/>
      <c r="D100" s="205" t="s">
        <v>200</v>
      </c>
      <c r="E100" s="206"/>
      <c r="F100" s="207"/>
      <c r="G100" s="208"/>
      <c r="H100" s="208"/>
      <c r="J100" s="158"/>
      <c r="K100" s="208"/>
      <c r="N100" s="213"/>
    </row>
    <row r="101" spans="2:14" s="1" customFormat="1" ht="30.75" customHeight="1" x14ac:dyDescent="0.2">
      <c r="B101" s="222" t="s">
        <v>216</v>
      </c>
      <c r="C101" s="235" t="s">
        <v>220</v>
      </c>
      <c r="D101" s="236" t="s">
        <v>200</v>
      </c>
      <c r="E101" s="237" t="s">
        <v>61</v>
      </c>
      <c r="F101" s="238">
        <v>1</v>
      </c>
      <c r="G101" s="243">
        <v>822.57</v>
      </c>
      <c r="H101" s="240">
        <f>F101*G101</f>
        <v>822.57</v>
      </c>
      <c r="J101" s="158"/>
      <c r="K101" s="241" t="e">
        <f>#REF!</f>
        <v>#REF!</v>
      </c>
      <c r="N101" s="213"/>
    </row>
    <row r="102" spans="2:14" s="1" customFormat="1" ht="18" customHeight="1" x14ac:dyDescent="0.2">
      <c r="B102" s="260" t="s">
        <v>217</v>
      </c>
      <c r="C102" s="261" t="s">
        <v>222</v>
      </c>
      <c r="D102" s="236" t="s">
        <v>221</v>
      </c>
      <c r="E102" s="237" t="s">
        <v>226</v>
      </c>
      <c r="F102" s="262">
        <v>0.25</v>
      </c>
      <c r="G102" s="263">
        <v>548.79999999999995</v>
      </c>
      <c r="H102" s="240">
        <f t="shared" ref="H102:H104" si="2">F102*G102</f>
        <v>137.19999999999999</v>
      </c>
      <c r="J102" s="158"/>
      <c r="K102" s="264"/>
      <c r="N102" s="213"/>
    </row>
    <row r="103" spans="2:14" s="1" customFormat="1" ht="18" customHeight="1" x14ac:dyDescent="0.2">
      <c r="B103" s="260" t="s">
        <v>218</v>
      </c>
      <c r="C103" s="261" t="s">
        <v>71</v>
      </c>
      <c r="D103" s="236" t="s">
        <v>223</v>
      </c>
      <c r="E103" s="237" t="s">
        <v>66</v>
      </c>
      <c r="F103" s="262">
        <v>2</v>
      </c>
      <c r="G103" s="263">
        <v>29.88</v>
      </c>
      <c r="H103" s="240">
        <f t="shared" si="2"/>
        <v>59.76</v>
      </c>
      <c r="J103" s="158"/>
      <c r="K103" s="264"/>
      <c r="N103" s="213"/>
    </row>
    <row r="104" spans="2:14" s="1" customFormat="1" ht="14.25" x14ac:dyDescent="0.2">
      <c r="B104" s="171" t="s">
        <v>219</v>
      </c>
      <c r="C104" s="195">
        <v>88316</v>
      </c>
      <c r="D104" s="172" t="s">
        <v>110</v>
      </c>
      <c r="E104" s="173" t="s">
        <v>66</v>
      </c>
      <c r="F104" s="179">
        <v>2</v>
      </c>
      <c r="G104" s="176">
        <v>24.83</v>
      </c>
      <c r="H104" s="240">
        <f t="shared" si="2"/>
        <v>49.66</v>
      </c>
      <c r="J104" s="158"/>
      <c r="K104" s="176"/>
    </row>
    <row r="105" spans="2:14" s="1" customFormat="1" ht="42.75" x14ac:dyDescent="0.2">
      <c r="B105" s="171" t="s">
        <v>225</v>
      </c>
      <c r="C105" s="195">
        <v>5928</v>
      </c>
      <c r="D105" s="178" t="s">
        <v>235</v>
      </c>
      <c r="E105" s="173" t="s">
        <v>60</v>
      </c>
      <c r="F105" s="173">
        <v>1</v>
      </c>
      <c r="G105" s="176">
        <v>294.05</v>
      </c>
      <c r="H105" s="176">
        <f>F105*G105</f>
        <v>294.05</v>
      </c>
      <c r="J105" s="158"/>
      <c r="K105" s="176">
        <v>45.51</v>
      </c>
    </row>
    <row r="106" spans="2:14" s="1" customFormat="1" ht="15" x14ac:dyDescent="0.2">
      <c r="B106" s="196"/>
      <c r="C106" s="197"/>
      <c r="D106" s="198" t="s">
        <v>9</v>
      </c>
      <c r="E106" s="199"/>
      <c r="F106" s="200"/>
      <c r="G106" s="215"/>
      <c r="H106" s="216">
        <f>SUM(H101:H105)</f>
        <v>1363.24</v>
      </c>
      <c r="J106" s="158"/>
      <c r="K106" s="215"/>
      <c r="N106" s="213"/>
    </row>
    <row r="107" spans="2:14" s="1" customFormat="1" ht="15" x14ac:dyDescent="0.2">
      <c r="B107" s="217">
        <v>16</v>
      </c>
      <c r="C107" s="204"/>
      <c r="D107" s="205" t="s">
        <v>202</v>
      </c>
      <c r="E107" s="206"/>
      <c r="F107" s="207"/>
      <c r="G107" s="208"/>
      <c r="H107" s="208"/>
      <c r="J107" s="158"/>
      <c r="K107" s="208"/>
      <c r="N107" s="213"/>
    </row>
    <row r="108" spans="2:14" s="1" customFormat="1" ht="30.75" customHeight="1" x14ac:dyDescent="0.2">
      <c r="B108" s="222" t="s">
        <v>227</v>
      </c>
      <c r="C108" s="235" t="s">
        <v>232</v>
      </c>
      <c r="D108" s="236" t="s">
        <v>202</v>
      </c>
      <c r="E108" s="237" t="s">
        <v>61</v>
      </c>
      <c r="F108" s="238">
        <v>1</v>
      </c>
      <c r="G108" s="243">
        <v>384.74</v>
      </c>
      <c r="H108" s="240">
        <f>F108*G108</f>
        <v>384.74</v>
      </c>
      <c r="J108" s="158"/>
      <c r="K108" s="241" t="e">
        <f>#REF!</f>
        <v>#REF!</v>
      </c>
      <c r="N108" s="213"/>
    </row>
    <row r="109" spans="2:14" s="1" customFormat="1" ht="30.75" customHeight="1" x14ac:dyDescent="0.2">
      <c r="B109" s="260" t="s">
        <v>228</v>
      </c>
      <c r="C109" s="235" t="s">
        <v>233</v>
      </c>
      <c r="D109" s="236" t="s">
        <v>231</v>
      </c>
      <c r="E109" s="237" t="s">
        <v>61</v>
      </c>
      <c r="F109" s="262">
        <v>2</v>
      </c>
      <c r="G109" s="263">
        <v>16.489999999999998</v>
      </c>
      <c r="H109" s="240">
        <f t="shared" ref="H109:H110" si="3">F109*G109</f>
        <v>32.979999999999997</v>
      </c>
      <c r="J109" s="158"/>
      <c r="K109" s="264"/>
      <c r="N109" s="213"/>
    </row>
    <row r="110" spans="2:14" s="1" customFormat="1" ht="14.25" x14ac:dyDescent="0.2">
      <c r="B110" s="171" t="s">
        <v>229</v>
      </c>
      <c r="C110" s="195">
        <v>88247</v>
      </c>
      <c r="D110" s="172" t="s">
        <v>65</v>
      </c>
      <c r="E110" s="173" t="s">
        <v>66</v>
      </c>
      <c r="F110" s="179">
        <v>1.0487</v>
      </c>
      <c r="G110" s="176">
        <v>24.83</v>
      </c>
      <c r="H110" s="240">
        <f t="shared" si="3"/>
        <v>26.039220999999998</v>
      </c>
      <c r="J110" s="158"/>
      <c r="K110" s="176"/>
    </row>
    <row r="111" spans="2:14" s="1" customFormat="1" ht="16.5" customHeight="1" x14ac:dyDescent="0.2">
      <c r="B111" s="171" t="s">
        <v>230</v>
      </c>
      <c r="C111" s="195">
        <v>88264</v>
      </c>
      <c r="D111" s="172" t="s">
        <v>93</v>
      </c>
      <c r="E111" s="173" t="s">
        <v>66</v>
      </c>
      <c r="F111" s="173">
        <v>1.0487</v>
      </c>
      <c r="G111" s="175">
        <v>24.35</v>
      </c>
      <c r="H111" s="176">
        <f>F111*G111</f>
        <v>25.535845000000002</v>
      </c>
      <c r="J111" s="158"/>
      <c r="K111" s="212" t="e">
        <f>#REF!</f>
        <v>#REF!</v>
      </c>
    </row>
    <row r="112" spans="2:14" s="1" customFormat="1" ht="42.75" x14ac:dyDescent="0.2">
      <c r="B112" s="171" t="s">
        <v>234</v>
      </c>
      <c r="C112" s="195">
        <v>5928</v>
      </c>
      <c r="D112" s="178" t="s">
        <v>235</v>
      </c>
      <c r="E112" s="173" t="s">
        <v>60</v>
      </c>
      <c r="F112" s="173">
        <v>0.23880000000000001</v>
      </c>
      <c r="G112" s="176">
        <v>294.05</v>
      </c>
      <c r="H112" s="176">
        <f>F112*G112</f>
        <v>70.21914000000001</v>
      </c>
      <c r="J112" s="158"/>
      <c r="K112" s="176">
        <v>45.51</v>
      </c>
    </row>
    <row r="113" spans="2:14" s="1" customFormat="1" ht="15" x14ac:dyDescent="0.2">
      <c r="B113" s="196"/>
      <c r="C113" s="197"/>
      <c r="D113" s="198" t="s">
        <v>9</v>
      </c>
      <c r="E113" s="199"/>
      <c r="F113" s="200"/>
      <c r="G113" s="215"/>
      <c r="H113" s="216">
        <f>SUM(H108:H112)</f>
        <v>539.51420600000006</v>
      </c>
      <c r="J113" s="158"/>
      <c r="K113" s="215"/>
      <c r="N113" s="213"/>
    </row>
    <row r="114" spans="2:14" s="158" customFormat="1" ht="10.5" customHeight="1" x14ac:dyDescent="0.2">
      <c r="B114" s="246"/>
      <c r="C114" s="247"/>
      <c r="D114" s="248"/>
      <c r="E114" s="249"/>
      <c r="F114" s="250"/>
      <c r="G114" s="251"/>
      <c r="H114" s="252"/>
      <c r="K114" s="251"/>
      <c r="N114" s="253"/>
    </row>
    <row r="115" spans="2:14" s="1" customFormat="1" ht="14.25" x14ac:dyDescent="0.2">
      <c r="C115" s="254"/>
      <c r="D115" s="255" t="s">
        <v>155</v>
      </c>
      <c r="E115" s="256"/>
      <c r="F115" s="257"/>
      <c r="J115" s="158"/>
    </row>
    <row r="116" spans="2:14" s="1" customFormat="1" ht="14.25" x14ac:dyDescent="0.2">
      <c r="C116" s="9"/>
      <c r="J116" s="158"/>
    </row>
    <row r="117" spans="2:14" s="1" customFormat="1" ht="14.25" x14ac:dyDescent="0.2">
      <c r="C117" s="9"/>
      <c r="J117" s="158"/>
    </row>
    <row r="118" spans="2:14" s="1" customFormat="1" ht="14.25" x14ac:dyDescent="0.2">
      <c r="C118" s="9"/>
      <c r="J118" s="158"/>
    </row>
    <row r="119" spans="2:14" s="1" customFormat="1" ht="15" x14ac:dyDescent="0.25">
      <c r="C119" s="9"/>
      <c r="D119" s="258" t="s">
        <v>156</v>
      </c>
      <c r="E119" s="258" t="s">
        <v>147</v>
      </c>
      <c r="F119" s="258"/>
      <c r="G119" s="258"/>
      <c r="J119" s="158"/>
    </row>
    <row r="120" spans="2:14" s="1" customFormat="1" ht="14.25" x14ac:dyDescent="0.2">
      <c r="C120" s="9"/>
      <c r="D120" s="1" t="s">
        <v>157</v>
      </c>
      <c r="E120" s="1" t="s">
        <v>158</v>
      </c>
      <c r="J120" s="158"/>
    </row>
    <row r="121" spans="2:14" s="1" customFormat="1" ht="14.25" x14ac:dyDescent="0.2">
      <c r="C121" s="9"/>
      <c r="J121" s="158"/>
    </row>
    <row r="122" spans="2:14" s="1" customFormat="1" ht="14.25" x14ac:dyDescent="0.2"/>
    <row r="123" spans="2:14" s="1" customFormat="1" ht="14.25" x14ac:dyDescent="0.2"/>
    <row r="124" spans="2:14" s="1" customFormat="1" ht="14.25" x14ac:dyDescent="0.2"/>
  </sheetData>
  <mergeCells count="6">
    <mergeCell ref="B9:B10"/>
    <mergeCell ref="C9:C10"/>
    <mergeCell ref="D9:D10"/>
    <mergeCell ref="E9:E10"/>
    <mergeCell ref="F9:F10"/>
    <mergeCell ref="D45:H45"/>
  </mergeCells>
  <pageMargins left="1" right="1" top="1" bottom="1" header="0.5" footer="0.5"/>
  <pageSetup paperSize="9" scale="4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zoomScale="60" zoomScaleNormal="60" workbookViewId="0"/>
  </sheetViews>
  <sheetFormatPr defaultColWidth="8.85546875" defaultRowHeight="12.75" x14ac:dyDescent="0.2"/>
  <sheetData>
    <row r="1" spans="1:11" ht="18" x14ac:dyDescent="0.25">
      <c r="A1" s="43"/>
      <c r="B1" s="44" t="s">
        <v>26</v>
      </c>
      <c r="C1" s="45"/>
      <c r="D1" s="46"/>
      <c r="E1" s="46"/>
      <c r="F1" s="46"/>
      <c r="G1" s="46"/>
      <c r="H1" s="46"/>
      <c r="I1" s="46"/>
      <c r="J1" s="46"/>
      <c r="K1" s="47"/>
    </row>
    <row r="2" spans="1:11" ht="18.75" x14ac:dyDescent="0.3">
      <c r="A2" s="48"/>
      <c r="B2" s="19" t="s">
        <v>38</v>
      </c>
      <c r="C2" s="20"/>
      <c r="D2" s="21"/>
      <c r="E2" s="21"/>
      <c r="F2" s="49"/>
      <c r="G2" s="21"/>
      <c r="H2" s="21"/>
      <c r="I2" s="21"/>
      <c r="J2" s="21"/>
      <c r="K2" s="50"/>
    </row>
    <row r="3" spans="1:11" ht="16.5" x14ac:dyDescent="0.25">
      <c r="A3" s="51"/>
      <c r="B3" s="52" t="s">
        <v>39</v>
      </c>
      <c r="C3" s="20"/>
      <c r="D3" s="21"/>
      <c r="E3" s="21"/>
      <c r="F3" s="53"/>
      <c r="G3" s="53"/>
      <c r="H3" s="54"/>
      <c r="I3" s="54"/>
      <c r="J3" s="54"/>
      <c r="K3" s="55"/>
    </row>
    <row r="4" spans="1:11" ht="18" x14ac:dyDescent="0.25">
      <c r="A4" s="56"/>
      <c r="B4" s="57"/>
      <c r="C4" s="58"/>
      <c r="D4" s="59" t="s">
        <v>27</v>
      </c>
      <c r="E4" s="60"/>
      <c r="F4" s="61"/>
      <c r="G4" s="61"/>
      <c r="H4" s="61"/>
      <c r="I4" s="61"/>
      <c r="J4" s="61"/>
      <c r="K4" s="62"/>
    </row>
    <row r="5" spans="1:11" ht="15" x14ac:dyDescent="0.2">
      <c r="A5" s="24" t="s">
        <v>1</v>
      </c>
      <c r="B5" s="24" t="s">
        <v>3</v>
      </c>
      <c r="C5" s="25" t="s">
        <v>8</v>
      </c>
      <c r="D5" s="25" t="s">
        <v>28</v>
      </c>
      <c r="E5" s="25" t="s">
        <v>29</v>
      </c>
      <c r="F5" s="25" t="s">
        <v>30</v>
      </c>
      <c r="G5" s="25" t="s">
        <v>31</v>
      </c>
      <c r="H5" s="25" t="s">
        <v>32</v>
      </c>
      <c r="I5" s="25" t="s">
        <v>33</v>
      </c>
      <c r="J5" s="25" t="s">
        <v>34</v>
      </c>
      <c r="K5" s="25" t="s">
        <v>35</v>
      </c>
    </row>
    <row r="6" spans="1:11" ht="15" x14ac:dyDescent="0.2">
      <c r="A6" s="24"/>
      <c r="B6" s="24"/>
      <c r="C6" s="25"/>
      <c r="D6" s="25"/>
      <c r="E6" s="25"/>
      <c r="F6" s="25"/>
      <c r="G6" s="25"/>
      <c r="H6" s="25"/>
      <c r="I6" s="25"/>
      <c r="J6" s="25"/>
      <c r="K6" s="25"/>
    </row>
    <row r="7" spans="1:11" ht="15" x14ac:dyDescent="0.25">
      <c r="A7" s="63">
        <v>1</v>
      </c>
      <c r="B7" s="64" t="s">
        <v>40</v>
      </c>
      <c r="C7" s="65" t="e">
        <v>#N/A</v>
      </c>
      <c r="D7" s="66" t="e">
        <f>$C7</f>
        <v>#N/A</v>
      </c>
      <c r="E7" s="67"/>
      <c r="F7" s="67"/>
      <c r="G7" s="67"/>
      <c r="H7" s="67"/>
      <c r="I7" s="67"/>
      <c r="J7" s="67"/>
      <c r="K7" s="68"/>
    </row>
    <row r="8" spans="1:11" ht="14.25" x14ac:dyDescent="0.2">
      <c r="A8" s="69"/>
      <c r="B8" s="70"/>
      <c r="C8" s="71"/>
      <c r="D8" s="72" t="e">
        <f>D7/$C7</f>
        <v>#N/A</v>
      </c>
      <c r="E8" s="73"/>
      <c r="F8" s="73"/>
      <c r="G8" s="73"/>
      <c r="H8" s="73"/>
      <c r="I8" s="73"/>
      <c r="J8" s="73"/>
      <c r="K8" s="74"/>
    </row>
    <row r="9" spans="1:11" ht="15" x14ac:dyDescent="0.25">
      <c r="A9" s="63">
        <v>2</v>
      </c>
      <c r="B9" s="64" t="s">
        <v>41</v>
      </c>
      <c r="C9" s="65" t="e">
        <v>#N/A</v>
      </c>
      <c r="D9" s="66" t="e">
        <f>$C9*8/10</f>
        <v>#N/A</v>
      </c>
      <c r="E9" s="67" t="e">
        <f>$C9*2/10</f>
        <v>#N/A</v>
      </c>
      <c r="F9" s="67"/>
      <c r="G9" s="67"/>
      <c r="H9" s="67"/>
      <c r="I9" s="67"/>
      <c r="J9" s="67"/>
      <c r="K9" s="68"/>
    </row>
    <row r="10" spans="1:11" ht="14.25" x14ac:dyDescent="0.2">
      <c r="A10" s="69"/>
      <c r="B10" s="70"/>
      <c r="C10" s="71"/>
      <c r="D10" s="72" t="e">
        <f>D9/$C9</f>
        <v>#N/A</v>
      </c>
      <c r="E10" s="75" t="e">
        <f>E9/$C9</f>
        <v>#N/A</v>
      </c>
      <c r="F10" s="73"/>
      <c r="G10" s="73"/>
      <c r="H10" s="73"/>
      <c r="I10" s="73"/>
      <c r="J10" s="73"/>
      <c r="K10" s="74"/>
    </row>
    <row r="11" spans="1:11" ht="15" x14ac:dyDescent="0.25">
      <c r="A11" s="63">
        <v>3</v>
      </c>
      <c r="B11" s="64" t="s">
        <v>42</v>
      </c>
      <c r="C11" s="65" t="e">
        <v>#N/A</v>
      </c>
      <c r="D11" s="66" t="e">
        <f>$C11*9/10</f>
        <v>#N/A</v>
      </c>
      <c r="E11" s="67" t="e">
        <f>$C11*1/10</f>
        <v>#N/A</v>
      </c>
      <c r="F11" s="67"/>
      <c r="G11" s="67"/>
      <c r="H11" s="67"/>
      <c r="I11" s="67"/>
      <c r="J11" s="67"/>
      <c r="K11" s="68"/>
    </row>
    <row r="12" spans="1:11" ht="14.25" x14ac:dyDescent="0.2">
      <c r="A12" s="69"/>
      <c r="B12" s="70"/>
      <c r="C12" s="71"/>
      <c r="D12" s="72" t="e">
        <f>D11/$C11</f>
        <v>#N/A</v>
      </c>
      <c r="E12" s="75" t="e">
        <f>E11/$C11</f>
        <v>#N/A</v>
      </c>
      <c r="F12" s="73"/>
      <c r="G12" s="73"/>
      <c r="H12" s="73"/>
      <c r="I12" s="73"/>
      <c r="J12" s="73"/>
      <c r="K12" s="74"/>
    </row>
    <row r="13" spans="1:11" ht="15" x14ac:dyDescent="0.25">
      <c r="A13" s="63">
        <v>4</v>
      </c>
      <c r="B13" s="64" t="s">
        <v>43</v>
      </c>
      <c r="C13" s="65" t="e">
        <v>#N/A</v>
      </c>
      <c r="D13" s="76"/>
      <c r="E13" s="67" t="e">
        <f>$C13*9/10</f>
        <v>#N/A</v>
      </c>
      <c r="F13" s="67" t="e">
        <f>$C13*1/10</f>
        <v>#N/A</v>
      </c>
      <c r="G13" s="77"/>
      <c r="H13" s="77"/>
      <c r="I13" s="77"/>
      <c r="J13" s="77"/>
      <c r="K13" s="78"/>
    </row>
    <row r="14" spans="1:11" ht="14.25" x14ac:dyDescent="0.2">
      <c r="A14" s="69"/>
      <c r="B14" s="70"/>
      <c r="C14" s="71"/>
      <c r="D14" s="79"/>
      <c r="E14" s="75" t="e">
        <f>E13/$C13</f>
        <v>#N/A</v>
      </c>
      <c r="F14" s="75" t="e">
        <f>F13/$C13</f>
        <v>#N/A</v>
      </c>
      <c r="G14" s="73"/>
      <c r="H14" s="73"/>
      <c r="I14" s="73"/>
      <c r="J14" s="73"/>
      <c r="K14" s="74"/>
    </row>
    <row r="15" spans="1:11" ht="15" x14ac:dyDescent="0.25">
      <c r="A15" s="63">
        <v>5</v>
      </c>
      <c r="B15" s="64" t="s">
        <v>44</v>
      </c>
      <c r="C15" s="65" t="e">
        <v>#N/A</v>
      </c>
      <c r="D15" s="76"/>
      <c r="E15" s="77"/>
      <c r="F15" s="67" t="e">
        <f>$C15*5/10</f>
        <v>#N/A</v>
      </c>
      <c r="G15" s="67" t="e">
        <f>$C15*4.5/10</f>
        <v>#N/A</v>
      </c>
      <c r="H15" s="67" t="e">
        <f>$C15*0.5/10</f>
        <v>#N/A</v>
      </c>
      <c r="I15" s="77"/>
      <c r="J15" s="77"/>
      <c r="K15" s="78"/>
    </row>
    <row r="16" spans="1:11" ht="14.25" x14ac:dyDescent="0.2">
      <c r="A16" s="69"/>
      <c r="B16" s="70"/>
      <c r="C16" s="71"/>
      <c r="D16" s="79"/>
      <c r="E16" s="73"/>
      <c r="F16" s="75" t="e">
        <f>F15/$C15</f>
        <v>#N/A</v>
      </c>
      <c r="G16" s="75" t="e">
        <f>G15/$C15</f>
        <v>#N/A</v>
      </c>
      <c r="H16" s="75" t="e">
        <f>H15/$C15</f>
        <v>#N/A</v>
      </c>
      <c r="I16" s="73"/>
      <c r="J16" s="73"/>
      <c r="K16" s="74"/>
    </row>
    <row r="17" spans="1:11" ht="15" x14ac:dyDescent="0.25">
      <c r="A17" s="63">
        <v>6</v>
      </c>
      <c r="B17" s="64" t="s">
        <v>45</v>
      </c>
      <c r="C17" s="65" t="e">
        <v>#N/A</v>
      </c>
      <c r="D17" s="76"/>
      <c r="E17" s="77"/>
      <c r="F17" s="77"/>
      <c r="G17" s="67" t="e">
        <f>$C17*5/10</f>
        <v>#N/A</v>
      </c>
      <c r="H17" s="67" t="e">
        <f>$C17*3.5/10</f>
        <v>#N/A</v>
      </c>
      <c r="I17" s="67" t="e">
        <f>$C17*0.5/10</f>
        <v>#N/A</v>
      </c>
      <c r="J17" s="67" t="e">
        <f>$C17*1/10</f>
        <v>#N/A</v>
      </c>
      <c r="K17" s="78"/>
    </row>
    <row r="18" spans="1:11" ht="14.25" x14ac:dyDescent="0.2">
      <c r="A18" s="69"/>
      <c r="B18" s="70"/>
      <c r="C18" s="71"/>
      <c r="D18" s="79"/>
      <c r="E18" s="73"/>
      <c r="F18" s="73"/>
      <c r="G18" s="75" t="e">
        <f>G17/$C17</f>
        <v>#N/A</v>
      </c>
      <c r="H18" s="75" t="e">
        <f>H17/$C17</f>
        <v>#N/A</v>
      </c>
      <c r="I18" s="75" t="e">
        <f>I17/$C17</f>
        <v>#N/A</v>
      </c>
      <c r="J18" s="75" t="e">
        <f>J17/$C17</f>
        <v>#N/A</v>
      </c>
      <c r="K18" s="74"/>
    </row>
    <row r="19" spans="1:11" ht="15" x14ac:dyDescent="0.25">
      <c r="A19" s="63">
        <v>7</v>
      </c>
      <c r="B19" s="64" t="s">
        <v>46</v>
      </c>
      <c r="C19" s="65" t="e">
        <v>#N/A</v>
      </c>
      <c r="D19" s="76"/>
      <c r="E19" s="77"/>
      <c r="F19" s="77"/>
      <c r="G19" s="67" t="e">
        <f>$C19*0.5/10</f>
        <v>#N/A</v>
      </c>
      <c r="H19" s="67" t="e">
        <f>$C19*6/10</f>
        <v>#N/A</v>
      </c>
      <c r="I19" s="67" t="e">
        <f>$C19*3/10</f>
        <v>#N/A</v>
      </c>
      <c r="J19" s="67" t="e">
        <f>$C19*0.5/10</f>
        <v>#N/A</v>
      </c>
      <c r="K19" s="78"/>
    </row>
    <row r="20" spans="1:11" ht="14.25" x14ac:dyDescent="0.2">
      <c r="A20" s="69"/>
      <c r="B20" s="70"/>
      <c r="C20" s="71"/>
      <c r="D20" s="79"/>
      <c r="E20" s="73"/>
      <c r="F20" s="73"/>
      <c r="G20" s="75" t="e">
        <f>G19/$C19</f>
        <v>#N/A</v>
      </c>
      <c r="H20" s="75" t="e">
        <f>H19/$C19</f>
        <v>#N/A</v>
      </c>
      <c r="I20" s="75" t="e">
        <f>I19/$C19</f>
        <v>#N/A</v>
      </c>
      <c r="J20" s="75" t="e">
        <f>J19/$C19</f>
        <v>#N/A</v>
      </c>
      <c r="K20" s="74"/>
    </row>
    <row r="21" spans="1:11" ht="15" x14ac:dyDescent="0.25">
      <c r="A21" s="63">
        <v>8</v>
      </c>
      <c r="B21" s="64" t="s">
        <v>17</v>
      </c>
      <c r="C21" s="65" t="e">
        <v>#N/A</v>
      </c>
      <c r="D21" s="76"/>
      <c r="E21" s="77"/>
      <c r="F21" s="77"/>
      <c r="G21" s="77"/>
      <c r="H21" s="67" t="e">
        <f>$C21*4/10</f>
        <v>#N/A</v>
      </c>
      <c r="I21" s="67" t="e">
        <f>$C21*6/10</f>
        <v>#N/A</v>
      </c>
      <c r="J21" s="77"/>
      <c r="K21" s="78"/>
    </row>
    <row r="22" spans="1:11" ht="14.25" x14ac:dyDescent="0.2">
      <c r="A22" s="69"/>
      <c r="B22" s="70"/>
      <c r="C22" s="71"/>
      <c r="D22" s="79"/>
      <c r="E22" s="73"/>
      <c r="F22" s="73"/>
      <c r="G22" s="73"/>
      <c r="H22" s="75" t="e">
        <f>H21/$C21</f>
        <v>#N/A</v>
      </c>
      <c r="I22" s="75" t="e">
        <f>I21/$C21</f>
        <v>#N/A</v>
      </c>
      <c r="J22" s="73"/>
      <c r="K22" s="74"/>
    </row>
    <row r="23" spans="1:11" ht="15" x14ac:dyDescent="0.25">
      <c r="A23" s="63">
        <v>9</v>
      </c>
      <c r="B23" s="64" t="s">
        <v>47</v>
      </c>
      <c r="C23" s="65" t="e">
        <v>#N/A</v>
      </c>
      <c r="D23" s="76"/>
      <c r="E23" s="77"/>
      <c r="F23" s="67" t="e">
        <f>$C23*5/10</f>
        <v>#N/A</v>
      </c>
      <c r="G23" s="67" t="e">
        <f>$C23*2.5/10</f>
        <v>#N/A</v>
      </c>
      <c r="H23" s="67" t="e">
        <f>$C23*2/10</f>
        <v>#N/A</v>
      </c>
      <c r="I23" s="67" t="e">
        <f>$C23*0.5/10</f>
        <v>#N/A</v>
      </c>
      <c r="J23" s="77"/>
      <c r="K23" s="78"/>
    </row>
    <row r="24" spans="1:11" ht="14.25" x14ac:dyDescent="0.2">
      <c r="A24" s="69"/>
      <c r="B24" s="70"/>
      <c r="C24" s="71"/>
      <c r="D24" s="79"/>
      <c r="E24" s="73"/>
      <c r="F24" s="75" t="e">
        <f>F23/$C23</f>
        <v>#N/A</v>
      </c>
      <c r="G24" s="75" t="e">
        <f>G23/$C23</f>
        <v>#N/A</v>
      </c>
      <c r="H24" s="75" t="e">
        <f>H23/$C23</f>
        <v>#N/A</v>
      </c>
      <c r="I24" s="75" t="e">
        <f>I23/$C23</f>
        <v>#N/A</v>
      </c>
      <c r="J24" s="73"/>
      <c r="K24" s="74"/>
    </row>
    <row r="25" spans="1:11" ht="15" x14ac:dyDescent="0.25">
      <c r="A25" s="63">
        <v>10</v>
      </c>
      <c r="B25" s="64" t="s">
        <v>48</v>
      </c>
      <c r="C25" s="65" t="e">
        <v>#N/A</v>
      </c>
      <c r="D25" s="76"/>
      <c r="E25" s="77"/>
      <c r="F25" s="77"/>
      <c r="G25" s="77"/>
      <c r="H25" s="67" t="e">
        <f>$C25*2/10</f>
        <v>#N/A</v>
      </c>
      <c r="I25" s="67" t="e">
        <f>$C25*7/10</f>
        <v>#N/A</v>
      </c>
      <c r="J25" s="67" t="e">
        <f>$C25*1/10</f>
        <v>#N/A</v>
      </c>
      <c r="K25" s="78"/>
    </row>
    <row r="26" spans="1:11" ht="14.25" x14ac:dyDescent="0.2">
      <c r="A26" s="69"/>
      <c r="B26" s="70"/>
      <c r="C26" s="71"/>
      <c r="D26" s="79"/>
      <c r="E26" s="73"/>
      <c r="F26" s="73"/>
      <c r="G26" s="73"/>
      <c r="H26" s="75" t="e">
        <f>H25/$C25</f>
        <v>#N/A</v>
      </c>
      <c r="I26" s="75" t="e">
        <f>I25/$C25</f>
        <v>#N/A</v>
      </c>
      <c r="J26" s="75" t="e">
        <f>J25/$C25</f>
        <v>#N/A</v>
      </c>
      <c r="K26" s="74"/>
    </row>
    <row r="27" spans="1:11" ht="15" x14ac:dyDescent="0.25">
      <c r="A27" s="63">
        <v>11</v>
      </c>
      <c r="B27" s="64" t="s">
        <v>49</v>
      </c>
      <c r="C27" s="65" t="e">
        <v>#N/A</v>
      </c>
      <c r="D27" s="76"/>
      <c r="E27" s="77"/>
      <c r="F27" s="77"/>
      <c r="G27" s="77"/>
      <c r="H27" s="77"/>
      <c r="I27" s="67" t="e">
        <f>$C27*7/10</f>
        <v>#N/A</v>
      </c>
      <c r="J27" s="67" t="e">
        <f>$C27*3/10</f>
        <v>#N/A</v>
      </c>
      <c r="K27" s="78"/>
    </row>
    <row r="28" spans="1:11" ht="14.25" x14ac:dyDescent="0.2">
      <c r="A28" s="69"/>
      <c r="B28" s="70"/>
      <c r="C28" s="71"/>
      <c r="D28" s="79"/>
      <c r="E28" s="73"/>
      <c r="F28" s="73"/>
      <c r="G28" s="73"/>
      <c r="H28" s="73"/>
      <c r="I28" s="75" t="e">
        <f>I27/$C27</f>
        <v>#N/A</v>
      </c>
      <c r="J28" s="75" t="e">
        <f>J27/$C27</f>
        <v>#N/A</v>
      </c>
      <c r="K28" s="74"/>
    </row>
    <row r="29" spans="1:11" ht="15" x14ac:dyDescent="0.25">
      <c r="A29" s="63">
        <v>12</v>
      </c>
      <c r="B29" s="64" t="s">
        <v>50</v>
      </c>
      <c r="C29" s="65" t="e">
        <v>#N/A</v>
      </c>
      <c r="D29" s="76"/>
      <c r="E29" s="77"/>
      <c r="F29" s="77"/>
      <c r="G29" s="77"/>
      <c r="H29" s="67" t="e">
        <f>$C29*2.5/10</f>
        <v>#N/A</v>
      </c>
      <c r="I29" s="67" t="e">
        <f>$C29*5/10</f>
        <v>#N/A</v>
      </c>
      <c r="J29" s="67" t="e">
        <f>$C29*2.5/10</f>
        <v>#N/A</v>
      </c>
      <c r="K29" s="78"/>
    </row>
    <row r="30" spans="1:11" ht="14.25" x14ac:dyDescent="0.2">
      <c r="A30" s="69"/>
      <c r="B30" s="70"/>
      <c r="C30" s="71"/>
      <c r="D30" s="79"/>
      <c r="E30" s="73"/>
      <c r="F30" s="73"/>
      <c r="G30" s="73"/>
      <c r="H30" s="75" t="e">
        <f>H29/$C29</f>
        <v>#N/A</v>
      </c>
      <c r="I30" s="75" t="e">
        <f>I29/$C29</f>
        <v>#N/A</v>
      </c>
      <c r="J30" s="75" t="e">
        <f>J29/$C29</f>
        <v>#N/A</v>
      </c>
      <c r="K30" s="74"/>
    </row>
    <row r="31" spans="1:11" ht="15" x14ac:dyDescent="0.25">
      <c r="A31" s="63">
        <v>13</v>
      </c>
      <c r="B31" s="64" t="s">
        <v>51</v>
      </c>
      <c r="C31" s="65" t="e">
        <v>#N/A</v>
      </c>
      <c r="D31" s="76"/>
      <c r="E31" s="77"/>
      <c r="F31" s="67" t="e">
        <f>$C31*1.5/10</f>
        <v>#N/A</v>
      </c>
      <c r="G31" s="67" t="e">
        <f>$C31*1.5/10</f>
        <v>#N/A</v>
      </c>
      <c r="H31" s="67" t="e">
        <f>$C31*2.5/10</f>
        <v>#N/A</v>
      </c>
      <c r="I31" s="67" t="e">
        <f>$C31*3/10</f>
        <v>#N/A</v>
      </c>
      <c r="J31" s="67" t="e">
        <f>$C31*1.5/10</f>
        <v>#N/A</v>
      </c>
      <c r="K31" s="78"/>
    </row>
    <row r="32" spans="1:11" ht="14.25" x14ac:dyDescent="0.2">
      <c r="A32" s="69"/>
      <c r="B32" s="70"/>
      <c r="C32" s="71"/>
      <c r="D32" s="79"/>
      <c r="E32" s="73"/>
      <c r="F32" s="75" t="e">
        <f>F31/$C31</f>
        <v>#N/A</v>
      </c>
      <c r="G32" s="75" t="e">
        <f>G31/$C31</f>
        <v>#N/A</v>
      </c>
      <c r="H32" s="75" t="e">
        <f>H31/$C31</f>
        <v>#N/A</v>
      </c>
      <c r="I32" s="75" t="e">
        <f>I31/$C31</f>
        <v>#N/A</v>
      </c>
      <c r="J32" s="75" t="e">
        <f>J31/$C31</f>
        <v>#N/A</v>
      </c>
      <c r="K32" s="74"/>
    </row>
    <row r="33" spans="1:11" ht="15" x14ac:dyDescent="0.25">
      <c r="A33" s="63">
        <v>14</v>
      </c>
      <c r="B33" s="64" t="s">
        <v>52</v>
      </c>
      <c r="C33" s="65" t="e">
        <v>#N/A</v>
      </c>
      <c r="D33" s="76"/>
      <c r="E33" s="77"/>
      <c r="F33" s="77"/>
      <c r="G33" s="77"/>
      <c r="H33" s="77"/>
      <c r="I33" s="77"/>
      <c r="J33" s="67" t="e">
        <f>$C33*3/10</f>
        <v>#N/A</v>
      </c>
      <c r="K33" s="67" t="e">
        <f>$C33*7/10</f>
        <v>#N/A</v>
      </c>
    </row>
    <row r="34" spans="1:11" ht="14.25" x14ac:dyDescent="0.2">
      <c r="A34" s="69"/>
      <c r="B34" s="70"/>
      <c r="C34" s="71"/>
      <c r="D34" s="79"/>
      <c r="E34" s="73"/>
      <c r="F34" s="73"/>
      <c r="G34" s="73"/>
      <c r="H34" s="73"/>
      <c r="I34" s="73"/>
      <c r="J34" s="75" t="e">
        <f>J33/$C33</f>
        <v>#N/A</v>
      </c>
      <c r="K34" s="75" t="e">
        <f>K33/$C33</f>
        <v>#N/A</v>
      </c>
    </row>
    <row r="35" spans="1:11" ht="15" x14ac:dyDescent="0.25">
      <c r="A35" s="63">
        <v>15</v>
      </c>
      <c r="B35" s="64" t="s">
        <v>53</v>
      </c>
      <c r="C35" s="65" t="e">
        <v>#N/A</v>
      </c>
      <c r="D35" s="76"/>
      <c r="E35" s="77"/>
      <c r="F35" s="77"/>
      <c r="G35" s="67" t="e">
        <f>$C35*0.5/10</f>
        <v>#N/A</v>
      </c>
      <c r="H35" s="67" t="e">
        <f>$C35*4.5/10</f>
        <v>#N/A</v>
      </c>
      <c r="I35" s="67" t="e">
        <f>$C35*4.5/10</f>
        <v>#N/A</v>
      </c>
      <c r="J35" s="67" t="e">
        <f>$C35*0.5/10</f>
        <v>#N/A</v>
      </c>
      <c r="K35" s="78"/>
    </row>
    <row r="36" spans="1:11" ht="14.25" x14ac:dyDescent="0.2">
      <c r="A36" s="69"/>
      <c r="B36" s="70"/>
      <c r="C36" s="71"/>
      <c r="D36" s="79"/>
      <c r="E36" s="73"/>
      <c r="F36" s="73"/>
      <c r="G36" s="75" t="e">
        <f>G35/$C35</f>
        <v>#N/A</v>
      </c>
      <c r="H36" s="75" t="e">
        <f>H35/$C35</f>
        <v>#N/A</v>
      </c>
      <c r="I36" s="75" t="e">
        <f>I35/$C35</f>
        <v>#N/A</v>
      </c>
      <c r="J36" s="75" t="e">
        <f>J35/$C35</f>
        <v>#N/A</v>
      </c>
      <c r="K36" s="74"/>
    </row>
    <row r="37" spans="1:11" ht="15" x14ac:dyDescent="0.25">
      <c r="A37" s="63">
        <v>16</v>
      </c>
      <c r="B37" s="64" t="s">
        <v>54</v>
      </c>
      <c r="C37" s="65" t="e">
        <v>#N/A</v>
      </c>
      <c r="D37" s="76"/>
      <c r="E37" s="77"/>
      <c r="F37" s="77"/>
      <c r="G37" s="77"/>
      <c r="H37" s="77"/>
      <c r="I37" s="77"/>
      <c r="J37" s="67" t="e">
        <f>$C37*0.15/10</f>
        <v>#N/A</v>
      </c>
      <c r="K37" s="68" t="e">
        <f>$C37*9.85/10</f>
        <v>#N/A</v>
      </c>
    </row>
    <row r="38" spans="1:11" ht="14.25" x14ac:dyDescent="0.2">
      <c r="A38" s="69"/>
      <c r="B38" s="70"/>
      <c r="C38" s="71"/>
      <c r="D38" s="79"/>
      <c r="E38" s="73"/>
      <c r="F38" s="73"/>
      <c r="G38" s="73"/>
      <c r="H38" s="73"/>
      <c r="I38" s="73"/>
      <c r="J38" s="75" t="e">
        <f>J37/$C37</f>
        <v>#N/A</v>
      </c>
      <c r="K38" s="80" t="e">
        <f>K37/$C37</f>
        <v>#N/A</v>
      </c>
    </row>
    <row r="39" spans="1:11" ht="15" x14ac:dyDescent="0.25">
      <c r="A39" s="63">
        <v>17</v>
      </c>
      <c r="B39" s="64" t="s">
        <v>55</v>
      </c>
      <c r="C39" s="65" t="e">
        <v>#N/A</v>
      </c>
      <c r="D39" s="76"/>
      <c r="E39" s="77"/>
      <c r="F39" s="77"/>
      <c r="G39" s="67" t="e">
        <f>$C39*3/10</f>
        <v>#N/A</v>
      </c>
      <c r="H39" s="67" t="e">
        <f>$C39*4/10</f>
        <v>#N/A</v>
      </c>
      <c r="I39" s="67" t="e">
        <f>$C39*3/10</f>
        <v>#N/A</v>
      </c>
      <c r="J39" s="77"/>
      <c r="K39" s="78"/>
    </row>
    <row r="40" spans="1:11" ht="14.25" x14ac:dyDescent="0.2">
      <c r="A40" s="69"/>
      <c r="B40" s="70"/>
      <c r="C40" s="71"/>
      <c r="D40" s="79"/>
      <c r="E40" s="73"/>
      <c r="F40" s="73"/>
      <c r="G40" s="75" t="e">
        <f>G39/$C39</f>
        <v>#N/A</v>
      </c>
      <c r="H40" s="75" t="e">
        <f>H39/$C39</f>
        <v>#N/A</v>
      </c>
      <c r="I40" s="75" t="e">
        <f>I39/$C39</f>
        <v>#N/A</v>
      </c>
      <c r="J40" s="73"/>
      <c r="K40" s="74"/>
    </row>
    <row r="41" spans="1:11" ht="15" x14ac:dyDescent="0.25">
      <c r="A41" s="63">
        <v>18</v>
      </c>
      <c r="B41" s="64" t="s">
        <v>56</v>
      </c>
      <c r="C41" s="65" t="e">
        <v>#N/A</v>
      </c>
      <c r="D41" s="76"/>
      <c r="E41" s="77"/>
      <c r="F41" s="77"/>
      <c r="G41" s="77"/>
      <c r="H41" s="77"/>
      <c r="I41" s="77"/>
      <c r="J41" s="67" t="e">
        <f>$C41*4/10</f>
        <v>#N/A</v>
      </c>
      <c r="K41" s="68" t="e">
        <f>$C41*6/10</f>
        <v>#N/A</v>
      </c>
    </row>
    <row r="42" spans="1:11" ht="14.25" x14ac:dyDescent="0.2">
      <c r="A42" s="69"/>
      <c r="B42" s="70"/>
      <c r="C42" s="71"/>
      <c r="D42" s="79"/>
      <c r="E42" s="81"/>
      <c r="F42" s="81"/>
      <c r="G42" s="81"/>
      <c r="H42" s="81"/>
      <c r="I42" s="81"/>
      <c r="J42" s="75" t="e">
        <f>J41/$C41</f>
        <v>#N/A</v>
      </c>
      <c r="K42" s="80" t="e">
        <f>K41/$C41</f>
        <v>#N/A</v>
      </c>
    </row>
    <row r="43" spans="1:11" ht="15" x14ac:dyDescent="0.25">
      <c r="A43" s="63">
        <v>19</v>
      </c>
      <c r="B43" s="64" t="s">
        <v>57</v>
      </c>
      <c r="C43" s="65" t="e">
        <v>#N/A</v>
      </c>
      <c r="D43" s="76"/>
      <c r="E43" s="77"/>
      <c r="F43" s="77"/>
      <c r="G43" s="77"/>
      <c r="H43" s="77"/>
      <c r="I43" s="77"/>
      <c r="J43" s="67" t="e">
        <f>$C43*6/10</f>
        <v>#N/A</v>
      </c>
      <c r="K43" s="68" t="e">
        <f>$C43*4/10</f>
        <v>#N/A</v>
      </c>
    </row>
    <row r="44" spans="1:11" ht="14.25" x14ac:dyDescent="0.2">
      <c r="A44" s="69"/>
      <c r="B44" s="70"/>
      <c r="C44" s="71"/>
      <c r="D44" s="79"/>
      <c r="E44" s="81"/>
      <c r="F44" s="81"/>
      <c r="G44" s="81"/>
      <c r="H44" s="81"/>
      <c r="I44" s="81"/>
      <c r="J44" s="75" t="e">
        <f>J43/$C43</f>
        <v>#N/A</v>
      </c>
      <c r="K44" s="80" t="e">
        <f>K43/$C43</f>
        <v>#N/A</v>
      </c>
    </row>
    <row r="45" spans="1:11" ht="15" x14ac:dyDescent="0.25">
      <c r="A45" s="63">
        <v>20</v>
      </c>
      <c r="B45" s="82" t="s">
        <v>58</v>
      </c>
      <c r="C45" s="83" t="e">
        <v>#N/A</v>
      </c>
      <c r="D45" s="76"/>
      <c r="E45" s="77"/>
      <c r="F45" s="77"/>
      <c r="G45" s="77"/>
      <c r="H45" s="77"/>
      <c r="I45" s="77"/>
      <c r="J45" s="77"/>
      <c r="K45" s="68" t="e">
        <f>$C45</f>
        <v>#N/A</v>
      </c>
    </row>
    <row r="46" spans="1:11" ht="14.25" x14ac:dyDescent="0.2">
      <c r="A46" s="84"/>
      <c r="B46" s="85"/>
      <c r="C46" s="86"/>
      <c r="D46" s="87"/>
      <c r="E46" s="81"/>
      <c r="F46" s="81"/>
      <c r="G46" s="81"/>
      <c r="H46" s="81"/>
      <c r="I46" s="81"/>
      <c r="J46" s="81"/>
      <c r="K46" s="88" t="e">
        <f>K45/$C45</f>
        <v>#N/A</v>
      </c>
    </row>
    <row r="48" spans="1:11" ht="18" x14ac:dyDescent="0.25">
      <c r="A48" s="89"/>
      <c r="B48" s="90" t="s">
        <v>36</v>
      </c>
      <c r="C48" s="37" t="e">
        <f>SUM(C7:C46)</f>
        <v>#N/A</v>
      </c>
      <c r="D48" s="91" t="e">
        <f t="shared" ref="D48:K48" si="0">SUM(D7,D9,D11,D13,D15,D17,D19,D21,D23,D25,D27,D29,D31,D33,D35,D37,D39,D41,D43,D45)</f>
        <v>#N/A</v>
      </c>
      <c r="E48" s="92" t="e">
        <f t="shared" si="0"/>
        <v>#N/A</v>
      </c>
      <c r="F48" s="92" t="e">
        <f t="shared" si="0"/>
        <v>#N/A</v>
      </c>
      <c r="G48" s="92" t="e">
        <f t="shared" si="0"/>
        <v>#N/A</v>
      </c>
      <c r="H48" s="92" t="e">
        <f t="shared" si="0"/>
        <v>#N/A</v>
      </c>
      <c r="I48" s="92" t="e">
        <f t="shared" si="0"/>
        <v>#N/A</v>
      </c>
      <c r="J48" s="92" t="e">
        <f t="shared" si="0"/>
        <v>#N/A</v>
      </c>
      <c r="K48" s="93" t="e">
        <f t="shared" si="0"/>
        <v>#N/A</v>
      </c>
    </row>
    <row r="50" spans="1:11" ht="18" x14ac:dyDescent="0.25">
      <c r="A50" s="89"/>
      <c r="B50" s="90" t="s">
        <v>37</v>
      </c>
      <c r="C50" s="94" t="e">
        <f>SUM(D48:K48)/$C$48</f>
        <v>#N/A</v>
      </c>
      <c r="D50" s="95" t="e">
        <f t="shared" ref="D50:K50" si="1">D$48/$C$48</f>
        <v>#N/A</v>
      </c>
      <c r="E50" s="96" t="e">
        <f t="shared" si="1"/>
        <v>#N/A</v>
      </c>
      <c r="F50" s="96" t="e">
        <f t="shared" si="1"/>
        <v>#N/A</v>
      </c>
      <c r="G50" s="96" t="e">
        <f t="shared" si="1"/>
        <v>#N/A</v>
      </c>
      <c r="H50" s="96" t="e">
        <f t="shared" si="1"/>
        <v>#N/A</v>
      </c>
      <c r="I50" s="96" t="e">
        <f t="shared" si="1"/>
        <v>#N/A</v>
      </c>
      <c r="J50" s="96" t="e">
        <f t="shared" si="1"/>
        <v>#N/A</v>
      </c>
      <c r="K50" s="97" t="e">
        <f t="shared" si="1"/>
        <v>#N/A</v>
      </c>
    </row>
  </sheetData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18790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</vt:lpstr>
      <vt:lpstr>Cronograma</vt:lpstr>
      <vt:lpstr>Composições</vt:lpstr>
      <vt:lpstr>composições sem BDI</vt:lpstr>
      <vt:lpstr>CRONOGRAMA (em construção)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Carina Martin</dc:creator>
  <cp:lastModifiedBy>Alessandra Regina De Azambuja</cp:lastModifiedBy>
  <cp:revision>96</cp:revision>
  <cp:lastPrinted>2026-07-08T19:50:16Z</cp:lastPrinted>
  <dcterms:created xsi:type="dcterms:W3CDTF">2001-03-28T22:56:58Z</dcterms:created>
  <dcterms:modified xsi:type="dcterms:W3CDTF">2026-07-08T19:50:28Z</dcterms:modified>
  <dc:language>pt-BR</dc:language>
</cp:coreProperties>
</file>